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U:\Other people's data\Dell data\Resubmission of NCC &amp; PNAS\Acclimation Ecol. Lett. Paper\New folder\"/>
    </mc:Choice>
  </mc:AlternateContent>
  <bookViews>
    <workbookView xWindow="0" yWindow="0" windowWidth="38400" windowHeight="17700" firstSheet="11" activeTab="18"/>
  </bookViews>
  <sheets>
    <sheet name="Dell AccTime" sheetId="1" r:id="rId1"/>
    <sheet name="Metadata Dell AccTime" sheetId="9" r:id="rId2"/>
    <sheet name="Dell JL Topt" sheetId="2" r:id="rId3"/>
    <sheet name="Metadata Dell JL Topt" sheetId="11" r:id="rId4"/>
    <sheet name="Dell JL Breadth" sheetId="3" r:id="rId5"/>
    <sheet name="Metadata Dell JL Breadth" sheetId="10" r:id="rId6"/>
    <sheet name="Amphibian CTMax" sheetId="4" r:id="rId7"/>
    <sheet name="Metadata Amphib CTMax" sheetId="5" r:id="rId8"/>
    <sheet name="Amphib CTMax by Spp" sheetId="7" r:id="rId9"/>
    <sheet name="Metadata Amphib CTMax by Spp" sheetId="8" r:id="rId10"/>
    <sheet name="Seebacher et al." sheetId="16" r:id="rId11"/>
    <sheet name="Metadata Seebacher et al." sheetId="17" r:id="rId12"/>
    <sheet name="Gunderson and Stillman" sheetId="19" r:id="rId13"/>
    <sheet name="Metadata Gunderson and Stillman" sheetId="18" r:id="rId14"/>
    <sheet name="Simulations Topt" sheetId="12" r:id="rId15"/>
    <sheet name="Metadata Simulations Topt" sheetId="14" r:id="rId16"/>
    <sheet name="Simulations Breadth" sheetId="13" r:id="rId17"/>
    <sheet name="Metadata Simulations Breadth" sheetId="15" r:id="rId18"/>
    <sheet name="R code" sheetId="6" r:id="rId19"/>
  </sheets>
  <definedNames>
    <definedName name="_xlnm._FilterDatabase" localSheetId="4" hidden="1">'Dell JL Breadth'!$A$3:$V$67</definedName>
    <definedName name="_xlnm._FilterDatabase" localSheetId="2" hidden="1">'Dell JL Topt'!$A$3:$U$107</definedName>
    <definedName name="_xlnm._FilterDatabase" localSheetId="10" hidden="1">'Seebacher et al.'!$A$7:$AY$340</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K13" i="19" l="1"/>
  <c r="AK14" i="19"/>
  <c r="AK15" i="19"/>
  <c r="AK16" i="19"/>
  <c r="AK17" i="19"/>
  <c r="AK18" i="19"/>
  <c r="AK24" i="19"/>
  <c r="AK25" i="19"/>
  <c r="AK26" i="19"/>
  <c r="AK27" i="19"/>
  <c r="AK28" i="19"/>
  <c r="AK29" i="19"/>
  <c r="AK30" i="19"/>
  <c r="AK31" i="19"/>
  <c r="AK32" i="19"/>
  <c r="AK33" i="19"/>
  <c r="AK34" i="19"/>
  <c r="AK35" i="19"/>
  <c r="AK36" i="19"/>
  <c r="AK37" i="19"/>
  <c r="AK38" i="19"/>
  <c r="AK39" i="19"/>
  <c r="AK40" i="19"/>
  <c r="AK41" i="19"/>
  <c r="AK42" i="19"/>
  <c r="AK43" i="19"/>
  <c r="AK44" i="19"/>
  <c r="AK45" i="19"/>
  <c r="AK46" i="19"/>
  <c r="AK47" i="19"/>
  <c r="AK48" i="19"/>
  <c r="AK49" i="19"/>
  <c r="AK50" i="19"/>
  <c r="AK51" i="19"/>
  <c r="AK53" i="19"/>
  <c r="AK55" i="19"/>
  <c r="AK56" i="19"/>
  <c r="AK57" i="19"/>
  <c r="AK58" i="19"/>
  <c r="AK59" i="19"/>
  <c r="AK65" i="19"/>
  <c r="AK66" i="19"/>
  <c r="AK68" i="19"/>
  <c r="AK69" i="19"/>
  <c r="AK70" i="19"/>
  <c r="AK71" i="19"/>
  <c r="AK72" i="19"/>
  <c r="AK74" i="19"/>
  <c r="AK75" i="19"/>
  <c r="AK76" i="19"/>
  <c r="AK77" i="19"/>
  <c r="AK78" i="19"/>
  <c r="AK79" i="19"/>
  <c r="AK80" i="19"/>
  <c r="AK81" i="19"/>
  <c r="AK82" i="19"/>
  <c r="AK83" i="19"/>
  <c r="AK87" i="19"/>
  <c r="AK88" i="19"/>
  <c r="AK89" i="19"/>
  <c r="AK90" i="19"/>
  <c r="AK94" i="19"/>
  <c r="AK95" i="19"/>
  <c r="AK97" i="19"/>
  <c r="AK98" i="19"/>
  <c r="AK99" i="19"/>
  <c r="AK100" i="19"/>
  <c r="AK101" i="19"/>
  <c r="AK102" i="19"/>
  <c r="AK103" i="19"/>
  <c r="AK104" i="19"/>
  <c r="AK109" i="19"/>
  <c r="AK111" i="19"/>
  <c r="AK112" i="19"/>
  <c r="AK113" i="19"/>
  <c r="AK114" i="19"/>
  <c r="AK115" i="19"/>
  <c r="AK116" i="19"/>
  <c r="AK117" i="19"/>
  <c r="AK118" i="19"/>
  <c r="AK119" i="19"/>
  <c r="AK120" i="19"/>
  <c r="AK121" i="19"/>
  <c r="AK124" i="19"/>
  <c r="AK125" i="19"/>
  <c r="AK126" i="19"/>
  <c r="AK127" i="19"/>
  <c r="AK128" i="19"/>
  <c r="AK129" i="19"/>
  <c r="AK130" i="19"/>
  <c r="AK131" i="19"/>
  <c r="AK132" i="19"/>
  <c r="AK133" i="19"/>
  <c r="AK134" i="19"/>
  <c r="AK135" i="19"/>
  <c r="AK136" i="19"/>
  <c r="AK137" i="19"/>
  <c r="AK138" i="19"/>
  <c r="AK139" i="19"/>
  <c r="AK140" i="19"/>
  <c r="AK141" i="19"/>
  <c r="AK142" i="19"/>
  <c r="AK143" i="19"/>
  <c r="AK144" i="19"/>
  <c r="AK145" i="19"/>
  <c r="AK146" i="19"/>
  <c r="AK147" i="19"/>
  <c r="AK148" i="19"/>
  <c r="AK149" i="19"/>
  <c r="AK150" i="19"/>
  <c r="AK151" i="19"/>
  <c r="AK152" i="19"/>
  <c r="AK153" i="19"/>
  <c r="AK154" i="19"/>
  <c r="AK155" i="19"/>
  <c r="AK156" i="19"/>
  <c r="AK157" i="19"/>
  <c r="AK158" i="19"/>
  <c r="AK159" i="19"/>
  <c r="AK160" i="19"/>
  <c r="AK161" i="19"/>
  <c r="AK162" i="19"/>
  <c r="AK163" i="19"/>
  <c r="AK164" i="19"/>
  <c r="AK165" i="19"/>
  <c r="AK166" i="19"/>
  <c r="AK167" i="19"/>
  <c r="AK168" i="19"/>
  <c r="AK169" i="19"/>
  <c r="AK170" i="19"/>
  <c r="AK171" i="19"/>
  <c r="AK172" i="19"/>
  <c r="AK173" i="19"/>
  <c r="AK174" i="19"/>
  <c r="AK175" i="19"/>
  <c r="AK177" i="19"/>
  <c r="AK178" i="19"/>
  <c r="AK179" i="19"/>
  <c r="AK180" i="19"/>
  <c r="AK181" i="19"/>
  <c r="AK182" i="19"/>
  <c r="AK183" i="19"/>
  <c r="AK184" i="19"/>
  <c r="AK185" i="19"/>
  <c r="AK186" i="19"/>
  <c r="AK187" i="19"/>
  <c r="AK188" i="19"/>
  <c r="AK189" i="19"/>
  <c r="AK190" i="19"/>
  <c r="AK191" i="19"/>
  <c r="AK192" i="19"/>
  <c r="AK193" i="19"/>
  <c r="AK194" i="19"/>
  <c r="AK195" i="19"/>
  <c r="AK196" i="19"/>
  <c r="AK197" i="19"/>
  <c r="AK198" i="19"/>
  <c r="AK199" i="19"/>
  <c r="AK200" i="19"/>
  <c r="AK201" i="19"/>
  <c r="AK202" i="19"/>
  <c r="AK203" i="19"/>
  <c r="AK204" i="19"/>
  <c r="AK205" i="19"/>
  <c r="AK206" i="19"/>
  <c r="AK207" i="19"/>
  <c r="AK208" i="19"/>
  <c r="AK209" i="19"/>
  <c r="AK210" i="19"/>
  <c r="AK211" i="19"/>
  <c r="L231" i="19" l="1"/>
  <c r="S248" i="7" l="1"/>
  <c r="R248" i="7"/>
  <c r="S244" i="7"/>
  <c r="R244" i="7"/>
  <c r="S241" i="7"/>
  <c r="R241" i="7"/>
  <c r="S240" i="7"/>
  <c r="R240" i="7"/>
  <c r="S239" i="7"/>
  <c r="R239" i="7"/>
  <c r="S235" i="7"/>
  <c r="R235" i="7"/>
  <c r="S227" i="7"/>
  <c r="R227" i="7"/>
  <c r="S226" i="7"/>
  <c r="R226" i="7"/>
  <c r="S222" i="7"/>
  <c r="R222" i="7"/>
  <c r="S219" i="7"/>
  <c r="R219" i="7"/>
  <c r="S217" i="7"/>
  <c r="R217" i="7"/>
  <c r="S216" i="7"/>
  <c r="R216" i="7"/>
  <c r="S215" i="7"/>
  <c r="R215" i="7"/>
  <c r="S214" i="7"/>
  <c r="R214" i="7"/>
  <c r="S205" i="7"/>
  <c r="R205" i="7"/>
  <c r="AL204" i="7"/>
  <c r="AK204" i="7"/>
  <c r="S201" i="7"/>
  <c r="R201" i="7"/>
  <c r="S200" i="7"/>
  <c r="R200" i="7"/>
  <c r="S198" i="7"/>
  <c r="R198" i="7"/>
  <c r="S192" i="7"/>
  <c r="R192" i="7"/>
  <c r="S175" i="7"/>
  <c r="R175" i="7"/>
  <c r="S169" i="7"/>
  <c r="R169" i="7"/>
  <c r="S155" i="7"/>
  <c r="R155" i="7"/>
  <c r="S150" i="7"/>
  <c r="R150" i="7"/>
  <c r="S148" i="7"/>
  <c r="R148" i="7"/>
  <c r="S147" i="7"/>
  <c r="R147" i="7"/>
  <c r="S146" i="7"/>
  <c r="R146" i="7"/>
  <c r="S145" i="7"/>
  <c r="R145" i="7"/>
  <c r="S141" i="7"/>
  <c r="R141" i="7"/>
  <c r="S139" i="7"/>
  <c r="R139" i="7"/>
  <c r="S137" i="7"/>
  <c r="R137" i="7"/>
  <c r="S136" i="7"/>
  <c r="R136" i="7"/>
  <c r="S132" i="7"/>
  <c r="R132" i="7"/>
  <c r="S131" i="7"/>
  <c r="R131" i="7"/>
  <c r="S130" i="7"/>
  <c r="R130" i="7"/>
  <c r="S128" i="7"/>
  <c r="R128" i="7"/>
  <c r="S126" i="7"/>
  <c r="R126" i="7"/>
  <c r="S123" i="7"/>
  <c r="R123" i="7"/>
  <c r="S122" i="7"/>
  <c r="R122" i="7"/>
  <c r="S120" i="7"/>
  <c r="R120" i="7"/>
  <c r="S119" i="7"/>
  <c r="R119" i="7"/>
  <c r="S116" i="7"/>
  <c r="R116" i="7"/>
  <c r="S112" i="7"/>
  <c r="R112" i="7"/>
  <c r="S110" i="7"/>
  <c r="R110" i="7"/>
  <c r="S108" i="7"/>
  <c r="R108" i="7"/>
  <c r="S106" i="7"/>
  <c r="R106" i="7"/>
  <c r="S99" i="7"/>
  <c r="R99" i="7"/>
  <c r="S98" i="7"/>
  <c r="R98" i="7"/>
  <c r="S96" i="7"/>
  <c r="R96" i="7"/>
  <c r="S94" i="7"/>
  <c r="R94" i="7"/>
  <c r="S89" i="7"/>
  <c r="R89" i="7"/>
  <c r="S79" i="7"/>
  <c r="R79" i="7"/>
  <c r="S78" i="7"/>
  <c r="R78" i="7"/>
  <c r="S77" i="7"/>
  <c r="R77" i="7"/>
  <c r="S73" i="7"/>
  <c r="R73" i="7"/>
  <c r="S72" i="7"/>
  <c r="R72" i="7"/>
  <c r="S66" i="7"/>
  <c r="R66" i="7"/>
  <c r="S65" i="7"/>
  <c r="S64" i="7"/>
  <c r="S63" i="7"/>
  <c r="R63" i="7"/>
  <c r="S58" i="7"/>
  <c r="R58" i="7"/>
  <c r="S55" i="7"/>
  <c r="R55" i="7"/>
  <c r="S52" i="7"/>
  <c r="R52" i="7"/>
  <c r="S50" i="7"/>
  <c r="R50" i="7"/>
  <c r="S48" i="7"/>
  <c r="R48" i="7"/>
  <c r="S47" i="7"/>
  <c r="R47" i="7"/>
  <c r="S46" i="7"/>
  <c r="R46" i="7"/>
  <c r="S43" i="7"/>
  <c r="R43" i="7"/>
  <c r="S35" i="7"/>
  <c r="R35" i="7"/>
  <c r="S32" i="7"/>
  <c r="R32" i="7"/>
  <c r="S31" i="7"/>
  <c r="R31" i="7"/>
  <c r="S30" i="7"/>
  <c r="R30" i="7"/>
  <c r="S29" i="7"/>
  <c r="R29" i="7"/>
  <c r="S28" i="7"/>
  <c r="R28" i="7"/>
  <c r="S27" i="7"/>
  <c r="R27" i="7"/>
  <c r="S26" i="7"/>
  <c r="R26" i="7"/>
  <c r="S25" i="7"/>
  <c r="R25" i="7"/>
  <c r="S24" i="7"/>
  <c r="R24" i="7"/>
  <c r="S23" i="7"/>
  <c r="R23" i="7"/>
  <c r="S22" i="7"/>
  <c r="R22" i="7"/>
  <c r="S19" i="7"/>
  <c r="R19" i="7"/>
  <c r="S15" i="7"/>
  <c r="R15" i="7"/>
  <c r="S4" i="7"/>
  <c r="R4" i="7"/>
  <c r="AH5" i="4" l="1"/>
  <c r="AI5" i="4"/>
  <c r="AJ5" i="4"/>
  <c r="AK5" i="4"/>
  <c r="AH6" i="4"/>
  <c r="AI6" i="4"/>
  <c r="AJ6" i="4"/>
  <c r="AK6" i="4"/>
  <c r="AH7" i="4"/>
  <c r="AI7" i="4"/>
  <c r="AJ7" i="4"/>
  <c r="AK7" i="4"/>
  <c r="AH8" i="4"/>
  <c r="AI8" i="4"/>
  <c r="AJ8" i="4"/>
  <c r="AK8" i="4"/>
  <c r="AH9" i="4"/>
  <c r="AI9" i="4"/>
  <c r="AJ9" i="4"/>
  <c r="AK9" i="4"/>
  <c r="AH10" i="4"/>
  <c r="AI10" i="4"/>
  <c r="AJ10" i="4"/>
  <c r="AK10" i="4"/>
  <c r="AH11" i="4"/>
  <c r="AI11" i="4"/>
  <c r="AJ11" i="4"/>
  <c r="AK11" i="4"/>
  <c r="AH12" i="4"/>
  <c r="AI12" i="4"/>
  <c r="AJ12" i="4"/>
  <c r="AK12" i="4"/>
  <c r="AH13" i="4"/>
  <c r="AI13" i="4"/>
  <c r="AJ13" i="4"/>
  <c r="AK13" i="4"/>
  <c r="AH14" i="4"/>
  <c r="AI14" i="4"/>
  <c r="AJ14" i="4"/>
  <c r="AK14" i="4"/>
  <c r="AH15" i="4"/>
  <c r="AI15" i="4"/>
  <c r="AJ15" i="4"/>
  <c r="AK15" i="4"/>
  <c r="AH16" i="4"/>
  <c r="AI16" i="4"/>
  <c r="AJ16" i="4"/>
  <c r="AK16" i="4"/>
  <c r="AH17" i="4"/>
  <c r="AI17" i="4"/>
  <c r="AJ17" i="4"/>
  <c r="AK17" i="4"/>
  <c r="AH18" i="4"/>
  <c r="AI18" i="4"/>
  <c r="AJ18" i="4"/>
  <c r="AK18" i="4"/>
  <c r="AH19" i="4"/>
  <c r="AI19" i="4"/>
  <c r="AJ19" i="4"/>
  <c r="AK19" i="4"/>
  <c r="AH20" i="4"/>
  <c r="AI20" i="4"/>
  <c r="AJ20" i="4"/>
  <c r="AK20" i="4"/>
  <c r="AH21" i="4"/>
  <c r="AI21" i="4"/>
  <c r="AJ21" i="4"/>
  <c r="AK21" i="4"/>
  <c r="AH22" i="4"/>
  <c r="AI22" i="4"/>
  <c r="AJ22" i="4"/>
  <c r="AK22" i="4"/>
  <c r="AH23" i="4"/>
  <c r="AI23" i="4"/>
  <c r="AJ23" i="4"/>
  <c r="AK23" i="4"/>
  <c r="AH24" i="4"/>
  <c r="AI24" i="4"/>
  <c r="AJ24" i="4"/>
  <c r="AK24" i="4"/>
  <c r="AH25" i="4"/>
  <c r="AI25" i="4"/>
  <c r="AJ25" i="4"/>
  <c r="AK25" i="4"/>
  <c r="AH26" i="4"/>
  <c r="AI26" i="4"/>
  <c r="AJ26" i="4"/>
  <c r="AK26" i="4"/>
  <c r="AH27" i="4"/>
  <c r="AI27" i="4"/>
  <c r="AJ27" i="4"/>
  <c r="AK27" i="4"/>
  <c r="AH28" i="4"/>
  <c r="AI28" i="4"/>
  <c r="AJ28" i="4"/>
  <c r="AK28" i="4"/>
  <c r="AH29" i="4"/>
  <c r="AI29" i="4"/>
  <c r="AJ29" i="4"/>
  <c r="AK29" i="4"/>
  <c r="AH30" i="4"/>
  <c r="AI30" i="4"/>
  <c r="AJ30" i="4"/>
  <c r="AK30" i="4"/>
  <c r="AH31" i="4"/>
  <c r="AI31" i="4"/>
  <c r="AJ31" i="4"/>
  <c r="AK31" i="4"/>
  <c r="AH32" i="4"/>
  <c r="AI32" i="4"/>
  <c r="AJ32" i="4"/>
  <c r="AK32" i="4"/>
  <c r="AH33" i="4"/>
  <c r="AI33" i="4"/>
  <c r="AJ33" i="4"/>
  <c r="AK33" i="4"/>
  <c r="AH34" i="4"/>
  <c r="AI34" i="4"/>
  <c r="AJ34" i="4"/>
  <c r="AK34" i="4"/>
  <c r="AH35" i="4"/>
  <c r="AI35" i="4"/>
  <c r="AJ35" i="4"/>
  <c r="AK35" i="4"/>
  <c r="AH36" i="4"/>
  <c r="AI36" i="4"/>
  <c r="AJ36" i="4"/>
  <c r="AK36" i="4"/>
  <c r="AH37" i="4"/>
  <c r="AI37" i="4"/>
  <c r="AJ37" i="4"/>
  <c r="AK37" i="4"/>
  <c r="AH38" i="4"/>
  <c r="AI38" i="4"/>
  <c r="AJ38" i="4"/>
  <c r="AK38" i="4"/>
  <c r="AH39" i="4"/>
  <c r="AI39" i="4"/>
  <c r="AJ39" i="4"/>
  <c r="AK39" i="4"/>
  <c r="AH40" i="4"/>
  <c r="AI40" i="4"/>
  <c r="AJ40" i="4"/>
  <c r="AK40" i="4"/>
  <c r="AH41" i="4"/>
  <c r="AI41" i="4"/>
  <c r="AJ41" i="4"/>
  <c r="AK41" i="4"/>
  <c r="AH42" i="4"/>
  <c r="AI42" i="4"/>
  <c r="AJ42" i="4"/>
  <c r="AK42" i="4"/>
  <c r="AH43" i="4"/>
  <c r="AI43" i="4"/>
  <c r="AJ43" i="4"/>
  <c r="AK43" i="4"/>
  <c r="AH44" i="4"/>
  <c r="AI44" i="4"/>
  <c r="AJ44" i="4"/>
  <c r="AK44" i="4"/>
  <c r="AH45" i="4"/>
  <c r="AI45" i="4"/>
  <c r="AJ45" i="4"/>
  <c r="AK45" i="4"/>
  <c r="AH46" i="4"/>
  <c r="AI46" i="4"/>
  <c r="AJ46" i="4"/>
  <c r="AK46" i="4"/>
  <c r="AH47" i="4"/>
  <c r="AI47" i="4"/>
  <c r="AJ47" i="4"/>
  <c r="AK47" i="4"/>
  <c r="AH48" i="4"/>
  <c r="AI48" i="4"/>
  <c r="AJ48" i="4"/>
  <c r="AK48" i="4"/>
  <c r="AH49" i="4"/>
  <c r="AI49" i="4"/>
  <c r="AJ49" i="4"/>
  <c r="AK49" i="4"/>
  <c r="AH50" i="4"/>
  <c r="AI50" i="4"/>
  <c r="AJ50" i="4"/>
  <c r="AK50" i="4"/>
  <c r="AH51" i="4"/>
  <c r="AI51" i="4"/>
  <c r="AJ51" i="4"/>
  <c r="AK51" i="4"/>
  <c r="AH52" i="4"/>
  <c r="AI52" i="4"/>
  <c r="AJ52" i="4"/>
  <c r="AK52" i="4"/>
  <c r="AH53" i="4"/>
  <c r="AI53" i="4"/>
  <c r="AJ53" i="4"/>
  <c r="AK53" i="4"/>
  <c r="AH54" i="4"/>
  <c r="AI54" i="4"/>
  <c r="AJ54" i="4"/>
  <c r="AK54" i="4"/>
  <c r="AH55" i="4"/>
  <c r="AI55" i="4"/>
  <c r="AJ55" i="4"/>
  <c r="AK55" i="4"/>
  <c r="AH56" i="4"/>
  <c r="AI56" i="4"/>
  <c r="AJ56" i="4"/>
  <c r="AK56" i="4"/>
  <c r="AH57" i="4"/>
  <c r="AI57" i="4"/>
  <c r="AJ57" i="4"/>
  <c r="AK57" i="4"/>
  <c r="AH58" i="4"/>
  <c r="AI58" i="4"/>
  <c r="AJ58" i="4"/>
  <c r="AK58" i="4"/>
  <c r="AH59" i="4"/>
  <c r="AI59" i="4"/>
  <c r="AJ59" i="4"/>
  <c r="AK59" i="4"/>
  <c r="AH60" i="4"/>
  <c r="AI60" i="4"/>
  <c r="AJ60" i="4"/>
  <c r="AK60" i="4"/>
  <c r="AH61" i="4"/>
  <c r="AI61" i="4"/>
  <c r="AJ61" i="4"/>
  <c r="AK61" i="4"/>
  <c r="AH62" i="4"/>
  <c r="AI62" i="4"/>
  <c r="AJ62" i="4"/>
  <c r="AK62" i="4"/>
  <c r="AH63" i="4"/>
  <c r="AI63" i="4"/>
  <c r="AJ63" i="4"/>
  <c r="AK63" i="4"/>
  <c r="AH64" i="4"/>
  <c r="AI64" i="4"/>
  <c r="AJ64" i="4"/>
  <c r="AK64" i="4"/>
  <c r="AH65" i="4"/>
  <c r="AI65" i="4"/>
  <c r="AJ65" i="4"/>
  <c r="AK65" i="4"/>
  <c r="AH66" i="4"/>
  <c r="AI66" i="4"/>
  <c r="AJ66" i="4"/>
  <c r="AK66" i="4"/>
  <c r="AH67" i="4"/>
  <c r="AI67" i="4"/>
  <c r="AJ67" i="4"/>
  <c r="AK67" i="4"/>
  <c r="AH68" i="4"/>
  <c r="AI68" i="4"/>
  <c r="AJ68" i="4"/>
  <c r="AK68" i="4"/>
  <c r="AH69" i="4"/>
  <c r="AI69" i="4"/>
  <c r="AJ69" i="4"/>
  <c r="AK69" i="4"/>
  <c r="AH70" i="4"/>
  <c r="AI70" i="4"/>
  <c r="AJ70" i="4"/>
  <c r="AK70" i="4"/>
  <c r="AH71" i="4"/>
  <c r="AI71" i="4"/>
  <c r="AJ71" i="4"/>
  <c r="AK71" i="4"/>
  <c r="AH72" i="4"/>
  <c r="AI72" i="4"/>
  <c r="AJ72" i="4"/>
  <c r="AK72" i="4"/>
  <c r="AH73" i="4"/>
  <c r="AI73" i="4"/>
  <c r="AJ73" i="4"/>
  <c r="AK73" i="4"/>
  <c r="AH74" i="4"/>
  <c r="AI74" i="4"/>
  <c r="AJ74" i="4"/>
  <c r="AK74" i="4"/>
  <c r="AH75" i="4"/>
  <c r="AI75" i="4"/>
  <c r="AJ75" i="4"/>
  <c r="AK75" i="4"/>
  <c r="AH76" i="4"/>
  <c r="AI76" i="4"/>
  <c r="AJ76" i="4"/>
  <c r="AK76" i="4"/>
  <c r="AH77" i="4"/>
  <c r="AI77" i="4"/>
  <c r="AJ77" i="4"/>
  <c r="AK77" i="4"/>
  <c r="AH78" i="4"/>
  <c r="AI78" i="4"/>
  <c r="AJ78" i="4"/>
  <c r="AK78" i="4"/>
  <c r="AH79" i="4"/>
  <c r="AI79" i="4"/>
  <c r="AJ79" i="4"/>
  <c r="AK79" i="4"/>
  <c r="AH80" i="4"/>
  <c r="AI80" i="4"/>
  <c r="AJ80" i="4"/>
  <c r="AK80" i="4"/>
  <c r="AH81" i="4"/>
  <c r="AI81" i="4"/>
  <c r="AJ81" i="4"/>
  <c r="AK81" i="4"/>
  <c r="AH82" i="4"/>
  <c r="AI82" i="4"/>
  <c r="AJ82" i="4"/>
  <c r="AK82" i="4"/>
  <c r="AH83" i="4"/>
  <c r="AI83" i="4"/>
  <c r="AJ83" i="4"/>
  <c r="AK83" i="4"/>
  <c r="AH84" i="4"/>
  <c r="AI84" i="4"/>
  <c r="AJ84" i="4"/>
  <c r="AK84" i="4"/>
  <c r="AH85" i="4"/>
  <c r="AI85" i="4"/>
  <c r="AJ85" i="4"/>
  <c r="AK85" i="4"/>
  <c r="AH86" i="4"/>
  <c r="AI86" i="4"/>
  <c r="AJ86" i="4"/>
  <c r="AK86" i="4"/>
  <c r="AH87" i="4"/>
  <c r="AI87" i="4"/>
  <c r="AJ87" i="4"/>
  <c r="AK87" i="4"/>
  <c r="AH88" i="4"/>
  <c r="AI88" i="4"/>
  <c r="AJ88" i="4"/>
  <c r="AK88" i="4"/>
  <c r="AH89" i="4"/>
  <c r="AI89" i="4"/>
  <c r="AJ89" i="4"/>
  <c r="AK89" i="4"/>
  <c r="AH90" i="4"/>
  <c r="AI90" i="4"/>
  <c r="AJ90" i="4"/>
  <c r="AK90" i="4"/>
  <c r="AH91" i="4"/>
  <c r="AI91" i="4"/>
  <c r="AJ91" i="4"/>
  <c r="AK91" i="4"/>
  <c r="AH92" i="4"/>
  <c r="AI92" i="4"/>
  <c r="AJ92" i="4"/>
  <c r="AK92" i="4"/>
  <c r="AH93" i="4"/>
  <c r="AI93" i="4"/>
  <c r="AJ93" i="4"/>
  <c r="AK93" i="4"/>
  <c r="AH94" i="4"/>
  <c r="AI94" i="4"/>
  <c r="AJ94" i="4"/>
  <c r="AK94" i="4"/>
  <c r="AH95" i="4"/>
  <c r="AI95" i="4"/>
  <c r="AJ95" i="4"/>
  <c r="AK95" i="4"/>
  <c r="AH96" i="4"/>
  <c r="AI96" i="4"/>
  <c r="AJ96" i="4"/>
  <c r="AK96" i="4"/>
  <c r="AH97" i="4"/>
  <c r="AI97" i="4"/>
  <c r="AJ97" i="4"/>
  <c r="AK97" i="4"/>
  <c r="AH98" i="4"/>
  <c r="AI98" i="4"/>
  <c r="AJ98" i="4"/>
  <c r="AK98" i="4"/>
  <c r="AH99" i="4"/>
  <c r="AI99" i="4"/>
  <c r="AJ99" i="4"/>
  <c r="AK99" i="4"/>
  <c r="AH100" i="4"/>
  <c r="AI100" i="4"/>
  <c r="AJ100" i="4"/>
  <c r="AK100" i="4"/>
  <c r="AH101" i="4"/>
  <c r="AI101" i="4"/>
  <c r="AJ101" i="4"/>
  <c r="AK101" i="4"/>
  <c r="AH102" i="4"/>
  <c r="AI102" i="4"/>
  <c r="AJ102" i="4"/>
  <c r="AK102" i="4"/>
  <c r="AH103" i="4"/>
  <c r="AI103" i="4"/>
  <c r="AJ103" i="4"/>
  <c r="AK103" i="4"/>
  <c r="AH104" i="4"/>
  <c r="AI104" i="4"/>
  <c r="AJ104" i="4"/>
  <c r="AK104" i="4"/>
  <c r="AH105" i="4"/>
  <c r="AI105" i="4"/>
  <c r="AJ105" i="4"/>
  <c r="AK105" i="4"/>
  <c r="AH106" i="4"/>
  <c r="AI106" i="4"/>
  <c r="AJ106" i="4"/>
  <c r="AK106" i="4"/>
  <c r="AH107" i="4"/>
  <c r="AI107" i="4"/>
  <c r="AJ107" i="4"/>
  <c r="AK107" i="4"/>
  <c r="AH108" i="4"/>
  <c r="AI108" i="4"/>
  <c r="AJ108" i="4"/>
  <c r="AK108" i="4"/>
  <c r="AH109" i="4"/>
  <c r="AI109" i="4"/>
  <c r="AJ109" i="4"/>
  <c r="AK109" i="4"/>
  <c r="AH110" i="4"/>
  <c r="AI110" i="4"/>
  <c r="AJ110" i="4"/>
  <c r="AK110" i="4"/>
  <c r="AH111" i="4"/>
  <c r="AI111" i="4"/>
  <c r="AJ111" i="4"/>
  <c r="AK111" i="4"/>
  <c r="AH112" i="4"/>
  <c r="AI112" i="4"/>
  <c r="AJ112" i="4"/>
  <c r="AK112" i="4"/>
  <c r="AH113" i="4"/>
  <c r="AI113" i="4"/>
  <c r="AJ113" i="4"/>
  <c r="AK113" i="4"/>
  <c r="AH114" i="4"/>
  <c r="AI114" i="4"/>
  <c r="AJ114" i="4"/>
  <c r="AK114" i="4"/>
  <c r="AH115" i="4"/>
  <c r="AI115" i="4"/>
  <c r="AJ115" i="4"/>
  <c r="AK115" i="4"/>
  <c r="AH116" i="4"/>
  <c r="AI116" i="4"/>
  <c r="AJ116" i="4"/>
  <c r="AK116" i="4"/>
  <c r="AH117" i="4"/>
  <c r="AI117" i="4"/>
  <c r="AJ117" i="4"/>
  <c r="AK117" i="4"/>
  <c r="AH118" i="4"/>
  <c r="AI118" i="4"/>
  <c r="AJ118" i="4"/>
  <c r="AK118" i="4"/>
  <c r="AH119" i="4"/>
  <c r="AI119" i="4"/>
  <c r="AJ119" i="4"/>
  <c r="AK119" i="4"/>
  <c r="AH120" i="4"/>
  <c r="AI120" i="4"/>
  <c r="AJ120" i="4"/>
  <c r="AK120" i="4"/>
  <c r="AH121" i="4"/>
  <c r="AI121" i="4"/>
  <c r="AJ121" i="4"/>
  <c r="AK121" i="4"/>
  <c r="AH122" i="4"/>
  <c r="AI122" i="4"/>
  <c r="AJ122" i="4"/>
  <c r="AK122" i="4"/>
  <c r="AH123" i="4"/>
  <c r="AI123" i="4"/>
  <c r="AJ123" i="4"/>
  <c r="AK123" i="4"/>
  <c r="AH124" i="4"/>
  <c r="AI124" i="4"/>
  <c r="AJ124" i="4"/>
  <c r="AK124" i="4"/>
  <c r="AH125" i="4"/>
  <c r="AI125" i="4"/>
  <c r="AJ125" i="4"/>
  <c r="AK125" i="4"/>
  <c r="AH126" i="4"/>
  <c r="AI126" i="4"/>
  <c r="AJ126" i="4"/>
  <c r="AK126" i="4"/>
  <c r="AH127" i="4"/>
  <c r="AI127" i="4"/>
  <c r="AJ127" i="4"/>
  <c r="AK127" i="4"/>
  <c r="AH128" i="4"/>
  <c r="AI128" i="4"/>
  <c r="AJ128" i="4"/>
  <c r="AK128" i="4"/>
  <c r="AH129" i="4"/>
  <c r="AI129" i="4"/>
  <c r="AJ129" i="4"/>
  <c r="AK129" i="4"/>
  <c r="AH130" i="4"/>
  <c r="AI130" i="4"/>
  <c r="AJ130" i="4"/>
  <c r="AK130" i="4"/>
  <c r="AH131" i="4"/>
  <c r="AI131" i="4"/>
  <c r="AJ131" i="4"/>
  <c r="AK131" i="4"/>
  <c r="AH132" i="4"/>
  <c r="AI132" i="4"/>
  <c r="AJ132" i="4"/>
  <c r="AK132" i="4"/>
  <c r="AH133" i="4"/>
  <c r="AI133" i="4"/>
  <c r="AJ133" i="4"/>
  <c r="AK133" i="4"/>
  <c r="AH134" i="4"/>
  <c r="AI134" i="4"/>
  <c r="AJ134" i="4"/>
  <c r="AK134" i="4"/>
  <c r="AH135" i="4"/>
  <c r="AI135" i="4"/>
  <c r="AJ135" i="4"/>
  <c r="AK135" i="4"/>
  <c r="AH136" i="4"/>
  <c r="AI136" i="4"/>
  <c r="AJ136" i="4"/>
  <c r="AK136" i="4"/>
  <c r="AH137" i="4"/>
  <c r="AI137" i="4"/>
  <c r="AJ137" i="4"/>
  <c r="AK137" i="4"/>
  <c r="AH138" i="4"/>
  <c r="AI138" i="4"/>
  <c r="AJ138" i="4"/>
  <c r="AK138" i="4"/>
  <c r="AH139" i="4"/>
  <c r="AI139" i="4"/>
  <c r="AJ139" i="4"/>
  <c r="AK139" i="4"/>
  <c r="AH140" i="4"/>
  <c r="AI140" i="4"/>
  <c r="AJ140" i="4"/>
  <c r="AK140" i="4"/>
  <c r="AH141" i="4"/>
  <c r="AI141" i="4"/>
  <c r="AJ141" i="4"/>
  <c r="AK141" i="4"/>
  <c r="AH142" i="4"/>
  <c r="AI142" i="4"/>
  <c r="AJ142" i="4"/>
  <c r="AK142" i="4"/>
  <c r="AH143" i="4"/>
  <c r="AI143" i="4"/>
  <c r="AJ143" i="4"/>
  <c r="AK143" i="4"/>
  <c r="AH144" i="4"/>
  <c r="AI144" i="4"/>
  <c r="AJ144" i="4"/>
  <c r="AK144" i="4"/>
  <c r="AH145" i="4"/>
  <c r="AI145" i="4"/>
  <c r="AJ145" i="4"/>
  <c r="AK145" i="4"/>
  <c r="AH146" i="4"/>
  <c r="AI146" i="4"/>
  <c r="AJ146" i="4"/>
  <c r="AK146" i="4"/>
  <c r="AH147" i="4"/>
  <c r="AI147" i="4"/>
  <c r="AJ147" i="4"/>
  <c r="AK147" i="4"/>
  <c r="AH148" i="4"/>
  <c r="AI148" i="4"/>
  <c r="AJ148" i="4"/>
  <c r="AK148" i="4"/>
  <c r="AH149" i="4"/>
  <c r="AI149" i="4"/>
  <c r="AJ149" i="4"/>
  <c r="AK149" i="4"/>
  <c r="AH150" i="4"/>
  <c r="AI150" i="4"/>
  <c r="AJ150" i="4"/>
  <c r="AK150" i="4"/>
  <c r="AH151" i="4"/>
  <c r="AI151" i="4"/>
  <c r="AJ151" i="4"/>
  <c r="AK151" i="4"/>
  <c r="AH152" i="4"/>
  <c r="AI152" i="4"/>
  <c r="AJ152" i="4"/>
  <c r="AK152" i="4"/>
  <c r="AH153" i="4"/>
  <c r="AI153" i="4"/>
  <c r="AJ153" i="4"/>
  <c r="AK153" i="4"/>
  <c r="AH154" i="4"/>
  <c r="AI154" i="4"/>
  <c r="AJ154" i="4"/>
  <c r="AK154" i="4"/>
  <c r="AH155" i="4"/>
  <c r="AI155" i="4"/>
  <c r="AJ155" i="4"/>
  <c r="AK155" i="4"/>
  <c r="AH156" i="4"/>
  <c r="AI156" i="4"/>
  <c r="AJ156" i="4"/>
  <c r="AK156" i="4"/>
  <c r="AH157" i="4"/>
  <c r="AI157" i="4"/>
  <c r="AJ157" i="4"/>
  <c r="AK157" i="4"/>
  <c r="AH158" i="4"/>
  <c r="AI158" i="4"/>
  <c r="AJ158" i="4"/>
  <c r="AK158" i="4"/>
  <c r="AH159" i="4"/>
  <c r="AI159" i="4"/>
  <c r="AJ159" i="4"/>
  <c r="AK159" i="4"/>
  <c r="AH160" i="4"/>
  <c r="AI160" i="4"/>
  <c r="AJ160" i="4"/>
  <c r="AK160" i="4"/>
  <c r="AH161" i="4"/>
  <c r="AI161" i="4"/>
  <c r="AJ161" i="4"/>
  <c r="AK161" i="4"/>
  <c r="AH162" i="4"/>
  <c r="AI162" i="4"/>
  <c r="AJ162" i="4"/>
  <c r="AK162" i="4"/>
  <c r="AH163" i="4"/>
  <c r="AI163" i="4"/>
  <c r="AJ163" i="4"/>
  <c r="AK163" i="4"/>
  <c r="AH164" i="4"/>
  <c r="AI164" i="4"/>
  <c r="AJ164" i="4"/>
  <c r="AK164" i="4"/>
  <c r="AH165" i="4"/>
  <c r="AI165" i="4"/>
  <c r="AJ165" i="4"/>
  <c r="AK165" i="4"/>
  <c r="AH166" i="4"/>
  <c r="AI166" i="4"/>
  <c r="AJ166" i="4"/>
  <c r="AK166" i="4"/>
  <c r="AH167" i="4"/>
  <c r="AI167" i="4"/>
  <c r="AJ167" i="4"/>
  <c r="AK167" i="4"/>
  <c r="AH168" i="4"/>
  <c r="AI168" i="4"/>
  <c r="AJ168" i="4"/>
  <c r="AK168" i="4"/>
  <c r="AH169" i="4"/>
  <c r="AI169" i="4"/>
  <c r="AJ169" i="4"/>
  <c r="AK169" i="4"/>
  <c r="AH170" i="4"/>
  <c r="AI170" i="4"/>
  <c r="AJ170" i="4"/>
  <c r="AK170" i="4"/>
  <c r="AH171" i="4"/>
  <c r="AI171" i="4"/>
  <c r="AJ171" i="4"/>
  <c r="AK171" i="4"/>
  <c r="AH172" i="4"/>
  <c r="AI172" i="4"/>
  <c r="AJ172" i="4"/>
  <c r="AK172" i="4"/>
  <c r="AH173" i="4"/>
  <c r="AI173" i="4"/>
  <c r="AJ173" i="4"/>
  <c r="AK173" i="4"/>
  <c r="AH174" i="4"/>
  <c r="AI174" i="4"/>
  <c r="AJ174" i="4"/>
  <c r="AK174" i="4"/>
  <c r="AH175" i="4"/>
  <c r="AI175" i="4"/>
  <c r="AJ175" i="4"/>
  <c r="AK175" i="4"/>
  <c r="AH176" i="4"/>
  <c r="AI176" i="4"/>
  <c r="AJ176" i="4"/>
  <c r="AK176" i="4"/>
  <c r="AH177" i="4"/>
  <c r="AI177" i="4"/>
  <c r="AJ177" i="4"/>
  <c r="AK177" i="4"/>
  <c r="AH178" i="4"/>
  <c r="AI178" i="4"/>
  <c r="AJ178" i="4"/>
  <c r="AK178" i="4"/>
  <c r="AH179" i="4"/>
  <c r="AI179" i="4"/>
  <c r="AJ179" i="4"/>
  <c r="AK179" i="4"/>
  <c r="AH180" i="4"/>
  <c r="AI180" i="4"/>
  <c r="AJ180" i="4"/>
  <c r="AK180" i="4"/>
  <c r="AH181" i="4"/>
  <c r="AI181" i="4"/>
  <c r="AJ181" i="4"/>
  <c r="AK181" i="4"/>
  <c r="AH182" i="4"/>
  <c r="AI182" i="4"/>
  <c r="AJ182" i="4"/>
  <c r="AK182" i="4"/>
  <c r="AH183" i="4"/>
  <c r="AI183" i="4"/>
  <c r="AJ183" i="4"/>
  <c r="AK183" i="4"/>
  <c r="AH184" i="4"/>
  <c r="AI184" i="4"/>
  <c r="AJ184" i="4"/>
  <c r="AK184" i="4"/>
  <c r="AH185" i="4"/>
  <c r="AI185" i="4"/>
  <c r="AJ185" i="4"/>
  <c r="AK185" i="4"/>
  <c r="AH186" i="4"/>
  <c r="AI186" i="4"/>
  <c r="AJ186" i="4"/>
  <c r="AK186" i="4"/>
  <c r="AH187" i="4"/>
  <c r="AI187" i="4"/>
  <c r="AJ187" i="4"/>
  <c r="AK187" i="4"/>
  <c r="AH188" i="4"/>
  <c r="AI188" i="4"/>
  <c r="AJ188" i="4"/>
  <c r="AK188" i="4"/>
  <c r="AH189" i="4"/>
  <c r="AI189" i="4"/>
  <c r="AJ189" i="4"/>
  <c r="AK189" i="4"/>
  <c r="AH190" i="4"/>
  <c r="AI190" i="4"/>
  <c r="AJ190" i="4"/>
  <c r="AK190" i="4"/>
  <c r="AH191" i="4"/>
  <c r="AI191" i="4"/>
  <c r="AJ191" i="4"/>
  <c r="AK191" i="4"/>
  <c r="AH192" i="4"/>
  <c r="AI192" i="4"/>
  <c r="AJ192" i="4"/>
  <c r="AK192" i="4"/>
  <c r="AH193" i="4"/>
  <c r="AI193" i="4"/>
  <c r="AJ193" i="4"/>
  <c r="AK193" i="4"/>
  <c r="AH194" i="4"/>
  <c r="AI194" i="4"/>
  <c r="AJ194" i="4"/>
  <c r="AK194" i="4"/>
  <c r="AH195" i="4"/>
  <c r="AI195" i="4"/>
  <c r="AJ195" i="4"/>
  <c r="AK195" i="4"/>
  <c r="AH196" i="4"/>
  <c r="AI196" i="4"/>
  <c r="AJ196" i="4"/>
  <c r="AK196" i="4"/>
  <c r="AH197" i="4"/>
  <c r="AI197" i="4"/>
  <c r="AJ197" i="4"/>
  <c r="AK197" i="4"/>
  <c r="AH198" i="4"/>
  <c r="AI198" i="4"/>
  <c r="AJ198" i="4"/>
  <c r="AK198" i="4"/>
  <c r="AH199" i="4"/>
  <c r="AI199" i="4"/>
  <c r="AJ199" i="4"/>
  <c r="AK199" i="4"/>
  <c r="AH200" i="4"/>
  <c r="AI200" i="4"/>
  <c r="AJ200" i="4"/>
  <c r="AK200" i="4"/>
  <c r="AH201" i="4"/>
  <c r="AI201" i="4"/>
  <c r="AJ201" i="4"/>
  <c r="AK201" i="4"/>
  <c r="AH202" i="4"/>
  <c r="AI202" i="4"/>
  <c r="AJ202" i="4"/>
  <c r="AK202" i="4"/>
  <c r="AH203" i="4"/>
  <c r="AI203" i="4"/>
  <c r="AJ203" i="4"/>
  <c r="AK203" i="4"/>
  <c r="AH204" i="4"/>
  <c r="AI204" i="4"/>
  <c r="AJ204" i="4"/>
  <c r="AK204" i="4"/>
  <c r="AH205" i="4"/>
  <c r="AI205" i="4"/>
  <c r="AJ205" i="4"/>
  <c r="AK205" i="4"/>
  <c r="AH206" i="4"/>
  <c r="AI206" i="4"/>
  <c r="AJ206" i="4"/>
  <c r="AK206" i="4"/>
  <c r="AH207" i="4"/>
  <c r="AI207" i="4"/>
  <c r="AJ207" i="4"/>
  <c r="AK207" i="4"/>
  <c r="AH208" i="4"/>
  <c r="AI208" i="4"/>
  <c r="AJ208" i="4"/>
  <c r="AK208" i="4"/>
  <c r="AH209" i="4"/>
  <c r="AI209" i="4"/>
  <c r="AJ209" i="4"/>
  <c r="AK209" i="4"/>
  <c r="AH210" i="4"/>
  <c r="AI210" i="4"/>
  <c r="AJ210" i="4"/>
  <c r="AK210" i="4"/>
  <c r="AH211" i="4"/>
  <c r="AI211" i="4"/>
  <c r="AJ211" i="4"/>
  <c r="AK211" i="4"/>
  <c r="AH212" i="4"/>
  <c r="AI212" i="4"/>
  <c r="AJ212" i="4"/>
  <c r="AK212" i="4"/>
  <c r="AH213" i="4"/>
  <c r="AI213" i="4"/>
  <c r="AJ213" i="4"/>
  <c r="AK213" i="4"/>
  <c r="AH214" i="4"/>
  <c r="AI214" i="4"/>
  <c r="AJ214" i="4"/>
  <c r="AK214" i="4"/>
  <c r="AH215" i="4"/>
  <c r="AI215" i="4"/>
  <c r="AJ215" i="4"/>
  <c r="AK215" i="4"/>
  <c r="AH216" i="4"/>
  <c r="AI216" i="4"/>
  <c r="AJ216" i="4"/>
  <c r="AK216" i="4"/>
  <c r="AH217" i="4"/>
  <c r="AI217" i="4"/>
  <c r="AJ217" i="4"/>
  <c r="AK217" i="4"/>
  <c r="AH218" i="4"/>
  <c r="AI218" i="4"/>
  <c r="AJ218" i="4"/>
  <c r="AK218" i="4"/>
  <c r="AH219" i="4"/>
  <c r="AI219" i="4"/>
  <c r="AJ219" i="4"/>
  <c r="AK219" i="4"/>
  <c r="AH220" i="4"/>
  <c r="AI220" i="4"/>
  <c r="AJ220" i="4"/>
  <c r="AK220" i="4"/>
  <c r="AH221" i="4"/>
  <c r="AI221" i="4"/>
  <c r="AJ221" i="4"/>
  <c r="AK221" i="4"/>
  <c r="AH222" i="4"/>
  <c r="AI222" i="4"/>
  <c r="AJ222" i="4"/>
  <c r="AK222" i="4"/>
  <c r="AH223" i="4"/>
  <c r="AI223" i="4"/>
  <c r="AJ223" i="4"/>
  <c r="AK223" i="4"/>
  <c r="AH224" i="4"/>
  <c r="AI224" i="4"/>
  <c r="AJ224" i="4"/>
  <c r="AK224" i="4"/>
  <c r="AH225" i="4"/>
  <c r="AI225" i="4"/>
  <c r="AJ225" i="4"/>
  <c r="AK225" i="4"/>
  <c r="AH226" i="4"/>
  <c r="AI226" i="4"/>
  <c r="AJ226" i="4"/>
  <c r="AK226" i="4"/>
  <c r="AH227" i="4"/>
  <c r="AI227" i="4"/>
  <c r="AJ227" i="4"/>
  <c r="AK227" i="4"/>
  <c r="AH228" i="4"/>
  <c r="AI228" i="4"/>
  <c r="AJ228" i="4"/>
  <c r="AK228" i="4"/>
  <c r="AH229" i="4"/>
  <c r="AI229" i="4"/>
  <c r="AJ229" i="4"/>
  <c r="AK229" i="4"/>
  <c r="AH230" i="4"/>
  <c r="AI230" i="4"/>
  <c r="AJ230" i="4"/>
  <c r="AK230" i="4"/>
  <c r="AH231" i="4"/>
  <c r="AI231" i="4"/>
  <c r="AJ231" i="4"/>
  <c r="AK231" i="4"/>
  <c r="AH232" i="4"/>
  <c r="AI232" i="4"/>
  <c r="AJ232" i="4"/>
  <c r="AK232" i="4"/>
  <c r="AH233" i="4"/>
  <c r="AI233" i="4"/>
  <c r="AJ233" i="4"/>
  <c r="AK233" i="4"/>
  <c r="AH234" i="4"/>
  <c r="AI234" i="4"/>
  <c r="AJ234" i="4"/>
  <c r="AK234" i="4"/>
  <c r="AH235" i="4"/>
  <c r="AI235" i="4"/>
  <c r="AJ235" i="4"/>
  <c r="AK235" i="4"/>
  <c r="AH236" i="4"/>
  <c r="AI236" i="4"/>
  <c r="AJ236" i="4"/>
  <c r="AK236" i="4"/>
  <c r="AH237" i="4"/>
  <c r="AI237" i="4"/>
  <c r="AJ237" i="4"/>
  <c r="AK237" i="4"/>
  <c r="AH238" i="4"/>
  <c r="AI238" i="4"/>
  <c r="AJ238" i="4"/>
  <c r="AK238" i="4"/>
  <c r="AH239" i="4"/>
  <c r="AI239" i="4"/>
  <c r="AJ239" i="4"/>
  <c r="AK239" i="4"/>
  <c r="AH240" i="4"/>
  <c r="AI240" i="4"/>
  <c r="AJ240" i="4"/>
  <c r="AK240" i="4"/>
  <c r="AH241" i="4"/>
  <c r="AI241" i="4"/>
  <c r="AJ241" i="4"/>
  <c r="AK241" i="4"/>
  <c r="AH242" i="4"/>
  <c r="AI242" i="4"/>
  <c r="AJ242" i="4"/>
  <c r="AK242" i="4"/>
  <c r="AH243" i="4"/>
  <c r="AI243" i="4"/>
  <c r="AJ243" i="4"/>
  <c r="AK243" i="4"/>
  <c r="AH244" i="4"/>
  <c r="AI244" i="4"/>
  <c r="AJ244" i="4"/>
  <c r="AK244" i="4"/>
  <c r="AH245" i="4"/>
  <c r="AI245" i="4"/>
  <c r="AJ245" i="4"/>
  <c r="AK245" i="4"/>
  <c r="AH246" i="4"/>
  <c r="AI246" i="4"/>
  <c r="AJ246" i="4"/>
  <c r="AK246" i="4"/>
  <c r="AH247" i="4"/>
  <c r="AI247" i="4"/>
  <c r="AJ247" i="4"/>
  <c r="AK247" i="4"/>
  <c r="AH248" i="4"/>
  <c r="AI248" i="4"/>
  <c r="AJ248" i="4"/>
  <c r="AK248" i="4"/>
  <c r="AH249" i="4"/>
  <c r="AI249" i="4"/>
  <c r="AJ249" i="4"/>
  <c r="AK249" i="4"/>
  <c r="AH250" i="4"/>
  <c r="AI250" i="4"/>
  <c r="AJ250" i="4"/>
  <c r="AK250" i="4"/>
  <c r="AH251" i="4"/>
  <c r="AI251" i="4"/>
  <c r="AJ251" i="4"/>
  <c r="AK251" i="4"/>
  <c r="AH252" i="4"/>
  <c r="AI252" i="4"/>
  <c r="AJ252" i="4"/>
  <c r="AK252" i="4"/>
  <c r="AH253" i="4"/>
  <c r="AI253" i="4"/>
  <c r="AJ253" i="4"/>
  <c r="AK253" i="4"/>
  <c r="AH254" i="4"/>
  <c r="AI254" i="4"/>
  <c r="AJ254" i="4"/>
  <c r="AK254" i="4"/>
  <c r="AH255" i="4"/>
  <c r="AI255" i="4"/>
  <c r="AJ255" i="4"/>
  <c r="AK255" i="4"/>
  <c r="AH256" i="4"/>
  <c r="AI256" i="4"/>
  <c r="AJ256" i="4"/>
  <c r="AK256" i="4"/>
  <c r="AH257" i="4"/>
  <c r="AI257" i="4"/>
  <c r="AJ257" i="4"/>
  <c r="AK257" i="4"/>
  <c r="AH258" i="4"/>
  <c r="AI258" i="4"/>
  <c r="AJ258" i="4"/>
  <c r="AK258" i="4"/>
  <c r="AH259" i="4"/>
  <c r="AI259" i="4"/>
  <c r="AJ259" i="4"/>
  <c r="AK259" i="4"/>
  <c r="AH260" i="4"/>
  <c r="AI260" i="4"/>
  <c r="AJ260" i="4"/>
  <c r="AK260" i="4"/>
  <c r="AH261" i="4"/>
  <c r="AI261" i="4"/>
  <c r="AJ261" i="4"/>
  <c r="AK261" i="4"/>
  <c r="AH262" i="4"/>
  <c r="AI262" i="4"/>
  <c r="AJ262" i="4"/>
  <c r="AK262" i="4"/>
  <c r="AH263" i="4"/>
  <c r="AI263" i="4"/>
  <c r="AJ263" i="4"/>
  <c r="AK263" i="4"/>
  <c r="AH264" i="4"/>
  <c r="AI264" i="4"/>
  <c r="AJ264" i="4"/>
  <c r="AK264" i="4"/>
  <c r="AH265" i="4"/>
  <c r="AI265" i="4"/>
  <c r="AJ265" i="4"/>
  <c r="AK265" i="4"/>
  <c r="AH266" i="4"/>
  <c r="AI266" i="4"/>
  <c r="AJ266" i="4"/>
  <c r="AK266" i="4"/>
  <c r="AH267" i="4"/>
  <c r="AI267" i="4"/>
  <c r="AJ267" i="4"/>
  <c r="AK267" i="4"/>
  <c r="AH268" i="4"/>
  <c r="AI268" i="4"/>
  <c r="AJ268" i="4"/>
  <c r="AK268" i="4"/>
  <c r="AH269" i="4"/>
  <c r="AI269" i="4"/>
  <c r="AJ269" i="4"/>
  <c r="AK269" i="4"/>
  <c r="AH270" i="4"/>
  <c r="AI270" i="4"/>
  <c r="AJ270" i="4"/>
  <c r="AK270" i="4"/>
  <c r="AH271" i="4"/>
  <c r="AI271" i="4"/>
  <c r="AJ271" i="4"/>
  <c r="AK271" i="4"/>
  <c r="AH272" i="4"/>
  <c r="AI272" i="4"/>
  <c r="AJ272" i="4"/>
  <c r="AK272" i="4"/>
  <c r="AH273" i="4"/>
  <c r="AI273" i="4"/>
  <c r="AJ273" i="4"/>
  <c r="AK273" i="4"/>
  <c r="AH274" i="4"/>
  <c r="AI274" i="4"/>
  <c r="AJ274" i="4"/>
  <c r="AK274" i="4"/>
  <c r="AH275" i="4"/>
  <c r="AI275" i="4"/>
  <c r="AJ275" i="4"/>
  <c r="AK275" i="4"/>
  <c r="AH276" i="4"/>
  <c r="AI276" i="4"/>
  <c r="AJ276" i="4"/>
  <c r="AK276" i="4"/>
  <c r="AH277" i="4"/>
  <c r="AI277" i="4"/>
  <c r="AJ277" i="4"/>
  <c r="AK277" i="4"/>
  <c r="AH278" i="4"/>
  <c r="AI278" i="4"/>
  <c r="AJ278" i="4"/>
  <c r="AK278" i="4"/>
  <c r="AH279" i="4"/>
  <c r="AI279" i="4"/>
  <c r="AJ279" i="4"/>
  <c r="AK279" i="4"/>
  <c r="AH280" i="4"/>
  <c r="AI280" i="4"/>
  <c r="AJ280" i="4"/>
  <c r="AK280" i="4"/>
  <c r="AH281" i="4"/>
  <c r="AI281" i="4"/>
  <c r="AJ281" i="4"/>
  <c r="AK281" i="4"/>
  <c r="AH282" i="4"/>
  <c r="AI282" i="4"/>
  <c r="AJ282" i="4"/>
  <c r="AK282" i="4"/>
  <c r="AH283" i="4"/>
  <c r="AI283" i="4"/>
  <c r="AJ283" i="4"/>
  <c r="AK283" i="4"/>
  <c r="AH284" i="4"/>
  <c r="AI284" i="4"/>
  <c r="AJ284" i="4"/>
  <c r="AK284" i="4"/>
  <c r="AH285" i="4"/>
  <c r="AI285" i="4"/>
  <c r="AJ285" i="4"/>
  <c r="AK285" i="4"/>
  <c r="AH286" i="4"/>
  <c r="AI286" i="4"/>
  <c r="AJ286" i="4"/>
  <c r="AK286" i="4"/>
  <c r="AH287" i="4"/>
  <c r="AI287" i="4"/>
  <c r="AJ287" i="4"/>
  <c r="AK287" i="4"/>
  <c r="AH288" i="4"/>
  <c r="AI288" i="4"/>
  <c r="AJ288" i="4"/>
  <c r="AK288" i="4"/>
  <c r="AH289" i="4"/>
  <c r="AI289" i="4"/>
  <c r="AJ289" i="4"/>
  <c r="AK289" i="4"/>
  <c r="AH290" i="4"/>
  <c r="AI290" i="4"/>
  <c r="AJ290" i="4"/>
  <c r="AK290" i="4"/>
  <c r="AH291" i="4"/>
  <c r="AI291" i="4"/>
  <c r="AJ291" i="4"/>
  <c r="AK291" i="4"/>
  <c r="AH292" i="4"/>
  <c r="AI292" i="4"/>
  <c r="AJ292" i="4"/>
  <c r="AK292" i="4"/>
  <c r="AH293" i="4"/>
  <c r="AI293" i="4"/>
  <c r="AJ293" i="4"/>
  <c r="AK293" i="4"/>
  <c r="AH294" i="4"/>
  <c r="AI294" i="4"/>
  <c r="AJ294" i="4"/>
  <c r="AK294" i="4"/>
  <c r="AH295" i="4"/>
  <c r="AI295" i="4"/>
  <c r="AJ295" i="4"/>
  <c r="AK295" i="4"/>
  <c r="AH296" i="4"/>
  <c r="AI296" i="4"/>
  <c r="AJ296" i="4"/>
  <c r="AK296" i="4"/>
  <c r="AH297" i="4"/>
  <c r="AI297" i="4"/>
  <c r="AJ297" i="4"/>
  <c r="AK297" i="4"/>
  <c r="AH298" i="4"/>
  <c r="AI298" i="4"/>
  <c r="AJ298" i="4"/>
  <c r="AK298" i="4"/>
  <c r="AH299" i="4"/>
  <c r="AI299" i="4"/>
  <c r="AJ299" i="4"/>
  <c r="AK299" i="4"/>
  <c r="AH300" i="4"/>
  <c r="AI300" i="4"/>
  <c r="AJ300" i="4"/>
  <c r="AK300" i="4"/>
  <c r="AH301" i="4"/>
  <c r="AI301" i="4"/>
  <c r="AJ301" i="4"/>
  <c r="AK301" i="4"/>
  <c r="AH302" i="4"/>
  <c r="AI302" i="4"/>
  <c r="AJ302" i="4"/>
  <c r="AK302" i="4"/>
  <c r="AH303" i="4"/>
  <c r="AI303" i="4"/>
  <c r="AJ303" i="4"/>
  <c r="AK303" i="4"/>
  <c r="AH304" i="4"/>
  <c r="AI304" i="4"/>
  <c r="AJ304" i="4"/>
  <c r="AK304" i="4"/>
  <c r="AH305" i="4"/>
  <c r="AI305" i="4"/>
  <c r="AJ305" i="4"/>
  <c r="AK305" i="4"/>
  <c r="AH306" i="4"/>
  <c r="AI306" i="4"/>
  <c r="AJ306" i="4"/>
  <c r="AK306" i="4"/>
  <c r="AH307" i="4"/>
  <c r="AI307" i="4"/>
  <c r="AJ307" i="4"/>
  <c r="AK307" i="4"/>
  <c r="AH308" i="4"/>
  <c r="AI308" i="4"/>
  <c r="AJ308" i="4"/>
  <c r="AK308" i="4"/>
  <c r="AH309" i="4"/>
  <c r="AI309" i="4"/>
  <c r="AJ309" i="4"/>
  <c r="AK309" i="4"/>
  <c r="AH310" i="4"/>
  <c r="AI310" i="4"/>
  <c r="AJ310" i="4"/>
  <c r="AK310" i="4"/>
  <c r="AH311" i="4"/>
  <c r="AI311" i="4"/>
  <c r="AJ311" i="4"/>
  <c r="AK311" i="4"/>
  <c r="AH312" i="4"/>
  <c r="AI312" i="4"/>
  <c r="AJ312" i="4"/>
  <c r="AK312" i="4"/>
  <c r="AH313" i="4"/>
  <c r="AI313" i="4"/>
  <c r="AJ313" i="4"/>
  <c r="AK313" i="4"/>
  <c r="AH314" i="4"/>
  <c r="AI314" i="4"/>
  <c r="AJ314" i="4"/>
  <c r="AK314" i="4"/>
  <c r="AH315" i="4"/>
  <c r="AI315" i="4"/>
  <c r="AJ315" i="4"/>
  <c r="AK315" i="4"/>
  <c r="AH316" i="4"/>
  <c r="AI316" i="4"/>
  <c r="AJ316" i="4"/>
  <c r="AK316" i="4"/>
  <c r="AH317" i="4"/>
  <c r="AI317" i="4"/>
  <c r="AJ317" i="4"/>
  <c r="AK317" i="4"/>
  <c r="AH318" i="4"/>
  <c r="AI318" i="4"/>
  <c r="AJ318" i="4"/>
  <c r="AK318" i="4"/>
  <c r="AH319" i="4"/>
  <c r="AI319" i="4"/>
  <c r="AJ319" i="4"/>
  <c r="AK319" i="4"/>
  <c r="AH320" i="4"/>
  <c r="AI320" i="4"/>
  <c r="AJ320" i="4"/>
  <c r="AK320" i="4"/>
  <c r="AH321" i="4"/>
  <c r="AI321" i="4"/>
  <c r="AJ321" i="4"/>
  <c r="AK321" i="4"/>
  <c r="AH322" i="4"/>
  <c r="AI322" i="4"/>
  <c r="AJ322" i="4"/>
  <c r="AK322" i="4"/>
  <c r="AH323" i="4"/>
  <c r="AI323" i="4"/>
  <c r="AJ323" i="4"/>
  <c r="AK323" i="4"/>
  <c r="AH324" i="4"/>
  <c r="AI324" i="4"/>
  <c r="AJ324" i="4"/>
  <c r="AK324" i="4"/>
  <c r="AH325" i="4"/>
  <c r="AI325" i="4"/>
  <c r="AJ325" i="4"/>
  <c r="AK325" i="4"/>
  <c r="AH326" i="4"/>
  <c r="AI326" i="4"/>
  <c r="AJ326" i="4"/>
  <c r="AK326" i="4"/>
  <c r="AH327" i="4"/>
  <c r="AI327" i="4"/>
  <c r="AJ327" i="4"/>
  <c r="AK327" i="4"/>
  <c r="AH328" i="4"/>
  <c r="AI328" i="4"/>
  <c r="AJ328" i="4"/>
  <c r="AK328" i="4"/>
  <c r="AH329" i="4"/>
  <c r="AI329" i="4"/>
  <c r="AJ329" i="4"/>
  <c r="AK329" i="4"/>
  <c r="AH330" i="4"/>
  <c r="AI330" i="4"/>
  <c r="AJ330" i="4"/>
  <c r="AK330" i="4"/>
  <c r="AH331" i="4"/>
  <c r="AI331" i="4"/>
  <c r="AJ331" i="4"/>
  <c r="AK331" i="4"/>
  <c r="AH332" i="4"/>
  <c r="AI332" i="4"/>
  <c r="AJ332" i="4"/>
  <c r="AK332" i="4"/>
  <c r="AH333" i="4"/>
  <c r="AI333" i="4"/>
  <c r="AJ333" i="4"/>
  <c r="AK333" i="4"/>
  <c r="AH334" i="4"/>
  <c r="AI334" i="4"/>
  <c r="AJ334" i="4"/>
  <c r="AK334" i="4"/>
  <c r="AH335" i="4"/>
  <c r="AI335" i="4"/>
  <c r="AJ335" i="4"/>
  <c r="AK335" i="4"/>
  <c r="AH336" i="4"/>
  <c r="AI336" i="4"/>
  <c r="AJ336" i="4"/>
  <c r="AK336" i="4"/>
  <c r="AH337" i="4"/>
  <c r="AI337" i="4"/>
  <c r="AJ337" i="4"/>
  <c r="AK337" i="4"/>
  <c r="AH338" i="4"/>
  <c r="AI338" i="4"/>
  <c r="AJ338" i="4"/>
  <c r="AK338" i="4"/>
  <c r="AH339" i="4"/>
  <c r="AI339" i="4"/>
  <c r="AJ339" i="4"/>
  <c r="AK339" i="4"/>
  <c r="AH340" i="4"/>
  <c r="AI340" i="4"/>
  <c r="AJ340" i="4"/>
  <c r="AK340" i="4"/>
  <c r="AH341" i="4"/>
  <c r="AI341" i="4"/>
  <c r="AJ341" i="4"/>
  <c r="AK341" i="4"/>
  <c r="AH342" i="4"/>
  <c r="AI342" i="4"/>
  <c r="AJ342" i="4"/>
  <c r="AK342" i="4"/>
  <c r="AH343" i="4"/>
  <c r="AI343" i="4"/>
  <c r="AJ343" i="4"/>
  <c r="AK343" i="4"/>
  <c r="AH344" i="4"/>
  <c r="AI344" i="4"/>
  <c r="AJ344" i="4"/>
  <c r="AK344" i="4"/>
  <c r="AH345" i="4"/>
  <c r="AI345" i="4"/>
  <c r="AJ345" i="4"/>
  <c r="AK345" i="4"/>
  <c r="AH346" i="4"/>
  <c r="AI346" i="4"/>
  <c r="AJ346" i="4"/>
  <c r="AK346" i="4"/>
  <c r="AH347" i="4"/>
  <c r="AI347" i="4"/>
  <c r="AJ347" i="4"/>
  <c r="AK347" i="4"/>
  <c r="AH348" i="4"/>
  <c r="AI348" i="4"/>
  <c r="AJ348" i="4"/>
  <c r="AK348" i="4"/>
  <c r="AH349" i="4"/>
  <c r="AI349" i="4"/>
  <c r="AJ349" i="4"/>
  <c r="AK349" i="4"/>
  <c r="AH350" i="4"/>
  <c r="AI350" i="4"/>
  <c r="AJ350" i="4"/>
  <c r="AK350" i="4"/>
  <c r="AH351" i="4"/>
  <c r="AI351" i="4"/>
  <c r="AJ351" i="4"/>
  <c r="AK351" i="4"/>
  <c r="AH352" i="4"/>
  <c r="AI352" i="4"/>
  <c r="AJ352" i="4"/>
  <c r="AK352" i="4"/>
  <c r="AH353" i="4"/>
  <c r="AI353" i="4"/>
  <c r="AJ353" i="4"/>
  <c r="AK353" i="4"/>
  <c r="AH354" i="4"/>
  <c r="AI354" i="4"/>
  <c r="AJ354" i="4"/>
  <c r="AK354" i="4"/>
  <c r="AH355" i="4"/>
  <c r="AI355" i="4"/>
  <c r="AJ355" i="4"/>
  <c r="AK355" i="4"/>
  <c r="AH356" i="4"/>
  <c r="AI356" i="4"/>
  <c r="AJ356" i="4"/>
  <c r="AK356" i="4"/>
  <c r="AH357" i="4"/>
  <c r="AI357" i="4"/>
  <c r="AJ357" i="4"/>
  <c r="AK357" i="4"/>
  <c r="AH358" i="4"/>
  <c r="AI358" i="4"/>
  <c r="AJ358" i="4"/>
  <c r="AK358" i="4"/>
  <c r="AH359" i="4"/>
  <c r="AI359" i="4"/>
  <c r="AJ359" i="4"/>
  <c r="AK359" i="4"/>
  <c r="AH360" i="4"/>
  <c r="AI360" i="4"/>
  <c r="AJ360" i="4"/>
  <c r="AK360" i="4"/>
  <c r="AH361" i="4"/>
  <c r="AI361" i="4"/>
  <c r="AJ361" i="4"/>
  <c r="AK361" i="4"/>
  <c r="AH362" i="4"/>
  <c r="AI362" i="4"/>
  <c r="AJ362" i="4"/>
  <c r="AK362" i="4"/>
  <c r="AH363" i="4"/>
  <c r="AI363" i="4"/>
  <c r="AJ363" i="4"/>
  <c r="AK363" i="4"/>
  <c r="AH364" i="4"/>
  <c r="AI364" i="4"/>
  <c r="AJ364" i="4"/>
  <c r="AK364" i="4"/>
  <c r="AH365" i="4"/>
  <c r="AI365" i="4"/>
  <c r="AJ365" i="4"/>
  <c r="AK365" i="4"/>
  <c r="AH366" i="4"/>
  <c r="AI366" i="4"/>
  <c r="AJ366" i="4"/>
  <c r="AK366" i="4"/>
  <c r="AH367" i="4"/>
  <c r="AI367" i="4"/>
  <c r="AJ367" i="4"/>
  <c r="AK367" i="4"/>
  <c r="AH368" i="4"/>
  <c r="AI368" i="4"/>
  <c r="AJ368" i="4"/>
  <c r="AK368" i="4"/>
  <c r="AH369" i="4"/>
  <c r="AI369" i="4"/>
  <c r="AJ369" i="4"/>
  <c r="AK369" i="4"/>
  <c r="AH370" i="4"/>
  <c r="AI370" i="4"/>
  <c r="AJ370" i="4"/>
  <c r="AK370" i="4"/>
  <c r="AH371" i="4"/>
  <c r="AI371" i="4"/>
  <c r="AJ371" i="4"/>
  <c r="AK371" i="4"/>
  <c r="AH372" i="4"/>
  <c r="AI372" i="4"/>
  <c r="AJ372" i="4"/>
  <c r="AK372" i="4"/>
  <c r="AH373" i="4"/>
  <c r="AI373" i="4"/>
  <c r="AJ373" i="4"/>
  <c r="AK373" i="4"/>
  <c r="AH374" i="4"/>
  <c r="AI374" i="4"/>
  <c r="AJ374" i="4"/>
  <c r="AK374" i="4"/>
  <c r="AH375" i="4"/>
  <c r="AI375" i="4"/>
  <c r="AJ375" i="4"/>
  <c r="AK375" i="4"/>
  <c r="AH376" i="4"/>
  <c r="AI376" i="4"/>
  <c r="AJ376" i="4"/>
  <c r="AK376" i="4"/>
  <c r="AH377" i="4"/>
  <c r="AI377" i="4"/>
  <c r="AJ377" i="4"/>
  <c r="AK377" i="4"/>
  <c r="AH378" i="4"/>
  <c r="AI378" i="4"/>
  <c r="AJ378" i="4"/>
  <c r="AK378" i="4"/>
  <c r="AH379" i="4"/>
  <c r="AI379" i="4"/>
  <c r="AJ379" i="4"/>
  <c r="AK379" i="4"/>
  <c r="AH380" i="4"/>
  <c r="AI380" i="4"/>
  <c r="AJ380" i="4"/>
  <c r="AK380" i="4"/>
  <c r="AH381" i="4"/>
  <c r="AI381" i="4"/>
  <c r="AJ381" i="4"/>
  <c r="AK381" i="4"/>
  <c r="AH382" i="4"/>
  <c r="AI382" i="4"/>
  <c r="AJ382" i="4"/>
  <c r="AK382" i="4"/>
  <c r="AH383" i="4"/>
  <c r="AI383" i="4"/>
  <c r="AJ383" i="4"/>
  <c r="AK383" i="4"/>
  <c r="AH384" i="4"/>
  <c r="AI384" i="4"/>
  <c r="AJ384" i="4"/>
  <c r="AK384" i="4"/>
  <c r="AH385" i="4"/>
  <c r="AI385" i="4"/>
  <c r="AJ385" i="4"/>
  <c r="AK385" i="4"/>
  <c r="AH386" i="4"/>
  <c r="AI386" i="4"/>
  <c r="AJ386" i="4"/>
  <c r="AK386" i="4"/>
  <c r="AH387" i="4"/>
  <c r="AI387" i="4"/>
  <c r="AJ387" i="4"/>
  <c r="AK387" i="4"/>
  <c r="AH388" i="4"/>
  <c r="AI388" i="4"/>
  <c r="AJ388" i="4"/>
  <c r="AK388" i="4"/>
  <c r="AH389" i="4"/>
  <c r="AI389" i="4"/>
  <c r="AJ389" i="4"/>
  <c r="AK389" i="4"/>
  <c r="AH390" i="4"/>
  <c r="AI390" i="4"/>
  <c r="AJ390" i="4"/>
  <c r="AK390" i="4"/>
  <c r="AH391" i="4"/>
  <c r="AI391" i="4"/>
  <c r="AJ391" i="4"/>
  <c r="AK391" i="4"/>
  <c r="AH392" i="4"/>
  <c r="AI392" i="4"/>
  <c r="AJ392" i="4"/>
  <c r="AK392" i="4"/>
  <c r="AH393" i="4"/>
  <c r="AI393" i="4"/>
  <c r="AJ393" i="4"/>
  <c r="AK393" i="4"/>
  <c r="AH394" i="4"/>
  <c r="AI394" i="4"/>
  <c r="AJ394" i="4"/>
  <c r="AK394" i="4"/>
  <c r="AH395" i="4"/>
  <c r="AI395" i="4"/>
  <c r="AJ395" i="4"/>
  <c r="AK395" i="4"/>
  <c r="AH396" i="4"/>
  <c r="AI396" i="4"/>
  <c r="AJ396" i="4"/>
  <c r="AK396" i="4"/>
  <c r="AH397" i="4"/>
  <c r="AI397" i="4"/>
  <c r="AJ397" i="4"/>
  <c r="AK397" i="4"/>
  <c r="AH398" i="4"/>
  <c r="AI398" i="4"/>
  <c r="AJ398" i="4"/>
  <c r="AK398" i="4"/>
  <c r="AH399" i="4"/>
  <c r="AI399" i="4"/>
  <c r="AJ399" i="4"/>
  <c r="AK399" i="4"/>
  <c r="AH400" i="4"/>
  <c r="AI400" i="4"/>
  <c r="AJ400" i="4"/>
  <c r="AK400" i="4"/>
  <c r="AH401" i="4"/>
  <c r="AI401" i="4"/>
  <c r="AJ401" i="4"/>
  <c r="AK401" i="4"/>
  <c r="AH402" i="4"/>
  <c r="AI402" i="4"/>
  <c r="AJ402" i="4"/>
  <c r="AK402" i="4"/>
  <c r="AH403" i="4"/>
  <c r="AI403" i="4"/>
  <c r="AJ403" i="4"/>
  <c r="AK403" i="4"/>
  <c r="AH404" i="4"/>
  <c r="AI404" i="4"/>
  <c r="AJ404" i="4"/>
  <c r="AK404" i="4"/>
  <c r="AH405" i="4"/>
  <c r="AI405" i="4"/>
  <c r="AJ405" i="4"/>
  <c r="AK405" i="4"/>
  <c r="AH406" i="4"/>
  <c r="AI406" i="4"/>
  <c r="AJ406" i="4"/>
  <c r="AK406" i="4"/>
  <c r="AH407" i="4"/>
  <c r="AI407" i="4"/>
  <c r="AJ407" i="4"/>
  <c r="AK407" i="4"/>
  <c r="AH408" i="4"/>
  <c r="AI408" i="4"/>
  <c r="AJ408" i="4"/>
  <c r="AK408" i="4"/>
  <c r="AH409" i="4"/>
  <c r="AI409" i="4"/>
  <c r="AJ409" i="4"/>
  <c r="AK409" i="4"/>
  <c r="AH410" i="4"/>
  <c r="AI410" i="4"/>
  <c r="AJ410" i="4"/>
  <c r="AK410" i="4"/>
  <c r="AH411" i="4"/>
  <c r="AI411" i="4"/>
  <c r="AJ411" i="4"/>
  <c r="AK411" i="4"/>
  <c r="AH412" i="4"/>
  <c r="AI412" i="4"/>
  <c r="AJ412" i="4"/>
  <c r="AK412" i="4"/>
  <c r="AH413" i="4"/>
  <c r="AI413" i="4"/>
  <c r="AJ413" i="4"/>
  <c r="AK413" i="4"/>
  <c r="AH414" i="4"/>
  <c r="AI414" i="4"/>
  <c r="AJ414" i="4"/>
  <c r="AK414" i="4"/>
  <c r="AH415" i="4"/>
  <c r="AI415" i="4"/>
  <c r="AJ415" i="4"/>
  <c r="AK415" i="4"/>
  <c r="AH416" i="4"/>
  <c r="AI416" i="4"/>
  <c r="AJ416" i="4"/>
  <c r="AK416" i="4"/>
  <c r="AH417" i="4"/>
  <c r="AI417" i="4"/>
  <c r="AJ417" i="4"/>
  <c r="AK417" i="4"/>
  <c r="AH418" i="4"/>
  <c r="AI418" i="4"/>
  <c r="AJ418" i="4"/>
  <c r="AK418" i="4"/>
  <c r="AH419" i="4"/>
  <c r="AI419" i="4"/>
  <c r="AJ419" i="4"/>
  <c r="AK419" i="4"/>
  <c r="AH420" i="4"/>
  <c r="AI420" i="4"/>
  <c r="AJ420" i="4"/>
  <c r="AK420" i="4"/>
  <c r="AH421" i="4"/>
  <c r="AI421" i="4"/>
  <c r="AJ421" i="4"/>
  <c r="AK421" i="4"/>
  <c r="AH422" i="4"/>
  <c r="AI422" i="4"/>
  <c r="AJ422" i="4"/>
  <c r="AK422" i="4"/>
  <c r="AH423" i="4"/>
  <c r="AI423" i="4"/>
  <c r="AJ423" i="4"/>
  <c r="AK423" i="4"/>
  <c r="AH424" i="4"/>
  <c r="AI424" i="4"/>
  <c r="AJ424" i="4"/>
  <c r="AK424" i="4"/>
  <c r="AH425" i="4"/>
  <c r="AI425" i="4"/>
  <c r="AJ425" i="4"/>
  <c r="AK425" i="4"/>
  <c r="AH426" i="4"/>
  <c r="AI426" i="4"/>
  <c r="AJ426" i="4"/>
  <c r="AK426" i="4"/>
  <c r="AH427" i="4"/>
  <c r="AI427" i="4"/>
  <c r="AJ427" i="4"/>
  <c r="AK427" i="4"/>
  <c r="AH428" i="4"/>
  <c r="AI428" i="4"/>
  <c r="AJ428" i="4"/>
  <c r="AK428" i="4"/>
  <c r="AH429" i="4"/>
  <c r="AI429" i="4"/>
  <c r="AJ429" i="4"/>
  <c r="AK429" i="4"/>
  <c r="AH430" i="4"/>
  <c r="AI430" i="4"/>
  <c r="AJ430" i="4"/>
  <c r="AK430" i="4"/>
  <c r="AH431" i="4"/>
  <c r="AI431" i="4"/>
  <c r="AJ431" i="4"/>
  <c r="AK431" i="4"/>
  <c r="AH432" i="4"/>
  <c r="AI432" i="4"/>
  <c r="AJ432" i="4"/>
  <c r="AK432" i="4"/>
  <c r="AH433" i="4"/>
  <c r="AI433" i="4"/>
  <c r="AJ433" i="4"/>
  <c r="AK433" i="4"/>
  <c r="AH434" i="4"/>
  <c r="AI434" i="4"/>
  <c r="AJ434" i="4"/>
  <c r="AK434" i="4"/>
  <c r="AH435" i="4"/>
  <c r="AI435" i="4"/>
  <c r="AJ435" i="4"/>
  <c r="AK435" i="4"/>
  <c r="AH436" i="4"/>
  <c r="AI436" i="4"/>
  <c r="AJ436" i="4"/>
  <c r="AK436" i="4"/>
  <c r="AH437" i="4"/>
  <c r="AI437" i="4"/>
  <c r="AJ437" i="4"/>
  <c r="AK437" i="4"/>
  <c r="AH438" i="4"/>
  <c r="AI438" i="4"/>
  <c r="AJ438" i="4"/>
  <c r="AK438" i="4"/>
  <c r="AH439" i="4"/>
  <c r="AI439" i="4"/>
  <c r="AJ439" i="4"/>
  <c r="AK439" i="4"/>
  <c r="AH440" i="4"/>
  <c r="AI440" i="4"/>
  <c r="AJ440" i="4"/>
  <c r="AK440" i="4"/>
  <c r="AH441" i="4"/>
  <c r="AI441" i="4"/>
  <c r="AJ441" i="4"/>
  <c r="AK441" i="4"/>
  <c r="AH442" i="4"/>
  <c r="AI442" i="4"/>
  <c r="AJ442" i="4"/>
  <c r="AK442" i="4"/>
  <c r="AH443" i="4"/>
  <c r="AI443" i="4"/>
  <c r="AJ443" i="4"/>
  <c r="AK443" i="4"/>
  <c r="AH444" i="4"/>
  <c r="AI444" i="4"/>
  <c r="AJ444" i="4"/>
  <c r="AK444" i="4"/>
  <c r="AH445" i="4"/>
  <c r="AI445" i="4"/>
  <c r="AJ445" i="4"/>
  <c r="AK445" i="4"/>
  <c r="AH446" i="4"/>
  <c r="AI446" i="4"/>
  <c r="AJ446" i="4"/>
  <c r="AK446" i="4"/>
  <c r="AH447" i="4"/>
  <c r="AI447" i="4"/>
  <c r="AJ447" i="4"/>
  <c r="AK447" i="4"/>
  <c r="AH448" i="4"/>
  <c r="AI448" i="4"/>
  <c r="AJ448" i="4"/>
  <c r="AK448" i="4"/>
  <c r="AH449" i="4"/>
  <c r="AI449" i="4"/>
  <c r="AJ449" i="4"/>
  <c r="AK449" i="4"/>
  <c r="AH450" i="4"/>
  <c r="AI450" i="4"/>
  <c r="AJ450" i="4"/>
  <c r="AK450" i="4"/>
  <c r="AH451" i="4"/>
  <c r="AI451" i="4"/>
  <c r="AJ451" i="4"/>
  <c r="AK451" i="4"/>
  <c r="AH452" i="4"/>
  <c r="AI452" i="4"/>
  <c r="AJ452" i="4"/>
  <c r="AK452" i="4"/>
  <c r="AH453" i="4"/>
  <c r="AI453" i="4"/>
  <c r="AJ453" i="4"/>
  <c r="AK453" i="4"/>
  <c r="AH454" i="4"/>
  <c r="AI454" i="4"/>
  <c r="AJ454" i="4"/>
  <c r="AK454" i="4"/>
  <c r="AH455" i="4"/>
  <c r="AI455" i="4"/>
  <c r="AJ455" i="4"/>
  <c r="AK455" i="4"/>
  <c r="AH456" i="4"/>
  <c r="AI456" i="4"/>
  <c r="AJ456" i="4"/>
  <c r="AK456" i="4"/>
  <c r="AH457" i="4"/>
  <c r="AI457" i="4"/>
  <c r="AJ457" i="4"/>
  <c r="AK457" i="4"/>
  <c r="AH458" i="4"/>
  <c r="AI458" i="4"/>
  <c r="AJ458" i="4"/>
  <c r="AK458" i="4"/>
  <c r="AH459" i="4"/>
  <c r="AI459" i="4"/>
  <c r="AJ459" i="4"/>
  <c r="AK459" i="4"/>
  <c r="AH460" i="4"/>
  <c r="AI460" i="4"/>
  <c r="AJ460" i="4"/>
  <c r="AK460" i="4"/>
  <c r="AH461" i="4"/>
  <c r="AI461" i="4"/>
  <c r="AJ461" i="4"/>
  <c r="AK461" i="4"/>
  <c r="AH462" i="4"/>
  <c r="AI462" i="4"/>
  <c r="AJ462" i="4"/>
  <c r="AK462" i="4"/>
  <c r="AH463" i="4"/>
  <c r="AI463" i="4"/>
  <c r="AJ463" i="4"/>
  <c r="AK463" i="4"/>
  <c r="AH464" i="4"/>
  <c r="AI464" i="4"/>
  <c r="AJ464" i="4"/>
  <c r="AK464" i="4"/>
  <c r="AH465" i="4"/>
  <c r="AI465" i="4"/>
  <c r="AJ465" i="4"/>
  <c r="AK465" i="4"/>
  <c r="AH466" i="4"/>
  <c r="AI466" i="4"/>
  <c r="AJ466" i="4"/>
  <c r="AK466" i="4"/>
  <c r="AH467" i="4"/>
  <c r="AI467" i="4"/>
  <c r="AJ467" i="4"/>
  <c r="AK467" i="4"/>
  <c r="AH468" i="4"/>
  <c r="AI468" i="4"/>
  <c r="AJ468" i="4"/>
  <c r="AK468" i="4"/>
  <c r="AH469" i="4"/>
  <c r="AI469" i="4"/>
  <c r="AJ469" i="4"/>
  <c r="AK469" i="4"/>
  <c r="AH470" i="4"/>
  <c r="AI470" i="4"/>
  <c r="AJ470" i="4"/>
  <c r="AK470" i="4"/>
  <c r="AH471" i="4"/>
  <c r="AI471" i="4"/>
  <c r="AJ471" i="4"/>
  <c r="AK471" i="4"/>
  <c r="AH472" i="4"/>
  <c r="AI472" i="4"/>
  <c r="AJ472" i="4"/>
  <c r="AK472" i="4"/>
  <c r="AH473" i="4"/>
  <c r="AI473" i="4"/>
  <c r="AJ473" i="4"/>
  <c r="AK473" i="4"/>
  <c r="AH474" i="4"/>
  <c r="AI474" i="4"/>
  <c r="AJ474" i="4"/>
  <c r="AK474" i="4"/>
  <c r="AH475" i="4"/>
  <c r="AI475" i="4"/>
  <c r="AJ475" i="4"/>
  <c r="AK475" i="4"/>
  <c r="AH476" i="4"/>
  <c r="AI476" i="4"/>
  <c r="AJ476" i="4"/>
  <c r="AK476" i="4"/>
  <c r="AH477" i="4"/>
  <c r="AI477" i="4"/>
  <c r="AJ477" i="4"/>
  <c r="AK477" i="4"/>
  <c r="AH478" i="4"/>
  <c r="AI478" i="4"/>
  <c r="AJ478" i="4"/>
  <c r="AK478" i="4"/>
  <c r="AH479" i="4"/>
  <c r="AI479" i="4"/>
  <c r="AJ479" i="4"/>
  <c r="AK479" i="4"/>
  <c r="AH480" i="4"/>
  <c r="AI480" i="4"/>
  <c r="AJ480" i="4"/>
  <c r="AK480" i="4"/>
  <c r="AH481" i="4"/>
  <c r="AI481" i="4"/>
  <c r="AJ481" i="4"/>
  <c r="AK481" i="4"/>
  <c r="AH482" i="4"/>
  <c r="AI482" i="4"/>
  <c r="AJ482" i="4"/>
  <c r="AK482" i="4"/>
  <c r="AH483" i="4"/>
  <c r="AI483" i="4"/>
  <c r="AJ483" i="4"/>
  <c r="AK483" i="4"/>
  <c r="AH484" i="4"/>
  <c r="AI484" i="4"/>
  <c r="AJ484" i="4"/>
  <c r="AK484" i="4"/>
  <c r="AH485" i="4"/>
  <c r="AI485" i="4"/>
  <c r="AJ485" i="4"/>
  <c r="AK485" i="4"/>
  <c r="AH486" i="4"/>
  <c r="AI486" i="4"/>
  <c r="AJ486" i="4"/>
  <c r="AK486" i="4"/>
  <c r="AH487" i="4"/>
  <c r="AI487" i="4"/>
  <c r="AJ487" i="4"/>
  <c r="AK487" i="4"/>
  <c r="AH488" i="4"/>
  <c r="AI488" i="4"/>
  <c r="AJ488" i="4"/>
  <c r="AK488" i="4"/>
  <c r="AH489" i="4"/>
  <c r="AI489" i="4"/>
  <c r="AJ489" i="4"/>
  <c r="AK489" i="4"/>
  <c r="AH490" i="4"/>
  <c r="AI490" i="4"/>
  <c r="AJ490" i="4"/>
  <c r="AK490" i="4"/>
  <c r="AH491" i="4"/>
  <c r="AI491" i="4"/>
  <c r="AJ491" i="4"/>
  <c r="AK491" i="4"/>
  <c r="AH492" i="4"/>
  <c r="AI492" i="4"/>
  <c r="AJ492" i="4"/>
  <c r="AK492" i="4"/>
  <c r="AH493" i="4"/>
  <c r="AI493" i="4"/>
  <c r="AJ493" i="4"/>
  <c r="AK493" i="4"/>
  <c r="AH494" i="4"/>
  <c r="AI494" i="4"/>
  <c r="AJ494" i="4"/>
  <c r="AK494" i="4"/>
  <c r="AH495" i="4"/>
  <c r="AI495" i="4"/>
  <c r="AJ495" i="4"/>
  <c r="AK495" i="4"/>
  <c r="AH496" i="4"/>
  <c r="AI496" i="4"/>
  <c r="AJ496" i="4"/>
  <c r="AK496" i="4"/>
  <c r="AH497" i="4"/>
  <c r="AI497" i="4"/>
  <c r="AJ497" i="4"/>
  <c r="AK497" i="4"/>
  <c r="AH498" i="4"/>
  <c r="AI498" i="4"/>
  <c r="AJ498" i="4"/>
  <c r="AK498" i="4"/>
  <c r="AH499" i="4"/>
  <c r="AI499" i="4"/>
  <c r="AJ499" i="4"/>
  <c r="AK499" i="4"/>
  <c r="AH500" i="4"/>
  <c r="AI500" i="4"/>
  <c r="AJ500" i="4"/>
  <c r="AK500" i="4"/>
  <c r="AH501" i="4"/>
  <c r="AI501" i="4"/>
  <c r="AJ501" i="4"/>
  <c r="AK501" i="4"/>
  <c r="AH502" i="4"/>
  <c r="AI502" i="4"/>
  <c r="AJ502" i="4"/>
  <c r="AK502" i="4"/>
  <c r="AH503" i="4"/>
  <c r="AI503" i="4"/>
  <c r="AJ503" i="4"/>
  <c r="AK503" i="4"/>
  <c r="AH504" i="4"/>
  <c r="AI504" i="4"/>
  <c r="AJ504" i="4"/>
  <c r="AK504" i="4"/>
  <c r="AH505" i="4"/>
  <c r="AI505" i="4"/>
  <c r="AJ505" i="4"/>
  <c r="AK505" i="4"/>
  <c r="AH506" i="4"/>
  <c r="AI506" i="4"/>
  <c r="AJ506" i="4"/>
  <c r="AK506" i="4"/>
  <c r="AH507" i="4"/>
  <c r="AI507" i="4"/>
  <c r="AJ507" i="4"/>
  <c r="AK507" i="4"/>
  <c r="AH508" i="4"/>
  <c r="AI508" i="4"/>
  <c r="AJ508" i="4"/>
  <c r="AK508" i="4"/>
  <c r="AH509" i="4"/>
  <c r="AI509" i="4"/>
  <c r="AJ509" i="4"/>
  <c r="AK509" i="4"/>
  <c r="AH510" i="4"/>
  <c r="AI510" i="4"/>
  <c r="AJ510" i="4"/>
  <c r="AK510" i="4"/>
  <c r="AH511" i="4"/>
  <c r="AI511" i="4"/>
  <c r="AJ511" i="4"/>
  <c r="AK511" i="4"/>
  <c r="AH512" i="4"/>
  <c r="AI512" i="4"/>
  <c r="AJ512" i="4"/>
  <c r="AK512" i="4"/>
  <c r="AH513" i="4"/>
  <c r="AI513" i="4"/>
  <c r="AJ513" i="4"/>
  <c r="AK513" i="4"/>
  <c r="AH514" i="4"/>
  <c r="AI514" i="4"/>
  <c r="AJ514" i="4"/>
  <c r="AK514" i="4"/>
  <c r="AH515" i="4"/>
  <c r="AI515" i="4"/>
  <c r="AJ515" i="4"/>
  <c r="AK515" i="4"/>
  <c r="AH516" i="4"/>
  <c r="AI516" i="4"/>
  <c r="AJ516" i="4"/>
  <c r="AK516" i="4"/>
  <c r="AH517" i="4"/>
  <c r="AI517" i="4"/>
  <c r="AJ517" i="4"/>
  <c r="AK517" i="4"/>
  <c r="AH518" i="4"/>
  <c r="AI518" i="4"/>
  <c r="AJ518" i="4"/>
  <c r="AK518" i="4"/>
  <c r="AH519" i="4"/>
  <c r="AI519" i="4"/>
  <c r="AJ519" i="4"/>
  <c r="AK519" i="4"/>
  <c r="AH520" i="4"/>
  <c r="AI520" i="4"/>
  <c r="AJ520" i="4"/>
  <c r="AK520" i="4"/>
  <c r="AH521" i="4"/>
  <c r="AI521" i="4"/>
  <c r="AJ521" i="4"/>
  <c r="AK521" i="4"/>
  <c r="AH522" i="4"/>
  <c r="AI522" i="4"/>
  <c r="AJ522" i="4"/>
  <c r="AK522" i="4"/>
  <c r="AH523" i="4"/>
  <c r="AI523" i="4"/>
  <c r="AJ523" i="4"/>
  <c r="AK523" i="4"/>
  <c r="AH524" i="4"/>
  <c r="AI524" i="4"/>
  <c r="AJ524" i="4"/>
  <c r="AK524" i="4"/>
  <c r="AH525" i="4"/>
  <c r="AI525" i="4"/>
  <c r="AJ525" i="4"/>
  <c r="AK525" i="4"/>
  <c r="AH526" i="4"/>
  <c r="AI526" i="4"/>
  <c r="AJ526" i="4"/>
  <c r="AK526" i="4"/>
  <c r="AH527" i="4"/>
  <c r="AI527" i="4"/>
  <c r="AJ527" i="4"/>
  <c r="AK527" i="4"/>
  <c r="AH528" i="4"/>
  <c r="AI528" i="4"/>
  <c r="AJ528" i="4"/>
  <c r="AK528" i="4"/>
  <c r="AH529" i="4"/>
  <c r="AI529" i="4"/>
  <c r="AJ529" i="4"/>
  <c r="AK529" i="4"/>
  <c r="AH530" i="4"/>
  <c r="AI530" i="4"/>
  <c r="AJ530" i="4"/>
  <c r="AK530" i="4"/>
  <c r="AH531" i="4"/>
  <c r="AI531" i="4"/>
  <c r="AJ531" i="4"/>
  <c r="AK531" i="4"/>
  <c r="AH532" i="4"/>
  <c r="AI532" i="4"/>
  <c r="AJ532" i="4"/>
  <c r="AK532" i="4"/>
  <c r="AH533" i="4"/>
  <c r="AI533" i="4"/>
  <c r="AJ533" i="4"/>
  <c r="AK533" i="4"/>
  <c r="AH534" i="4"/>
  <c r="AI534" i="4"/>
  <c r="AJ534" i="4"/>
  <c r="AK534" i="4"/>
  <c r="AH535" i="4"/>
  <c r="AI535" i="4"/>
  <c r="AJ535" i="4"/>
  <c r="AK535" i="4"/>
  <c r="AH536" i="4"/>
  <c r="AI536" i="4"/>
  <c r="AJ536" i="4"/>
  <c r="AK536" i="4"/>
  <c r="AH537" i="4"/>
  <c r="AI537" i="4"/>
  <c r="AJ537" i="4"/>
  <c r="AK537" i="4"/>
  <c r="AH538" i="4"/>
  <c r="AI538" i="4"/>
  <c r="AJ538" i="4"/>
  <c r="AK538" i="4"/>
  <c r="AH539" i="4"/>
  <c r="AI539" i="4"/>
  <c r="AJ539" i="4"/>
  <c r="AK539" i="4"/>
  <c r="AH540" i="4"/>
  <c r="AI540" i="4"/>
  <c r="AJ540" i="4"/>
  <c r="AK540" i="4"/>
  <c r="AH541" i="4"/>
  <c r="AI541" i="4"/>
  <c r="AJ541" i="4"/>
  <c r="AK541" i="4"/>
  <c r="AH542" i="4"/>
  <c r="AI542" i="4"/>
  <c r="AJ542" i="4"/>
  <c r="AK542" i="4"/>
  <c r="AH543" i="4"/>
  <c r="AI543" i="4"/>
  <c r="AJ543" i="4"/>
  <c r="AK543" i="4"/>
  <c r="AH544" i="4"/>
  <c r="AI544" i="4"/>
  <c r="AJ544" i="4"/>
  <c r="AK544" i="4"/>
  <c r="AH545" i="4"/>
  <c r="AI545" i="4"/>
  <c r="AJ545" i="4"/>
  <c r="AK545" i="4"/>
  <c r="AH546" i="4"/>
  <c r="AI546" i="4"/>
  <c r="AJ546" i="4"/>
  <c r="AK546" i="4"/>
  <c r="AH547" i="4"/>
  <c r="AI547" i="4"/>
  <c r="AJ547" i="4"/>
  <c r="AK547" i="4"/>
  <c r="AH548" i="4"/>
  <c r="AI548" i="4"/>
  <c r="AJ548" i="4"/>
  <c r="AK548" i="4"/>
  <c r="AH549" i="4"/>
  <c r="AI549" i="4"/>
  <c r="AJ549" i="4"/>
  <c r="AK549" i="4"/>
  <c r="AH550" i="4"/>
  <c r="AI550" i="4"/>
  <c r="AJ550" i="4"/>
  <c r="AK550" i="4"/>
  <c r="AH551" i="4"/>
  <c r="AI551" i="4"/>
  <c r="AJ551" i="4"/>
  <c r="AK551" i="4"/>
  <c r="AH552" i="4"/>
  <c r="AI552" i="4"/>
  <c r="AJ552" i="4"/>
  <c r="AK552" i="4"/>
  <c r="AH553" i="4"/>
  <c r="AI553" i="4"/>
  <c r="AJ553" i="4"/>
  <c r="AK553" i="4"/>
  <c r="AH554" i="4"/>
  <c r="AI554" i="4"/>
  <c r="AJ554" i="4"/>
  <c r="AK554" i="4"/>
  <c r="AH555" i="4"/>
  <c r="AI555" i="4"/>
  <c r="AJ555" i="4"/>
  <c r="AK555" i="4"/>
  <c r="AH556" i="4"/>
  <c r="AI556" i="4"/>
  <c r="AJ556" i="4"/>
  <c r="AK556" i="4"/>
  <c r="AH557" i="4"/>
  <c r="AI557" i="4"/>
  <c r="AJ557" i="4"/>
  <c r="AK557" i="4"/>
  <c r="AH558" i="4"/>
  <c r="AI558" i="4"/>
  <c r="AJ558" i="4"/>
  <c r="AK558" i="4"/>
  <c r="AH559" i="4"/>
  <c r="AI559" i="4"/>
  <c r="AJ559" i="4"/>
  <c r="AK559" i="4"/>
  <c r="AH560" i="4"/>
  <c r="AI560" i="4"/>
  <c r="AJ560" i="4"/>
  <c r="AK560" i="4"/>
  <c r="AH561" i="4"/>
  <c r="AI561" i="4"/>
  <c r="AJ561" i="4"/>
  <c r="AK561" i="4"/>
  <c r="AH562" i="4"/>
  <c r="AI562" i="4"/>
  <c r="AJ562" i="4"/>
  <c r="AK562" i="4"/>
  <c r="AH563" i="4"/>
  <c r="AI563" i="4"/>
  <c r="AJ563" i="4"/>
  <c r="AK563" i="4"/>
  <c r="AH564" i="4"/>
  <c r="AI564" i="4"/>
  <c r="AJ564" i="4"/>
  <c r="AK564" i="4"/>
  <c r="AH565" i="4"/>
  <c r="AI565" i="4"/>
  <c r="AJ565" i="4"/>
  <c r="AK565" i="4"/>
  <c r="AH566" i="4"/>
  <c r="AI566" i="4"/>
  <c r="AJ566" i="4"/>
  <c r="AK566" i="4"/>
  <c r="AH567" i="4"/>
  <c r="AI567" i="4"/>
  <c r="AJ567" i="4"/>
  <c r="AK567" i="4"/>
  <c r="AH568" i="4"/>
  <c r="AI568" i="4"/>
  <c r="AJ568" i="4"/>
  <c r="AK568" i="4"/>
  <c r="AH569" i="4"/>
  <c r="AI569" i="4"/>
  <c r="AJ569" i="4"/>
  <c r="AK569" i="4"/>
  <c r="AH570" i="4"/>
  <c r="AI570" i="4"/>
  <c r="AJ570" i="4"/>
  <c r="AK570" i="4"/>
  <c r="AH571" i="4"/>
  <c r="AI571" i="4"/>
  <c r="AJ571" i="4"/>
  <c r="AK571" i="4"/>
  <c r="AH572" i="4"/>
  <c r="AI572" i="4"/>
  <c r="AJ572" i="4"/>
  <c r="AK572" i="4"/>
  <c r="AH573" i="4"/>
  <c r="AI573" i="4"/>
  <c r="AJ573" i="4"/>
  <c r="AK573" i="4"/>
  <c r="AH574" i="4"/>
  <c r="AI574" i="4"/>
  <c r="AJ574" i="4"/>
  <c r="AK574" i="4"/>
  <c r="AH575" i="4"/>
  <c r="AI575" i="4"/>
  <c r="AJ575" i="4"/>
  <c r="AK575" i="4"/>
  <c r="AH576" i="4"/>
  <c r="AI576" i="4"/>
  <c r="AJ576" i="4"/>
  <c r="AK576" i="4"/>
  <c r="AH577" i="4"/>
  <c r="AI577" i="4"/>
  <c r="AJ577" i="4"/>
  <c r="AK577" i="4"/>
  <c r="AH578" i="4"/>
  <c r="AI578" i="4"/>
  <c r="AJ578" i="4"/>
  <c r="AK578" i="4"/>
  <c r="AH579" i="4"/>
  <c r="AI579" i="4"/>
  <c r="AJ579" i="4"/>
  <c r="AK579" i="4"/>
  <c r="AH580" i="4"/>
  <c r="AI580" i="4"/>
  <c r="AJ580" i="4"/>
  <c r="AK580" i="4"/>
  <c r="AH581" i="4"/>
  <c r="AI581" i="4"/>
  <c r="AJ581" i="4"/>
  <c r="AK581" i="4"/>
  <c r="AH582" i="4"/>
  <c r="AI582" i="4"/>
  <c r="AJ582" i="4"/>
  <c r="AK582" i="4"/>
  <c r="AH583" i="4"/>
  <c r="AI583" i="4"/>
  <c r="AJ583" i="4"/>
  <c r="AK583" i="4"/>
  <c r="AH584" i="4"/>
  <c r="AI584" i="4"/>
  <c r="AJ584" i="4"/>
  <c r="AK584" i="4"/>
  <c r="AH585" i="4"/>
  <c r="AI585" i="4"/>
  <c r="AJ585" i="4"/>
  <c r="AK585" i="4"/>
  <c r="AH586" i="4"/>
  <c r="AI586" i="4"/>
  <c r="AJ586" i="4"/>
  <c r="AK586" i="4"/>
  <c r="AH587" i="4"/>
  <c r="AI587" i="4"/>
  <c r="AJ587" i="4"/>
  <c r="AK587" i="4"/>
  <c r="AH588" i="4"/>
  <c r="AI588" i="4"/>
  <c r="AJ588" i="4"/>
  <c r="AK588" i="4"/>
  <c r="AH589" i="4"/>
  <c r="AI589" i="4"/>
  <c r="AJ589" i="4"/>
  <c r="AK589" i="4"/>
  <c r="AH590" i="4"/>
  <c r="AI590" i="4"/>
  <c r="AJ590" i="4"/>
  <c r="AK590" i="4"/>
  <c r="AH591" i="4"/>
  <c r="AI591" i="4"/>
  <c r="AJ591" i="4"/>
  <c r="AK591" i="4"/>
  <c r="AH592" i="4"/>
  <c r="AI592" i="4"/>
  <c r="AJ592" i="4"/>
  <c r="AK592" i="4"/>
  <c r="AH593" i="4"/>
  <c r="AI593" i="4"/>
  <c r="AJ593" i="4"/>
  <c r="AK593" i="4"/>
  <c r="AH594" i="4"/>
  <c r="AI594" i="4"/>
  <c r="AJ594" i="4"/>
  <c r="AK594" i="4"/>
  <c r="AH595" i="4"/>
  <c r="AI595" i="4"/>
  <c r="AJ595" i="4"/>
  <c r="AK595" i="4"/>
  <c r="AH596" i="4"/>
  <c r="AI596" i="4"/>
  <c r="AJ596" i="4"/>
  <c r="AK596" i="4"/>
  <c r="AH597" i="4"/>
  <c r="AI597" i="4"/>
  <c r="AJ597" i="4"/>
  <c r="AK597" i="4"/>
  <c r="AH598" i="4"/>
  <c r="AI598" i="4"/>
  <c r="AJ598" i="4"/>
  <c r="AK598" i="4"/>
  <c r="AH599" i="4"/>
  <c r="AI599" i="4"/>
  <c r="AJ599" i="4"/>
  <c r="AK599" i="4"/>
  <c r="AH600" i="4"/>
  <c r="AI600" i="4"/>
  <c r="AJ600" i="4"/>
  <c r="AK600" i="4"/>
  <c r="AH601" i="4"/>
  <c r="AI601" i="4"/>
  <c r="AJ601" i="4"/>
  <c r="AK601" i="4"/>
  <c r="AH602" i="4"/>
  <c r="AI602" i="4"/>
  <c r="AJ602" i="4"/>
  <c r="AK602" i="4"/>
  <c r="AH603" i="4"/>
  <c r="AI603" i="4"/>
  <c r="AJ603" i="4"/>
  <c r="AK603" i="4"/>
  <c r="AH604" i="4"/>
  <c r="AI604" i="4"/>
  <c r="AJ604" i="4"/>
  <c r="AK604" i="4"/>
  <c r="AH605" i="4"/>
  <c r="AI605" i="4"/>
  <c r="AJ605" i="4"/>
  <c r="AK605" i="4"/>
  <c r="AH606" i="4"/>
  <c r="AI606" i="4"/>
  <c r="AJ606" i="4"/>
  <c r="AK606" i="4"/>
  <c r="AH607" i="4"/>
  <c r="AI607" i="4"/>
  <c r="AJ607" i="4"/>
  <c r="AK607" i="4"/>
  <c r="AH608" i="4"/>
  <c r="AI608" i="4"/>
  <c r="AJ608" i="4"/>
  <c r="AK608" i="4"/>
  <c r="AH609" i="4"/>
  <c r="AI609" i="4"/>
  <c r="AJ609" i="4"/>
  <c r="AK609" i="4"/>
  <c r="AH610" i="4"/>
  <c r="AI610" i="4"/>
  <c r="AJ610" i="4"/>
  <c r="AK610" i="4"/>
  <c r="AH611" i="4"/>
  <c r="AI611" i="4"/>
  <c r="AJ611" i="4"/>
  <c r="AK611" i="4"/>
  <c r="AH612" i="4"/>
  <c r="AI612" i="4"/>
  <c r="AJ612" i="4"/>
  <c r="AK612" i="4"/>
  <c r="AH613" i="4"/>
  <c r="AI613" i="4"/>
  <c r="AJ613" i="4"/>
  <c r="AK613" i="4"/>
  <c r="AH614" i="4"/>
  <c r="AI614" i="4"/>
  <c r="AJ614" i="4"/>
  <c r="AK614" i="4"/>
  <c r="AH615" i="4"/>
  <c r="AI615" i="4"/>
  <c r="AJ615" i="4"/>
  <c r="AK615" i="4"/>
  <c r="AH616" i="4"/>
  <c r="AI616" i="4"/>
  <c r="AJ616" i="4"/>
  <c r="AK616" i="4"/>
  <c r="AH617" i="4"/>
  <c r="AI617" i="4"/>
  <c r="AJ617" i="4"/>
  <c r="AK617" i="4"/>
  <c r="AH618" i="4"/>
  <c r="AI618" i="4"/>
  <c r="AJ618" i="4"/>
  <c r="AK618" i="4"/>
  <c r="AH619" i="4"/>
  <c r="AI619" i="4"/>
  <c r="AJ619" i="4"/>
  <c r="AK619" i="4"/>
  <c r="AH620" i="4"/>
  <c r="AI620" i="4"/>
  <c r="AJ620" i="4"/>
  <c r="AK620" i="4"/>
  <c r="AH621" i="4"/>
  <c r="AI621" i="4"/>
  <c r="AJ621" i="4"/>
  <c r="AK621" i="4"/>
  <c r="AH622" i="4"/>
  <c r="AI622" i="4"/>
  <c r="AJ622" i="4"/>
  <c r="AK622" i="4"/>
  <c r="AH623" i="4"/>
  <c r="AI623" i="4"/>
  <c r="AJ623" i="4"/>
  <c r="AK623" i="4"/>
  <c r="AH624" i="4"/>
  <c r="AI624" i="4"/>
  <c r="AJ624" i="4"/>
  <c r="AK624" i="4"/>
  <c r="AH625" i="4"/>
  <c r="AI625" i="4"/>
  <c r="AJ625" i="4"/>
  <c r="AK625" i="4"/>
  <c r="AH626" i="4"/>
  <c r="AI626" i="4"/>
  <c r="AJ626" i="4"/>
  <c r="AK626" i="4"/>
  <c r="AH627" i="4"/>
  <c r="AI627" i="4"/>
  <c r="AJ627" i="4"/>
  <c r="AK627" i="4"/>
  <c r="AH628" i="4"/>
  <c r="AI628" i="4"/>
  <c r="AJ628" i="4"/>
  <c r="AK628" i="4"/>
  <c r="AH629" i="4"/>
  <c r="AI629" i="4"/>
  <c r="AJ629" i="4"/>
  <c r="AK629" i="4"/>
  <c r="AH630" i="4"/>
  <c r="AI630" i="4"/>
  <c r="AJ630" i="4"/>
  <c r="AK630" i="4"/>
  <c r="AH631" i="4"/>
  <c r="AI631" i="4"/>
  <c r="AJ631" i="4"/>
  <c r="AK631" i="4"/>
  <c r="AH632" i="4"/>
  <c r="AI632" i="4"/>
  <c r="AJ632" i="4"/>
  <c r="AK632" i="4"/>
  <c r="AH633" i="4"/>
  <c r="AI633" i="4"/>
  <c r="AJ633" i="4"/>
  <c r="AK633" i="4"/>
  <c r="AH634" i="4"/>
  <c r="AI634" i="4"/>
  <c r="AJ634" i="4"/>
  <c r="AK634" i="4"/>
  <c r="AH635" i="4"/>
  <c r="AI635" i="4"/>
  <c r="AJ635" i="4"/>
  <c r="AK635" i="4"/>
  <c r="AH636" i="4"/>
  <c r="AI636" i="4"/>
  <c r="AJ636" i="4"/>
  <c r="AK636" i="4"/>
  <c r="AH637" i="4"/>
  <c r="AI637" i="4"/>
  <c r="AJ637" i="4"/>
  <c r="AK637" i="4"/>
  <c r="AH638" i="4"/>
  <c r="AI638" i="4"/>
  <c r="AJ638" i="4"/>
  <c r="AK638" i="4"/>
  <c r="AH639" i="4"/>
  <c r="AI639" i="4"/>
  <c r="AJ639" i="4"/>
  <c r="AK639" i="4"/>
  <c r="AH640" i="4"/>
  <c r="AI640" i="4"/>
  <c r="AJ640" i="4"/>
  <c r="AK640" i="4"/>
  <c r="AH641" i="4"/>
  <c r="AI641" i="4"/>
  <c r="AJ641" i="4"/>
  <c r="AK641" i="4"/>
  <c r="AH642" i="4"/>
  <c r="AI642" i="4"/>
  <c r="AJ642" i="4"/>
  <c r="AK642" i="4"/>
  <c r="AH643" i="4"/>
  <c r="AI643" i="4"/>
  <c r="AJ643" i="4"/>
  <c r="AK643" i="4"/>
  <c r="AH644" i="4"/>
  <c r="AI644" i="4"/>
  <c r="AJ644" i="4"/>
  <c r="AK644" i="4"/>
  <c r="AH645" i="4"/>
  <c r="AI645" i="4"/>
  <c r="AJ645" i="4"/>
  <c r="AK645" i="4"/>
  <c r="AH646" i="4"/>
  <c r="AI646" i="4"/>
  <c r="AJ646" i="4"/>
  <c r="AK646" i="4"/>
  <c r="AH647" i="4"/>
  <c r="AI647" i="4"/>
  <c r="AJ647" i="4"/>
  <c r="AK647" i="4"/>
  <c r="AH648" i="4"/>
  <c r="AI648" i="4"/>
  <c r="AJ648" i="4"/>
  <c r="AK648" i="4"/>
  <c r="AH649" i="4"/>
  <c r="AI649" i="4"/>
  <c r="AJ649" i="4"/>
  <c r="AK649" i="4"/>
  <c r="AH650" i="4"/>
  <c r="AI650" i="4"/>
  <c r="AJ650" i="4"/>
  <c r="AK650" i="4"/>
  <c r="AH651" i="4"/>
  <c r="AI651" i="4"/>
  <c r="AJ651" i="4"/>
  <c r="AK651" i="4"/>
  <c r="AH652" i="4"/>
  <c r="AI652" i="4"/>
  <c r="AJ652" i="4"/>
  <c r="AK652" i="4"/>
  <c r="AH653" i="4"/>
  <c r="AI653" i="4"/>
  <c r="AJ653" i="4"/>
  <c r="AK653" i="4"/>
  <c r="AH654" i="4"/>
  <c r="AI654" i="4"/>
  <c r="AJ654" i="4"/>
  <c r="AK654" i="4"/>
  <c r="AH655" i="4"/>
  <c r="AI655" i="4"/>
  <c r="AJ655" i="4"/>
  <c r="AK655" i="4"/>
  <c r="AH656" i="4"/>
  <c r="AI656" i="4"/>
  <c r="AJ656" i="4"/>
  <c r="AK656" i="4"/>
  <c r="AH657" i="4"/>
  <c r="AI657" i="4"/>
  <c r="AJ657" i="4"/>
  <c r="AK657" i="4"/>
  <c r="AH658" i="4"/>
  <c r="AI658" i="4"/>
  <c r="AJ658" i="4"/>
  <c r="AK658" i="4"/>
  <c r="AH659" i="4"/>
  <c r="AI659" i="4"/>
  <c r="AJ659" i="4"/>
  <c r="AK659" i="4"/>
  <c r="AH660" i="4"/>
  <c r="AI660" i="4"/>
  <c r="AJ660" i="4"/>
  <c r="AK660" i="4"/>
  <c r="AH661" i="4"/>
  <c r="AI661" i="4"/>
  <c r="AJ661" i="4"/>
  <c r="AK661" i="4"/>
  <c r="AH662" i="4"/>
  <c r="AI662" i="4"/>
  <c r="AJ662" i="4"/>
  <c r="AK662" i="4"/>
  <c r="AH663" i="4"/>
  <c r="AI663" i="4"/>
  <c r="AJ663" i="4"/>
  <c r="AK663" i="4"/>
  <c r="AH664" i="4"/>
  <c r="AI664" i="4"/>
  <c r="AJ664" i="4"/>
  <c r="AK664" i="4"/>
  <c r="AH665" i="4"/>
  <c r="AI665" i="4"/>
  <c r="AJ665" i="4"/>
  <c r="AK665" i="4"/>
  <c r="AH666" i="4"/>
  <c r="AI666" i="4"/>
  <c r="AJ666" i="4"/>
  <c r="AK666" i="4"/>
  <c r="AH667" i="4"/>
  <c r="AI667" i="4"/>
  <c r="AJ667" i="4"/>
  <c r="AK667" i="4"/>
  <c r="AH668" i="4"/>
  <c r="AI668" i="4"/>
  <c r="AJ668" i="4"/>
  <c r="AK668" i="4"/>
  <c r="AH669" i="4"/>
  <c r="AI669" i="4"/>
  <c r="AJ669" i="4"/>
  <c r="AK669" i="4"/>
  <c r="AH670" i="4"/>
  <c r="AI670" i="4"/>
  <c r="AJ670" i="4"/>
  <c r="AK670" i="4"/>
  <c r="AH671" i="4"/>
  <c r="AI671" i="4"/>
  <c r="AJ671" i="4"/>
  <c r="AK671" i="4"/>
  <c r="AH672" i="4"/>
  <c r="AI672" i="4"/>
  <c r="AJ672" i="4"/>
  <c r="AK672" i="4"/>
  <c r="AH673" i="4"/>
  <c r="AI673" i="4"/>
  <c r="AJ673" i="4"/>
  <c r="AK673" i="4"/>
  <c r="AH674" i="4"/>
  <c r="AI674" i="4"/>
  <c r="AJ674" i="4"/>
  <c r="AK674" i="4"/>
  <c r="AH675" i="4"/>
  <c r="AI675" i="4"/>
  <c r="AJ675" i="4"/>
  <c r="AK675" i="4"/>
  <c r="AH676" i="4"/>
  <c r="AI676" i="4"/>
  <c r="AJ676" i="4"/>
  <c r="AK676" i="4"/>
  <c r="AH677" i="4"/>
  <c r="AI677" i="4"/>
  <c r="AJ677" i="4"/>
  <c r="AK677" i="4"/>
  <c r="AH678" i="4"/>
  <c r="AI678" i="4"/>
  <c r="AJ678" i="4"/>
  <c r="AK678" i="4"/>
  <c r="AH679" i="4"/>
  <c r="AI679" i="4"/>
  <c r="AJ679" i="4"/>
  <c r="AK679" i="4"/>
  <c r="AH680" i="4"/>
  <c r="AI680" i="4"/>
  <c r="AJ680" i="4"/>
  <c r="AK680" i="4"/>
  <c r="AH681" i="4"/>
  <c r="AI681" i="4"/>
  <c r="AJ681" i="4"/>
  <c r="AK681" i="4"/>
  <c r="AH682" i="4"/>
  <c r="AI682" i="4"/>
  <c r="AJ682" i="4"/>
  <c r="AK682" i="4"/>
  <c r="AH683" i="4"/>
  <c r="AI683" i="4"/>
  <c r="AJ683" i="4"/>
  <c r="AK683" i="4"/>
  <c r="AH684" i="4"/>
  <c r="AI684" i="4"/>
  <c r="AJ684" i="4"/>
  <c r="AK684" i="4"/>
  <c r="AH685" i="4"/>
  <c r="AI685" i="4"/>
  <c r="AJ685" i="4"/>
  <c r="AK685" i="4"/>
  <c r="AH686" i="4"/>
  <c r="AI686" i="4"/>
  <c r="AJ686" i="4"/>
  <c r="AK686" i="4"/>
  <c r="AH687" i="4"/>
  <c r="AI687" i="4"/>
  <c r="AJ687" i="4"/>
  <c r="AK687" i="4"/>
  <c r="AH688" i="4"/>
  <c r="AI688" i="4"/>
  <c r="AJ688" i="4"/>
  <c r="AK688" i="4"/>
  <c r="AH689" i="4"/>
  <c r="AI689" i="4"/>
  <c r="AJ689" i="4"/>
  <c r="AK689" i="4"/>
  <c r="AH690" i="4"/>
  <c r="AI690" i="4"/>
  <c r="AJ690" i="4"/>
  <c r="AK690" i="4"/>
  <c r="AH691" i="4"/>
  <c r="AI691" i="4"/>
  <c r="AJ691" i="4"/>
  <c r="AK691" i="4"/>
  <c r="AH692" i="4"/>
  <c r="AI692" i="4"/>
  <c r="AJ692" i="4"/>
  <c r="AK692" i="4"/>
  <c r="AH693" i="4"/>
  <c r="AI693" i="4"/>
  <c r="AJ693" i="4"/>
  <c r="AK693" i="4"/>
  <c r="AH694" i="4"/>
  <c r="AI694" i="4"/>
  <c r="AJ694" i="4"/>
  <c r="AK694" i="4"/>
  <c r="AH695" i="4"/>
  <c r="AI695" i="4"/>
  <c r="AJ695" i="4"/>
  <c r="AK695" i="4"/>
  <c r="AH696" i="4"/>
  <c r="AI696" i="4"/>
  <c r="AJ696" i="4"/>
  <c r="AK696" i="4"/>
  <c r="AH697" i="4"/>
  <c r="AI697" i="4"/>
  <c r="AJ697" i="4"/>
  <c r="AK697" i="4"/>
  <c r="AH698" i="4"/>
  <c r="AI698" i="4"/>
  <c r="AJ698" i="4"/>
  <c r="AK698" i="4"/>
  <c r="AH699" i="4"/>
  <c r="AI699" i="4"/>
  <c r="AJ699" i="4"/>
  <c r="AK699" i="4"/>
  <c r="AH700" i="4"/>
  <c r="AI700" i="4"/>
  <c r="AJ700" i="4"/>
  <c r="AK700" i="4"/>
  <c r="AH701" i="4"/>
  <c r="AI701" i="4"/>
  <c r="AJ701" i="4"/>
  <c r="AK701" i="4"/>
  <c r="AH702" i="4"/>
  <c r="AI702" i="4"/>
  <c r="AJ702" i="4"/>
  <c r="AK702" i="4"/>
  <c r="AH703" i="4"/>
  <c r="AI703" i="4"/>
  <c r="AJ703" i="4"/>
  <c r="AK703" i="4"/>
  <c r="AH704" i="4"/>
  <c r="AI704" i="4"/>
  <c r="AJ704" i="4"/>
  <c r="AK704" i="4"/>
  <c r="AH705" i="4"/>
  <c r="AI705" i="4"/>
  <c r="AJ705" i="4"/>
  <c r="AK705" i="4"/>
  <c r="AH706" i="4"/>
  <c r="AI706" i="4"/>
  <c r="AJ706" i="4"/>
  <c r="AK706" i="4"/>
  <c r="AH707" i="4"/>
  <c r="AI707" i="4"/>
  <c r="AJ707" i="4"/>
  <c r="AK707" i="4"/>
  <c r="AH708" i="4"/>
  <c r="AI708" i="4"/>
  <c r="AJ708" i="4"/>
  <c r="AK708" i="4"/>
  <c r="AH709" i="4"/>
  <c r="AI709" i="4"/>
  <c r="AJ709" i="4"/>
  <c r="AK709" i="4"/>
  <c r="AH710" i="4"/>
  <c r="AI710" i="4"/>
  <c r="AJ710" i="4"/>
  <c r="AK710" i="4"/>
  <c r="AH711" i="4"/>
  <c r="AI711" i="4"/>
  <c r="AJ711" i="4"/>
  <c r="AK711" i="4"/>
  <c r="AH712" i="4"/>
  <c r="AI712" i="4"/>
  <c r="AJ712" i="4"/>
  <c r="AK712" i="4"/>
  <c r="AH713" i="4"/>
  <c r="AI713" i="4"/>
  <c r="AJ713" i="4"/>
  <c r="AK713" i="4"/>
  <c r="AH714" i="4"/>
  <c r="AI714" i="4"/>
  <c r="AJ714" i="4"/>
  <c r="AK714" i="4"/>
  <c r="AH715" i="4"/>
  <c r="AI715" i="4"/>
  <c r="AJ715" i="4"/>
  <c r="AK715" i="4"/>
  <c r="AH716" i="4"/>
  <c r="AI716" i="4"/>
  <c r="AJ716" i="4"/>
  <c r="AK716" i="4"/>
  <c r="AH717" i="4"/>
  <c r="AI717" i="4"/>
  <c r="AJ717" i="4"/>
  <c r="AK717" i="4"/>
  <c r="AH718" i="4"/>
  <c r="AI718" i="4"/>
  <c r="AJ718" i="4"/>
  <c r="AK718" i="4"/>
  <c r="AH719" i="4"/>
  <c r="AI719" i="4"/>
  <c r="AJ719" i="4"/>
  <c r="AK719" i="4"/>
  <c r="AH720" i="4"/>
  <c r="AI720" i="4"/>
  <c r="AJ720" i="4"/>
  <c r="AK720" i="4"/>
  <c r="AH721" i="4"/>
  <c r="AI721" i="4"/>
  <c r="AJ721" i="4"/>
  <c r="AK721" i="4"/>
  <c r="AH722" i="4"/>
  <c r="AI722" i="4"/>
  <c r="AJ722" i="4"/>
  <c r="AK722" i="4"/>
  <c r="AH723" i="4"/>
  <c r="AI723" i="4"/>
  <c r="AJ723" i="4"/>
  <c r="AK723" i="4"/>
  <c r="AH724" i="4"/>
  <c r="AI724" i="4"/>
  <c r="AJ724" i="4"/>
  <c r="AK724" i="4"/>
  <c r="AH725" i="4"/>
  <c r="AI725" i="4"/>
  <c r="AJ725" i="4"/>
  <c r="AK725" i="4"/>
  <c r="AH726" i="4"/>
  <c r="AI726" i="4"/>
  <c r="AJ726" i="4"/>
  <c r="AK726" i="4"/>
  <c r="AH727" i="4"/>
  <c r="AI727" i="4"/>
  <c r="AJ727" i="4"/>
  <c r="AK727" i="4"/>
  <c r="AH728" i="4"/>
  <c r="AI728" i="4"/>
  <c r="AJ728" i="4"/>
  <c r="AK728" i="4"/>
  <c r="AH729" i="4"/>
  <c r="AI729" i="4"/>
  <c r="AJ729" i="4"/>
  <c r="AK729" i="4"/>
  <c r="AH730" i="4"/>
  <c r="AI730" i="4"/>
  <c r="AJ730" i="4"/>
  <c r="AK730" i="4"/>
  <c r="AH731" i="4"/>
  <c r="AI731" i="4"/>
  <c r="AJ731" i="4"/>
  <c r="AK731" i="4"/>
  <c r="AH732" i="4"/>
  <c r="AI732" i="4"/>
  <c r="AJ732" i="4"/>
  <c r="AK732" i="4"/>
  <c r="AH733" i="4"/>
  <c r="AI733" i="4"/>
  <c r="AJ733" i="4"/>
  <c r="AK733" i="4"/>
  <c r="AH734" i="4"/>
  <c r="AI734" i="4"/>
  <c r="AJ734" i="4"/>
  <c r="AK734" i="4"/>
  <c r="AH735" i="4"/>
  <c r="AI735" i="4"/>
  <c r="AJ735" i="4"/>
  <c r="AK735" i="4"/>
  <c r="AH736" i="4"/>
  <c r="AI736" i="4"/>
  <c r="AJ736" i="4"/>
  <c r="AK736" i="4"/>
  <c r="AH737" i="4"/>
  <c r="AI737" i="4"/>
  <c r="AJ737" i="4"/>
  <c r="AK737" i="4"/>
  <c r="AH738" i="4"/>
  <c r="AI738" i="4"/>
  <c r="AJ738" i="4"/>
  <c r="AK738" i="4"/>
  <c r="AH739" i="4"/>
  <c r="AI739" i="4"/>
  <c r="AJ739" i="4"/>
  <c r="AK739" i="4"/>
  <c r="AH740" i="4"/>
  <c r="AI740" i="4"/>
  <c r="AJ740" i="4"/>
  <c r="AK740" i="4"/>
  <c r="AH741" i="4"/>
  <c r="AI741" i="4"/>
  <c r="AJ741" i="4"/>
  <c r="AK741" i="4"/>
  <c r="AH742" i="4"/>
  <c r="AI742" i="4"/>
  <c r="AJ742" i="4"/>
  <c r="AK742" i="4"/>
  <c r="AH743" i="4"/>
  <c r="AI743" i="4"/>
  <c r="AJ743" i="4"/>
  <c r="AK743" i="4"/>
  <c r="AH744" i="4"/>
  <c r="AI744" i="4"/>
  <c r="AJ744" i="4"/>
  <c r="AK744" i="4"/>
  <c r="AH745" i="4"/>
  <c r="AI745" i="4"/>
  <c r="AJ745" i="4"/>
  <c r="AK745" i="4"/>
  <c r="AH746" i="4"/>
  <c r="AI746" i="4"/>
  <c r="AJ746" i="4"/>
  <c r="AK746" i="4"/>
  <c r="AH747" i="4"/>
  <c r="AI747" i="4"/>
  <c r="AJ747" i="4"/>
  <c r="AK747" i="4"/>
  <c r="AH748" i="4"/>
  <c r="AI748" i="4"/>
  <c r="AJ748" i="4"/>
  <c r="AK748" i="4"/>
  <c r="AH749" i="4"/>
  <c r="AI749" i="4"/>
  <c r="AJ749" i="4"/>
  <c r="AK749" i="4"/>
  <c r="AH750" i="4"/>
  <c r="AI750" i="4"/>
  <c r="AJ750" i="4"/>
  <c r="AK750" i="4"/>
  <c r="AH751" i="4"/>
  <c r="AI751" i="4"/>
  <c r="AJ751" i="4"/>
  <c r="AK751" i="4"/>
  <c r="AH752" i="4"/>
  <c r="AI752" i="4"/>
  <c r="AJ752" i="4"/>
  <c r="AK752" i="4"/>
  <c r="AH753" i="4"/>
  <c r="AI753" i="4"/>
  <c r="AJ753" i="4"/>
  <c r="AK753" i="4"/>
  <c r="AH754" i="4"/>
  <c r="AI754" i="4"/>
  <c r="AJ754" i="4"/>
  <c r="AK754" i="4"/>
  <c r="AH755" i="4"/>
  <c r="AI755" i="4"/>
  <c r="AJ755" i="4"/>
  <c r="AK755" i="4"/>
  <c r="AH756" i="4"/>
  <c r="AI756" i="4"/>
  <c r="AJ756" i="4"/>
  <c r="AK756" i="4"/>
  <c r="AH757" i="4"/>
  <c r="AI757" i="4"/>
  <c r="AJ757" i="4"/>
  <c r="AK757" i="4"/>
  <c r="AH758" i="4"/>
  <c r="AI758" i="4"/>
  <c r="AJ758" i="4"/>
  <c r="AK758" i="4"/>
  <c r="AH759" i="4"/>
  <c r="AI759" i="4"/>
  <c r="AJ759" i="4"/>
  <c r="AK759" i="4"/>
  <c r="AH760" i="4"/>
  <c r="AI760" i="4"/>
  <c r="AJ760" i="4"/>
  <c r="AK760" i="4"/>
  <c r="AH761" i="4"/>
  <c r="AI761" i="4"/>
  <c r="AJ761" i="4"/>
  <c r="AK761" i="4"/>
  <c r="AH762" i="4"/>
  <c r="AI762" i="4"/>
  <c r="AJ762" i="4"/>
  <c r="AK762" i="4"/>
  <c r="AH763" i="4"/>
  <c r="AI763" i="4"/>
  <c r="AJ763" i="4"/>
  <c r="AK763" i="4"/>
  <c r="AH764" i="4"/>
  <c r="AI764" i="4"/>
  <c r="AJ764" i="4"/>
  <c r="AK764" i="4"/>
  <c r="AH765" i="4"/>
  <c r="AI765" i="4"/>
  <c r="AJ765" i="4"/>
  <c r="AK765" i="4"/>
  <c r="AH766" i="4"/>
  <c r="AI766" i="4"/>
  <c r="AJ766" i="4"/>
  <c r="AK766" i="4"/>
  <c r="AH767" i="4"/>
  <c r="AI767" i="4"/>
  <c r="AJ767" i="4"/>
  <c r="AK767" i="4"/>
  <c r="AH768" i="4"/>
  <c r="AI768" i="4"/>
  <c r="AJ768" i="4"/>
  <c r="AK768" i="4"/>
  <c r="AH769" i="4"/>
  <c r="AI769" i="4"/>
  <c r="AJ769" i="4"/>
  <c r="AK769" i="4"/>
  <c r="AH770" i="4"/>
  <c r="AI770" i="4"/>
  <c r="AJ770" i="4"/>
  <c r="AK770" i="4"/>
  <c r="AH771" i="4"/>
  <c r="AI771" i="4"/>
  <c r="AJ771" i="4"/>
  <c r="AK771" i="4"/>
  <c r="AH772" i="4"/>
  <c r="AI772" i="4"/>
  <c r="AJ772" i="4"/>
  <c r="AK772" i="4"/>
  <c r="AH773" i="4"/>
  <c r="AI773" i="4"/>
  <c r="AJ773" i="4"/>
  <c r="AK773" i="4"/>
  <c r="AH774" i="4"/>
  <c r="AI774" i="4"/>
  <c r="AJ774" i="4"/>
  <c r="AK774" i="4"/>
  <c r="AH775" i="4"/>
  <c r="AI775" i="4"/>
  <c r="AJ775" i="4"/>
  <c r="AK775" i="4"/>
  <c r="AH776" i="4"/>
  <c r="AI776" i="4"/>
  <c r="AJ776" i="4"/>
  <c r="AK776" i="4"/>
  <c r="AH777" i="4"/>
  <c r="AI777" i="4"/>
  <c r="AJ777" i="4"/>
  <c r="AK777" i="4"/>
  <c r="AH778" i="4"/>
  <c r="AI778" i="4"/>
  <c r="AJ778" i="4"/>
  <c r="AK778" i="4"/>
  <c r="AH779" i="4"/>
  <c r="AI779" i="4"/>
  <c r="AJ779" i="4"/>
  <c r="AK779" i="4"/>
  <c r="AH780" i="4"/>
  <c r="AI780" i="4"/>
  <c r="AJ780" i="4"/>
  <c r="AK780" i="4"/>
  <c r="AH781" i="4"/>
  <c r="AI781" i="4"/>
  <c r="AJ781" i="4"/>
  <c r="AK781" i="4"/>
  <c r="AH782" i="4"/>
  <c r="AI782" i="4"/>
  <c r="AJ782" i="4"/>
  <c r="AK782" i="4"/>
  <c r="AH783" i="4"/>
  <c r="AI783" i="4"/>
  <c r="AJ783" i="4"/>
  <c r="AK783" i="4"/>
  <c r="AH784" i="4"/>
  <c r="AI784" i="4"/>
  <c r="AJ784" i="4"/>
  <c r="AK784" i="4"/>
  <c r="AH785" i="4"/>
  <c r="AI785" i="4"/>
  <c r="AJ785" i="4"/>
  <c r="AK785" i="4"/>
  <c r="AH786" i="4"/>
  <c r="AI786" i="4"/>
  <c r="AJ786" i="4"/>
  <c r="AK786" i="4"/>
  <c r="AH787" i="4"/>
  <c r="AI787" i="4"/>
  <c r="AJ787" i="4"/>
  <c r="AK787" i="4"/>
  <c r="AH788" i="4"/>
  <c r="AI788" i="4"/>
  <c r="AJ788" i="4"/>
  <c r="AK788" i="4"/>
  <c r="AH789" i="4"/>
  <c r="AI789" i="4"/>
  <c r="AJ789" i="4"/>
  <c r="AK789" i="4"/>
  <c r="AH790" i="4"/>
  <c r="AI790" i="4"/>
  <c r="AJ790" i="4"/>
  <c r="AK790" i="4"/>
  <c r="AH791" i="4"/>
  <c r="AI791" i="4"/>
  <c r="AJ791" i="4"/>
  <c r="AK791" i="4"/>
  <c r="AH792" i="4"/>
  <c r="AI792" i="4"/>
  <c r="AJ792" i="4"/>
  <c r="AK792" i="4"/>
  <c r="AH793" i="4"/>
  <c r="AI793" i="4"/>
  <c r="AJ793" i="4"/>
  <c r="AK793" i="4"/>
  <c r="AH794" i="4"/>
  <c r="AI794" i="4"/>
  <c r="AJ794" i="4"/>
  <c r="AK794" i="4"/>
  <c r="AH795" i="4"/>
  <c r="AI795" i="4"/>
  <c r="AJ795" i="4"/>
  <c r="AK795" i="4"/>
  <c r="AH796" i="4"/>
  <c r="AI796" i="4"/>
  <c r="AJ796" i="4"/>
  <c r="AK796" i="4"/>
  <c r="AH797" i="4"/>
  <c r="AI797" i="4"/>
  <c r="AJ797" i="4"/>
  <c r="AK797" i="4"/>
  <c r="AH798" i="4"/>
  <c r="AI798" i="4"/>
  <c r="AJ798" i="4"/>
  <c r="AK798" i="4"/>
  <c r="AH799" i="4"/>
  <c r="AI799" i="4"/>
  <c r="AJ799" i="4"/>
  <c r="AK799" i="4"/>
  <c r="AH800" i="4"/>
  <c r="AI800" i="4"/>
  <c r="AJ800" i="4"/>
  <c r="AK800" i="4"/>
  <c r="AH801" i="4"/>
  <c r="AI801" i="4"/>
  <c r="AJ801" i="4"/>
  <c r="AK801" i="4"/>
  <c r="AH802" i="4"/>
  <c r="AI802" i="4"/>
  <c r="AJ802" i="4"/>
  <c r="AK802" i="4"/>
  <c r="AH803" i="4"/>
  <c r="AI803" i="4"/>
  <c r="AJ803" i="4"/>
  <c r="AK803" i="4"/>
  <c r="AH804" i="4"/>
  <c r="AI804" i="4"/>
  <c r="AJ804" i="4"/>
  <c r="AK804" i="4"/>
  <c r="AH805" i="4"/>
  <c r="AI805" i="4"/>
  <c r="AJ805" i="4"/>
  <c r="AK805" i="4"/>
  <c r="AH806" i="4"/>
  <c r="AI806" i="4"/>
  <c r="AJ806" i="4"/>
  <c r="AK806" i="4"/>
  <c r="AH807" i="4"/>
  <c r="AI807" i="4"/>
  <c r="AJ807" i="4"/>
  <c r="AK807" i="4"/>
  <c r="AH808" i="4"/>
  <c r="AI808" i="4"/>
  <c r="AJ808" i="4"/>
  <c r="AK808" i="4"/>
  <c r="AH809" i="4"/>
  <c r="AI809" i="4"/>
  <c r="AJ809" i="4"/>
  <c r="AK809" i="4"/>
  <c r="AH810" i="4"/>
  <c r="AI810" i="4"/>
  <c r="AJ810" i="4"/>
  <c r="AK810" i="4"/>
  <c r="AH811" i="4"/>
  <c r="AI811" i="4"/>
  <c r="AJ811" i="4"/>
  <c r="AK811" i="4"/>
  <c r="AH812" i="4"/>
  <c r="AI812" i="4"/>
  <c r="AJ812" i="4"/>
  <c r="AK812" i="4"/>
  <c r="AH813" i="4"/>
  <c r="AI813" i="4"/>
  <c r="AJ813" i="4"/>
  <c r="AK813" i="4"/>
  <c r="AH814" i="4"/>
  <c r="AI814" i="4"/>
  <c r="AJ814" i="4"/>
  <c r="AK814" i="4"/>
  <c r="AH815" i="4"/>
  <c r="AI815" i="4"/>
  <c r="AJ815" i="4"/>
  <c r="AK815" i="4"/>
  <c r="AH816" i="4"/>
  <c r="AI816" i="4"/>
  <c r="AJ816" i="4"/>
  <c r="AK816" i="4"/>
  <c r="AH817" i="4"/>
  <c r="AI817" i="4"/>
  <c r="AJ817" i="4"/>
  <c r="AK817" i="4"/>
  <c r="AH818" i="4"/>
  <c r="AI818" i="4"/>
  <c r="AJ818" i="4"/>
  <c r="AK818" i="4"/>
  <c r="AH819" i="4"/>
  <c r="AI819" i="4"/>
  <c r="AJ819" i="4"/>
  <c r="AK819" i="4"/>
  <c r="AH820" i="4"/>
  <c r="AI820" i="4"/>
  <c r="AJ820" i="4"/>
  <c r="AK820" i="4"/>
  <c r="AH821" i="4"/>
  <c r="AI821" i="4"/>
  <c r="AJ821" i="4"/>
  <c r="AK821" i="4"/>
  <c r="AH822" i="4"/>
  <c r="AI822" i="4"/>
  <c r="AJ822" i="4"/>
  <c r="AK822" i="4"/>
  <c r="AH823" i="4"/>
  <c r="AI823" i="4"/>
  <c r="AJ823" i="4"/>
  <c r="AK823" i="4"/>
  <c r="AH824" i="4"/>
  <c r="AI824" i="4"/>
  <c r="AJ824" i="4"/>
  <c r="AK824" i="4"/>
  <c r="AH825" i="4"/>
  <c r="AI825" i="4"/>
  <c r="AJ825" i="4"/>
  <c r="AK825" i="4"/>
  <c r="AH826" i="4"/>
  <c r="AI826" i="4"/>
  <c r="AJ826" i="4"/>
  <c r="AK826" i="4"/>
  <c r="AH827" i="4"/>
  <c r="AI827" i="4"/>
  <c r="AJ827" i="4"/>
  <c r="AK827" i="4"/>
  <c r="AH828" i="4"/>
  <c r="AI828" i="4"/>
  <c r="AJ828" i="4"/>
  <c r="AK828" i="4"/>
  <c r="AH829" i="4"/>
  <c r="AI829" i="4"/>
  <c r="AJ829" i="4"/>
  <c r="AK829" i="4"/>
  <c r="AH830" i="4"/>
  <c r="AI830" i="4"/>
  <c r="AJ830" i="4"/>
  <c r="AK830" i="4"/>
  <c r="AH831" i="4"/>
  <c r="AI831" i="4"/>
  <c r="AJ831" i="4"/>
  <c r="AK831" i="4"/>
  <c r="AH832" i="4"/>
  <c r="AI832" i="4"/>
  <c r="AJ832" i="4"/>
  <c r="AK832" i="4"/>
  <c r="AH833" i="4"/>
  <c r="AI833" i="4"/>
  <c r="AJ833" i="4"/>
  <c r="AK833" i="4"/>
  <c r="AH834" i="4"/>
  <c r="AI834" i="4"/>
  <c r="AJ834" i="4"/>
  <c r="AK834" i="4"/>
  <c r="AH835" i="4"/>
  <c r="AI835" i="4"/>
  <c r="AJ835" i="4"/>
  <c r="AK835" i="4"/>
  <c r="AH836" i="4"/>
  <c r="AI836" i="4"/>
  <c r="AJ836" i="4"/>
  <c r="AK836" i="4"/>
  <c r="AH837" i="4"/>
  <c r="AI837" i="4"/>
  <c r="AJ837" i="4"/>
  <c r="AK837" i="4"/>
  <c r="AH838" i="4"/>
  <c r="AI838" i="4"/>
  <c r="AJ838" i="4"/>
  <c r="AK838" i="4"/>
  <c r="AH839" i="4"/>
  <c r="AI839" i="4"/>
  <c r="AJ839" i="4"/>
  <c r="AK839" i="4"/>
  <c r="AH840" i="4"/>
  <c r="AI840" i="4"/>
  <c r="AJ840" i="4"/>
  <c r="AK840" i="4"/>
  <c r="AH841" i="4"/>
  <c r="AI841" i="4"/>
  <c r="AJ841" i="4"/>
  <c r="AK841" i="4"/>
  <c r="AH842" i="4"/>
  <c r="AI842" i="4"/>
  <c r="AJ842" i="4"/>
  <c r="AK842" i="4"/>
  <c r="AH843" i="4"/>
  <c r="AI843" i="4"/>
  <c r="AJ843" i="4"/>
  <c r="AK843" i="4"/>
  <c r="AH844" i="4"/>
  <c r="AI844" i="4"/>
  <c r="AJ844" i="4"/>
  <c r="AK844" i="4"/>
  <c r="AH845" i="4"/>
  <c r="AI845" i="4"/>
  <c r="AJ845" i="4"/>
  <c r="AK845" i="4"/>
  <c r="AH846" i="4"/>
  <c r="AI846" i="4"/>
  <c r="AJ846" i="4"/>
  <c r="AK846" i="4"/>
  <c r="AH847" i="4"/>
  <c r="AI847" i="4"/>
  <c r="AJ847" i="4"/>
  <c r="AK847" i="4"/>
  <c r="AH848" i="4"/>
  <c r="AI848" i="4"/>
  <c r="AJ848" i="4"/>
  <c r="AK848" i="4"/>
  <c r="AH849" i="4"/>
  <c r="AI849" i="4"/>
  <c r="AJ849" i="4"/>
  <c r="AK849" i="4"/>
  <c r="AH850" i="4"/>
  <c r="AI850" i="4"/>
  <c r="AJ850" i="4"/>
  <c r="AK850" i="4"/>
  <c r="AH851" i="4"/>
  <c r="AI851" i="4"/>
  <c r="AJ851" i="4"/>
  <c r="AK851" i="4"/>
  <c r="AH852" i="4"/>
  <c r="AI852" i="4"/>
  <c r="AJ852" i="4"/>
  <c r="AK852" i="4"/>
  <c r="AH853" i="4"/>
  <c r="AI853" i="4"/>
  <c r="AJ853" i="4"/>
  <c r="AK853" i="4"/>
  <c r="AH854" i="4"/>
  <c r="AI854" i="4"/>
  <c r="AJ854" i="4"/>
  <c r="AK854" i="4"/>
  <c r="AH855" i="4"/>
  <c r="AI855" i="4"/>
  <c r="AJ855" i="4"/>
  <c r="AK855" i="4"/>
  <c r="AH856" i="4"/>
  <c r="AI856" i="4"/>
  <c r="AJ856" i="4"/>
  <c r="AK856" i="4"/>
  <c r="AH857" i="4"/>
  <c r="AI857" i="4"/>
  <c r="AJ857" i="4"/>
  <c r="AK857" i="4"/>
  <c r="AH858" i="4"/>
  <c r="AI858" i="4"/>
  <c r="AJ858" i="4"/>
  <c r="AK858" i="4"/>
  <c r="AH859" i="4"/>
  <c r="AI859" i="4"/>
  <c r="AJ859" i="4"/>
  <c r="AK859" i="4"/>
  <c r="AH860" i="4"/>
  <c r="AI860" i="4"/>
  <c r="AJ860" i="4"/>
  <c r="AK860" i="4"/>
  <c r="AH861" i="4"/>
  <c r="AI861" i="4"/>
  <c r="AJ861" i="4"/>
  <c r="AK861" i="4"/>
  <c r="AH862" i="4"/>
  <c r="AI862" i="4"/>
  <c r="AJ862" i="4"/>
  <c r="AK862" i="4"/>
  <c r="AH863" i="4"/>
  <c r="AI863" i="4"/>
  <c r="AJ863" i="4"/>
  <c r="AK863" i="4"/>
  <c r="AH864" i="4"/>
  <c r="AI864" i="4"/>
  <c r="AJ864" i="4"/>
  <c r="AK864" i="4"/>
  <c r="AH865" i="4"/>
  <c r="AI865" i="4"/>
  <c r="AJ865" i="4"/>
  <c r="AK865" i="4"/>
  <c r="AH866" i="4"/>
  <c r="AI866" i="4"/>
  <c r="AJ866" i="4"/>
  <c r="AK866" i="4"/>
  <c r="AH867" i="4"/>
  <c r="AI867" i="4"/>
  <c r="AJ867" i="4"/>
  <c r="AK867" i="4"/>
  <c r="AH868" i="4"/>
  <c r="AI868" i="4"/>
  <c r="AJ868" i="4"/>
  <c r="AK868" i="4"/>
  <c r="AH869" i="4"/>
  <c r="AI869" i="4"/>
  <c r="AJ869" i="4"/>
  <c r="AK869" i="4"/>
  <c r="AH870" i="4"/>
  <c r="AI870" i="4"/>
  <c r="AJ870" i="4"/>
  <c r="AK870" i="4"/>
  <c r="AH871" i="4"/>
  <c r="AI871" i="4"/>
  <c r="AJ871" i="4"/>
  <c r="AK871" i="4"/>
  <c r="AH872" i="4"/>
  <c r="AI872" i="4"/>
  <c r="AJ872" i="4"/>
  <c r="AK872" i="4"/>
  <c r="AH873" i="4"/>
  <c r="AI873" i="4"/>
  <c r="AJ873" i="4"/>
  <c r="AK873" i="4"/>
  <c r="AH874" i="4"/>
  <c r="AI874" i="4"/>
  <c r="AJ874" i="4"/>
  <c r="AK874" i="4"/>
  <c r="AH875" i="4"/>
  <c r="AI875" i="4"/>
  <c r="AJ875" i="4"/>
  <c r="AK875" i="4"/>
  <c r="AH876" i="4"/>
  <c r="AI876" i="4"/>
  <c r="AJ876" i="4"/>
  <c r="AK876" i="4"/>
  <c r="AH877" i="4"/>
  <c r="AI877" i="4"/>
  <c r="AJ877" i="4"/>
  <c r="AK877" i="4"/>
  <c r="AH878" i="4"/>
  <c r="AI878" i="4"/>
  <c r="AJ878" i="4"/>
  <c r="AK878" i="4"/>
  <c r="AH879" i="4"/>
  <c r="AI879" i="4"/>
  <c r="AJ879" i="4"/>
  <c r="AK879" i="4"/>
  <c r="AH880" i="4"/>
  <c r="AI880" i="4"/>
  <c r="AJ880" i="4"/>
  <c r="AK880" i="4"/>
  <c r="AH881" i="4"/>
  <c r="AI881" i="4"/>
  <c r="AJ881" i="4"/>
  <c r="AK881" i="4"/>
  <c r="AH882" i="4"/>
  <c r="AI882" i="4"/>
  <c r="AJ882" i="4"/>
  <c r="AK882" i="4"/>
  <c r="AH883" i="4"/>
  <c r="AI883" i="4"/>
  <c r="AJ883" i="4"/>
  <c r="AK883" i="4"/>
  <c r="AH884" i="4"/>
  <c r="AI884" i="4"/>
  <c r="AJ884" i="4"/>
  <c r="AK884" i="4"/>
  <c r="AH885" i="4"/>
  <c r="AI885" i="4"/>
  <c r="AJ885" i="4"/>
  <c r="AK885" i="4"/>
  <c r="AH886" i="4"/>
  <c r="AI886" i="4"/>
  <c r="AJ886" i="4"/>
  <c r="AK886" i="4"/>
  <c r="AH887" i="4"/>
  <c r="AI887" i="4"/>
  <c r="AJ887" i="4"/>
  <c r="AK887" i="4"/>
  <c r="AH888" i="4"/>
  <c r="AI888" i="4"/>
  <c r="AJ888" i="4"/>
  <c r="AK888" i="4"/>
  <c r="AH889" i="4"/>
  <c r="AI889" i="4"/>
  <c r="AJ889" i="4"/>
  <c r="AK889" i="4"/>
  <c r="AH890" i="4"/>
  <c r="AI890" i="4"/>
  <c r="AJ890" i="4"/>
  <c r="AK890" i="4"/>
  <c r="AH891" i="4"/>
  <c r="AI891" i="4"/>
  <c r="AJ891" i="4"/>
  <c r="AK891" i="4"/>
  <c r="AH892" i="4"/>
  <c r="AI892" i="4"/>
  <c r="AJ892" i="4"/>
  <c r="AK892" i="4"/>
  <c r="AH893" i="4"/>
  <c r="AI893" i="4"/>
  <c r="AJ893" i="4"/>
  <c r="AK893" i="4"/>
  <c r="AH894" i="4"/>
  <c r="AI894" i="4"/>
  <c r="AJ894" i="4"/>
  <c r="AK894" i="4"/>
  <c r="AH895" i="4"/>
  <c r="AI895" i="4"/>
  <c r="AJ895" i="4"/>
  <c r="AK895" i="4"/>
  <c r="AH896" i="4"/>
  <c r="AI896" i="4"/>
  <c r="AJ896" i="4"/>
  <c r="AK896" i="4"/>
  <c r="AH897" i="4"/>
  <c r="AI897" i="4"/>
  <c r="AJ897" i="4"/>
  <c r="AK897" i="4"/>
  <c r="AH898" i="4"/>
  <c r="AI898" i="4"/>
  <c r="AJ898" i="4"/>
  <c r="AK898" i="4"/>
  <c r="AH899" i="4"/>
  <c r="AI899" i="4"/>
  <c r="AJ899" i="4"/>
  <c r="AK899" i="4"/>
  <c r="AH900" i="4"/>
  <c r="AI900" i="4"/>
  <c r="AJ900" i="4"/>
  <c r="AK900" i="4"/>
  <c r="AH901" i="4"/>
  <c r="AI901" i="4"/>
  <c r="AJ901" i="4"/>
  <c r="AK901" i="4"/>
  <c r="AH902" i="4"/>
  <c r="AI902" i="4"/>
  <c r="AJ902" i="4"/>
  <c r="AK902" i="4"/>
  <c r="AH903" i="4"/>
  <c r="AI903" i="4"/>
  <c r="AJ903" i="4"/>
  <c r="AK903" i="4"/>
  <c r="AH904" i="4"/>
  <c r="AI904" i="4"/>
  <c r="AJ904" i="4"/>
  <c r="AK904" i="4"/>
  <c r="AH905" i="4"/>
  <c r="AI905" i="4"/>
  <c r="AJ905" i="4"/>
  <c r="AK905" i="4"/>
  <c r="AH906" i="4"/>
  <c r="AI906" i="4"/>
  <c r="AJ906" i="4"/>
  <c r="AK906" i="4"/>
  <c r="AH907" i="4"/>
  <c r="AI907" i="4"/>
  <c r="AJ907" i="4"/>
  <c r="AK907" i="4"/>
  <c r="AH908" i="4"/>
  <c r="AI908" i="4"/>
  <c r="AJ908" i="4"/>
  <c r="AK908" i="4"/>
  <c r="AH909" i="4"/>
  <c r="AI909" i="4"/>
  <c r="AJ909" i="4"/>
  <c r="AK909" i="4"/>
  <c r="AH910" i="4"/>
  <c r="AI910" i="4"/>
  <c r="AJ910" i="4"/>
  <c r="AK910" i="4"/>
  <c r="AH911" i="4"/>
  <c r="AI911" i="4"/>
  <c r="AJ911" i="4"/>
  <c r="AK911" i="4"/>
  <c r="AH912" i="4"/>
  <c r="AI912" i="4"/>
  <c r="AJ912" i="4"/>
  <c r="AK912" i="4"/>
  <c r="AH913" i="4"/>
  <c r="AI913" i="4"/>
  <c r="AJ913" i="4"/>
  <c r="AK913" i="4"/>
  <c r="AH914" i="4"/>
  <c r="AI914" i="4"/>
  <c r="AJ914" i="4"/>
  <c r="AK914" i="4"/>
  <c r="AH915" i="4"/>
  <c r="AI915" i="4"/>
  <c r="AJ915" i="4"/>
  <c r="AK915" i="4"/>
  <c r="AH916" i="4"/>
  <c r="AI916" i="4"/>
  <c r="AJ916" i="4"/>
  <c r="AK916" i="4"/>
  <c r="AH917" i="4"/>
  <c r="AI917" i="4"/>
  <c r="AJ917" i="4"/>
  <c r="AK917" i="4"/>
  <c r="AH918" i="4"/>
  <c r="AI918" i="4"/>
  <c r="AJ918" i="4"/>
  <c r="AK918" i="4"/>
  <c r="AH919" i="4"/>
  <c r="AI919" i="4"/>
  <c r="AJ919" i="4"/>
  <c r="AK919" i="4"/>
  <c r="AH920" i="4"/>
  <c r="AI920" i="4"/>
  <c r="AJ920" i="4"/>
  <c r="AK920" i="4"/>
  <c r="AH921" i="4"/>
  <c r="AI921" i="4"/>
  <c r="AJ921" i="4"/>
  <c r="AK921" i="4"/>
  <c r="AH922" i="4"/>
  <c r="AI922" i="4"/>
  <c r="AJ922" i="4"/>
  <c r="AK922" i="4"/>
  <c r="AH923" i="4"/>
  <c r="AI923" i="4"/>
  <c r="AJ923" i="4"/>
  <c r="AK923" i="4"/>
  <c r="AH924" i="4"/>
  <c r="AI924" i="4"/>
  <c r="AJ924" i="4"/>
  <c r="AK924" i="4"/>
  <c r="AH925" i="4"/>
  <c r="AI925" i="4"/>
  <c r="AJ925" i="4"/>
  <c r="AK925" i="4"/>
  <c r="AH926" i="4"/>
  <c r="AI926" i="4"/>
  <c r="AJ926" i="4"/>
  <c r="AK926" i="4"/>
  <c r="AK4" i="4"/>
  <c r="AJ4" i="4"/>
  <c r="AI4" i="4"/>
  <c r="AH4" i="4"/>
  <c r="AO8" i="16" l="1"/>
  <c r="AP8" i="16" s="1"/>
  <c r="AQ8" i="16" s="1"/>
  <c r="AR8" i="16" s="1"/>
  <c r="AB294" i="19" l="1"/>
  <c r="AC294" i="19" s="1"/>
  <c r="U294" i="19"/>
  <c r="R294" i="19"/>
  <c r="L294" i="19"/>
  <c r="J294" i="19"/>
  <c r="I294" i="19"/>
  <c r="F294" i="19"/>
  <c r="AB293" i="19"/>
  <c r="AC293" i="19" s="1"/>
  <c r="U293" i="19"/>
  <c r="R293" i="19"/>
  <c r="L293" i="19"/>
  <c r="J293" i="19"/>
  <c r="I293" i="19"/>
  <c r="F293" i="19"/>
  <c r="AB292" i="19"/>
  <c r="AC292" i="19" s="1"/>
  <c r="U292" i="19"/>
  <c r="R292" i="19"/>
  <c r="L292" i="19"/>
  <c r="J292" i="19"/>
  <c r="I292" i="19"/>
  <c r="F292" i="19"/>
  <c r="AB291" i="19"/>
  <c r="AC291" i="19" s="1"/>
  <c r="U291" i="19"/>
  <c r="R291" i="19"/>
  <c r="L291" i="19"/>
  <c r="J291" i="19"/>
  <c r="I291" i="19"/>
  <c r="F291" i="19"/>
  <c r="AA290" i="19"/>
  <c r="AC290" i="19"/>
  <c r="U290" i="19"/>
  <c r="R290" i="19"/>
  <c r="L290" i="19"/>
  <c r="J290" i="19"/>
  <c r="F290" i="19"/>
  <c r="AA289" i="19"/>
  <c r="AC289" i="19"/>
  <c r="U289" i="19"/>
  <c r="R289" i="19"/>
  <c r="L289" i="19"/>
  <c r="J289" i="19"/>
  <c r="F289" i="19"/>
  <c r="AC288" i="19"/>
  <c r="U288" i="19"/>
  <c r="R288" i="19"/>
  <c r="L288" i="19"/>
  <c r="J288" i="19"/>
  <c r="F288" i="19"/>
  <c r="AC287" i="19"/>
  <c r="U287" i="19"/>
  <c r="R287" i="19"/>
  <c r="L287" i="19"/>
  <c r="F287" i="19"/>
  <c r="AC286" i="19"/>
  <c r="U286" i="19"/>
  <c r="R286" i="19"/>
  <c r="L286" i="19"/>
  <c r="F286" i="19"/>
  <c r="AB285" i="19"/>
  <c r="AC285" i="19" s="1"/>
  <c r="U285" i="19"/>
  <c r="R285" i="19"/>
  <c r="L285" i="19"/>
  <c r="F285" i="19"/>
  <c r="AB284" i="19"/>
  <c r="AC284" i="19" s="1"/>
  <c r="U284" i="19"/>
  <c r="R284" i="19"/>
  <c r="L284" i="19"/>
  <c r="F284" i="19"/>
  <c r="AA283" i="19"/>
  <c r="AC283" i="19"/>
  <c r="U283" i="19"/>
  <c r="Q283" i="19"/>
  <c r="R283" i="19" s="1"/>
  <c r="L283" i="19"/>
  <c r="F283" i="19"/>
  <c r="AC282" i="19"/>
  <c r="AA282" i="19"/>
  <c r="U282" i="19"/>
  <c r="L282" i="19"/>
  <c r="I282" i="19"/>
  <c r="F282" i="19"/>
  <c r="AF281" i="19"/>
  <c r="AD281" i="19"/>
  <c r="AC281" i="19"/>
  <c r="AA281" i="19"/>
  <c r="U281" i="19"/>
  <c r="L281" i="19"/>
  <c r="I281" i="19"/>
  <c r="F281" i="19"/>
  <c r="AF280" i="19"/>
  <c r="AD280" i="19"/>
  <c r="AC280" i="19"/>
  <c r="U280" i="19"/>
  <c r="L280" i="19"/>
  <c r="I280" i="19"/>
  <c r="F280" i="19"/>
  <c r="AF279" i="19"/>
  <c r="AD279" i="19"/>
  <c r="AC279" i="19"/>
  <c r="AA279" i="19"/>
  <c r="U279" i="19"/>
  <c r="L279" i="19"/>
  <c r="I279" i="19"/>
  <c r="F279" i="19"/>
  <c r="AF278" i="19"/>
  <c r="U278" i="19"/>
  <c r="L278" i="19"/>
  <c r="I278" i="19"/>
  <c r="F278" i="19"/>
  <c r="AF277" i="19"/>
  <c r="U277" i="19"/>
  <c r="L277" i="19"/>
  <c r="I277" i="19"/>
  <c r="F277" i="19"/>
  <c r="AF276" i="19"/>
  <c r="U276" i="19"/>
  <c r="L276" i="19"/>
  <c r="I276" i="19"/>
  <c r="F276" i="19"/>
  <c r="AF275" i="19"/>
  <c r="F275" i="19"/>
  <c r="AE274" i="19"/>
  <c r="AF274" i="19" s="1"/>
  <c r="AD274" i="19"/>
  <c r="I274" i="19"/>
  <c r="F274" i="19"/>
  <c r="AE273" i="19"/>
  <c r="AF273" i="19" s="1"/>
  <c r="AB273" i="19"/>
  <c r="AC273" i="19" s="1"/>
  <c r="R273" i="19"/>
  <c r="L273" i="19"/>
  <c r="F273" i="19"/>
  <c r="AE272" i="19"/>
  <c r="AF272" i="19" s="1"/>
  <c r="AB272" i="19"/>
  <c r="AC272" i="19" s="1"/>
  <c r="R272" i="19"/>
  <c r="L272" i="19"/>
  <c r="F272" i="19"/>
  <c r="AC271" i="19"/>
  <c r="Y271" i="19"/>
  <c r="L271" i="19"/>
  <c r="J271" i="19"/>
  <c r="AC270" i="19"/>
  <c r="AA270" i="19"/>
  <c r="L270" i="19"/>
  <c r="J270" i="19"/>
  <c r="AA269" i="19"/>
  <c r="U269" i="19"/>
  <c r="R269" i="19"/>
  <c r="L269" i="19"/>
  <c r="J269" i="19"/>
  <c r="F269" i="19"/>
  <c r="U268" i="19"/>
  <c r="R268" i="19"/>
  <c r="L268" i="19"/>
  <c r="J268" i="19"/>
  <c r="F268" i="19"/>
  <c r="U267" i="19"/>
  <c r="R267" i="19"/>
  <c r="L267" i="19"/>
  <c r="J267" i="19"/>
  <c r="F267" i="19"/>
  <c r="Z266" i="19"/>
  <c r="U266" i="19"/>
  <c r="R266" i="19"/>
  <c r="L266" i="19"/>
  <c r="J266" i="19"/>
  <c r="I266" i="19"/>
  <c r="F266" i="19"/>
  <c r="U265" i="19"/>
  <c r="R265" i="19"/>
  <c r="L265" i="19"/>
  <c r="J265" i="19"/>
  <c r="F265" i="19"/>
  <c r="Y264" i="19"/>
  <c r="U264" i="19"/>
  <c r="R264" i="19"/>
  <c r="L264" i="19"/>
  <c r="J264" i="19"/>
  <c r="F264" i="19"/>
  <c r="AA263" i="19"/>
  <c r="U263" i="19"/>
  <c r="R263" i="19"/>
  <c r="L263" i="19"/>
  <c r="J263" i="19"/>
  <c r="F263" i="19"/>
  <c r="AF259" i="19"/>
  <c r="AC259" i="19"/>
  <c r="Z259" i="19"/>
  <c r="Y259" i="19"/>
  <c r="R259" i="19"/>
  <c r="L259" i="19"/>
  <c r="J259" i="19"/>
  <c r="I259" i="19"/>
  <c r="F259" i="19"/>
  <c r="AE258" i="19"/>
  <c r="AF258" i="19" s="1"/>
  <c r="AB258" i="19"/>
  <c r="AC258" i="19" s="1"/>
  <c r="Z258" i="19"/>
  <c r="Y258" i="19"/>
  <c r="R258" i="19"/>
  <c r="L258" i="19"/>
  <c r="J258" i="19"/>
  <c r="I258" i="19"/>
  <c r="F258" i="19"/>
  <c r="AE257" i="19"/>
  <c r="AF257" i="19" s="1"/>
  <c r="AB257" i="19"/>
  <c r="AC257" i="19" s="1"/>
  <c r="Z257" i="19"/>
  <c r="Y257" i="19"/>
  <c r="R257" i="19"/>
  <c r="L257" i="19"/>
  <c r="J257" i="19"/>
  <c r="I257" i="19"/>
  <c r="F257" i="19"/>
  <c r="AE256" i="19"/>
  <c r="AF256" i="19" s="1"/>
  <c r="AB256" i="19"/>
  <c r="AC256" i="19" s="1"/>
  <c r="Z256" i="19"/>
  <c r="Y256" i="19"/>
  <c r="R256" i="19"/>
  <c r="L256" i="19"/>
  <c r="J256" i="19"/>
  <c r="I256" i="19"/>
  <c r="F256" i="19"/>
  <c r="AE255" i="19"/>
  <c r="AF255" i="19" s="1"/>
  <c r="AB255" i="19"/>
  <c r="AC255" i="19" s="1"/>
  <c r="Z255" i="19"/>
  <c r="Y255" i="19"/>
  <c r="R255" i="19"/>
  <c r="L255" i="19"/>
  <c r="J255" i="19"/>
  <c r="I255" i="19"/>
  <c r="F255" i="19"/>
  <c r="AE254" i="19"/>
  <c r="AF254" i="19" s="1"/>
  <c r="AB254" i="19"/>
  <c r="AC254" i="19" s="1"/>
  <c r="R254" i="19"/>
  <c r="L254" i="19"/>
  <c r="J254" i="19"/>
  <c r="I254" i="19"/>
  <c r="F254" i="19"/>
  <c r="AE253" i="19"/>
  <c r="AF253" i="19" s="1"/>
  <c r="AB253" i="19"/>
  <c r="AC253" i="19" s="1"/>
  <c r="R253" i="19"/>
  <c r="L253" i="19"/>
  <c r="J253" i="19"/>
  <c r="I253" i="19"/>
  <c r="F253" i="19"/>
  <c r="AE252" i="19"/>
  <c r="AF252" i="19" s="1"/>
  <c r="AB252" i="19"/>
  <c r="AC252" i="19" s="1"/>
  <c r="R252" i="19"/>
  <c r="L252" i="19"/>
  <c r="J252" i="19"/>
  <c r="I252" i="19"/>
  <c r="F252" i="19"/>
  <c r="AE251" i="19"/>
  <c r="AF251" i="19" s="1"/>
  <c r="AB251" i="19"/>
  <c r="AC251" i="19" s="1"/>
  <c r="R251" i="19"/>
  <c r="L251" i="19"/>
  <c r="J251" i="19"/>
  <c r="I251" i="19"/>
  <c r="F251" i="19"/>
  <c r="AF250" i="19"/>
  <c r="AC250" i="19"/>
  <c r="R250" i="19"/>
  <c r="L250" i="19"/>
  <c r="J250" i="19"/>
  <c r="I250" i="19"/>
  <c r="F250" i="19"/>
  <c r="AE249" i="19"/>
  <c r="AF249" i="19" s="1"/>
  <c r="AB249" i="19"/>
  <c r="AC249" i="19" s="1"/>
  <c r="Z249" i="19"/>
  <c r="Y249" i="19"/>
  <c r="R249" i="19"/>
  <c r="L249" i="19"/>
  <c r="J249" i="19"/>
  <c r="I249" i="19"/>
  <c r="F249" i="19"/>
  <c r="AE248" i="19"/>
  <c r="AF248" i="19" s="1"/>
  <c r="AB248" i="19"/>
  <c r="AC248" i="19" s="1"/>
  <c r="Z248" i="19"/>
  <c r="R248" i="19"/>
  <c r="L248" i="19"/>
  <c r="J248" i="19"/>
  <c r="I248" i="19"/>
  <c r="F248" i="19"/>
  <c r="AC247" i="19"/>
  <c r="Y247" i="19"/>
  <c r="R247" i="19"/>
  <c r="L247" i="19"/>
  <c r="J247" i="19"/>
  <c r="F247" i="19"/>
  <c r="AC246" i="19"/>
  <c r="Y246" i="19"/>
  <c r="R246" i="19"/>
  <c r="L246" i="19"/>
  <c r="J246" i="19"/>
  <c r="F246" i="19"/>
  <c r="AC245" i="19"/>
  <c r="Y245" i="19"/>
  <c r="R245" i="19"/>
  <c r="L245" i="19"/>
  <c r="J245" i="19"/>
  <c r="F245" i="19"/>
  <c r="AE244" i="19"/>
  <c r="AF244" i="19" s="1"/>
  <c r="AB244" i="19"/>
  <c r="AC244" i="19" s="1"/>
  <c r="R244" i="19"/>
  <c r="L244" i="19"/>
  <c r="J244" i="19"/>
  <c r="I244" i="19"/>
  <c r="F244" i="19"/>
  <c r="AF243" i="19"/>
  <c r="AC243" i="19"/>
  <c r="R243" i="19"/>
  <c r="L243" i="19"/>
  <c r="J243" i="19"/>
  <c r="I243" i="19"/>
  <c r="F243" i="19"/>
  <c r="AF242" i="19"/>
  <c r="AC242" i="19"/>
  <c r="R242" i="19"/>
  <c r="L242" i="19"/>
  <c r="J242" i="19"/>
  <c r="I242" i="19"/>
  <c r="F242" i="19"/>
  <c r="AF241" i="19"/>
  <c r="AC241" i="19"/>
  <c r="R241" i="19"/>
  <c r="L241" i="19"/>
  <c r="J241" i="19"/>
  <c r="I241" i="19"/>
  <c r="F241" i="19"/>
  <c r="AE240" i="19"/>
  <c r="AF240" i="19" s="1"/>
  <c r="AB240" i="19"/>
  <c r="AC240" i="19" s="1"/>
  <c r="R240" i="19"/>
  <c r="L240" i="19"/>
  <c r="J240" i="19"/>
  <c r="I240" i="19"/>
  <c r="F240" i="19"/>
  <c r="AB239" i="19"/>
  <c r="AC239" i="19" s="1"/>
  <c r="R239" i="19"/>
  <c r="L239" i="19"/>
  <c r="J239" i="19"/>
  <c r="F239" i="19"/>
  <c r="AF238" i="19"/>
  <c r="AC238" i="19"/>
  <c r="R238" i="19"/>
  <c r="L238" i="19"/>
  <c r="J238" i="19"/>
  <c r="I238" i="19"/>
  <c r="F238" i="19"/>
  <c r="AF237" i="19"/>
  <c r="AC237" i="19"/>
  <c r="R237" i="19"/>
  <c r="L237" i="19"/>
  <c r="J237" i="19"/>
  <c r="I237" i="19"/>
  <c r="F237" i="19"/>
  <c r="AF236" i="19"/>
  <c r="AC236" i="19"/>
  <c r="R236" i="19"/>
  <c r="L236" i="19"/>
  <c r="J236" i="19"/>
  <c r="I236" i="19"/>
  <c r="F236" i="19"/>
  <c r="AF235" i="19"/>
  <c r="AC235" i="19"/>
  <c r="R235" i="19"/>
  <c r="L235" i="19"/>
  <c r="J235" i="19"/>
  <c r="I235" i="19"/>
  <c r="F235" i="19"/>
  <c r="AF234" i="19"/>
  <c r="AC234" i="19"/>
  <c r="R234" i="19"/>
  <c r="L234" i="19"/>
  <c r="J234" i="19"/>
  <c r="I234" i="19"/>
  <c r="F234" i="19"/>
  <c r="AC233" i="19"/>
  <c r="R233" i="19"/>
  <c r="L233" i="19"/>
  <c r="J233" i="19"/>
  <c r="F233" i="19"/>
  <c r="AE232" i="19"/>
  <c r="AF232" i="19" s="1"/>
  <c r="AD232" i="19"/>
  <c r="AB232" i="19"/>
  <c r="AC232" i="19" s="1"/>
  <c r="AA232" i="19"/>
  <c r="R232" i="19"/>
  <c r="L232" i="19"/>
  <c r="J232" i="19"/>
  <c r="I232" i="19"/>
  <c r="F232" i="19"/>
  <c r="AF231" i="19"/>
  <c r="AC231" i="19"/>
  <c r="R231" i="19"/>
  <c r="J231" i="19"/>
  <c r="I231" i="19"/>
  <c r="F231" i="19"/>
  <c r="AF230" i="19"/>
  <c r="AC230" i="19"/>
  <c r="R230" i="19"/>
  <c r="L230" i="19"/>
  <c r="J230" i="19"/>
  <c r="I230" i="19"/>
  <c r="F230" i="19"/>
  <c r="AF229" i="19"/>
  <c r="AC229" i="19"/>
  <c r="R229" i="19"/>
  <c r="L229" i="19"/>
  <c r="J229" i="19"/>
  <c r="I229" i="19"/>
  <c r="F229" i="19"/>
  <c r="AF228" i="19"/>
  <c r="AC228" i="19"/>
  <c r="R228" i="19"/>
  <c r="L228" i="19"/>
  <c r="J228" i="19"/>
  <c r="I228" i="19"/>
  <c r="F228" i="19"/>
  <c r="AF227" i="19"/>
  <c r="AC227" i="19"/>
  <c r="R227" i="19"/>
  <c r="L227" i="19"/>
  <c r="J227" i="19"/>
  <c r="I227" i="19"/>
  <c r="F227" i="19"/>
  <c r="AC226" i="19"/>
  <c r="R226" i="19"/>
  <c r="L226" i="19"/>
  <c r="J226" i="19"/>
  <c r="F226" i="19"/>
  <c r="AA225" i="19"/>
  <c r="AF225" i="19"/>
  <c r="AD225" i="19"/>
  <c r="AC225" i="19"/>
  <c r="R225" i="19"/>
  <c r="L225" i="19"/>
  <c r="J225" i="19"/>
  <c r="I225" i="19"/>
  <c r="F225" i="19"/>
  <c r="AE224" i="19"/>
  <c r="AF224" i="19" s="1"/>
  <c r="AB224" i="19"/>
  <c r="AC224" i="19" s="1"/>
  <c r="R224" i="19"/>
  <c r="L224" i="19"/>
  <c r="J224" i="19"/>
  <c r="I224" i="19"/>
  <c r="F224" i="19"/>
  <c r="AE223" i="19"/>
  <c r="AF223" i="19" s="1"/>
  <c r="AB223" i="19"/>
  <c r="AC223" i="19" s="1"/>
  <c r="R223" i="19"/>
  <c r="L223" i="19"/>
  <c r="J223" i="19"/>
  <c r="I223" i="19"/>
  <c r="F223" i="19"/>
  <c r="AC222" i="19"/>
  <c r="Y222" i="19"/>
  <c r="R222" i="19"/>
  <c r="L222" i="19"/>
  <c r="J222" i="19"/>
  <c r="F222" i="19"/>
  <c r="AB221" i="19"/>
  <c r="AC221" i="19" s="1"/>
  <c r="R221" i="19"/>
  <c r="L221" i="19"/>
  <c r="J221" i="19"/>
  <c r="F221" i="19"/>
  <c r="AC220" i="19"/>
  <c r="R220" i="19"/>
  <c r="L220" i="19"/>
  <c r="J220" i="19"/>
  <c r="F220" i="19"/>
  <c r="AC219" i="19"/>
  <c r="R219" i="19"/>
  <c r="L219" i="19"/>
  <c r="J219" i="19"/>
  <c r="F219" i="19"/>
  <c r="AC218" i="19"/>
  <c r="R218" i="19"/>
  <c r="L218" i="19"/>
  <c r="J218" i="19"/>
  <c r="F218" i="19"/>
  <c r="AC217" i="19"/>
  <c r="R217" i="19"/>
  <c r="L217" i="19"/>
  <c r="J217" i="19"/>
  <c r="F217" i="19"/>
  <c r="AC216" i="19"/>
  <c r="R216" i="19"/>
  <c r="L216" i="19"/>
  <c r="J216" i="19"/>
  <c r="F216" i="19"/>
  <c r="AC215" i="19"/>
  <c r="R215" i="19"/>
  <c r="L215" i="19"/>
  <c r="J215" i="19"/>
  <c r="F215" i="19"/>
  <c r="AC214" i="19"/>
  <c r="R214" i="19"/>
  <c r="L214" i="19"/>
  <c r="J214" i="19"/>
  <c r="F214" i="19"/>
  <c r="AC213" i="19"/>
  <c r="R213" i="19"/>
  <c r="L213" i="19"/>
  <c r="J213" i="19"/>
  <c r="F213" i="19"/>
  <c r="AC212" i="19"/>
  <c r="U212" i="19"/>
  <c r="R212" i="19"/>
  <c r="L212" i="19"/>
  <c r="J212" i="19"/>
  <c r="F212" i="19"/>
  <c r="AE211" i="19"/>
  <c r="AF211" i="19" s="1"/>
  <c r="AB211" i="19"/>
  <c r="AC211" i="19" s="1"/>
  <c r="U211" i="19"/>
  <c r="R211" i="19"/>
  <c r="L211" i="19"/>
  <c r="J211" i="19"/>
  <c r="I211" i="19"/>
  <c r="F211" i="19"/>
  <c r="AF210" i="19"/>
  <c r="AD210" i="19"/>
  <c r="AC210" i="19"/>
  <c r="AA210" i="19"/>
  <c r="Z210" i="19"/>
  <c r="Y210" i="19"/>
  <c r="U210" i="19"/>
  <c r="R210" i="19"/>
  <c r="L210" i="19"/>
  <c r="J210" i="19"/>
  <c r="I210" i="19"/>
  <c r="F210" i="19"/>
  <c r="AC209" i="19"/>
  <c r="Y209" i="19"/>
  <c r="U209" i="19"/>
  <c r="R209" i="19"/>
  <c r="L209" i="19"/>
  <c r="J209" i="19"/>
  <c r="F209" i="19"/>
  <c r="AC208" i="19"/>
  <c r="Y208" i="19"/>
  <c r="U208" i="19"/>
  <c r="R208" i="19"/>
  <c r="L208" i="19"/>
  <c r="J208" i="19"/>
  <c r="F208" i="19"/>
  <c r="AC207" i="19"/>
  <c r="Y207" i="19"/>
  <c r="U207" i="19"/>
  <c r="R207" i="19"/>
  <c r="L207" i="19"/>
  <c r="J207" i="19"/>
  <c r="F207" i="19"/>
  <c r="AC206" i="19"/>
  <c r="U206" i="19"/>
  <c r="R206" i="19"/>
  <c r="L206" i="19"/>
  <c r="J206" i="19"/>
  <c r="F206" i="19"/>
  <c r="AE205" i="19"/>
  <c r="AF205" i="19" s="1"/>
  <c r="AB205" i="19"/>
  <c r="AC205" i="19" s="1"/>
  <c r="U205" i="19"/>
  <c r="R205" i="19"/>
  <c r="L205" i="19"/>
  <c r="J205" i="19"/>
  <c r="I205" i="19"/>
  <c r="F205" i="19"/>
  <c r="AE204" i="19"/>
  <c r="AF204" i="19" s="1"/>
  <c r="AB204" i="19"/>
  <c r="AC204" i="19" s="1"/>
  <c r="U204" i="19"/>
  <c r="R204" i="19"/>
  <c r="L204" i="19"/>
  <c r="J204" i="19"/>
  <c r="I204" i="19"/>
  <c r="F204" i="19"/>
  <c r="AC203" i="19"/>
  <c r="AA203" i="19"/>
  <c r="U203" i="19"/>
  <c r="R203" i="19"/>
  <c r="L203" i="19"/>
  <c r="J203" i="19"/>
  <c r="F203" i="19"/>
  <c r="AF202" i="19"/>
  <c r="AC202" i="19"/>
  <c r="U202" i="19"/>
  <c r="R202" i="19"/>
  <c r="L202" i="19"/>
  <c r="J202" i="19"/>
  <c r="I202" i="19"/>
  <c r="F202" i="19"/>
  <c r="AF201" i="19"/>
  <c r="AD201" i="19"/>
  <c r="AC201" i="19"/>
  <c r="AA201" i="19"/>
  <c r="U201" i="19"/>
  <c r="R201" i="19"/>
  <c r="L201" i="19"/>
  <c r="J201" i="19"/>
  <c r="I201" i="19"/>
  <c r="F201" i="19"/>
  <c r="AB200" i="19"/>
  <c r="AC200" i="19" s="1"/>
  <c r="U200" i="19"/>
  <c r="R200" i="19"/>
  <c r="L200" i="19"/>
  <c r="J200" i="19"/>
  <c r="F200" i="19"/>
  <c r="AF199" i="19"/>
  <c r="AD199" i="19"/>
  <c r="AC199" i="19"/>
  <c r="AA199" i="19"/>
  <c r="Z199" i="19"/>
  <c r="Y199" i="19"/>
  <c r="U199" i="19"/>
  <c r="R199" i="19"/>
  <c r="L199" i="19"/>
  <c r="J199" i="19"/>
  <c r="I199" i="19"/>
  <c r="F199" i="19"/>
  <c r="AC198" i="19"/>
  <c r="U198" i="19"/>
  <c r="R198" i="19"/>
  <c r="L198" i="19"/>
  <c r="J198" i="19"/>
  <c r="F198" i="19"/>
  <c r="AC197" i="19"/>
  <c r="U197" i="19"/>
  <c r="R197" i="19"/>
  <c r="L197" i="19"/>
  <c r="J197" i="19"/>
  <c r="F197" i="19"/>
  <c r="AC196" i="19"/>
  <c r="Y196" i="19"/>
  <c r="U196" i="19"/>
  <c r="R196" i="19"/>
  <c r="L196" i="19"/>
  <c r="J196" i="19"/>
  <c r="F196" i="19"/>
  <c r="AB195" i="19"/>
  <c r="AC195" i="19" s="1"/>
  <c r="U195" i="19"/>
  <c r="R195" i="19"/>
  <c r="L195" i="19"/>
  <c r="J195" i="19"/>
  <c r="F195" i="19"/>
  <c r="AB194" i="19"/>
  <c r="AC194" i="19" s="1"/>
  <c r="Y194" i="19"/>
  <c r="U194" i="19"/>
  <c r="R194" i="19"/>
  <c r="L194" i="19"/>
  <c r="J194" i="19"/>
  <c r="F194" i="19"/>
  <c r="AC193" i="19"/>
  <c r="U193" i="19"/>
  <c r="R193" i="19"/>
  <c r="L193" i="19"/>
  <c r="J193" i="19"/>
  <c r="F193" i="19"/>
  <c r="AF192" i="19"/>
  <c r="AD192" i="19"/>
  <c r="AC192" i="19"/>
  <c r="AA192" i="19"/>
  <c r="Z192" i="19"/>
  <c r="Y192" i="19"/>
  <c r="U192" i="19"/>
  <c r="R192" i="19"/>
  <c r="L192" i="19"/>
  <c r="J192" i="19"/>
  <c r="I192" i="19"/>
  <c r="F192" i="19"/>
  <c r="AC191" i="19"/>
  <c r="U191" i="19"/>
  <c r="R191" i="19"/>
  <c r="L191" i="19"/>
  <c r="J191" i="19"/>
  <c r="F191" i="19"/>
  <c r="AC190" i="19"/>
  <c r="U190" i="19"/>
  <c r="R190" i="19"/>
  <c r="L190" i="19"/>
  <c r="J190" i="19"/>
  <c r="F190" i="19"/>
  <c r="AC189" i="19"/>
  <c r="U189" i="19"/>
  <c r="R189" i="19"/>
  <c r="L189" i="19"/>
  <c r="J189" i="19"/>
  <c r="F189" i="19"/>
  <c r="AC188" i="19"/>
  <c r="U188" i="19"/>
  <c r="R188" i="19"/>
  <c r="L188" i="19"/>
  <c r="J188" i="19"/>
  <c r="F188" i="19"/>
  <c r="AC187" i="19"/>
  <c r="U187" i="19"/>
  <c r="R187" i="19"/>
  <c r="L187" i="19"/>
  <c r="J187" i="19"/>
  <c r="F187" i="19"/>
  <c r="AC186" i="19"/>
  <c r="U186" i="19"/>
  <c r="R186" i="19"/>
  <c r="L186" i="19"/>
  <c r="J186" i="19"/>
  <c r="F186" i="19"/>
  <c r="AC185" i="19"/>
  <c r="Y185" i="19"/>
  <c r="U185" i="19"/>
  <c r="R185" i="19"/>
  <c r="L185" i="19"/>
  <c r="J185" i="19"/>
  <c r="F185" i="19"/>
  <c r="AF184" i="19"/>
  <c r="AD184" i="19"/>
  <c r="AC184" i="19"/>
  <c r="AA184" i="19"/>
  <c r="Z184" i="19"/>
  <c r="Y184" i="19"/>
  <c r="U184" i="19"/>
  <c r="R184" i="19"/>
  <c r="L184" i="19"/>
  <c r="J184" i="19"/>
  <c r="I184" i="19"/>
  <c r="F184" i="19"/>
  <c r="AC183" i="19"/>
  <c r="U183" i="19"/>
  <c r="R183" i="19"/>
  <c r="L183" i="19"/>
  <c r="J183" i="19"/>
  <c r="F183" i="19"/>
  <c r="AF182" i="19"/>
  <c r="AC182" i="19"/>
  <c r="U182" i="19"/>
  <c r="R182" i="19"/>
  <c r="L182" i="19"/>
  <c r="J182" i="19"/>
  <c r="I182" i="19"/>
  <c r="F182" i="19"/>
  <c r="AC181" i="19"/>
  <c r="U181" i="19"/>
  <c r="R181" i="19"/>
  <c r="L181" i="19"/>
  <c r="J181" i="19"/>
  <c r="F181" i="19"/>
  <c r="AC180" i="19"/>
  <c r="U180" i="19"/>
  <c r="R180" i="19"/>
  <c r="L180" i="19"/>
  <c r="J180" i="19"/>
  <c r="F180" i="19"/>
  <c r="AC179" i="19"/>
  <c r="U179" i="19"/>
  <c r="R179" i="19"/>
  <c r="L179" i="19"/>
  <c r="J179" i="19"/>
  <c r="F179" i="19"/>
  <c r="AB178" i="19"/>
  <c r="AC178" i="19" s="1"/>
  <c r="Y178" i="19"/>
  <c r="U178" i="19"/>
  <c r="R178" i="19"/>
  <c r="L178" i="19"/>
  <c r="J178" i="19"/>
  <c r="F178" i="19"/>
  <c r="AB177" i="19"/>
  <c r="AC177" i="19" s="1"/>
  <c r="AA177" i="19"/>
  <c r="U177" i="19"/>
  <c r="R177" i="19"/>
  <c r="L177" i="19"/>
  <c r="J177" i="19"/>
  <c r="F177" i="19"/>
  <c r="AF176" i="19"/>
  <c r="AC176" i="19"/>
  <c r="U176" i="19"/>
  <c r="R176" i="19"/>
  <c r="L176" i="19"/>
  <c r="J176" i="19"/>
  <c r="I176" i="19"/>
  <c r="F176" i="19"/>
  <c r="AC175" i="19"/>
  <c r="U175" i="19"/>
  <c r="R175" i="19"/>
  <c r="L175" i="19"/>
  <c r="J175" i="19"/>
  <c r="F175" i="19"/>
  <c r="AC174" i="19"/>
  <c r="Y174" i="19"/>
  <c r="U174" i="19"/>
  <c r="R174" i="19"/>
  <c r="L174" i="19"/>
  <c r="J174" i="19"/>
  <c r="F174" i="19"/>
  <c r="AB173" i="19"/>
  <c r="AC173" i="19" s="1"/>
  <c r="U173" i="19"/>
  <c r="R173" i="19"/>
  <c r="L173" i="19"/>
  <c r="J173" i="19"/>
  <c r="F173" i="19"/>
  <c r="AB172" i="19"/>
  <c r="AC172" i="19" s="1"/>
  <c r="U172" i="19"/>
  <c r="R172" i="19"/>
  <c r="L172" i="19"/>
  <c r="J172" i="19"/>
  <c r="F172" i="19"/>
  <c r="AC171" i="19"/>
  <c r="U171" i="19"/>
  <c r="R171" i="19"/>
  <c r="L171" i="19"/>
  <c r="J171" i="19"/>
  <c r="F171" i="19"/>
  <c r="AC170" i="19"/>
  <c r="Y170" i="19"/>
  <c r="U170" i="19"/>
  <c r="R170" i="19"/>
  <c r="L170" i="19"/>
  <c r="J170" i="19"/>
  <c r="F170" i="19"/>
  <c r="AC169" i="19"/>
  <c r="U169" i="19"/>
  <c r="R169" i="19"/>
  <c r="L169" i="19"/>
  <c r="J169" i="19"/>
  <c r="F169" i="19"/>
  <c r="AE168" i="19"/>
  <c r="AF168" i="19" s="1"/>
  <c r="AB168" i="19"/>
  <c r="AC168" i="19" s="1"/>
  <c r="U168" i="19"/>
  <c r="R168" i="19"/>
  <c r="L168" i="19"/>
  <c r="J168" i="19"/>
  <c r="F168" i="19"/>
  <c r="AE167" i="19"/>
  <c r="AF167" i="19" s="1"/>
  <c r="AB167" i="19"/>
  <c r="AC167" i="19" s="1"/>
  <c r="U167" i="19"/>
  <c r="R167" i="19"/>
  <c r="L167" i="19"/>
  <c r="J167" i="19"/>
  <c r="F167" i="19"/>
  <c r="AE166" i="19"/>
  <c r="AF166" i="19" s="1"/>
  <c r="AB166" i="19"/>
  <c r="AC166" i="19" s="1"/>
  <c r="U166" i="19"/>
  <c r="R166" i="19"/>
  <c r="L166" i="19"/>
  <c r="J166" i="19"/>
  <c r="F166" i="19"/>
  <c r="AB165" i="19"/>
  <c r="AC165" i="19" s="1"/>
  <c r="U165" i="19"/>
  <c r="R165" i="19"/>
  <c r="L165" i="19"/>
  <c r="J165" i="19"/>
  <c r="F165" i="19"/>
  <c r="AC164" i="19"/>
  <c r="U164" i="19"/>
  <c r="Q164" i="19"/>
  <c r="R164" i="19" s="1"/>
  <c r="L164" i="19"/>
  <c r="J164" i="19"/>
  <c r="F164" i="19"/>
  <c r="AC163" i="19"/>
  <c r="AA163" i="19"/>
  <c r="Y163" i="19"/>
  <c r="U163" i="19"/>
  <c r="R163" i="19"/>
  <c r="L163" i="19"/>
  <c r="J163" i="19"/>
  <c r="F163" i="19"/>
  <c r="AC162" i="19"/>
  <c r="U162" i="19"/>
  <c r="R162" i="19"/>
  <c r="L162" i="19"/>
  <c r="J162" i="19"/>
  <c r="F162" i="19"/>
  <c r="AC161" i="19"/>
  <c r="U161" i="19"/>
  <c r="R161" i="19"/>
  <c r="L161" i="19"/>
  <c r="J161" i="19"/>
  <c r="F161" i="19"/>
  <c r="AC160" i="19"/>
  <c r="U160" i="19"/>
  <c r="R160" i="19"/>
  <c r="L160" i="19"/>
  <c r="J160" i="19"/>
  <c r="F160" i="19"/>
  <c r="AC159" i="19"/>
  <c r="U159" i="19"/>
  <c r="R159" i="19"/>
  <c r="L159" i="19"/>
  <c r="J159" i="19"/>
  <c r="F159" i="19"/>
  <c r="AC158" i="19"/>
  <c r="U158" i="19"/>
  <c r="R158" i="19"/>
  <c r="L158" i="19"/>
  <c r="J158" i="19"/>
  <c r="F158" i="19"/>
  <c r="AC157" i="19"/>
  <c r="U157" i="19"/>
  <c r="R157" i="19"/>
  <c r="L157" i="19"/>
  <c r="J157" i="19"/>
  <c r="F157" i="19"/>
  <c r="AC156" i="19"/>
  <c r="U156" i="19"/>
  <c r="R156" i="19"/>
  <c r="L156" i="19"/>
  <c r="J156" i="19"/>
  <c r="F156" i="19"/>
  <c r="AC155" i="19"/>
  <c r="U155" i="19"/>
  <c r="R155" i="19"/>
  <c r="L155" i="19"/>
  <c r="J155" i="19"/>
  <c r="F155" i="19"/>
  <c r="AC154" i="19"/>
  <c r="U154" i="19"/>
  <c r="R154" i="19"/>
  <c r="L154" i="19"/>
  <c r="J154" i="19"/>
  <c r="F154" i="19"/>
  <c r="AC153" i="19"/>
  <c r="Y153" i="19"/>
  <c r="U153" i="19"/>
  <c r="R153" i="19"/>
  <c r="L153" i="19"/>
  <c r="J153" i="19"/>
  <c r="F153" i="19"/>
  <c r="AC152" i="19"/>
  <c r="U152" i="19"/>
  <c r="R152" i="19"/>
  <c r="L152" i="19"/>
  <c r="J152" i="19"/>
  <c r="F152" i="19"/>
  <c r="AC151" i="19"/>
  <c r="U151" i="19"/>
  <c r="R151" i="19"/>
  <c r="L151" i="19"/>
  <c r="J151" i="19"/>
  <c r="F151" i="19"/>
  <c r="AC150" i="19"/>
  <c r="U150" i="19"/>
  <c r="R150" i="19"/>
  <c r="L150" i="19"/>
  <c r="J150" i="19"/>
  <c r="F150" i="19"/>
  <c r="AC149" i="19"/>
  <c r="U149" i="19"/>
  <c r="R149" i="19"/>
  <c r="L149" i="19"/>
  <c r="J149" i="19"/>
  <c r="F149" i="19"/>
  <c r="AC148" i="19"/>
  <c r="U148" i="19"/>
  <c r="R148" i="19"/>
  <c r="L148" i="19"/>
  <c r="J148" i="19"/>
  <c r="F148" i="19"/>
  <c r="AC147" i="19"/>
  <c r="U147" i="19"/>
  <c r="R147" i="19"/>
  <c r="L147" i="19"/>
  <c r="J147" i="19"/>
  <c r="F147" i="19"/>
  <c r="AC146" i="19"/>
  <c r="U146" i="19"/>
  <c r="R146" i="19"/>
  <c r="L146" i="19"/>
  <c r="J146" i="19"/>
  <c r="F146" i="19"/>
  <c r="AF145" i="19"/>
  <c r="AC145" i="19"/>
  <c r="U145" i="19"/>
  <c r="R145" i="19"/>
  <c r="L145" i="19"/>
  <c r="J145" i="19"/>
  <c r="I145" i="19"/>
  <c r="F145" i="19"/>
  <c r="AE144" i="19"/>
  <c r="AF144" i="19" s="1"/>
  <c r="AB144" i="19"/>
  <c r="AC144" i="19" s="1"/>
  <c r="U144" i="19"/>
  <c r="R144" i="19"/>
  <c r="L144" i="19"/>
  <c r="J144" i="19"/>
  <c r="I144" i="19"/>
  <c r="F144" i="19"/>
  <c r="AE143" i="19"/>
  <c r="AF143" i="19" s="1"/>
  <c r="AB143" i="19"/>
  <c r="AC143" i="19" s="1"/>
  <c r="Z143" i="19"/>
  <c r="Y143" i="19"/>
  <c r="U143" i="19"/>
  <c r="R143" i="19"/>
  <c r="L143" i="19"/>
  <c r="J143" i="19"/>
  <c r="I143" i="19"/>
  <c r="F143" i="19"/>
  <c r="AC142" i="19"/>
  <c r="U142" i="19"/>
  <c r="R142" i="19"/>
  <c r="L142" i="19"/>
  <c r="J142" i="19"/>
  <c r="F142" i="19"/>
  <c r="AC141" i="19"/>
  <c r="U141" i="19"/>
  <c r="R141" i="19"/>
  <c r="L141" i="19"/>
  <c r="J141" i="19"/>
  <c r="F141" i="19"/>
  <c r="AE140" i="19"/>
  <c r="AF140" i="19" s="1"/>
  <c r="AB140" i="19"/>
  <c r="AC140" i="19" s="1"/>
  <c r="U140" i="19"/>
  <c r="R140" i="19"/>
  <c r="L140" i="19"/>
  <c r="J140" i="19"/>
  <c r="I140" i="19"/>
  <c r="F140" i="19"/>
  <c r="AC139" i="19"/>
  <c r="U139" i="19"/>
  <c r="R139" i="19"/>
  <c r="L139" i="19"/>
  <c r="J139" i="19"/>
  <c r="F139" i="19"/>
  <c r="AC138" i="19"/>
  <c r="U138" i="19"/>
  <c r="R138" i="19"/>
  <c r="L138" i="19"/>
  <c r="J138" i="19"/>
  <c r="F138" i="19"/>
  <c r="AC137" i="19"/>
  <c r="U137" i="19"/>
  <c r="R137" i="19"/>
  <c r="L137" i="19"/>
  <c r="J137" i="19"/>
  <c r="F137" i="19"/>
  <c r="AF136" i="19"/>
  <c r="AC136" i="19"/>
  <c r="U136" i="19"/>
  <c r="R136" i="19"/>
  <c r="L136" i="19"/>
  <c r="J136" i="19"/>
  <c r="I136" i="19"/>
  <c r="F136" i="19"/>
  <c r="AC135" i="19"/>
  <c r="U135" i="19"/>
  <c r="R135" i="19"/>
  <c r="L135" i="19"/>
  <c r="J135" i="19"/>
  <c r="F135" i="19"/>
  <c r="AC134" i="19"/>
  <c r="U134" i="19"/>
  <c r="R134" i="19"/>
  <c r="L134" i="19"/>
  <c r="J134" i="19"/>
  <c r="F134" i="19"/>
  <c r="AC133" i="19"/>
  <c r="U133" i="19"/>
  <c r="R133" i="19"/>
  <c r="L133" i="19"/>
  <c r="J133" i="19"/>
  <c r="F133" i="19"/>
  <c r="AC132" i="19"/>
  <c r="U132" i="19"/>
  <c r="R132" i="19"/>
  <c r="L132" i="19"/>
  <c r="J132" i="19"/>
  <c r="F132" i="19"/>
  <c r="AC131" i="19"/>
  <c r="U131" i="19"/>
  <c r="R131" i="19"/>
  <c r="L131" i="19"/>
  <c r="J131" i="19"/>
  <c r="F131" i="19"/>
  <c r="AC130" i="19"/>
  <c r="U130" i="19"/>
  <c r="R130" i="19"/>
  <c r="L130" i="19"/>
  <c r="J130" i="19"/>
  <c r="F130" i="19"/>
  <c r="AC129" i="19"/>
  <c r="U129" i="19"/>
  <c r="R129" i="19"/>
  <c r="L129" i="19"/>
  <c r="J129" i="19"/>
  <c r="F129" i="19"/>
  <c r="AC128" i="19"/>
  <c r="U128" i="19"/>
  <c r="R128" i="19"/>
  <c r="L128" i="19"/>
  <c r="J128" i="19"/>
  <c r="F128" i="19"/>
  <c r="AC127" i="19"/>
  <c r="U127" i="19"/>
  <c r="R127" i="19"/>
  <c r="L127" i="19"/>
  <c r="J127" i="19"/>
  <c r="F127" i="19"/>
  <c r="AF126" i="19"/>
  <c r="AD126" i="19"/>
  <c r="AC126" i="19"/>
  <c r="AA126" i="19"/>
  <c r="U126" i="19"/>
  <c r="R126" i="19"/>
  <c r="L126" i="19"/>
  <c r="J126" i="19"/>
  <c r="I126" i="19"/>
  <c r="F126" i="19"/>
  <c r="AA125" i="19"/>
  <c r="AF125" i="19"/>
  <c r="AD125" i="19"/>
  <c r="AC125" i="19"/>
  <c r="U125" i="19"/>
  <c r="R125" i="19"/>
  <c r="L125" i="19"/>
  <c r="J125" i="19"/>
  <c r="I125" i="19"/>
  <c r="F125" i="19"/>
  <c r="AC124" i="19"/>
  <c r="U124" i="19"/>
  <c r="R124" i="19"/>
  <c r="L124" i="19"/>
  <c r="J124" i="19"/>
  <c r="F124" i="19"/>
  <c r="AA123" i="19"/>
  <c r="AE123" i="19"/>
  <c r="AF123" i="19" s="1"/>
  <c r="AD123" i="19"/>
  <c r="AB123" i="19"/>
  <c r="AC123" i="19" s="1"/>
  <c r="U123" i="19"/>
  <c r="R123" i="19"/>
  <c r="L123" i="19"/>
  <c r="J123" i="19"/>
  <c r="I123" i="19"/>
  <c r="F123" i="19"/>
  <c r="AB122" i="19"/>
  <c r="AC122" i="19" s="1"/>
  <c r="Y122" i="19"/>
  <c r="U122" i="19"/>
  <c r="R122" i="19"/>
  <c r="L122" i="19"/>
  <c r="J122" i="19"/>
  <c r="F122" i="19"/>
  <c r="AB121" i="19"/>
  <c r="AC121" i="19" s="1"/>
  <c r="Y121" i="19"/>
  <c r="U121" i="19"/>
  <c r="R121" i="19"/>
  <c r="L121" i="19"/>
  <c r="J121" i="19"/>
  <c r="F121" i="19"/>
  <c r="AB120" i="19"/>
  <c r="AC120" i="19" s="1"/>
  <c r="Y120" i="19"/>
  <c r="U120" i="19"/>
  <c r="R120" i="19"/>
  <c r="L120" i="19"/>
  <c r="J120" i="19"/>
  <c r="F120" i="19"/>
  <c r="AB119" i="19"/>
  <c r="AC119" i="19" s="1"/>
  <c r="Y119" i="19"/>
  <c r="U119" i="19"/>
  <c r="R119" i="19"/>
  <c r="L119" i="19"/>
  <c r="J119" i="19"/>
  <c r="F119" i="19"/>
  <c r="AC118" i="19"/>
  <c r="U118" i="19"/>
  <c r="R118" i="19"/>
  <c r="L118" i="19"/>
  <c r="J118" i="19"/>
  <c r="F118" i="19"/>
  <c r="AC117" i="19"/>
  <c r="U117" i="19"/>
  <c r="R117" i="19"/>
  <c r="L117" i="19"/>
  <c r="J117" i="19"/>
  <c r="F117" i="19"/>
  <c r="AC116" i="19"/>
  <c r="U116" i="19"/>
  <c r="R116" i="19"/>
  <c r="L116" i="19"/>
  <c r="J116" i="19"/>
  <c r="F116" i="19"/>
  <c r="AC115" i="19"/>
  <c r="U115" i="19"/>
  <c r="R115" i="19"/>
  <c r="L115" i="19"/>
  <c r="J115" i="19"/>
  <c r="F115" i="19"/>
  <c r="AC114" i="19"/>
  <c r="U114" i="19"/>
  <c r="R114" i="19"/>
  <c r="L114" i="19"/>
  <c r="J114" i="19"/>
  <c r="F114" i="19"/>
  <c r="AB113" i="19"/>
  <c r="AC113" i="19" s="1"/>
  <c r="U113" i="19"/>
  <c r="R113" i="19"/>
  <c r="L113" i="19"/>
  <c r="J113" i="19"/>
  <c r="F113" i="19"/>
  <c r="AC112" i="19"/>
  <c r="U112" i="19"/>
  <c r="R112" i="19"/>
  <c r="L112" i="19"/>
  <c r="J112" i="19"/>
  <c r="F112" i="19"/>
  <c r="AE111" i="19"/>
  <c r="AF111" i="19" s="1"/>
  <c r="AB111" i="19"/>
  <c r="AC111" i="19" s="1"/>
  <c r="U111" i="19"/>
  <c r="R111" i="19"/>
  <c r="L111" i="19"/>
  <c r="J111" i="19"/>
  <c r="I111" i="19"/>
  <c r="F111" i="19"/>
  <c r="AF110" i="19"/>
  <c r="AC110" i="19"/>
  <c r="U110" i="19"/>
  <c r="R110" i="19"/>
  <c r="L110" i="19"/>
  <c r="J110" i="19"/>
  <c r="I110" i="19"/>
  <c r="F110" i="19"/>
  <c r="AC109" i="19"/>
  <c r="AA109" i="19"/>
  <c r="U109" i="19"/>
  <c r="R109" i="19"/>
  <c r="L109" i="19"/>
  <c r="J109" i="19"/>
  <c r="F109" i="19"/>
  <c r="AC108" i="19"/>
  <c r="U108" i="19"/>
  <c r="R108" i="19"/>
  <c r="L108" i="19"/>
  <c r="J108" i="19"/>
  <c r="F108" i="19"/>
  <c r="AC107" i="19"/>
  <c r="U107" i="19"/>
  <c r="R107" i="19"/>
  <c r="L107" i="19"/>
  <c r="J107" i="19"/>
  <c r="F107" i="19"/>
  <c r="AC106" i="19"/>
  <c r="U106" i="19"/>
  <c r="R106" i="19"/>
  <c r="L106" i="19"/>
  <c r="J106" i="19"/>
  <c r="F106" i="19"/>
  <c r="AB105" i="19"/>
  <c r="AC105" i="19" s="1"/>
  <c r="U105" i="19"/>
  <c r="R105" i="19"/>
  <c r="L105" i="19"/>
  <c r="J105" i="19"/>
  <c r="F105" i="19"/>
  <c r="AC104" i="19"/>
  <c r="U104" i="19"/>
  <c r="R104" i="19"/>
  <c r="L104" i="19"/>
  <c r="J104" i="19"/>
  <c r="F104" i="19"/>
  <c r="AC103" i="19"/>
  <c r="U103" i="19"/>
  <c r="R103" i="19"/>
  <c r="L103" i="19"/>
  <c r="J103" i="19"/>
  <c r="F103" i="19"/>
  <c r="AC102" i="19"/>
  <c r="U102" i="19"/>
  <c r="R102" i="19"/>
  <c r="L102" i="19"/>
  <c r="J102" i="19"/>
  <c r="F102" i="19"/>
  <c r="AC101" i="19"/>
  <c r="U101" i="19"/>
  <c r="R101" i="19"/>
  <c r="L101" i="19"/>
  <c r="J101" i="19"/>
  <c r="F101" i="19"/>
  <c r="AC100" i="19"/>
  <c r="U100" i="19"/>
  <c r="R100" i="19"/>
  <c r="L100" i="19"/>
  <c r="J100" i="19"/>
  <c r="F100" i="19"/>
  <c r="AC99" i="19"/>
  <c r="U99" i="19"/>
  <c r="R99" i="19"/>
  <c r="L99" i="19"/>
  <c r="J99" i="19"/>
  <c r="F99" i="19"/>
  <c r="AC98" i="19"/>
  <c r="U98" i="19"/>
  <c r="R98" i="19"/>
  <c r="L98" i="19"/>
  <c r="J98" i="19"/>
  <c r="F98" i="19"/>
  <c r="AC97" i="19"/>
  <c r="U97" i="19"/>
  <c r="R97" i="19"/>
  <c r="L97" i="19"/>
  <c r="J97" i="19"/>
  <c r="F97" i="19"/>
  <c r="AC96" i="19"/>
  <c r="U96" i="19"/>
  <c r="R96" i="19"/>
  <c r="L96" i="19"/>
  <c r="J96" i="19"/>
  <c r="F96" i="19"/>
  <c r="AC95" i="19"/>
  <c r="U95" i="19"/>
  <c r="R95" i="19"/>
  <c r="L95" i="19"/>
  <c r="J95" i="19"/>
  <c r="F95" i="19"/>
  <c r="AE94" i="19"/>
  <c r="AF94" i="19" s="1"/>
  <c r="AB94" i="19"/>
  <c r="AC94" i="19" s="1"/>
  <c r="U94" i="19"/>
  <c r="R94" i="19"/>
  <c r="L94" i="19"/>
  <c r="J94" i="19"/>
  <c r="I94" i="19"/>
  <c r="F94" i="19"/>
  <c r="AC93" i="19"/>
  <c r="U93" i="19"/>
  <c r="R93" i="19"/>
  <c r="L93" i="19"/>
  <c r="J93" i="19"/>
  <c r="F93" i="19"/>
  <c r="AC92" i="19"/>
  <c r="AA92" i="19"/>
  <c r="U92" i="19"/>
  <c r="R92" i="19"/>
  <c r="L92" i="19"/>
  <c r="J92" i="19"/>
  <c r="F92" i="19"/>
  <c r="AC91" i="19"/>
  <c r="AA91" i="19"/>
  <c r="U91" i="19"/>
  <c r="R91" i="19"/>
  <c r="L91" i="19"/>
  <c r="J91" i="19"/>
  <c r="F91" i="19"/>
  <c r="AB90" i="19"/>
  <c r="AC90" i="19" s="1"/>
  <c r="Y90" i="19"/>
  <c r="U90" i="19"/>
  <c r="R90" i="19"/>
  <c r="L90" i="19"/>
  <c r="J90" i="19"/>
  <c r="F90" i="19"/>
  <c r="AF89" i="19"/>
  <c r="AD89" i="19"/>
  <c r="AC89" i="19"/>
  <c r="AA89" i="19"/>
  <c r="U89" i="19"/>
  <c r="R89" i="19"/>
  <c r="L89" i="19"/>
  <c r="J89" i="19"/>
  <c r="I89" i="19"/>
  <c r="F89" i="19"/>
  <c r="AF88" i="19"/>
  <c r="AD88" i="19"/>
  <c r="AC88" i="19"/>
  <c r="AA88" i="19"/>
  <c r="Z88" i="19"/>
  <c r="Y88" i="19"/>
  <c r="U88" i="19"/>
  <c r="R88" i="19"/>
  <c r="L88" i="19"/>
  <c r="J88" i="19"/>
  <c r="I88" i="19"/>
  <c r="F88" i="19"/>
  <c r="AE87" i="19"/>
  <c r="AF87" i="19" s="1"/>
  <c r="AB87" i="19"/>
  <c r="AC87" i="19" s="1"/>
  <c r="U87" i="19"/>
  <c r="R87" i="19"/>
  <c r="L87" i="19"/>
  <c r="J87" i="19"/>
  <c r="I87" i="19"/>
  <c r="F87" i="19"/>
  <c r="AC86" i="19"/>
  <c r="U86" i="19"/>
  <c r="R86" i="19"/>
  <c r="L86" i="19"/>
  <c r="J86" i="19"/>
  <c r="F86" i="19"/>
  <c r="AC85" i="19"/>
  <c r="U85" i="19"/>
  <c r="R85" i="19"/>
  <c r="L85" i="19"/>
  <c r="J85" i="19"/>
  <c r="F85" i="19"/>
  <c r="AC84" i="19"/>
  <c r="U84" i="19"/>
  <c r="R84" i="19"/>
  <c r="L84" i="19"/>
  <c r="J84" i="19"/>
  <c r="F84" i="19"/>
  <c r="AC83" i="19"/>
  <c r="U83" i="19"/>
  <c r="R83" i="19"/>
  <c r="L83" i="19"/>
  <c r="J83" i="19"/>
  <c r="F83" i="19"/>
  <c r="AC82" i="19"/>
  <c r="U82" i="19"/>
  <c r="R82" i="19"/>
  <c r="L82" i="19"/>
  <c r="J82" i="19"/>
  <c r="F82" i="19"/>
  <c r="AC81" i="19"/>
  <c r="U81" i="19"/>
  <c r="R81" i="19"/>
  <c r="L81" i="19"/>
  <c r="J81" i="19"/>
  <c r="F81" i="19"/>
  <c r="AC80" i="19"/>
  <c r="U80" i="19"/>
  <c r="R80" i="19"/>
  <c r="L80" i="19"/>
  <c r="J80" i="19"/>
  <c r="F80" i="19"/>
  <c r="AC79" i="19"/>
  <c r="U79" i="19"/>
  <c r="R79" i="19"/>
  <c r="L79" i="19"/>
  <c r="J79" i="19"/>
  <c r="F79" i="19"/>
  <c r="AC78" i="19"/>
  <c r="U78" i="19"/>
  <c r="R78" i="19"/>
  <c r="L78" i="19"/>
  <c r="J78" i="19"/>
  <c r="F78" i="19"/>
  <c r="AC77" i="19"/>
  <c r="U77" i="19"/>
  <c r="R77" i="19"/>
  <c r="L77" i="19"/>
  <c r="J77" i="19"/>
  <c r="F77" i="19"/>
  <c r="AC76" i="19"/>
  <c r="U76" i="19"/>
  <c r="R76" i="19"/>
  <c r="L76" i="19"/>
  <c r="J76" i="19"/>
  <c r="F76" i="19"/>
  <c r="AE75" i="19"/>
  <c r="AF75" i="19" s="1"/>
  <c r="AB75" i="19"/>
  <c r="AC75" i="19" s="1"/>
  <c r="U75" i="19"/>
  <c r="R75" i="19"/>
  <c r="L75" i="19"/>
  <c r="J75" i="19"/>
  <c r="I75" i="19"/>
  <c r="F75" i="19"/>
  <c r="AC74" i="19"/>
  <c r="U74" i="19"/>
  <c r="R74" i="19"/>
  <c r="L74" i="19"/>
  <c r="J74" i="19"/>
  <c r="F74" i="19"/>
  <c r="AE73" i="19"/>
  <c r="AF73" i="19" s="1"/>
  <c r="AB73" i="19"/>
  <c r="AC73" i="19" s="1"/>
  <c r="Y73" i="19"/>
  <c r="U73" i="19"/>
  <c r="R73" i="19"/>
  <c r="L73" i="19"/>
  <c r="J73" i="19"/>
  <c r="I73" i="19"/>
  <c r="F73" i="19"/>
  <c r="AC72" i="19"/>
  <c r="U72" i="19"/>
  <c r="R72" i="19"/>
  <c r="L72" i="19"/>
  <c r="J72" i="19"/>
  <c r="F72" i="19"/>
  <c r="AA71" i="19"/>
  <c r="AB71" i="19"/>
  <c r="AC71" i="19" s="1"/>
  <c r="U71" i="19"/>
  <c r="R71" i="19"/>
  <c r="L71" i="19"/>
  <c r="J71" i="19"/>
  <c r="F71" i="19"/>
  <c r="AC70" i="19"/>
  <c r="U70" i="19"/>
  <c r="R70" i="19"/>
  <c r="L70" i="19"/>
  <c r="J70" i="19"/>
  <c r="F70" i="19"/>
  <c r="AC69" i="19"/>
  <c r="U69" i="19"/>
  <c r="R69" i="19"/>
  <c r="L69" i="19"/>
  <c r="J69" i="19"/>
  <c r="F69" i="19"/>
  <c r="AC68" i="19"/>
  <c r="U68" i="19"/>
  <c r="R68" i="19"/>
  <c r="L68" i="19"/>
  <c r="J68" i="19"/>
  <c r="F68" i="19"/>
  <c r="AB67" i="19"/>
  <c r="AC67" i="19" s="1"/>
  <c r="U67" i="19"/>
  <c r="R67" i="19"/>
  <c r="L67" i="19"/>
  <c r="J67" i="19"/>
  <c r="F67" i="19"/>
  <c r="AA66" i="19"/>
  <c r="AF66" i="19"/>
  <c r="AD66" i="19"/>
  <c r="AC66" i="19"/>
  <c r="Y66" i="19"/>
  <c r="U66" i="19"/>
  <c r="R66" i="19"/>
  <c r="L66" i="19"/>
  <c r="J66" i="19"/>
  <c r="I66" i="19"/>
  <c r="F66" i="19"/>
  <c r="AC65" i="19"/>
  <c r="U65" i="19"/>
  <c r="R65" i="19"/>
  <c r="L65" i="19"/>
  <c r="J65" i="19"/>
  <c r="F65" i="19"/>
  <c r="AA64" i="19"/>
  <c r="AF64" i="19"/>
  <c r="AD64" i="19"/>
  <c r="AC64" i="19"/>
  <c r="U64" i="19"/>
  <c r="R64" i="19"/>
  <c r="L64" i="19"/>
  <c r="J64" i="19"/>
  <c r="I64" i="19"/>
  <c r="F64" i="19"/>
  <c r="AC63" i="19"/>
  <c r="U63" i="19"/>
  <c r="R63" i="19"/>
  <c r="L63" i="19"/>
  <c r="J63" i="19"/>
  <c r="F63" i="19"/>
  <c r="AC62" i="19"/>
  <c r="U62" i="19"/>
  <c r="R62" i="19"/>
  <c r="L62" i="19"/>
  <c r="J62" i="19"/>
  <c r="F62" i="19"/>
  <c r="AC61" i="19"/>
  <c r="U61" i="19"/>
  <c r="R61" i="19"/>
  <c r="L61" i="19"/>
  <c r="J61" i="19"/>
  <c r="F61" i="19"/>
  <c r="AC60" i="19"/>
  <c r="U60" i="19"/>
  <c r="R60" i="19"/>
  <c r="L60" i="19"/>
  <c r="J60" i="19"/>
  <c r="F60" i="19"/>
  <c r="AC59" i="19"/>
  <c r="U59" i="19"/>
  <c r="R59" i="19"/>
  <c r="L59" i="19"/>
  <c r="J59" i="19"/>
  <c r="F59" i="19"/>
  <c r="AB58" i="19"/>
  <c r="AC58" i="19" s="1"/>
  <c r="U58" i="19"/>
  <c r="R58" i="19"/>
  <c r="L58" i="19"/>
  <c r="J58" i="19"/>
  <c r="I58" i="19"/>
  <c r="F58" i="19"/>
  <c r="AB57" i="19"/>
  <c r="AC57" i="19" s="1"/>
  <c r="U57" i="19"/>
  <c r="R57" i="19"/>
  <c r="L57" i="19"/>
  <c r="J57" i="19"/>
  <c r="I57" i="19"/>
  <c r="F57" i="19"/>
  <c r="AB56" i="19"/>
  <c r="AC56" i="19" s="1"/>
  <c r="U56" i="19"/>
  <c r="R56" i="19"/>
  <c r="L56" i="19"/>
  <c r="J56" i="19"/>
  <c r="I56" i="19"/>
  <c r="F56" i="19"/>
  <c r="AB55" i="19"/>
  <c r="AC55" i="19" s="1"/>
  <c r="U55" i="19"/>
  <c r="R55" i="19"/>
  <c r="L55" i="19"/>
  <c r="J55" i="19"/>
  <c r="I55" i="19"/>
  <c r="F55" i="19"/>
  <c r="AF54" i="19"/>
  <c r="AC54" i="19"/>
  <c r="U54" i="19"/>
  <c r="R54" i="19"/>
  <c r="L54" i="19"/>
  <c r="J54" i="19"/>
  <c r="I54" i="19"/>
  <c r="F54" i="19"/>
  <c r="AF53" i="19"/>
  <c r="AC53" i="19"/>
  <c r="U53" i="19"/>
  <c r="R53" i="19"/>
  <c r="L53" i="19"/>
  <c r="J53" i="19"/>
  <c r="I53" i="19"/>
  <c r="F53" i="19"/>
  <c r="AF52" i="19"/>
  <c r="AC52" i="19"/>
  <c r="U52" i="19"/>
  <c r="R52" i="19"/>
  <c r="L52" i="19"/>
  <c r="J52" i="19"/>
  <c r="I52" i="19"/>
  <c r="F52" i="19"/>
  <c r="AF51" i="19"/>
  <c r="AC51" i="19"/>
  <c r="U51" i="19"/>
  <c r="R51" i="19"/>
  <c r="L51" i="19"/>
  <c r="J51" i="19"/>
  <c r="I51" i="19"/>
  <c r="F51" i="19"/>
  <c r="AE50" i="19"/>
  <c r="AF50" i="19" s="1"/>
  <c r="AB50" i="19"/>
  <c r="AC50" i="19" s="1"/>
  <c r="U50" i="19"/>
  <c r="R50" i="19"/>
  <c r="L50" i="19"/>
  <c r="J50" i="19"/>
  <c r="I50" i="19"/>
  <c r="F50" i="19"/>
  <c r="AE49" i="19"/>
  <c r="AF49" i="19" s="1"/>
  <c r="AB49" i="19"/>
  <c r="AC49" i="19" s="1"/>
  <c r="U49" i="19"/>
  <c r="R49" i="19"/>
  <c r="L49" i="19"/>
  <c r="J49" i="19"/>
  <c r="I49" i="19"/>
  <c r="F49" i="19"/>
  <c r="AB48" i="19"/>
  <c r="AC48" i="19" s="1"/>
  <c r="U48" i="19"/>
  <c r="R48" i="19"/>
  <c r="L48" i="19"/>
  <c r="J48" i="19"/>
  <c r="I48" i="19"/>
  <c r="F48" i="19"/>
  <c r="AB47" i="19"/>
  <c r="AC47" i="19" s="1"/>
  <c r="U47" i="19"/>
  <c r="R47" i="19"/>
  <c r="L47" i="19"/>
  <c r="J47" i="19"/>
  <c r="I47" i="19"/>
  <c r="F47" i="19"/>
  <c r="AB46" i="19"/>
  <c r="AC46" i="19" s="1"/>
  <c r="U46" i="19"/>
  <c r="R46" i="19"/>
  <c r="L46" i="19"/>
  <c r="J46" i="19"/>
  <c r="I46" i="19"/>
  <c r="F46" i="19"/>
  <c r="AB45" i="19"/>
  <c r="AC45" i="19" s="1"/>
  <c r="U45" i="19"/>
  <c r="R45" i="19"/>
  <c r="L45" i="19"/>
  <c r="J45" i="19"/>
  <c r="I45" i="19"/>
  <c r="F45" i="19"/>
  <c r="AB44" i="19"/>
  <c r="AC44" i="19" s="1"/>
  <c r="U44" i="19"/>
  <c r="R44" i="19"/>
  <c r="L44" i="19"/>
  <c r="J44" i="19"/>
  <c r="I44" i="19"/>
  <c r="F44" i="19"/>
  <c r="AB43" i="19"/>
  <c r="AC43" i="19" s="1"/>
  <c r="U43" i="19"/>
  <c r="R43" i="19"/>
  <c r="L43" i="19"/>
  <c r="J43" i="19"/>
  <c r="I43" i="19"/>
  <c r="F43" i="19"/>
  <c r="AB42" i="19"/>
  <c r="AC42" i="19" s="1"/>
  <c r="U42" i="19"/>
  <c r="R42" i="19"/>
  <c r="L42" i="19"/>
  <c r="J42" i="19"/>
  <c r="I42" i="19"/>
  <c r="F42" i="19"/>
  <c r="AB41" i="19"/>
  <c r="AC41" i="19" s="1"/>
  <c r="U41" i="19"/>
  <c r="R41" i="19"/>
  <c r="L41" i="19"/>
  <c r="J41" i="19"/>
  <c r="I41" i="19"/>
  <c r="F41" i="19"/>
  <c r="AB40" i="19"/>
  <c r="AC40" i="19" s="1"/>
  <c r="U40" i="19"/>
  <c r="R40" i="19"/>
  <c r="L40" i="19"/>
  <c r="J40" i="19"/>
  <c r="I40" i="19"/>
  <c r="F40" i="19"/>
  <c r="AB39" i="19"/>
  <c r="AC39" i="19" s="1"/>
  <c r="U39" i="19"/>
  <c r="R39" i="19"/>
  <c r="L39" i="19"/>
  <c r="J39" i="19"/>
  <c r="I39" i="19"/>
  <c r="F39" i="19"/>
  <c r="AB38" i="19"/>
  <c r="AC38" i="19" s="1"/>
  <c r="U38" i="19"/>
  <c r="R38" i="19"/>
  <c r="L38" i="19"/>
  <c r="J38" i="19"/>
  <c r="I38" i="19"/>
  <c r="F38" i="19"/>
  <c r="AB37" i="19"/>
  <c r="AC37" i="19" s="1"/>
  <c r="U37" i="19"/>
  <c r="R37" i="19"/>
  <c r="L37" i="19"/>
  <c r="J37" i="19"/>
  <c r="I37" i="19"/>
  <c r="F37" i="19"/>
  <c r="AB36" i="19"/>
  <c r="AC36" i="19" s="1"/>
  <c r="U36" i="19"/>
  <c r="R36" i="19"/>
  <c r="L36" i="19"/>
  <c r="J36" i="19"/>
  <c r="I36" i="19"/>
  <c r="F36" i="19"/>
  <c r="AB35" i="19"/>
  <c r="AC35" i="19" s="1"/>
  <c r="U35" i="19"/>
  <c r="R35" i="19"/>
  <c r="L35" i="19"/>
  <c r="J35" i="19"/>
  <c r="I35" i="19"/>
  <c r="F35" i="19"/>
  <c r="AB34" i="19"/>
  <c r="AC34" i="19" s="1"/>
  <c r="U34" i="19"/>
  <c r="R34" i="19"/>
  <c r="L34" i="19"/>
  <c r="J34" i="19"/>
  <c r="I34" i="19"/>
  <c r="F34" i="19"/>
  <c r="AB33" i="19"/>
  <c r="AC33" i="19" s="1"/>
  <c r="U33" i="19"/>
  <c r="R33" i="19"/>
  <c r="L33" i="19"/>
  <c r="J33" i="19"/>
  <c r="I33" i="19"/>
  <c r="F33" i="19"/>
  <c r="AB32" i="19"/>
  <c r="AC32" i="19" s="1"/>
  <c r="U32" i="19"/>
  <c r="R32" i="19"/>
  <c r="L32" i="19"/>
  <c r="J32" i="19"/>
  <c r="I32" i="19"/>
  <c r="F32" i="19"/>
  <c r="AB31" i="19"/>
  <c r="AC31" i="19" s="1"/>
  <c r="U31" i="19"/>
  <c r="R31" i="19"/>
  <c r="L31" i="19"/>
  <c r="J31" i="19"/>
  <c r="I31" i="19"/>
  <c r="F31" i="19"/>
  <c r="AB30" i="19"/>
  <c r="AC30" i="19" s="1"/>
  <c r="U30" i="19"/>
  <c r="R30" i="19"/>
  <c r="L30" i="19"/>
  <c r="J30" i="19"/>
  <c r="I30" i="19"/>
  <c r="F30" i="19"/>
  <c r="AB29" i="19"/>
  <c r="AC29" i="19" s="1"/>
  <c r="U29" i="19"/>
  <c r="R29" i="19"/>
  <c r="L29" i="19"/>
  <c r="J29" i="19"/>
  <c r="I29" i="19"/>
  <c r="F29" i="19"/>
  <c r="AB28" i="19"/>
  <c r="AC28" i="19" s="1"/>
  <c r="U28" i="19"/>
  <c r="R28" i="19"/>
  <c r="L28" i="19"/>
  <c r="J28" i="19"/>
  <c r="I28" i="19"/>
  <c r="F28" i="19"/>
  <c r="AF27" i="19"/>
  <c r="AC27" i="19"/>
  <c r="U27" i="19"/>
  <c r="R27" i="19"/>
  <c r="L27" i="19"/>
  <c r="J27" i="19"/>
  <c r="I27" i="19"/>
  <c r="F27" i="19"/>
  <c r="AC26" i="19"/>
  <c r="U26" i="19"/>
  <c r="R26" i="19"/>
  <c r="L26" i="19"/>
  <c r="J26" i="19"/>
  <c r="F26" i="19"/>
  <c r="AC25" i="19"/>
  <c r="U25" i="19"/>
  <c r="R25" i="19"/>
  <c r="L25" i="19"/>
  <c r="J25" i="19"/>
  <c r="F25" i="19"/>
  <c r="AC24" i="19"/>
  <c r="U24" i="19"/>
  <c r="R24" i="19"/>
  <c r="L24" i="19"/>
  <c r="J24" i="19"/>
  <c r="F24" i="19"/>
  <c r="AF23" i="19"/>
  <c r="AC23" i="19"/>
  <c r="Z23" i="19"/>
  <c r="Y23" i="19"/>
  <c r="U23" i="19"/>
  <c r="R23" i="19"/>
  <c r="L23" i="19"/>
  <c r="J23" i="19"/>
  <c r="I23" i="19"/>
  <c r="F23" i="19"/>
  <c r="AF22" i="19"/>
  <c r="AC22" i="19"/>
  <c r="Z22" i="19"/>
  <c r="Y22" i="19"/>
  <c r="U22" i="19"/>
  <c r="R22" i="19"/>
  <c r="L22" i="19"/>
  <c r="J22" i="19"/>
  <c r="I22" i="19"/>
  <c r="F22" i="19"/>
  <c r="AF21" i="19"/>
  <c r="AC21" i="19"/>
  <c r="Z21" i="19"/>
  <c r="Y21" i="19"/>
  <c r="U21" i="19"/>
  <c r="R21" i="19"/>
  <c r="L21" i="19"/>
  <c r="J21" i="19"/>
  <c r="I21" i="19"/>
  <c r="F21" i="19"/>
  <c r="AF20" i="19"/>
  <c r="AC20" i="19"/>
  <c r="Z20" i="19"/>
  <c r="Y20" i="19"/>
  <c r="U20" i="19"/>
  <c r="R20" i="19"/>
  <c r="L20" i="19"/>
  <c r="J20" i="19"/>
  <c r="I20" i="19"/>
  <c r="F20" i="19"/>
  <c r="AF19" i="19"/>
  <c r="AC19" i="19"/>
  <c r="Z19" i="19"/>
  <c r="Y19" i="19"/>
  <c r="U19" i="19"/>
  <c r="R19" i="19"/>
  <c r="L19" i="19"/>
  <c r="J19" i="19"/>
  <c r="I19" i="19"/>
  <c r="F19" i="19"/>
  <c r="AC18" i="19"/>
  <c r="U18" i="19"/>
  <c r="R18" i="19"/>
  <c r="L18" i="19"/>
  <c r="J18" i="19"/>
  <c r="F18" i="19"/>
  <c r="AE17" i="19"/>
  <c r="AF17" i="19" s="1"/>
  <c r="AB17" i="19"/>
  <c r="AC17" i="19" s="1"/>
  <c r="U17" i="19"/>
  <c r="R17" i="19"/>
  <c r="L17" i="19"/>
  <c r="J17" i="19"/>
  <c r="I17" i="19"/>
  <c r="F17" i="19"/>
  <c r="AC16" i="19"/>
  <c r="U16" i="19"/>
  <c r="R16" i="19"/>
  <c r="L16" i="19"/>
  <c r="J16" i="19"/>
  <c r="F16" i="19"/>
  <c r="AC15" i="19"/>
  <c r="U15" i="19"/>
  <c r="R15" i="19"/>
  <c r="L15" i="19"/>
  <c r="J15" i="19"/>
  <c r="F15" i="19"/>
  <c r="AC14" i="19"/>
  <c r="U14" i="19"/>
  <c r="R14" i="19"/>
  <c r="L14" i="19"/>
  <c r="J14" i="19"/>
  <c r="F14" i="19"/>
  <c r="AC13" i="19"/>
  <c r="U13" i="19"/>
  <c r="R13" i="19"/>
  <c r="L13" i="19"/>
  <c r="J13" i="19"/>
  <c r="F13" i="19"/>
  <c r="AC12" i="19"/>
  <c r="U12" i="19"/>
  <c r="R12" i="19"/>
  <c r="L12" i="19"/>
  <c r="J12" i="19"/>
  <c r="F12" i="19"/>
  <c r="AC11" i="19"/>
  <c r="U11" i="19"/>
  <c r="R11" i="19"/>
  <c r="L11" i="19"/>
  <c r="J11" i="19"/>
  <c r="F11" i="19"/>
  <c r="AC10" i="19"/>
  <c r="U10" i="19"/>
  <c r="R10" i="19"/>
  <c r="L10" i="19"/>
  <c r="J10" i="19"/>
  <c r="F10" i="19"/>
  <c r="AC9" i="19"/>
  <c r="U9" i="19"/>
  <c r="R9" i="19"/>
  <c r="L9" i="19"/>
  <c r="J9" i="19"/>
  <c r="F9" i="19"/>
  <c r="AC8" i="19"/>
  <c r="U8" i="19"/>
  <c r="R8" i="19"/>
  <c r="L8" i="19"/>
  <c r="J8" i="19"/>
  <c r="F8" i="19"/>
  <c r="AC7" i="19"/>
  <c r="U7" i="19"/>
  <c r="R7" i="19"/>
  <c r="L7" i="19"/>
  <c r="J7" i="19"/>
  <c r="F7" i="19"/>
  <c r="AC6" i="19"/>
  <c r="U6" i="19"/>
  <c r="R6" i="19"/>
  <c r="L6" i="19"/>
  <c r="J6" i="19"/>
  <c r="F6" i="19"/>
  <c r="AC5" i="19"/>
  <c r="U5" i="19"/>
  <c r="R5" i="19"/>
  <c r="L5" i="19"/>
  <c r="J5" i="19"/>
  <c r="F5" i="19"/>
  <c r="AZ1046" i="4"/>
  <c r="AZ1047" i="4" s="1"/>
  <c r="I8" i="16"/>
  <c r="J8" i="16" s="1"/>
  <c r="K8" i="16" s="1"/>
  <c r="W664" i="16"/>
  <c r="S664" i="16"/>
  <c r="I664" i="16"/>
  <c r="J664" i="16" s="1"/>
  <c r="K664" i="16" s="1"/>
  <c r="W663" i="16"/>
  <c r="S663" i="16"/>
  <c r="I663" i="16"/>
  <c r="J663" i="16" s="1"/>
  <c r="K663" i="16" s="1"/>
  <c r="W662" i="16"/>
  <c r="S662" i="16"/>
  <c r="I662" i="16"/>
  <c r="J662" i="16" s="1"/>
  <c r="K662" i="16" s="1"/>
  <c r="W661" i="16"/>
  <c r="S661" i="16"/>
  <c r="I661" i="16"/>
  <c r="J661" i="16" s="1"/>
  <c r="K661" i="16" s="1"/>
  <c r="W660" i="16"/>
  <c r="S660" i="16"/>
  <c r="I660" i="16"/>
  <c r="J660" i="16" s="1"/>
  <c r="K660" i="16" s="1"/>
  <c r="W659" i="16"/>
  <c r="S659" i="16"/>
  <c r="I659" i="16"/>
  <c r="J659" i="16" s="1"/>
  <c r="K659" i="16" s="1"/>
  <c r="W658" i="16"/>
  <c r="S658" i="16"/>
  <c r="I658" i="16"/>
  <c r="J658" i="16" s="1"/>
  <c r="K658" i="16" s="1"/>
  <c r="W657" i="16"/>
  <c r="S657" i="16"/>
  <c r="I657" i="16"/>
  <c r="J657" i="16" s="1"/>
  <c r="K657" i="16" s="1"/>
  <c r="W656" i="16"/>
  <c r="S656" i="16"/>
  <c r="I656" i="16"/>
  <c r="J656" i="16" s="1"/>
  <c r="K656" i="16" s="1"/>
  <c r="W655" i="16"/>
  <c r="S655" i="16"/>
  <c r="I655" i="16"/>
  <c r="J655" i="16" s="1"/>
  <c r="K655" i="16" s="1"/>
  <c r="W654" i="16"/>
  <c r="S654" i="16"/>
  <c r="I654" i="16"/>
  <c r="J654" i="16" s="1"/>
  <c r="K654" i="16" s="1"/>
  <c r="W653" i="16"/>
  <c r="S653" i="16"/>
  <c r="I653" i="16"/>
  <c r="J653" i="16" s="1"/>
  <c r="K653" i="16" s="1"/>
  <c r="W652" i="16"/>
  <c r="S652" i="16"/>
  <c r="I652" i="16"/>
  <c r="J652" i="16" s="1"/>
  <c r="K652" i="16" s="1"/>
  <c r="W651" i="16"/>
  <c r="S651" i="16"/>
  <c r="I651" i="16"/>
  <c r="J651" i="16" s="1"/>
  <c r="K651" i="16" s="1"/>
  <c r="W650" i="16"/>
  <c r="S650" i="16"/>
  <c r="I650" i="16"/>
  <c r="J650" i="16" s="1"/>
  <c r="K650" i="16" s="1"/>
  <c r="W649" i="16"/>
  <c r="S649" i="16"/>
  <c r="I649" i="16"/>
  <c r="J649" i="16" s="1"/>
  <c r="K649" i="16" s="1"/>
  <c r="W648" i="16"/>
  <c r="S648" i="16"/>
  <c r="I648" i="16"/>
  <c r="J648" i="16" s="1"/>
  <c r="K648" i="16" s="1"/>
  <c r="W647" i="16"/>
  <c r="S647" i="16"/>
  <c r="I647" i="16"/>
  <c r="J647" i="16" s="1"/>
  <c r="K647" i="16" s="1"/>
  <c r="W646" i="16"/>
  <c r="S646" i="16"/>
  <c r="J646" i="16"/>
  <c r="K646" i="16" s="1"/>
  <c r="W645" i="16"/>
  <c r="S645" i="16"/>
  <c r="I645" i="16"/>
  <c r="J645" i="16" s="1"/>
  <c r="K645" i="16" s="1"/>
  <c r="W644" i="16"/>
  <c r="S644" i="16"/>
  <c r="I644" i="16"/>
  <c r="J644" i="16" s="1"/>
  <c r="K644" i="16" s="1"/>
  <c r="W643" i="16"/>
  <c r="S643" i="16"/>
  <c r="I643" i="16"/>
  <c r="J643" i="16" s="1"/>
  <c r="K643" i="16" s="1"/>
  <c r="W642" i="16"/>
  <c r="S642" i="16"/>
  <c r="I642" i="16"/>
  <c r="J642" i="16" s="1"/>
  <c r="K642" i="16" s="1"/>
  <c r="W641" i="16"/>
  <c r="S641" i="16"/>
  <c r="I641" i="16"/>
  <c r="J641" i="16" s="1"/>
  <c r="K641" i="16" s="1"/>
  <c r="W640" i="16"/>
  <c r="S640" i="16"/>
  <c r="I640" i="16"/>
  <c r="J640" i="16" s="1"/>
  <c r="K640" i="16" s="1"/>
  <c r="W639" i="16"/>
  <c r="S639" i="16"/>
  <c r="I639" i="16"/>
  <c r="J639" i="16" s="1"/>
  <c r="K639" i="16" s="1"/>
  <c r="W638" i="16"/>
  <c r="S638" i="16"/>
  <c r="I638" i="16"/>
  <c r="J638" i="16" s="1"/>
  <c r="K638" i="16" s="1"/>
  <c r="W637" i="16"/>
  <c r="S637" i="16"/>
  <c r="I637" i="16"/>
  <c r="J637" i="16" s="1"/>
  <c r="K637" i="16" s="1"/>
  <c r="W636" i="16"/>
  <c r="S636" i="16"/>
  <c r="I636" i="16"/>
  <c r="J636" i="16" s="1"/>
  <c r="K636" i="16" s="1"/>
  <c r="W635" i="16"/>
  <c r="S635" i="16"/>
  <c r="I635" i="16"/>
  <c r="J635" i="16" s="1"/>
  <c r="K635" i="16" s="1"/>
  <c r="W634" i="16"/>
  <c r="S634" i="16"/>
  <c r="I634" i="16"/>
  <c r="J634" i="16" s="1"/>
  <c r="K634" i="16" s="1"/>
  <c r="W633" i="16"/>
  <c r="S633" i="16"/>
  <c r="I633" i="16"/>
  <c r="J633" i="16" s="1"/>
  <c r="K633" i="16" s="1"/>
  <c r="W632" i="16"/>
  <c r="S632" i="16"/>
  <c r="I632" i="16"/>
  <c r="J632" i="16" s="1"/>
  <c r="K632" i="16" s="1"/>
  <c r="AS631" i="16"/>
  <c r="W631" i="16"/>
  <c r="S631" i="16"/>
  <c r="I631" i="16"/>
  <c r="J631" i="16" s="1"/>
  <c r="K631" i="16" s="1"/>
  <c r="AT630" i="16"/>
  <c r="AS630" i="16"/>
  <c r="W630" i="16"/>
  <c r="S630" i="16"/>
  <c r="I630" i="16"/>
  <c r="J630" i="16" s="1"/>
  <c r="K630" i="16" s="1"/>
  <c r="W629" i="16"/>
  <c r="S629" i="16"/>
  <c r="I629" i="16"/>
  <c r="J629" i="16" s="1"/>
  <c r="K629" i="16" s="1"/>
  <c r="W628" i="16"/>
  <c r="S628" i="16"/>
  <c r="I628" i="16"/>
  <c r="J628" i="16" s="1"/>
  <c r="K628" i="16" s="1"/>
  <c r="W627" i="16"/>
  <c r="S627" i="16"/>
  <c r="I627" i="16"/>
  <c r="J627" i="16" s="1"/>
  <c r="K627" i="16" s="1"/>
  <c r="W626" i="16"/>
  <c r="S626" i="16"/>
  <c r="I626" i="16"/>
  <c r="J626" i="16" s="1"/>
  <c r="K626" i="16" s="1"/>
  <c r="W625" i="16"/>
  <c r="S625" i="16"/>
  <c r="I625" i="16"/>
  <c r="J625" i="16" s="1"/>
  <c r="K625" i="16" s="1"/>
  <c r="W624" i="16"/>
  <c r="S624" i="16"/>
  <c r="I624" i="16"/>
  <c r="J624" i="16" s="1"/>
  <c r="K624" i="16" s="1"/>
  <c r="W623" i="16"/>
  <c r="S623" i="16"/>
  <c r="I623" i="16"/>
  <c r="J623" i="16" s="1"/>
  <c r="K623" i="16" s="1"/>
  <c r="W622" i="16"/>
  <c r="S622" i="16"/>
  <c r="I622" i="16"/>
  <c r="J622" i="16" s="1"/>
  <c r="K622" i="16" s="1"/>
  <c r="W621" i="16"/>
  <c r="S621" i="16"/>
  <c r="I621" i="16"/>
  <c r="J621" i="16" s="1"/>
  <c r="K621" i="16" s="1"/>
  <c r="W620" i="16"/>
  <c r="S620" i="16"/>
  <c r="I620" i="16"/>
  <c r="J620" i="16" s="1"/>
  <c r="K620" i="16" s="1"/>
  <c r="W619" i="16"/>
  <c r="S619" i="16"/>
  <c r="I619" i="16"/>
  <c r="J619" i="16" s="1"/>
  <c r="K619" i="16" s="1"/>
  <c r="W618" i="16"/>
  <c r="S618" i="16"/>
  <c r="I618" i="16"/>
  <c r="J618" i="16" s="1"/>
  <c r="K618" i="16" s="1"/>
  <c r="W617" i="16"/>
  <c r="S617" i="16"/>
  <c r="I617" i="16"/>
  <c r="J617" i="16" s="1"/>
  <c r="K617" i="16" s="1"/>
  <c r="W616" i="16"/>
  <c r="S616" i="16"/>
  <c r="I616" i="16"/>
  <c r="J616" i="16" s="1"/>
  <c r="K616" i="16" s="1"/>
  <c r="W615" i="16"/>
  <c r="S615" i="16"/>
  <c r="I615" i="16"/>
  <c r="J615" i="16" s="1"/>
  <c r="K615" i="16" s="1"/>
  <c r="W614" i="16"/>
  <c r="S614" i="16"/>
  <c r="I614" i="16"/>
  <c r="J614" i="16" s="1"/>
  <c r="K614" i="16" s="1"/>
  <c r="W613" i="16"/>
  <c r="S613" i="16"/>
  <c r="I613" i="16"/>
  <c r="J613" i="16" s="1"/>
  <c r="K613" i="16" s="1"/>
  <c r="W612" i="16"/>
  <c r="S612" i="16"/>
  <c r="I612" i="16"/>
  <c r="J612" i="16" s="1"/>
  <c r="K612" i="16" s="1"/>
  <c r="W611" i="16"/>
  <c r="S611" i="16"/>
  <c r="I611" i="16"/>
  <c r="J611" i="16" s="1"/>
  <c r="K611" i="16" s="1"/>
  <c r="W610" i="16"/>
  <c r="S610" i="16"/>
  <c r="I610" i="16"/>
  <c r="J610" i="16" s="1"/>
  <c r="K610" i="16" s="1"/>
  <c r="W609" i="16"/>
  <c r="S609" i="16"/>
  <c r="I609" i="16"/>
  <c r="J609" i="16" s="1"/>
  <c r="K609" i="16" s="1"/>
  <c r="W608" i="16"/>
  <c r="S608" i="16"/>
  <c r="I608" i="16"/>
  <c r="J608" i="16" s="1"/>
  <c r="K608" i="16" s="1"/>
  <c r="W607" i="16"/>
  <c r="S607" i="16"/>
  <c r="I607" i="16"/>
  <c r="J607" i="16" s="1"/>
  <c r="K607" i="16" s="1"/>
  <c r="W606" i="16"/>
  <c r="S606" i="16"/>
  <c r="I606" i="16"/>
  <c r="J606" i="16" s="1"/>
  <c r="K606" i="16" s="1"/>
  <c r="W605" i="16"/>
  <c r="S605" i="16"/>
  <c r="I605" i="16"/>
  <c r="J605" i="16" s="1"/>
  <c r="K605" i="16" s="1"/>
  <c r="W604" i="16"/>
  <c r="S604" i="16"/>
  <c r="I604" i="16"/>
  <c r="J604" i="16" s="1"/>
  <c r="K604" i="16" s="1"/>
  <c r="W603" i="16"/>
  <c r="S603" i="16"/>
  <c r="I603" i="16"/>
  <c r="J603" i="16" s="1"/>
  <c r="K603" i="16" s="1"/>
  <c r="W602" i="16"/>
  <c r="S602" i="16"/>
  <c r="I602" i="16"/>
  <c r="J602" i="16" s="1"/>
  <c r="K602" i="16" s="1"/>
  <c r="W601" i="16"/>
  <c r="S601" i="16"/>
  <c r="I601" i="16"/>
  <c r="J601" i="16" s="1"/>
  <c r="K601" i="16" s="1"/>
  <c r="W600" i="16"/>
  <c r="S600" i="16"/>
  <c r="I600" i="16"/>
  <c r="J600" i="16" s="1"/>
  <c r="K600" i="16" s="1"/>
  <c r="AT599" i="16"/>
  <c r="W599" i="16"/>
  <c r="S599" i="16"/>
  <c r="I599" i="16"/>
  <c r="J599" i="16" s="1"/>
  <c r="K599" i="16" s="1"/>
  <c r="AT598" i="16"/>
  <c r="W598" i="16"/>
  <c r="S598" i="16"/>
  <c r="I598" i="16"/>
  <c r="J598" i="16" s="1"/>
  <c r="K598" i="16" s="1"/>
  <c r="W597" i="16"/>
  <c r="S597" i="16"/>
  <c r="I597" i="16"/>
  <c r="J597" i="16" s="1"/>
  <c r="K597" i="16" s="1"/>
  <c r="W596" i="16"/>
  <c r="S596" i="16"/>
  <c r="I596" i="16"/>
  <c r="J596" i="16" s="1"/>
  <c r="K596" i="16" s="1"/>
  <c r="W595" i="16"/>
  <c r="S595" i="16"/>
  <c r="I595" i="16"/>
  <c r="J595" i="16" s="1"/>
  <c r="K595" i="16" s="1"/>
  <c r="W594" i="16"/>
  <c r="S594" i="16"/>
  <c r="I594" i="16"/>
  <c r="J594" i="16" s="1"/>
  <c r="K594" i="16" s="1"/>
  <c r="W593" i="16"/>
  <c r="S593" i="16"/>
  <c r="I593" i="16"/>
  <c r="J593" i="16" s="1"/>
  <c r="K593" i="16" s="1"/>
  <c r="W592" i="16"/>
  <c r="S592" i="16"/>
  <c r="I592" i="16"/>
  <c r="J592" i="16" s="1"/>
  <c r="K592" i="16" s="1"/>
  <c r="W591" i="16"/>
  <c r="S591" i="16"/>
  <c r="I591" i="16"/>
  <c r="J591" i="16" s="1"/>
  <c r="K591" i="16" s="1"/>
  <c r="W590" i="16"/>
  <c r="S590" i="16"/>
  <c r="I590" i="16"/>
  <c r="J590" i="16" s="1"/>
  <c r="K590" i="16" s="1"/>
  <c r="W589" i="16"/>
  <c r="S589" i="16"/>
  <c r="I589" i="16"/>
  <c r="J589" i="16" s="1"/>
  <c r="K589" i="16" s="1"/>
  <c r="W588" i="16"/>
  <c r="S588" i="16"/>
  <c r="I588" i="16"/>
  <c r="J588" i="16" s="1"/>
  <c r="K588" i="16" s="1"/>
  <c r="W587" i="16"/>
  <c r="S587" i="16"/>
  <c r="I587" i="16"/>
  <c r="J587" i="16" s="1"/>
  <c r="K587" i="16" s="1"/>
  <c r="W586" i="16"/>
  <c r="S586" i="16"/>
  <c r="I586" i="16"/>
  <c r="J586" i="16" s="1"/>
  <c r="K586" i="16" s="1"/>
  <c r="W585" i="16"/>
  <c r="S585" i="16"/>
  <c r="I585" i="16"/>
  <c r="J585" i="16" s="1"/>
  <c r="K585" i="16" s="1"/>
  <c r="W584" i="16"/>
  <c r="S584" i="16"/>
  <c r="I584" i="16"/>
  <c r="J584" i="16" s="1"/>
  <c r="K584" i="16" s="1"/>
  <c r="W583" i="16"/>
  <c r="S583" i="16"/>
  <c r="I583" i="16"/>
  <c r="J583" i="16" s="1"/>
  <c r="K583" i="16" s="1"/>
  <c r="W582" i="16"/>
  <c r="S582" i="16"/>
  <c r="I582" i="16"/>
  <c r="J582" i="16" s="1"/>
  <c r="K582" i="16" s="1"/>
  <c r="W581" i="16"/>
  <c r="S581" i="16"/>
  <c r="I581" i="16"/>
  <c r="J581" i="16" s="1"/>
  <c r="K581" i="16" s="1"/>
  <c r="W580" i="16"/>
  <c r="S580" i="16"/>
  <c r="I580" i="16"/>
  <c r="J580" i="16" s="1"/>
  <c r="K580" i="16" s="1"/>
  <c r="W579" i="16"/>
  <c r="S579" i="16"/>
  <c r="I579" i="16"/>
  <c r="J579" i="16" s="1"/>
  <c r="K579" i="16" s="1"/>
  <c r="W578" i="16"/>
  <c r="S578" i="16"/>
  <c r="I578" i="16"/>
  <c r="J578" i="16" s="1"/>
  <c r="K578" i="16" s="1"/>
  <c r="W577" i="16"/>
  <c r="S577" i="16"/>
  <c r="I577" i="16"/>
  <c r="J577" i="16" s="1"/>
  <c r="K577" i="16" s="1"/>
  <c r="W576" i="16"/>
  <c r="S576" i="16"/>
  <c r="I576" i="16"/>
  <c r="J576" i="16" s="1"/>
  <c r="K576" i="16" s="1"/>
  <c r="W575" i="16"/>
  <c r="S575" i="16"/>
  <c r="I575" i="16"/>
  <c r="J575" i="16" s="1"/>
  <c r="K575" i="16" s="1"/>
  <c r="W574" i="16"/>
  <c r="S574" i="16"/>
  <c r="I574" i="16"/>
  <c r="J574" i="16" s="1"/>
  <c r="K574" i="16" s="1"/>
  <c r="AL573" i="16"/>
  <c r="AC573" i="16"/>
  <c r="W573" i="16"/>
  <c r="S573" i="16"/>
  <c r="I573" i="16"/>
  <c r="J573" i="16" s="1"/>
  <c r="K573" i="16" s="1"/>
  <c r="AL572" i="16"/>
  <c r="AC572" i="16"/>
  <c r="W572" i="16"/>
  <c r="S572" i="16"/>
  <c r="I572" i="16"/>
  <c r="J572" i="16" s="1"/>
  <c r="K572" i="16" s="1"/>
  <c r="AL571" i="16"/>
  <c r="AC571" i="16"/>
  <c r="W571" i="16"/>
  <c r="S571" i="16"/>
  <c r="I571" i="16"/>
  <c r="J571" i="16" s="1"/>
  <c r="K571" i="16" s="1"/>
  <c r="AL570" i="16"/>
  <c r="AC570" i="16"/>
  <c r="W570" i="16"/>
  <c r="S570" i="16"/>
  <c r="I570" i="16"/>
  <c r="J570" i="16" s="1"/>
  <c r="K570" i="16" s="1"/>
  <c r="AL569" i="16"/>
  <c r="AC569" i="16"/>
  <c r="W569" i="16"/>
  <c r="S569" i="16"/>
  <c r="I569" i="16"/>
  <c r="J569" i="16" s="1"/>
  <c r="K569" i="16" s="1"/>
  <c r="AL568" i="16"/>
  <c r="AC568" i="16"/>
  <c r="W568" i="16"/>
  <c r="S568" i="16"/>
  <c r="I568" i="16"/>
  <c r="J568" i="16" s="1"/>
  <c r="K568" i="16" s="1"/>
  <c r="AL567" i="16"/>
  <c r="AC567" i="16"/>
  <c r="W567" i="16"/>
  <c r="S567" i="16"/>
  <c r="I567" i="16"/>
  <c r="J567" i="16" s="1"/>
  <c r="K567" i="16" s="1"/>
  <c r="AL566" i="16"/>
  <c r="AC566" i="16"/>
  <c r="W566" i="16"/>
  <c r="S566" i="16"/>
  <c r="I566" i="16"/>
  <c r="J566" i="16" s="1"/>
  <c r="K566" i="16" s="1"/>
  <c r="AL565" i="16"/>
  <c r="AC565" i="16"/>
  <c r="W565" i="16"/>
  <c r="S565" i="16"/>
  <c r="I565" i="16"/>
  <c r="J565" i="16" s="1"/>
  <c r="K565" i="16" s="1"/>
  <c r="AL564" i="16"/>
  <c r="AC564" i="16"/>
  <c r="W564" i="16"/>
  <c r="S564" i="16"/>
  <c r="I564" i="16"/>
  <c r="J564" i="16" s="1"/>
  <c r="K564" i="16" s="1"/>
  <c r="W563" i="16"/>
  <c r="S563" i="16"/>
  <c r="I563" i="16"/>
  <c r="J563" i="16" s="1"/>
  <c r="K563" i="16" s="1"/>
  <c r="W562" i="16"/>
  <c r="S562" i="16"/>
  <c r="I562" i="16"/>
  <c r="J562" i="16" s="1"/>
  <c r="K562" i="16" s="1"/>
  <c r="W561" i="16"/>
  <c r="S561" i="16"/>
  <c r="I561" i="16"/>
  <c r="J561" i="16" s="1"/>
  <c r="K561" i="16" s="1"/>
  <c r="W560" i="16"/>
  <c r="S560" i="16"/>
  <c r="I560" i="16"/>
  <c r="J560" i="16" s="1"/>
  <c r="K560" i="16" s="1"/>
  <c r="W559" i="16"/>
  <c r="S559" i="16"/>
  <c r="I559" i="16"/>
  <c r="J559" i="16" s="1"/>
  <c r="K559" i="16" s="1"/>
  <c r="W558" i="16"/>
  <c r="S558" i="16"/>
  <c r="I558" i="16"/>
  <c r="J558" i="16" s="1"/>
  <c r="K558" i="16" s="1"/>
  <c r="W557" i="16"/>
  <c r="S557" i="16"/>
  <c r="I557" i="16"/>
  <c r="J557" i="16" s="1"/>
  <c r="K557" i="16" s="1"/>
  <c r="W556" i="16"/>
  <c r="S556" i="16"/>
  <c r="I556" i="16"/>
  <c r="J556" i="16" s="1"/>
  <c r="K556" i="16" s="1"/>
  <c r="W555" i="16"/>
  <c r="S555" i="16"/>
  <c r="I555" i="16"/>
  <c r="J555" i="16" s="1"/>
  <c r="K555" i="16" s="1"/>
  <c r="W554" i="16"/>
  <c r="S554" i="16"/>
  <c r="W553" i="16"/>
  <c r="S553" i="16"/>
  <c r="W552" i="16"/>
  <c r="S552" i="16"/>
  <c r="W551" i="16"/>
  <c r="S551" i="16"/>
  <c r="W550" i="16"/>
  <c r="S550" i="16"/>
  <c r="W549" i="16"/>
  <c r="S549" i="16"/>
  <c r="W548" i="16"/>
  <c r="S548" i="16"/>
  <c r="S547" i="16"/>
  <c r="S546" i="16"/>
  <c r="S545" i="16"/>
  <c r="S544" i="16"/>
  <c r="S543" i="16"/>
  <c r="S542" i="16"/>
  <c r="W541" i="16"/>
  <c r="W540" i="16"/>
  <c r="W539" i="16"/>
  <c r="W538" i="16"/>
  <c r="W537" i="16"/>
  <c r="W536" i="16"/>
  <c r="W535" i="16"/>
  <c r="S535" i="16"/>
  <c r="W534" i="16"/>
  <c r="S534" i="16"/>
  <c r="W533" i="16"/>
  <c r="S533" i="16"/>
  <c r="W532" i="16"/>
  <c r="S532" i="16"/>
  <c r="W531" i="16"/>
  <c r="S531" i="16"/>
  <c r="W530" i="16"/>
  <c r="S530" i="16"/>
  <c r="W529" i="16"/>
  <c r="S529" i="16"/>
  <c r="W528" i="16"/>
  <c r="S528" i="16"/>
  <c r="W527" i="16"/>
  <c r="S527" i="16"/>
  <c r="W526" i="16"/>
  <c r="S526" i="16"/>
  <c r="W525" i="16"/>
  <c r="S525" i="16"/>
  <c r="W524" i="16"/>
  <c r="S524" i="16"/>
  <c r="W523" i="16"/>
  <c r="S523" i="16"/>
  <c r="W522" i="16"/>
  <c r="S522" i="16"/>
  <c r="W521" i="16"/>
  <c r="S521" i="16"/>
  <c r="W520" i="16"/>
  <c r="S520" i="16"/>
  <c r="W519" i="16"/>
  <c r="S519" i="16"/>
  <c r="W518" i="16"/>
  <c r="S518" i="16"/>
  <c r="W517" i="16"/>
  <c r="S517" i="16"/>
  <c r="W516" i="16"/>
  <c r="S516" i="16"/>
  <c r="W515" i="16"/>
  <c r="S515" i="16"/>
  <c r="W514" i="16"/>
  <c r="S514" i="16"/>
  <c r="W513" i="16"/>
  <c r="S513" i="16"/>
  <c r="W512" i="16"/>
  <c r="S512" i="16"/>
  <c r="W511" i="16"/>
  <c r="S511" i="16"/>
  <c r="W510" i="16"/>
  <c r="S510" i="16"/>
  <c r="W509" i="16"/>
  <c r="S509" i="16"/>
  <c r="W508" i="16"/>
  <c r="S508" i="16"/>
  <c r="AL507" i="16"/>
  <c r="AF507" i="16"/>
  <c r="AC507" i="16"/>
  <c r="S507" i="16"/>
  <c r="AI506" i="16"/>
  <c r="AF506" i="16"/>
  <c r="AC506" i="16"/>
  <c r="S506" i="16"/>
  <c r="AL505" i="16"/>
  <c r="AI505" i="16"/>
  <c r="AC505" i="16"/>
  <c r="S505" i="16"/>
  <c r="AL504" i="16"/>
  <c r="AC504" i="16"/>
  <c r="S504" i="16"/>
  <c r="AI503" i="16"/>
  <c r="AF503" i="16"/>
  <c r="AC503" i="16"/>
  <c r="S503" i="16"/>
  <c r="AL502" i="16"/>
  <c r="AI502" i="16"/>
  <c r="AC502" i="16"/>
  <c r="S502" i="16"/>
  <c r="AL501" i="16"/>
  <c r="AI501" i="16"/>
  <c r="AC501" i="16"/>
  <c r="S501" i="16"/>
  <c r="AL500" i="16"/>
  <c r="AI500" i="16"/>
  <c r="AC500" i="16"/>
  <c r="S500" i="16"/>
  <c r="S499" i="16"/>
  <c r="S498" i="16"/>
  <c r="S497" i="16"/>
  <c r="S496" i="16"/>
  <c r="S495" i="16"/>
  <c r="S494" i="16"/>
  <c r="S493" i="16"/>
  <c r="S492" i="16"/>
  <c r="S491" i="16"/>
  <c r="S490" i="16"/>
  <c r="S489" i="16"/>
  <c r="S488" i="16"/>
  <c r="S487" i="16"/>
  <c r="S486" i="16"/>
  <c r="S485" i="16"/>
  <c r="S484" i="16"/>
  <c r="W483" i="16"/>
  <c r="S483" i="16"/>
  <c r="W482" i="16"/>
  <c r="S482" i="16"/>
  <c r="W481" i="16"/>
  <c r="S481" i="16"/>
  <c r="W480" i="16"/>
  <c r="S480" i="16"/>
  <c r="W479" i="16"/>
  <c r="S479" i="16"/>
  <c r="W478" i="16"/>
  <c r="S478" i="16"/>
  <c r="W477" i="16"/>
  <c r="S477" i="16"/>
  <c r="W476" i="16"/>
  <c r="S476" i="16"/>
  <c r="W475" i="16"/>
  <c r="S475" i="16"/>
  <c r="W474" i="16"/>
  <c r="S474" i="16"/>
  <c r="W473" i="16"/>
  <c r="AK472" i="16"/>
  <c r="AC472" i="16"/>
  <c r="AB472" i="16"/>
  <c r="W472" i="16"/>
  <c r="S472" i="16"/>
  <c r="W471" i="16"/>
  <c r="S471" i="16"/>
  <c r="I471" i="16"/>
  <c r="W470" i="16"/>
  <c r="S470" i="16"/>
  <c r="I470" i="16"/>
  <c r="W469" i="16"/>
  <c r="S469" i="16"/>
  <c r="I469" i="16"/>
  <c r="W468" i="16"/>
  <c r="S468" i="16"/>
  <c r="I468" i="16"/>
  <c r="W467" i="16"/>
  <c r="S467" i="16"/>
  <c r="I467" i="16"/>
  <c r="W466" i="16"/>
  <c r="S466" i="16"/>
  <c r="I466" i="16"/>
  <c r="W465" i="16"/>
  <c r="S465" i="16"/>
  <c r="I465" i="16"/>
  <c r="W464" i="16"/>
  <c r="S464" i="16"/>
  <c r="I464" i="16"/>
  <c r="AT461" i="16"/>
  <c r="AS461" i="16"/>
  <c r="AO461" i="16"/>
  <c r="AN461" i="16"/>
  <c r="W461" i="16"/>
  <c r="S461" i="16"/>
  <c r="AT460" i="16"/>
  <c r="AS460" i="16"/>
  <c r="AO460" i="16"/>
  <c r="AN460" i="16"/>
  <c r="W460" i="16"/>
  <c r="S460" i="16"/>
  <c r="W459" i="16"/>
  <c r="S459" i="16"/>
  <c r="W458" i="16"/>
  <c r="S458" i="16"/>
  <c r="W457" i="16"/>
  <c r="S457" i="16"/>
  <c r="W456" i="16"/>
  <c r="S456" i="16"/>
  <c r="W455" i="16"/>
  <c r="S455" i="16"/>
  <c r="W454" i="16"/>
  <c r="S454" i="16"/>
  <c r="W453" i="16"/>
  <c r="S453" i="16"/>
  <c r="W452" i="16"/>
  <c r="S452" i="16"/>
  <c r="W451" i="16"/>
  <c r="S451" i="16"/>
  <c r="W450" i="16"/>
  <c r="S450" i="16"/>
  <c r="W449" i="16"/>
  <c r="S449" i="16"/>
  <c r="W448" i="16"/>
  <c r="S448" i="16"/>
  <c r="W447" i="16"/>
  <c r="S447" i="16"/>
  <c r="W446" i="16"/>
  <c r="S446" i="16"/>
  <c r="W445" i="16"/>
  <c r="S445" i="16"/>
  <c r="W444" i="16"/>
  <c r="S444" i="16"/>
  <c r="W443" i="16"/>
  <c r="S443" i="16"/>
  <c r="W442" i="16"/>
  <c r="S442" i="16"/>
  <c r="W441" i="16"/>
  <c r="S441" i="16"/>
  <c r="W440" i="16"/>
  <c r="S440" i="16"/>
  <c r="W439" i="16"/>
  <c r="S439" i="16"/>
  <c r="W438" i="16"/>
  <c r="S438" i="16"/>
  <c r="W437" i="16"/>
  <c r="S437" i="16"/>
  <c r="W436" i="16"/>
  <c r="S436" i="16"/>
  <c r="W435" i="16"/>
  <c r="S435" i="16"/>
  <c r="W434" i="16"/>
  <c r="S434" i="16"/>
  <c r="W433" i="16"/>
  <c r="S433" i="16"/>
  <c r="W432" i="16"/>
  <c r="S432" i="16"/>
  <c r="W431" i="16"/>
  <c r="S431" i="16"/>
  <c r="W430" i="16"/>
  <c r="S430" i="16"/>
  <c r="AT429" i="16"/>
  <c r="AS429" i="16"/>
  <c r="AO429" i="16"/>
  <c r="AN429" i="16"/>
  <c r="W429" i="16"/>
  <c r="S429" i="16"/>
  <c r="AT428" i="16"/>
  <c r="AS428" i="16"/>
  <c r="AO428" i="16"/>
  <c r="AN428" i="16"/>
  <c r="W428" i="16"/>
  <c r="S428" i="16"/>
  <c r="AT427" i="16"/>
  <c r="AS427" i="16"/>
  <c r="AO427" i="16"/>
  <c r="AN427" i="16"/>
  <c r="W427" i="16"/>
  <c r="S427" i="16"/>
  <c r="W426" i="16"/>
  <c r="S426" i="16"/>
  <c r="W425" i="16"/>
  <c r="S425" i="16"/>
  <c r="W424" i="16"/>
  <c r="S424" i="16"/>
  <c r="W423" i="16"/>
  <c r="S423" i="16"/>
  <c r="W422" i="16"/>
  <c r="S422" i="16"/>
  <c r="W421" i="16"/>
  <c r="S421" i="16"/>
  <c r="W420" i="16"/>
  <c r="S420" i="16"/>
  <c r="W419" i="16"/>
  <c r="S419" i="16"/>
  <c r="W418" i="16"/>
  <c r="S418" i="16"/>
  <c r="W417" i="16"/>
  <c r="S417" i="16"/>
  <c r="AT416" i="16"/>
  <c r="AS416" i="16"/>
  <c r="AO416" i="16"/>
  <c r="AN416" i="16"/>
  <c r="W416" i="16"/>
  <c r="S416" i="16"/>
  <c r="AT415" i="16"/>
  <c r="AS415" i="16"/>
  <c r="AO415" i="16"/>
  <c r="AN415" i="16"/>
  <c r="W415" i="16"/>
  <c r="S415" i="16"/>
  <c r="AC414" i="16"/>
  <c r="AF414" i="16"/>
  <c r="AL414" i="16"/>
  <c r="AS414" i="16"/>
  <c r="AK414" i="16"/>
  <c r="AE414" i="16"/>
  <c r="AB414" i="16"/>
  <c r="AI414" i="16"/>
  <c r="AH414" i="16"/>
  <c r="W414" i="16"/>
  <c r="AC413" i="16"/>
  <c r="AF413" i="16"/>
  <c r="AL413" i="16"/>
  <c r="AS413" i="16"/>
  <c r="AK413" i="16"/>
  <c r="AE413" i="16"/>
  <c r="AB413" i="16"/>
  <c r="AI413" i="16"/>
  <c r="AH413" i="16"/>
  <c r="W413" i="16"/>
  <c r="AC412" i="16"/>
  <c r="AF412" i="16"/>
  <c r="AL412" i="16"/>
  <c r="AS412" i="16"/>
  <c r="AK412" i="16"/>
  <c r="AB412" i="16"/>
  <c r="AN412" i="16" s="1"/>
  <c r="AI412" i="16"/>
  <c r="AH412" i="16"/>
  <c r="W412" i="16"/>
  <c r="AC411" i="16"/>
  <c r="AF411" i="16"/>
  <c r="AL411" i="16"/>
  <c r="AS411" i="16"/>
  <c r="AK411" i="16"/>
  <c r="AE411" i="16"/>
  <c r="AB411" i="16"/>
  <c r="AI411" i="16"/>
  <c r="AH411" i="16"/>
  <c r="W411" i="16"/>
  <c r="AT410" i="16"/>
  <c r="AS410" i="16"/>
  <c r="AO410" i="16"/>
  <c r="AN410" i="16"/>
  <c r="W410" i="16"/>
  <c r="S410" i="16"/>
  <c r="AC409" i="16"/>
  <c r="AL409" i="16"/>
  <c r="AS409" i="16"/>
  <c r="AK409" i="16"/>
  <c r="AE409" i="16"/>
  <c r="AB409" i="16"/>
  <c r="AI409" i="16"/>
  <c r="AH409" i="16"/>
  <c r="W409" i="16"/>
  <c r="S409" i="16"/>
  <c r="AT408" i="16"/>
  <c r="AS408" i="16"/>
  <c r="AO408" i="16"/>
  <c r="AN408" i="16"/>
  <c r="W408" i="16"/>
  <c r="J408" i="16"/>
  <c r="K408" i="16" s="1"/>
  <c r="AT407" i="16"/>
  <c r="AS407" i="16"/>
  <c r="AO407" i="16"/>
  <c r="AN407" i="16"/>
  <c r="W407" i="16"/>
  <c r="J407" i="16"/>
  <c r="K407" i="16" s="1"/>
  <c r="AT406" i="16"/>
  <c r="AS406" i="16"/>
  <c r="AO406" i="16"/>
  <c r="AN406" i="16"/>
  <c r="W406" i="16"/>
  <c r="J406" i="16"/>
  <c r="K406" i="16" s="1"/>
  <c r="AT405" i="16"/>
  <c r="AS405" i="16"/>
  <c r="AO405" i="16"/>
  <c r="AN405" i="16"/>
  <c r="W405" i="16"/>
  <c r="I405" i="16"/>
  <c r="J405" i="16" s="1"/>
  <c r="K405" i="16" s="1"/>
  <c r="AT404" i="16"/>
  <c r="AS404" i="16"/>
  <c r="AO404" i="16"/>
  <c r="AN404" i="16"/>
  <c r="W404" i="16"/>
  <c r="I404" i="16"/>
  <c r="J404" i="16" s="1"/>
  <c r="K404" i="16" s="1"/>
  <c r="AT403" i="16"/>
  <c r="AS403" i="16"/>
  <c r="AO403" i="16"/>
  <c r="AN403" i="16"/>
  <c r="W403" i="16"/>
  <c r="I403" i="16"/>
  <c r="J403" i="16" s="1"/>
  <c r="K403" i="16" s="1"/>
  <c r="AT402" i="16"/>
  <c r="AS402" i="16"/>
  <c r="AO402" i="16"/>
  <c r="AN402" i="16"/>
  <c r="W402" i="16"/>
  <c r="I402" i="16"/>
  <c r="J402" i="16" s="1"/>
  <c r="K402" i="16" s="1"/>
  <c r="AT401" i="16"/>
  <c r="AS401" i="16"/>
  <c r="AO401" i="16"/>
  <c r="AN401" i="16"/>
  <c r="W401" i="16"/>
  <c r="I401" i="16"/>
  <c r="J401" i="16" s="1"/>
  <c r="K401" i="16" s="1"/>
  <c r="AT400" i="16"/>
  <c r="AS400" i="16"/>
  <c r="AO400" i="16"/>
  <c r="AN400" i="16"/>
  <c r="W400" i="16"/>
  <c r="I400" i="16"/>
  <c r="J400" i="16" s="1"/>
  <c r="K400" i="16" s="1"/>
  <c r="AT399" i="16"/>
  <c r="AS399" i="16"/>
  <c r="AO399" i="16"/>
  <c r="AN399" i="16"/>
  <c r="W399" i="16"/>
  <c r="I399" i="16"/>
  <c r="J399" i="16" s="1"/>
  <c r="K399" i="16" s="1"/>
  <c r="AT398" i="16"/>
  <c r="AS398" i="16"/>
  <c r="AO398" i="16"/>
  <c r="AN398" i="16"/>
  <c r="W398" i="16"/>
  <c r="I398" i="16"/>
  <c r="J398" i="16" s="1"/>
  <c r="K398" i="16" s="1"/>
  <c r="AT397" i="16"/>
  <c r="AS397" i="16"/>
  <c r="AO397" i="16"/>
  <c r="AN397" i="16"/>
  <c r="W397" i="16"/>
  <c r="I397" i="16"/>
  <c r="J397" i="16" s="1"/>
  <c r="K397" i="16" s="1"/>
  <c r="AT396" i="16"/>
  <c r="AS396" i="16"/>
  <c r="AO396" i="16"/>
  <c r="AN396" i="16"/>
  <c r="W396" i="16"/>
  <c r="I396" i="16"/>
  <c r="J396" i="16" s="1"/>
  <c r="K396" i="16" s="1"/>
  <c r="AT395" i="16"/>
  <c r="AS395" i="16"/>
  <c r="AO395" i="16"/>
  <c r="AN395" i="16"/>
  <c r="W395" i="16"/>
  <c r="I395" i="16"/>
  <c r="J395" i="16" s="1"/>
  <c r="K395" i="16" s="1"/>
  <c r="AT394" i="16"/>
  <c r="AO394" i="16"/>
  <c r="AN394" i="16"/>
  <c r="W394" i="16"/>
  <c r="J394" i="16"/>
  <c r="K394" i="16" s="1"/>
  <c r="AO393" i="16"/>
  <c r="AN393" i="16"/>
  <c r="W393" i="16"/>
  <c r="J393" i="16"/>
  <c r="K393" i="16" s="1"/>
  <c r="AT392" i="16"/>
  <c r="AS392" i="16"/>
  <c r="AO392" i="16"/>
  <c r="AN392" i="16"/>
  <c r="W392" i="16"/>
  <c r="I392" i="16"/>
  <c r="J392" i="16" s="1"/>
  <c r="K392" i="16" s="1"/>
  <c r="AT391" i="16"/>
  <c r="AS391" i="16"/>
  <c r="AO391" i="16"/>
  <c r="AN391" i="16"/>
  <c r="W391" i="16"/>
  <c r="I391" i="16"/>
  <c r="J391" i="16" s="1"/>
  <c r="K391" i="16" s="1"/>
  <c r="AT390" i="16"/>
  <c r="AS390" i="16"/>
  <c r="AO390" i="16"/>
  <c r="AN390" i="16"/>
  <c r="W390" i="16"/>
  <c r="I390" i="16"/>
  <c r="J390" i="16" s="1"/>
  <c r="K390" i="16" s="1"/>
  <c r="AT389" i="16"/>
  <c r="AS389" i="16"/>
  <c r="AO389" i="16"/>
  <c r="AN389" i="16"/>
  <c r="W389" i="16"/>
  <c r="I389" i="16"/>
  <c r="J389" i="16" s="1"/>
  <c r="K389" i="16" s="1"/>
  <c r="AO388" i="16"/>
  <c r="AN388" i="16"/>
  <c r="W388" i="16"/>
  <c r="I388" i="16"/>
  <c r="J388" i="16" s="1"/>
  <c r="K388" i="16" s="1"/>
  <c r="AT387" i="16"/>
  <c r="AS387" i="16"/>
  <c r="AO387" i="16"/>
  <c r="AN387" i="16"/>
  <c r="W387" i="16"/>
  <c r="I387" i="16"/>
  <c r="J387" i="16" s="1"/>
  <c r="K387" i="16" s="1"/>
  <c r="AT386" i="16"/>
  <c r="AS386" i="16"/>
  <c r="AO386" i="16"/>
  <c r="AN386" i="16"/>
  <c r="W386" i="16"/>
  <c r="I386" i="16"/>
  <c r="J386" i="16" s="1"/>
  <c r="K386" i="16" s="1"/>
  <c r="AT385" i="16"/>
  <c r="AS385" i="16"/>
  <c r="AO385" i="16"/>
  <c r="AN385" i="16"/>
  <c r="W385" i="16"/>
  <c r="I385" i="16"/>
  <c r="J385" i="16" s="1"/>
  <c r="K385" i="16" s="1"/>
  <c r="W384" i="16"/>
  <c r="I384" i="16"/>
  <c r="J384" i="16" s="1"/>
  <c r="K384" i="16" s="1"/>
  <c r="AT383" i="16"/>
  <c r="AS383" i="16"/>
  <c r="AO383" i="16"/>
  <c r="AN383" i="16"/>
  <c r="W383" i="16"/>
  <c r="I383" i="16"/>
  <c r="J383" i="16" s="1"/>
  <c r="K383" i="16" s="1"/>
  <c r="AO382" i="16"/>
  <c r="AN382" i="16"/>
  <c r="W382" i="16"/>
  <c r="J382" i="16"/>
  <c r="K382" i="16" s="1"/>
  <c r="S381" i="16"/>
  <c r="I381" i="16"/>
  <c r="J381" i="16" s="1"/>
  <c r="K381" i="16" s="1"/>
  <c r="AT380" i="16"/>
  <c r="AS380" i="16"/>
  <c r="AO380" i="16"/>
  <c r="AN380" i="16"/>
  <c r="S380" i="16"/>
  <c r="I380" i="16"/>
  <c r="J380" i="16" s="1"/>
  <c r="K380" i="16" s="1"/>
  <c r="AC379" i="16"/>
  <c r="AF379" i="16"/>
  <c r="AL379" i="16"/>
  <c r="AS379" i="16"/>
  <c r="AK379" i="16"/>
  <c r="AE379" i="16"/>
  <c r="AB379" i="16"/>
  <c r="AI379" i="16"/>
  <c r="AH379" i="16"/>
  <c r="S379" i="16"/>
  <c r="I379" i="16"/>
  <c r="J379" i="16" s="1"/>
  <c r="K379" i="16" s="1"/>
  <c r="S378" i="16"/>
  <c r="I378" i="16"/>
  <c r="J378" i="16" s="1"/>
  <c r="K378" i="16" s="1"/>
  <c r="AT377" i="16"/>
  <c r="AS377" i="16"/>
  <c r="AO377" i="16"/>
  <c r="AN377" i="16"/>
  <c r="S377" i="16"/>
  <c r="I377" i="16"/>
  <c r="J377" i="16" s="1"/>
  <c r="K377" i="16" s="1"/>
  <c r="AT376" i="16"/>
  <c r="AS376" i="16"/>
  <c r="AO376" i="16"/>
  <c r="AN376" i="16"/>
  <c r="S376" i="16"/>
  <c r="I376" i="16"/>
  <c r="J376" i="16" s="1"/>
  <c r="K376" i="16" s="1"/>
  <c r="AT375" i="16"/>
  <c r="AS375" i="16"/>
  <c r="AO375" i="16"/>
  <c r="AN375" i="16"/>
  <c r="S375" i="16"/>
  <c r="I375" i="16"/>
  <c r="J375" i="16" s="1"/>
  <c r="K375" i="16" s="1"/>
  <c r="AT374" i="16"/>
  <c r="AS374" i="16"/>
  <c r="AO374" i="16"/>
  <c r="AN374" i="16"/>
  <c r="S374" i="16"/>
  <c r="I374" i="16"/>
  <c r="J374" i="16" s="1"/>
  <c r="K374" i="16" s="1"/>
  <c r="AT373" i="16"/>
  <c r="AS373" i="16"/>
  <c r="AO373" i="16"/>
  <c r="AN373" i="16"/>
  <c r="S373" i="16"/>
  <c r="I373" i="16"/>
  <c r="J373" i="16" s="1"/>
  <c r="K373" i="16" s="1"/>
  <c r="AT372" i="16"/>
  <c r="AS372" i="16"/>
  <c r="AO372" i="16"/>
  <c r="AN372" i="16"/>
  <c r="S372" i="16"/>
  <c r="J372" i="16"/>
  <c r="K372" i="16" s="1"/>
  <c r="AT371" i="16"/>
  <c r="AS371" i="16"/>
  <c r="AO371" i="16"/>
  <c r="AN371" i="16"/>
  <c r="S371" i="16"/>
  <c r="I371" i="16"/>
  <c r="J371" i="16" s="1"/>
  <c r="K371" i="16" s="1"/>
  <c r="AT370" i="16"/>
  <c r="AS370" i="16"/>
  <c r="AO370" i="16"/>
  <c r="AN370" i="16"/>
  <c r="S370" i="16"/>
  <c r="I370" i="16"/>
  <c r="J370" i="16" s="1"/>
  <c r="K370" i="16" s="1"/>
  <c r="S369" i="16"/>
  <c r="I369" i="16"/>
  <c r="J369" i="16" s="1"/>
  <c r="K369" i="16" s="1"/>
  <c r="S368" i="16"/>
  <c r="I368" i="16"/>
  <c r="J368" i="16" s="1"/>
  <c r="K368" i="16" s="1"/>
  <c r="S367" i="16"/>
  <c r="I367" i="16"/>
  <c r="J367" i="16" s="1"/>
  <c r="K367" i="16" s="1"/>
  <c r="AT366" i="16"/>
  <c r="AS366" i="16"/>
  <c r="S366" i="16"/>
  <c r="I366" i="16"/>
  <c r="J366" i="16" s="1"/>
  <c r="K366" i="16" s="1"/>
  <c r="AT365" i="16"/>
  <c r="AS365" i="16"/>
  <c r="AO365" i="16"/>
  <c r="AN365" i="16"/>
  <c r="S365" i="16"/>
  <c r="I365" i="16"/>
  <c r="J365" i="16" s="1"/>
  <c r="K365" i="16" s="1"/>
  <c r="AT364" i="16"/>
  <c r="AS364" i="16"/>
  <c r="AO364" i="16"/>
  <c r="AN364" i="16"/>
  <c r="S364" i="16"/>
  <c r="I364" i="16"/>
  <c r="J364" i="16" s="1"/>
  <c r="K364" i="16" s="1"/>
  <c r="AT363" i="16"/>
  <c r="AS363" i="16"/>
  <c r="AO363" i="16"/>
  <c r="AN363" i="16"/>
  <c r="S363" i="16"/>
  <c r="I363" i="16"/>
  <c r="J363" i="16" s="1"/>
  <c r="K363" i="16" s="1"/>
  <c r="AT362" i="16"/>
  <c r="AS362" i="16"/>
  <c r="AO362" i="16"/>
  <c r="AN362" i="16"/>
  <c r="S362" i="16"/>
  <c r="I362" i="16"/>
  <c r="J362" i="16" s="1"/>
  <c r="K362" i="16" s="1"/>
  <c r="AT361" i="16"/>
  <c r="AS361" i="16"/>
  <c r="AO361" i="16"/>
  <c r="AN361" i="16"/>
  <c r="S361" i="16"/>
  <c r="J361" i="16"/>
  <c r="K361" i="16" s="1"/>
  <c r="AT360" i="16"/>
  <c r="AS360" i="16"/>
  <c r="AO360" i="16"/>
  <c r="AN360" i="16"/>
  <c r="S360" i="16"/>
  <c r="J360" i="16"/>
  <c r="K360" i="16" s="1"/>
  <c r="AT359" i="16"/>
  <c r="AS359" i="16"/>
  <c r="AO359" i="16"/>
  <c r="AN359" i="16"/>
  <c r="S359" i="16"/>
  <c r="J359" i="16"/>
  <c r="K359" i="16" s="1"/>
  <c r="AT358" i="16"/>
  <c r="AS358" i="16"/>
  <c r="AO358" i="16"/>
  <c r="AN358" i="16"/>
  <c r="S358" i="16"/>
  <c r="I358" i="16"/>
  <c r="J358" i="16" s="1"/>
  <c r="K358" i="16" s="1"/>
  <c r="AT357" i="16"/>
  <c r="AS357" i="16"/>
  <c r="AO357" i="16"/>
  <c r="AN357" i="16"/>
  <c r="S357" i="16"/>
  <c r="I357" i="16"/>
  <c r="J357" i="16" s="1"/>
  <c r="K357" i="16" s="1"/>
  <c r="I356" i="16"/>
  <c r="J356" i="16" s="1"/>
  <c r="K356" i="16" s="1"/>
  <c r="W355" i="16"/>
  <c r="I355" i="16"/>
  <c r="J355" i="16" s="1"/>
  <c r="K355" i="16" s="1"/>
  <c r="W354" i="16"/>
  <c r="I354" i="16"/>
  <c r="J354" i="16" s="1"/>
  <c r="K354" i="16" s="1"/>
  <c r="W353" i="16"/>
  <c r="I353" i="16"/>
  <c r="J353" i="16" s="1"/>
  <c r="K353" i="16" s="1"/>
  <c r="W352" i="16"/>
  <c r="I352" i="16"/>
  <c r="J352" i="16" s="1"/>
  <c r="K352" i="16" s="1"/>
  <c r="W351" i="16"/>
  <c r="I351" i="16"/>
  <c r="J351" i="16" s="1"/>
  <c r="K351" i="16" s="1"/>
  <c r="W350" i="16"/>
  <c r="I350" i="16"/>
  <c r="J350" i="16" s="1"/>
  <c r="K350" i="16" s="1"/>
  <c r="AO349" i="16"/>
  <c r="AN349" i="16"/>
  <c r="W349" i="16"/>
  <c r="S349" i="16"/>
  <c r="I349" i="16"/>
  <c r="J349" i="16" s="1"/>
  <c r="K349" i="16" s="1"/>
  <c r="AO348" i="16"/>
  <c r="AN348" i="16"/>
  <c r="W348" i="16"/>
  <c r="S348" i="16"/>
  <c r="I348" i="16"/>
  <c r="J348" i="16"/>
  <c r="K348" i="16" s="1"/>
  <c r="AT340" i="16"/>
  <c r="AS340" i="16"/>
  <c r="AO340" i="16"/>
  <c r="AP340" i="16" s="1"/>
  <c r="AQ340" i="16" s="1"/>
  <c r="AR340" i="16" s="1"/>
  <c r="AN340" i="16"/>
  <c r="W340" i="16"/>
  <c r="S340" i="16"/>
  <c r="I340" i="16"/>
  <c r="J340" i="16" s="1"/>
  <c r="K340" i="16" s="1"/>
  <c r="AT339" i="16"/>
  <c r="AS339" i="16"/>
  <c r="AO339" i="16"/>
  <c r="AP339" i="16" s="1"/>
  <c r="AQ339" i="16" s="1"/>
  <c r="AR339" i="16" s="1"/>
  <c r="AN339" i="16"/>
  <c r="W339" i="16"/>
  <c r="I339" i="16"/>
  <c r="J339" i="16" s="1"/>
  <c r="K339" i="16" s="1"/>
  <c r="AT338" i="16"/>
  <c r="AS338" i="16"/>
  <c r="AO338" i="16"/>
  <c r="AP338" i="16" s="1"/>
  <c r="AQ338" i="16" s="1"/>
  <c r="AR338" i="16" s="1"/>
  <c r="AN338" i="16"/>
  <c r="W338" i="16"/>
  <c r="S338" i="16"/>
  <c r="I338" i="16"/>
  <c r="J338" i="16" s="1"/>
  <c r="K338" i="16" s="1"/>
  <c r="AT337" i="16"/>
  <c r="AS337" i="16"/>
  <c r="AO337" i="16"/>
  <c r="AP337" i="16" s="1"/>
  <c r="AQ337" i="16" s="1"/>
  <c r="AR337" i="16" s="1"/>
  <c r="AN337" i="16"/>
  <c r="W337" i="16"/>
  <c r="S337" i="16"/>
  <c r="I337" i="16"/>
  <c r="J337" i="16" s="1"/>
  <c r="K337" i="16" s="1"/>
  <c r="AT336" i="16"/>
  <c r="AS336" i="16"/>
  <c r="AO336" i="16"/>
  <c r="AP336" i="16" s="1"/>
  <c r="AQ336" i="16" s="1"/>
  <c r="AR336" i="16" s="1"/>
  <c r="AN336" i="16"/>
  <c r="W336" i="16"/>
  <c r="S336" i="16"/>
  <c r="I336" i="16"/>
  <c r="J336" i="16" s="1"/>
  <c r="K336" i="16" s="1"/>
  <c r="AT335" i="16"/>
  <c r="AS335" i="16"/>
  <c r="AO335" i="16"/>
  <c r="AP335" i="16" s="1"/>
  <c r="AQ335" i="16" s="1"/>
  <c r="AR335" i="16" s="1"/>
  <c r="AN335" i="16"/>
  <c r="W335" i="16"/>
  <c r="S335" i="16"/>
  <c r="I335" i="16"/>
  <c r="J335" i="16" s="1"/>
  <c r="K335" i="16" s="1"/>
  <c r="AT334" i="16"/>
  <c r="AS334" i="16"/>
  <c r="AO334" i="16"/>
  <c r="AP334" i="16" s="1"/>
  <c r="AQ334" i="16" s="1"/>
  <c r="AR334" i="16" s="1"/>
  <c r="AN334" i="16"/>
  <c r="W334" i="16"/>
  <c r="S334" i="16"/>
  <c r="I334" i="16"/>
  <c r="J334" i="16" s="1"/>
  <c r="K334" i="16" s="1"/>
  <c r="AT333" i="16"/>
  <c r="AS333" i="16"/>
  <c r="AO333" i="16"/>
  <c r="AP333" i="16" s="1"/>
  <c r="AQ333" i="16" s="1"/>
  <c r="AR333" i="16" s="1"/>
  <c r="AN333" i="16"/>
  <c r="W333" i="16"/>
  <c r="S333" i="16"/>
  <c r="I333" i="16"/>
  <c r="J333" i="16" s="1"/>
  <c r="K333" i="16" s="1"/>
  <c r="AT332" i="16"/>
  <c r="AS332" i="16"/>
  <c r="AO332" i="16"/>
  <c r="AP332" i="16" s="1"/>
  <c r="AQ332" i="16" s="1"/>
  <c r="AR332" i="16" s="1"/>
  <c r="AN332" i="16"/>
  <c r="W332" i="16"/>
  <c r="S332" i="16"/>
  <c r="I332" i="16"/>
  <c r="J332" i="16" s="1"/>
  <c r="K332" i="16" s="1"/>
  <c r="AT331" i="16"/>
  <c r="AS331" i="16"/>
  <c r="AO331" i="16"/>
  <c r="AP331" i="16" s="1"/>
  <c r="AQ331" i="16" s="1"/>
  <c r="AR331" i="16" s="1"/>
  <c r="AN331" i="16"/>
  <c r="W331" i="16"/>
  <c r="S331" i="16"/>
  <c r="I331" i="16"/>
  <c r="J331" i="16" s="1"/>
  <c r="K331" i="16" s="1"/>
  <c r="AT330" i="16"/>
  <c r="AS330" i="16"/>
  <c r="AO330" i="16"/>
  <c r="AP330" i="16" s="1"/>
  <c r="AQ330" i="16" s="1"/>
  <c r="AR330" i="16" s="1"/>
  <c r="AN330" i="16"/>
  <c r="W330" i="16"/>
  <c r="S330" i="16"/>
  <c r="I330" i="16"/>
  <c r="J330" i="16" s="1"/>
  <c r="K330" i="16" s="1"/>
  <c r="AT329" i="16"/>
  <c r="AS329" i="16"/>
  <c r="AO329" i="16"/>
  <c r="AP329" i="16" s="1"/>
  <c r="AQ329" i="16" s="1"/>
  <c r="AR329" i="16" s="1"/>
  <c r="AN329" i="16"/>
  <c r="W329" i="16"/>
  <c r="S329" i="16"/>
  <c r="I329" i="16"/>
  <c r="J329" i="16" s="1"/>
  <c r="K329" i="16" s="1"/>
  <c r="AT328" i="16"/>
  <c r="AS328" i="16"/>
  <c r="AO328" i="16"/>
  <c r="AP328" i="16" s="1"/>
  <c r="AQ328" i="16" s="1"/>
  <c r="AR328" i="16" s="1"/>
  <c r="AN328" i="16"/>
  <c r="W328" i="16"/>
  <c r="S328" i="16"/>
  <c r="I328" i="16"/>
  <c r="J328" i="16" s="1"/>
  <c r="K328" i="16" s="1"/>
  <c r="AT327" i="16"/>
  <c r="AS327" i="16"/>
  <c r="AO327" i="16"/>
  <c r="AP327" i="16" s="1"/>
  <c r="AQ327" i="16" s="1"/>
  <c r="AR327" i="16" s="1"/>
  <c r="AN327" i="16"/>
  <c r="W327" i="16"/>
  <c r="S327" i="16"/>
  <c r="I327" i="16"/>
  <c r="J327" i="16" s="1"/>
  <c r="K327" i="16" s="1"/>
  <c r="AT326" i="16"/>
  <c r="AS326" i="16"/>
  <c r="AO326" i="16"/>
  <c r="AP326" i="16" s="1"/>
  <c r="AQ326" i="16" s="1"/>
  <c r="AR326" i="16" s="1"/>
  <c r="AN326" i="16"/>
  <c r="W326" i="16"/>
  <c r="S326" i="16"/>
  <c r="I326" i="16"/>
  <c r="J326" i="16" s="1"/>
  <c r="K326" i="16" s="1"/>
  <c r="AT325" i="16"/>
  <c r="AS325" i="16"/>
  <c r="AO325" i="16"/>
  <c r="AP325" i="16" s="1"/>
  <c r="AQ325" i="16" s="1"/>
  <c r="AR325" i="16" s="1"/>
  <c r="AN325" i="16"/>
  <c r="W325" i="16"/>
  <c r="S325" i="16"/>
  <c r="I325" i="16"/>
  <c r="J325" i="16" s="1"/>
  <c r="K325" i="16" s="1"/>
  <c r="AT324" i="16"/>
  <c r="AS324" i="16"/>
  <c r="AO324" i="16"/>
  <c r="AP324" i="16" s="1"/>
  <c r="AQ324" i="16" s="1"/>
  <c r="AR324" i="16" s="1"/>
  <c r="AN324" i="16"/>
  <c r="W324" i="16"/>
  <c r="S324" i="16"/>
  <c r="I324" i="16"/>
  <c r="J324" i="16" s="1"/>
  <c r="K324" i="16" s="1"/>
  <c r="AT323" i="16"/>
  <c r="AS323" i="16"/>
  <c r="AO323" i="16"/>
  <c r="AP323" i="16" s="1"/>
  <c r="AQ323" i="16" s="1"/>
  <c r="AR323" i="16" s="1"/>
  <c r="AN323" i="16"/>
  <c r="W323" i="16"/>
  <c r="S323" i="16"/>
  <c r="I323" i="16"/>
  <c r="J323" i="16" s="1"/>
  <c r="K323" i="16" s="1"/>
  <c r="AT322" i="16"/>
  <c r="AS322" i="16"/>
  <c r="AO322" i="16"/>
  <c r="AP322" i="16" s="1"/>
  <c r="AQ322" i="16" s="1"/>
  <c r="AR322" i="16" s="1"/>
  <c r="AN322" i="16"/>
  <c r="W322" i="16"/>
  <c r="S322" i="16"/>
  <c r="I322" i="16"/>
  <c r="J322" i="16" s="1"/>
  <c r="K322" i="16" s="1"/>
  <c r="AT321" i="16"/>
  <c r="AS321" i="16"/>
  <c r="AO321" i="16"/>
  <c r="AP321" i="16" s="1"/>
  <c r="AQ321" i="16" s="1"/>
  <c r="AR321" i="16" s="1"/>
  <c r="AN321" i="16"/>
  <c r="W321" i="16"/>
  <c r="S321" i="16"/>
  <c r="I321" i="16"/>
  <c r="J321" i="16"/>
  <c r="K321" i="16" s="1"/>
  <c r="AT320" i="16"/>
  <c r="AS320" i="16"/>
  <c r="AO320" i="16"/>
  <c r="AP320" i="16" s="1"/>
  <c r="AQ320" i="16" s="1"/>
  <c r="AR320" i="16" s="1"/>
  <c r="AN320" i="16"/>
  <c r="W320" i="16"/>
  <c r="S320" i="16"/>
  <c r="I320" i="16"/>
  <c r="J320" i="16" s="1"/>
  <c r="K320" i="16" s="1"/>
  <c r="AT319" i="16"/>
  <c r="AS319" i="16"/>
  <c r="AO319" i="16"/>
  <c r="AP319" i="16" s="1"/>
  <c r="AQ319" i="16" s="1"/>
  <c r="AR319" i="16" s="1"/>
  <c r="AN319" i="16"/>
  <c r="W319" i="16"/>
  <c r="S319" i="16"/>
  <c r="I319" i="16"/>
  <c r="J319" i="16" s="1"/>
  <c r="K319" i="16" s="1"/>
  <c r="AT318" i="16"/>
  <c r="AS318" i="16"/>
  <c r="AO318" i="16"/>
  <c r="AP318" i="16" s="1"/>
  <c r="AQ318" i="16" s="1"/>
  <c r="AR318" i="16" s="1"/>
  <c r="AN318" i="16"/>
  <c r="W318" i="16"/>
  <c r="S318" i="16"/>
  <c r="I318" i="16"/>
  <c r="J318" i="16" s="1"/>
  <c r="K318" i="16" s="1"/>
  <c r="AT317" i="16"/>
  <c r="AS317" i="16"/>
  <c r="AO317" i="16"/>
  <c r="AP317" i="16" s="1"/>
  <c r="AQ317" i="16" s="1"/>
  <c r="AR317" i="16" s="1"/>
  <c r="AN317" i="16"/>
  <c r="W317" i="16"/>
  <c r="S317" i="16"/>
  <c r="I317" i="16"/>
  <c r="J317" i="16" s="1"/>
  <c r="K317" i="16" s="1"/>
  <c r="AT316" i="16"/>
  <c r="AS316" i="16"/>
  <c r="AO316" i="16"/>
  <c r="AP316" i="16" s="1"/>
  <c r="AQ316" i="16" s="1"/>
  <c r="AR316" i="16" s="1"/>
  <c r="AN316" i="16"/>
  <c r="W316" i="16"/>
  <c r="S316" i="16"/>
  <c r="I316" i="16"/>
  <c r="J316" i="16" s="1"/>
  <c r="K316" i="16" s="1"/>
  <c r="AT315" i="16"/>
  <c r="AS315" i="16"/>
  <c r="AO315" i="16"/>
  <c r="AP315" i="16" s="1"/>
  <c r="AQ315" i="16" s="1"/>
  <c r="AR315" i="16" s="1"/>
  <c r="AN315" i="16"/>
  <c r="W315" i="16"/>
  <c r="S315" i="16"/>
  <c r="I315" i="16"/>
  <c r="J315" i="16" s="1"/>
  <c r="K315" i="16" s="1"/>
  <c r="AT314" i="16"/>
  <c r="AS314" i="16"/>
  <c r="AO314" i="16"/>
  <c r="AP314" i="16" s="1"/>
  <c r="AQ314" i="16" s="1"/>
  <c r="AR314" i="16" s="1"/>
  <c r="AN314" i="16"/>
  <c r="W314" i="16"/>
  <c r="S314" i="16"/>
  <c r="I314" i="16"/>
  <c r="J314" i="16" s="1"/>
  <c r="K314" i="16" s="1"/>
  <c r="AT313" i="16"/>
  <c r="AS313" i="16"/>
  <c r="AO313" i="16"/>
  <c r="AP313" i="16" s="1"/>
  <c r="AQ313" i="16" s="1"/>
  <c r="AR313" i="16" s="1"/>
  <c r="AN313" i="16"/>
  <c r="W313" i="16"/>
  <c r="S313" i="16"/>
  <c r="I313" i="16"/>
  <c r="J313" i="16" s="1"/>
  <c r="K313" i="16" s="1"/>
  <c r="AT312" i="16"/>
  <c r="AS312" i="16"/>
  <c r="AO312" i="16"/>
  <c r="AP312" i="16" s="1"/>
  <c r="AQ312" i="16" s="1"/>
  <c r="AR312" i="16" s="1"/>
  <c r="AN312" i="16"/>
  <c r="W312" i="16"/>
  <c r="S312" i="16"/>
  <c r="I312" i="16"/>
  <c r="J312" i="16" s="1"/>
  <c r="K312" i="16" s="1"/>
  <c r="AT311" i="16"/>
  <c r="AS311" i="16"/>
  <c r="AO311" i="16"/>
  <c r="AP311" i="16" s="1"/>
  <c r="AQ311" i="16" s="1"/>
  <c r="AR311" i="16" s="1"/>
  <c r="AN311" i="16"/>
  <c r="W311" i="16"/>
  <c r="S311" i="16"/>
  <c r="I311" i="16"/>
  <c r="J311" i="16" s="1"/>
  <c r="K311" i="16" s="1"/>
  <c r="AT310" i="16"/>
  <c r="AS310" i="16"/>
  <c r="AO310" i="16"/>
  <c r="AP310" i="16" s="1"/>
  <c r="AQ310" i="16" s="1"/>
  <c r="AR310" i="16" s="1"/>
  <c r="AN310" i="16"/>
  <c r="W310" i="16"/>
  <c r="S310" i="16"/>
  <c r="I310" i="16"/>
  <c r="J310" i="16" s="1"/>
  <c r="K310" i="16" s="1"/>
  <c r="AT309" i="16"/>
  <c r="AS309" i="16"/>
  <c r="AO309" i="16"/>
  <c r="AP309" i="16" s="1"/>
  <c r="AQ309" i="16" s="1"/>
  <c r="AR309" i="16" s="1"/>
  <c r="AN309" i="16"/>
  <c r="W309" i="16"/>
  <c r="S309" i="16"/>
  <c r="I309" i="16"/>
  <c r="J309" i="16" s="1"/>
  <c r="K309" i="16" s="1"/>
  <c r="AT308" i="16"/>
  <c r="AS308" i="16"/>
  <c r="AO308" i="16"/>
  <c r="AP308" i="16" s="1"/>
  <c r="AQ308" i="16" s="1"/>
  <c r="AR308" i="16" s="1"/>
  <c r="AN308" i="16"/>
  <c r="W308" i="16"/>
  <c r="S308" i="16"/>
  <c r="I308" i="16"/>
  <c r="J308" i="16" s="1"/>
  <c r="K308" i="16" s="1"/>
  <c r="AT307" i="16"/>
  <c r="AS307" i="16"/>
  <c r="AO307" i="16"/>
  <c r="AP307" i="16" s="1"/>
  <c r="AQ307" i="16" s="1"/>
  <c r="AR307" i="16" s="1"/>
  <c r="AN307" i="16"/>
  <c r="W307" i="16"/>
  <c r="S307" i="16"/>
  <c r="I307" i="16"/>
  <c r="J307" i="16" s="1"/>
  <c r="K307" i="16" s="1"/>
  <c r="AT306" i="16"/>
  <c r="AS306" i="16"/>
  <c r="AO306" i="16"/>
  <c r="AP306" i="16" s="1"/>
  <c r="AQ306" i="16" s="1"/>
  <c r="AR306" i="16" s="1"/>
  <c r="AN306" i="16"/>
  <c r="W306" i="16"/>
  <c r="S306" i="16"/>
  <c r="I306" i="16"/>
  <c r="J306" i="16" s="1"/>
  <c r="K306" i="16" s="1"/>
  <c r="AT305" i="16"/>
  <c r="AS305" i="16"/>
  <c r="AO305" i="16"/>
  <c r="AP305" i="16" s="1"/>
  <c r="AQ305" i="16" s="1"/>
  <c r="AR305" i="16" s="1"/>
  <c r="AN305" i="16"/>
  <c r="W305" i="16"/>
  <c r="S305" i="16"/>
  <c r="I305" i="16"/>
  <c r="J305" i="16" s="1"/>
  <c r="K305" i="16" s="1"/>
  <c r="AT304" i="16"/>
  <c r="AS304" i="16"/>
  <c r="AO304" i="16"/>
  <c r="AP304" i="16" s="1"/>
  <c r="AQ304" i="16" s="1"/>
  <c r="AR304" i="16" s="1"/>
  <c r="AN304" i="16"/>
  <c r="W304" i="16"/>
  <c r="S304" i="16"/>
  <c r="I304" i="16"/>
  <c r="J304" i="16" s="1"/>
  <c r="K304" i="16" s="1"/>
  <c r="AT303" i="16"/>
  <c r="AS303" i="16"/>
  <c r="AO303" i="16"/>
  <c r="AP303" i="16" s="1"/>
  <c r="AQ303" i="16" s="1"/>
  <c r="AR303" i="16" s="1"/>
  <c r="AN303" i="16"/>
  <c r="W303" i="16"/>
  <c r="S303" i="16"/>
  <c r="I303" i="16"/>
  <c r="J303" i="16" s="1"/>
  <c r="K303" i="16" s="1"/>
  <c r="AT302" i="16"/>
  <c r="AS302" i="16"/>
  <c r="AO302" i="16"/>
  <c r="AP302" i="16" s="1"/>
  <c r="AQ302" i="16" s="1"/>
  <c r="AR302" i="16" s="1"/>
  <c r="AN302" i="16"/>
  <c r="W302" i="16"/>
  <c r="S302" i="16"/>
  <c r="I302" i="16"/>
  <c r="J302" i="16" s="1"/>
  <c r="K302" i="16" s="1"/>
  <c r="AT301" i="16"/>
  <c r="AS301" i="16"/>
  <c r="AO301" i="16"/>
  <c r="AP301" i="16" s="1"/>
  <c r="AQ301" i="16" s="1"/>
  <c r="AR301" i="16" s="1"/>
  <c r="AN301" i="16"/>
  <c r="W301" i="16"/>
  <c r="S301" i="16"/>
  <c r="I301" i="16"/>
  <c r="J301" i="16" s="1"/>
  <c r="K301" i="16" s="1"/>
  <c r="AT300" i="16"/>
  <c r="AS300" i="16"/>
  <c r="AO300" i="16"/>
  <c r="AP300" i="16" s="1"/>
  <c r="AQ300" i="16" s="1"/>
  <c r="AR300" i="16" s="1"/>
  <c r="AN300" i="16"/>
  <c r="W300" i="16"/>
  <c r="S300" i="16"/>
  <c r="I300" i="16"/>
  <c r="J300" i="16" s="1"/>
  <c r="K300" i="16" s="1"/>
  <c r="AT299" i="16"/>
  <c r="AS299" i="16"/>
  <c r="AO299" i="16"/>
  <c r="AP299" i="16" s="1"/>
  <c r="AQ299" i="16" s="1"/>
  <c r="AR299" i="16" s="1"/>
  <c r="AN299" i="16"/>
  <c r="W299" i="16"/>
  <c r="S299" i="16"/>
  <c r="I299" i="16"/>
  <c r="J299" i="16" s="1"/>
  <c r="K299" i="16" s="1"/>
  <c r="AT298" i="16"/>
  <c r="AS298" i="16"/>
  <c r="AO298" i="16"/>
  <c r="AP298" i="16" s="1"/>
  <c r="AQ298" i="16" s="1"/>
  <c r="AR298" i="16" s="1"/>
  <c r="AN298" i="16"/>
  <c r="W298" i="16"/>
  <c r="S298" i="16"/>
  <c r="I298" i="16"/>
  <c r="J298" i="16" s="1"/>
  <c r="K298" i="16" s="1"/>
  <c r="AT297" i="16"/>
  <c r="AS297" i="16"/>
  <c r="AO297" i="16"/>
  <c r="AP297" i="16" s="1"/>
  <c r="AQ297" i="16" s="1"/>
  <c r="AR297" i="16" s="1"/>
  <c r="AN297" i="16"/>
  <c r="W297" i="16"/>
  <c r="S297" i="16"/>
  <c r="I297" i="16"/>
  <c r="J297" i="16" s="1"/>
  <c r="K297" i="16" s="1"/>
  <c r="AT296" i="16"/>
  <c r="AS296" i="16"/>
  <c r="AO296" i="16"/>
  <c r="AP296" i="16" s="1"/>
  <c r="AQ296" i="16" s="1"/>
  <c r="AR296" i="16" s="1"/>
  <c r="AN296" i="16"/>
  <c r="W296" i="16"/>
  <c r="S296" i="16"/>
  <c r="I296" i="16"/>
  <c r="J296" i="16" s="1"/>
  <c r="K296" i="16" s="1"/>
  <c r="AT295" i="16"/>
  <c r="AS295" i="16"/>
  <c r="AO295" i="16"/>
  <c r="AP295" i="16" s="1"/>
  <c r="AQ295" i="16" s="1"/>
  <c r="AR295" i="16" s="1"/>
  <c r="AN295" i="16"/>
  <c r="W295" i="16"/>
  <c r="S295" i="16"/>
  <c r="I295" i="16"/>
  <c r="J295" i="16" s="1"/>
  <c r="K295" i="16" s="1"/>
  <c r="AT294" i="16"/>
  <c r="AS294" i="16"/>
  <c r="AO294" i="16"/>
  <c r="AP294" i="16" s="1"/>
  <c r="AQ294" i="16" s="1"/>
  <c r="AR294" i="16" s="1"/>
  <c r="AN294" i="16"/>
  <c r="W294" i="16"/>
  <c r="S294" i="16"/>
  <c r="I294" i="16"/>
  <c r="J294" i="16" s="1"/>
  <c r="K294" i="16" s="1"/>
  <c r="AT293" i="16"/>
  <c r="AS293" i="16"/>
  <c r="AO293" i="16"/>
  <c r="AP293" i="16" s="1"/>
  <c r="AQ293" i="16" s="1"/>
  <c r="AR293" i="16" s="1"/>
  <c r="AN293" i="16"/>
  <c r="W293" i="16"/>
  <c r="S293" i="16"/>
  <c r="I293" i="16"/>
  <c r="J293" i="16" s="1"/>
  <c r="K293" i="16" s="1"/>
  <c r="AT292" i="16"/>
  <c r="AS292" i="16"/>
  <c r="AO292" i="16"/>
  <c r="AP292" i="16" s="1"/>
  <c r="AQ292" i="16" s="1"/>
  <c r="AR292" i="16" s="1"/>
  <c r="AN292" i="16"/>
  <c r="W292" i="16"/>
  <c r="S292" i="16"/>
  <c r="I292" i="16"/>
  <c r="J292" i="16" s="1"/>
  <c r="K292" i="16" s="1"/>
  <c r="AT291" i="16"/>
  <c r="AS291" i="16"/>
  <c r="AO291" i="16"/>
  <c r="AP291" i="16" s="1"/>
  <c r="AQ291" i="16" s="1"/>
  <c r="AR291" i="16" s="1"/>
  <c r="AN291" i="16"/>
  <c r="W291" i="16"/>
  <c r="S291" i="16"/>
  <c r="I291" i="16"/>
  <c r="J291" i="16" s="1"/>
  <c r="K291" i="16" s="1"/>
  <c r="AT290" i="16"/>
  <c r="AS290" i="16"/>
  <c r="AO290" i="16"/>
  <c r="AP290" i="16" s="1"/>
  <c r="AQ290" i="16" s="1"/>
  <c r="AR290" i="16" s="1"/>
  <c r="AN290" i="16"/>
  <c r="W290" i="16"/>
  <c r="S290" i="16"/>
  <c r="I290" i="16"/>
  <c r="J290" i="16" s="1"/>
  <c r="K290" i="16" s="1"/>
  <c r="AT289" i="16"/>
  <c r="AS289" i="16"/>
  <c r="AO289" i="16"/>
  <c r="AP289" i="16" s="1"/>
  <c r="AQ289" i="16" s="1"/>
  <c r="AR289" i="16" s="1"/>
  <c r="AN289" i="16"/>
  <c r="W289" i="16"/>
  <c r="S289" i="16"/>
  <c r="I289" i="16"/>
  <c r="J289" i="16" s="1"/>
  <c r="K289" i="16" s="1"/>
  <c r="AT288" i="16"/>
  <c r="AS288" i="16"/>
  <c r="AO288" i="16"/>
  <c r="AP288" i="16" s="1"/>
  <c r="AQ288" i="16" s="1"/>
  <c r="AR288" i="16" s="1"/>
  <c r="AN288" i="16"/>
  <c r="W288" i="16"/>
  <c r="S288" i="16"/>
  <c r="I288" i="16"/>
  <c r="J288" i="16" s="1"/>
  <c r="K288" i="16" s="1"/>
  <c r="AT287" i="16"/>
  <c r="AS287" i="16"/>
  <c r="AO287" i="16"/>
  <c r="AP287" i="16" s="1"/>
  <c r="AQ287" i="16" s="1"/>
  <c r="AR287" i="16" s="1"/>
  <c r="AN287" i="16"/>
  <c r="W287" i="16"/>
  <c r="S287" i="16"/>
  <c r="I287" i="16"/>
  <c r="J287" i="16" s="1"/>
  <c r="K287" i="16" s="1"/>
  <c r="AT286" i="16"/>
  <c r="AS286" i="16"/>
  <c r="AO286" i="16"/>
  <c r="AP286" i="16" s="1"/>
  <c r="AQ286" i="16" s="1"/>
  <c r="AR286" i="16" s="1"/>
  <c r="AN286" i="16"/>
  <c r="W286" i="16"/>
  <c r="S286" i="16"/>
  <c r="I286" i="16"/>
  <c r="J286" i="16" s="1"/>
  <c r="K286" i="16" s="1"/>
  <c r="AT285" i="16"/>
  <c r="AS285" i="16"/>
  <c r="AO285" i="16"/>
  <c r="AP285" i="16" s="1"/>
  <c r="AQ285" i="16" s="1"/>
  <c r="AR285" i="16" s="1"/>
  <c r="AN285" i="16"/>
  <c r="W285" i="16"/>
  <c r="S285" i="16"/>
  <c r="I285" i="16"/>
  <c r="J285" i="16" s="1"/>
  <c r="K285" i="16" s="1"/>
  <c r="AT284" i="16"/>
  <c r="AS284" i="16"/>
  <c r="AO284" i="16"/>
  <c r="AP284" i="16" s="1"/>
  <c r="AQ284" i="16" s="1"/>
  <c r="AR284" i="16" s="1"/>
  <c r="AN284" i="16"/>
  <c r="W284" i="16"/>
  <c r="S284" i="16"/>
  <c r="I284" i="16"/>
  <c r="J284" i="16" s="1"/>
  <c r="K284" i="16" s="1"/>
  <c r="AT283" i="16"/>
  <c r="AS283" i="16"/>
  <c r="AO283" i="16"/>
  <c r="AP283" i="16" s="1"/>
  <c r="AQ283" i="16" s="1"/>
  <c r="AR283" i="16" s="1"/>
  <c r="AN283" i="16"/>
  <c r="W283" i="16"/>
  <c r="S283" i="16"/>
  <c r="I283" i="16"/>
  <c r="J283" i="16" s="1"/>
  <c r="K283" i="16" s="1"/>
  <c r="AT282" i="16"/>
  <c r="AS282" i="16"/>
  <c r="AO282" i="16"/>
  <c r="AP282" i="16" s="1"/>
  <c r="AQ282" i="16" s="1"/>
  <c r="AR282" i="16" s="1"/>
  <c r="AN282" i="16"/>
  <c r="W282" i="16"/>
  <c r="S282" i="16"/>
  <c r="I282" i="16"/>
  <c r="J282" i="16" s="1"/>
  <c r="K282" i="16" s="1"/>
  <c r="AT281" i="16"/>
  <c r="AS281" i="16"/>
  <c r="AO281" i="16"/>
  <c r="AP281" i="16" s="1"/>
  <c r="AQ281" i="16" s="1"/>
  <c r="AR281" i="16" s="1"/>
  <c r="AN281" i="16"/>
  <c r="W281" i="16"/>
  <c r="S281" i="16"/>
  <c r="I281" i="16"/>
  <c r="J281" i="16" s="1"/>
  <c r="K281" i="16" s="1"/>
  <c r="AT280" i="16"/>
  <c r="AS280" i="16"/>
  <c r="AO280" i="16"/>
  <c r="AP280" i="16" s="1"/>
  <c r="AQ280" i="16" s="1"/>
  <c r="AR280" i="16" s="1"/>
  <c r="AN280" i="16"/>
  <c r="W280" i="16"/>
  <c r="S280" i="16"/>
  <c r="I280" i="16"/>
  <c r="J280" i="16" s="1"/>
  <c r="K280" i="16" s="1"/>
  <c r="AT279" i="16"/>
  <c r="AS279" i="16"/>
  <c r="AO279" i="16"/>
  <c r="AP279" i="16" s="1"/>
  <c r="AQ279" i="16" s="1"/>
  <c r="AR279" i="16" s="1"/>
  <c r="AN279" i="16"/>
  <c r="W279" i="16"/>
  <c r="S279" i="16"/>
  <c r="I279" i="16"/>
  <c r="J279" i="16" s="1"/>
  <c r="K279" i="16" s="1"/>
  <c r="AT278" i="16"/>
  <c r="AS278" i="16"/>
  <c r="AO278" i="16"/>
  <c r="AP278" i="16" s="1"/>
  <c r="AQ278" i="16" s="1"/>
  <c r="AR278" i="16" s="1"/>
  <c r="AN278" i="16"/>
  <c r="W278" i="16"/>
  <c r="S278" i="16"/>
  <c r="I278" i="16"/>
  <c r="J278" i="16" s="1"/>
  <c r="K278" i="16" s="1"/>
  <c r="AT277" i="16"/>
  <c r="AS277" i="16"/>
  <c r="AO277" i="16"/>
  <c r="AP277" i="16" s="1"/>
  <c r="AQ277" i="16" s="1"/>
  <c r="AR277" i="16" s="1"/>
  <c r="AN277" i="16"/>
  <c r="W277" i="16"/>
  <c r="S277" i="16"/>
  <c r="I277" i="16"/>
  <c r="J277" i="16" s="1"/>
  <c r="K277" i="16" s="1"/>
  <c r="AT276" i="16"/>
  <c r="AS276" i="16"/>
  <c r="AO276" i="16"/>
  <c r="AP276" i="16" s="1"/>
  <c r="AQ276" i="16" s="1"/>
  <c r="AR276" i="16" s="1"/>
  <c r="AN276" i="16"/>
  <c r="W276" i="16"/>
  <c r="S276" i="16"/>
  <c r="I276" i="16"/>
  <c r="J276" i="16" s="1"/>
  <c r="K276" i="16" s="1"/>
  <c r="AT275" i="16"/>
  <c r="AS275" i="16"/>
  <c r="AO275" i="16"/>
  <c r="AP275" i="16" s="1"/>
  <c r="AQ275" i="16" s="1"/>
  <c r="AR275" i="16" s="1"/>
  <c r="AN275" i="16"/>
  <c r="W275" i="16"/>
  <c r="S275" i="16"/>
  <c r="I275" i="16"/>
  <c r="J275" i="16" s="1"/>
  <c r="K275" i="16" s="1"/>
  <c r="AT274" i="16"/>
  <c r="AS274" i="16"/>
  <c r="AO274" i="16"/>
  <c r="AP274" i="16" s="1"/>
  <c r="AQ274" i="16" s="1"/>
  <c r="AR274" i="16" s="1"/>
  <c r="AN274" i="16"/>
  <c r="W274" i="16"/>
  <c r="S274" i="16"/>
  <c r="I274" i="16"/>
  <c r="J274" i="16" s="1"/>
  <c r="K274" i="16" s="1"/>
  <c r="AT273" i="16"/>
  <c r="AS273" i="16"/>
  <c r="AO273" i="16"/>
  <c r="AP273" i="16" s="1"/>
  <c r="AQ273" i="16" s="1"/>
  <c r="AR273" i="16" s="1"/>
  <c r="AN273" i="16"/>
  <c r="W273" i="16"/>
  <c r="S273" i="16"/>
  <c r="I273" i="16"/>
  <c r="J273" i="16" s="1"/>
  <c r="K273" i="16" s="1"/>
  <c r="AT272" i="16"/>
  <c r="AS272" i="16"/>
  <c r="AO272" i="16"/>
  <c r="AP272" i="16" s="1"/>
  <c r="AQ272" i="16" s="1"/>
  <c r="AR272" i="16" s="1"/>
  <c r="AN272" i="16"/>
  <c r="W272" i="16"/>
  <c r="I272" i="16"/>
  <c r="J272" i="16" s="1"/>
  <c r="K272" i="16" s="1"/>
  <c r="AT271" i="16"/>
  <c r="AS271" i="16"/>
  <c r="AO271" i="16"/>
  <c r="AP271" i="16" s="1"/>
  <c r="AQ271" i="16" s="1"/>
  <c r="AR271" i="16" s="1"/>
  <c r="AN271" i="16"/>
  <c r="W271" i="16"/>
  <c r="I271" i="16"/>
  <c r="J271" i="16" s="1"/>
  <c r="K271" i="16" s="1"/>
  <c r="AT270" i="16"/>
  <c r="AS270" i="16"/>
  <c r="AO270" i="16"/>
  <c r="AP270" i="16" s="1"/>
  <c r="AQ270" i="16" s="1"/>
  <c r="AR270" i="16" s="1"/>
  <c r="AN270" i="16"/>
  <c r="W270" i="16"/>
  <c r="I270" i="16"/>
  <c r="J270" i="16" s="1"/>
  <c r="K270" i="16" s="1"/>
  <c r="AT269" i="16"/>
  <c r="AS269" i="16"/>
  <c r="AO269" i="16"/>
  <c r="AP269" i="16" s="1"/>
  <c r="AQ269" i="16" s="1"/>
  <c r="AR269" i="16" s="1"/>
  <c r="AN269" i="16"/>
  <c r="W269" i="16"/>
  <c r="S269" i="16"/>
  <c r="I269" i="16"/>
  <c r="J269" i="16" s="1"/>
  <c r="K269" i="16" s="1"/>
  <c r="AT268" i="16"/>
  <c r="AS268" i="16"/>
  <c r="AO268" i="16"/>
  <c r="AP268" i="16" s="1"/>
  <c r="AQ268" i="16" s="1"/>
  <c r="AR268" i="16" s="1"/>
  <c r="AN268" i="16"/>
  <c r="W268" i="16"/>
  <c r="S268" i="16"/>
  <c r="I268" i="16"/>
  <c r="J268" i="16" s="1"/>
  <c r="K268" i="16" s="1"/>
  <c r="AT267" i="16"/>
  <c r="AS267" i="16"/>
  <c r="AO267" i="16"/>
  <c r="AP267" i="16" s="1"/>
  <c r="AQ267" i="16" s="1"/>
  <c r="AR267" i="16" s="1"/>
  <c r="AN267" i="16"/>
  <c r="W267" i="16"/>
  <c r="S267" i="16"/>
  <c r="I267" i="16"/>
  <c r="J267" i="16" s="1"/>
  <c r="K267" i="16" s="1"/>
  <c r="AT266" i="16"/>
  <c r="AS266" i="16"/>
  <c r="AO266" i="16"/>
  <c r="AP266" i="16" s="1"/>
  <c r="AQ266" i="16" s="1"/>
  <c r="AR266" i="16" s="1"/>
  <c r="AN266" i="16"/>
  <c r="W266" i="16"/>
  <c r="I266" i="16"/>
  <c r="J266" i="16" s="1"/>
  <c r="K266" i="16" s="1"/>
  <c r="AT265" i="16"/>
  <c r="AS265" i="16"/>
  <c r="AO265" i="16"/>
  <c r="AP265" i="16" s="1"/>
  <c r="AQ265" i="16" s="1"/>
  <c r="AR265" i="16" s="1"/>
  <c r="AN265" i="16"/>
  <c r="W265" i="16"/>
  <c r="I265" i="16"/>
  <c r="J265" i="16" s="1"/>
  <c r="K265" i="16" s="1"/>
  <c r="AT264" i="16"/>
  <c r="AS264" i="16"/>
  <c r="AO264" i="16"/>
  <c r="AP264" i="16" s="1"/>
  <c r="AQ264" i="16" s="1"/>
  <c r="AR264" i="16" s="1"/>
  <c r="AN264" i="16"/>
  <c r="W264" i="16"/>
  <c r="I264" i="16"/>
  <c r="J264" i="16" s="1"/>
  <c r="K264" i="16" s="1"/>
  <c r="AT263" i="16"/>
  <c r="AS263" i="16"/>
  <c r="AO263" i="16"/>
  <c r="AP263" i="16" s="1"/>
  <c r="AQ263" i="16" s="1"/>
  <c r="AR263" i="16" s="1"/>
  <c r="AN263" i="16"/>
  <c r="W263" i="16"/>
  <c r="I263" i="16"/>
  <c r="J263" i="16"/>
  <c r="K263" i="16" s="1"/>
  <c r="AT262" i="16"/>
  <c r="AS262" i="16"/>
  <c r="AO262" i="16"/>
  <c r="AP262" i="16" s="1"/>
  <c r="AQ262" i="16" s="1"/>
  <c r="AR262" i="16" s="1"/>
  <c r="AN262" i="16"/>
  <c r="W262" i="16"/>
  <c r="S262" i="16"/>
  <c r="I262" i="16"/>
  <c r="J262" i="16" s="1"/>
  <c r="K262" i="16" s="1"/>
  <c r="AT261" i="16"/>
  <c r="AS261" i="16"/>
  <c r="AO261" i="16"/>
  <c r="AP261" i="16" s="1"/>
  <c r="AQ261" i="16" s="1"/>
  <c r="AR261" i="16" s="1"/>
  <c r="AN261" i="16"/>
  <c r="W261" i="16"/>
  <c r="S261" i="16"/>
  <c r="I261" i="16"/>
  <c r="J261" i="16" s="1"/>
  <c r="K261" i="16" s="1"/>
  <c r="AT260" i="16"/>
  <c r="AS260" i="16"/>
  <c r="AO260" i="16"/>
  <c r="AP260" i="16" s="1"/>
  <c r="AQ260" i="16" s="1"/>
  <c r="AR260" i="16" s="1"/>
  <c r="AN260" i="16"/>
  <c r="W260" i="16"/>
  <c r="S260" i="16"/>
  <c r="I260" i="16"/>
  <c r="J260" i="16" s="1"/>
  <c r="K260" i="16" s="1"/>
  <c r="AT259" i="16"/>
  <c r="AS259" i="16"/>
  <c r="AO259" i="16"/>
  <c r="AP259" i="16" s="1"/>
  <c r="AQ259" i="16" s="1"/>
  <c r="AR259" i="16" s="1"/>
  <c r="AN259" i="16"/>
  <c r="W259" i="16"/>
  <c r="S259" i="16"/>
  <c r="I259" i="16"/>
  <c r="J259" i="16" s="1"/>
  <c r="K259" i="16" s="1"/>
  <c r="AT258" i="16"/>
  <c r="AS258" i="16"/>
  <c r="AO258" i="16"/>
  <c r="AP258" i="16" s="1"/>
  <c r="AQ258" i="16" s="1"/>
  <c r="AR258" i="16" s="1"/>
  <c r="AN258" i="16"/>
  <c r="W258" i="16"/>
  <c r="S258" i="16"/>
  <c r="I258" i="16"/>
  <c r="J258" i="16" s="1"/>
  <c r="K258" i="16" s="1"/>
  <c r="AT257" i="16"/>
  <c r="AS257" i="16"/>
  <c r="AO257" i="16"/>
  <c r="AP257" i="16" s="1"/>
  <c r="AQ257" i="16" s="1"/>
  <c r="AR257" i="16" s="1"/>
  <c r="AN257" i="16"/>
  <c r="W257" i="16"/>
  <c r="S257" i="16"/>
  <c r="I257" i="16"/>
  <c r="J257" i="16" s="1"/>
  <c r="K257" i="16" s="1"/>
  <c r="AT256" i="16"/>
  <c r="AS256" i="16"/>
  <c r="AO256" i="16"/>
  <c r="AP256" i="16" s="1"/>
  <c r="AQ256" i="16" s="1"/>
  <c r="AR256" i="16" s="1"/>
  <c r="AN256" i="16"/>
  <c r="W256" i="16"/>
  <c r="S256" i="16"/>
  <c r="I256" i="16"/>
  <c r="J256" i="16"/>
  <c r="K256" i="16" s="1"/>
  <c r="AT255" i="16"/>
  <c r="AS255" i="16"/>
  <c r="AO255" i="16"/>
  <c r="AP255" i="16" s="1"/>
  <c r="AQ255" i="16" s="1"/>
  <c r="AR255" i="16" s="1"/>
  <c r="AN255" i="16"/>
  <c r="W255" i="16"/>
  <c r="S255" i="16"/>
  <c r="I255" i="16"/>
  <c r="J255" i="16" s="1"/>
  <c r="K255" i="16" s="1"/>
  <c r="AT254" i="16"/>
  <c r="AS254" i="16"/>
  <c r="AO254" i="16"/>
  <c r="AP254" i="16" s="1"/>
  <c r="AQ254" i="16" s="1"/>
  <c r="AR254" i="16" s="1"/>
  <c r="AN254" i="16"/>
  <c r="W254" i="16"/>
  <c r="S254" i="16"/>
  <c r="I254" i="16"/>
  <c r="J254" i="16" s="1"/>
  <c r="K254" i="16" s="1"/>
  <c r="AT253" i="16"/>
  <c r="AS253" i="16"/>
  <c r="AO253" i="16"/>
  <c r="AP253" i="16" s="1"/>
  <c r="AQ253" i="16" s="1"/>
  <c r="AR253" i="16" s="1"/>
  <c r="AN253" i="16"/>
  <c r="W253" i="16"/>
  <c r="S253" i="16"/>
  <c r="I253" i="16"/>
  <c r="J253" i="16" s="1"/>
  <c r="K253" i="16" s="1"/>
  <c r="AT252" i="16"/>
  <c r="AS252" i="16"/>
  <c r="AO252" i="16"/>
  <c r="AP252" i="16" s="1"/>
  <c r="AQ252" i="16" s="1"/>
  <c r="AR252" i="16" s="1"/>
  <c r="AN252" i="16"/>
  <c r="W252" i="16"/>
  <c r="S252" i="16"/>
  <c r="I252" i="16"/>
  <c r="J252" i="16" s="1"/>
  <c r="K252" i="16" s="1"/>
  <c r="AT251" i="16"/>
  <c r="AS251" i="16"/>
  <c r="AO251" i="16"/>
  <c r="AP251" i="16" s="1"/>
  <c r="AQ251" i="16" s="1"/>
  <c r="AR251" i="16" s="1"/>
  <c r="AN251" i="16"/>
  <c r="W251" i="16"/>
  <c r="S251" i="16"/>
  <c r="I251" i="16"/>
  <c r="J251" i="16" s="1"/>
  <c r="K251" i="16" s="1"/>
  <c r="AT250" i="16"/>
  <c r="AS250" i="16"/>
  <c r="AO250" i="16"/>
  <c r="AP250" i="16" s="1"/>
  <c r="AQ250" i="16" s="1"/>
  <c r="AR250" i="16" s="1"/>
  <c r="AN250" i="16"/>
  <c r="W250" i="16"/>
  <c r="S250" i="16"/>
  <c r="I250" i="16"/>
  <c r="J250" i="16" s="1"/>
  <c r="K250" i="16" s="1"/>
  <c r="AT249" i="16"/>
  <c r="AS249" i="16"/>
  <c r="AO249" i="16"/>
  <c r="AP249" i="16" s="1"/>
  <c r="AQ249" i="16" s="1"/>
  <c r="AR249" i="16" s="1"/>
  <c r="AN249" i="16"/>
  <c r="W249" i="16"/>
  <c r="S249" i="16"/>
  <c r="I249" i="16"/>
  <c r="J249" i="16" s="1"/>
  <c r="K249" i="16" s="1"/>
  <c r="AT248" i="16"/>
  <c r="AS248" i="16"/>
  <c r="AO248" i="16"/>
  <c r="AP248" i="16" s="1"/>
  <c r="AQ248" i="16" s="1"/>
  <c r="AR248" i="16" s="1"/>
  <c r="AN248" i="16"/>
  <c r="W248" i="16"/>
  <c r="S248" i="16"/>
  <c r="I248" i="16"/>
  <c r="J248" i="16"/>
  <c r="K248" i="16" s="1"/>
  <c r="AT247" i="16"/>
  <c r="AS247" i="16"/>
  <c r="AO247" i="16"/>
  <c r="AP247" i="16" s="1"/>
  <c r="AQ247" i="16" s="1"/>
  <c r="AR247" i="16" s="1"/>
  <c r="AN247" i="16"/>
  <c r="W247" i="16"/>
  <c r="S247" i="16"/>
  <c r="I247" i="16"/>
  <c r="J247" i="16"/>
  <c r="K247" i="16" s="1"/>
  <c r="AT246" i="16"/>
  <c r="AS246" i="16"/>
  <c r="AO246" i="16"/>
  <c r="AP246" i="16" s="1"/>
  <c r="AQ246" i="16" s="1"/>
  <c r="AR246" i="16" s="1"/>
  <c r="AN246" i="16"/>
  <c r="W246" i="16"/>
  <c r="S246" i="16"/>
  <c r="I246" i="16"/>
  <c r="J246" i="16" s="1"/>
  <c r="K246" i="16" s="1"/>
  <c r="AT245" i="16"/>
  <c r="AS245" i="16"/>
  <c r="AO245" i="16"/>
  <c r="AP245" i="16" s="1"/>
  <c r="AQ245" i="16" s="1"/>
  <c r="AR245" i="16" s="1"/>
  <c r="AN245" i="16"/>
  <c r="W245" i="16"/>
  <c r="S245" i="16"/>
  <c r="I245" i="16"/>
  <c r="J245" i="16" s="1"/>
  <c r="K245" i="16" s="1"/>
  <c r="AT244" i="16"/>
  <c r="AS244" i="16"/>
  <c r="AO244" i="16"/>
  <c r="AP244" i="16" s="1"/>
  <c r="AQ244" i="16" s="1"/>
  <c r="AR244" i="16" s="1"/>
  <c r="AN244" i="16"/>
  <c r="W244" i="16"/>
  <c r="S244" i="16"/>
  <c r="I244" i="16"/>
  <c r="J244" i="16" s="1"/>
  <c r="K244" i="16" s="1"/>
  <c r="AT243" i="16"/>
  <c r="AS243" i="16"/>
  <c r="AO243" i="16"/>
  <c r="AP243" i="16" s="1"/>
  <c r="AQ243" i="16" s="1"/>
  <c r="AR243" i="16" s="1"/>
  <c r="AN243" i="16"/>
  <c r="W243" i="16"/>
  <c r="S243" i="16"/>
  <c r="I243" i="16"/>
  <c r="J243" i="16" s="1"/>
  <c r="K243" i="16" s="1"/>
  <c r="AT242" i="16"/>
  <c r="AS242" i="16"/>
  <c r="AO242" i="16"/>
  <c r="AP242" i="16" s="1"/>
  <c r="AQ242" i="16" s="1"/>
  <c r="AR242" i="16" s="1"/>
  <c r="AN242" i="16"/>
  <c r="W242" i="16"/>
  <c r="S242" i="16"/>
  <c r="I242" i="16"/>
  <c r="J242" i="16" s="1"/>
  <c r="K242" i="16" s="1"/>
  <c r="AT241" i="16"/>
  <c r="AS241" i="16"/>
  <c r="AO241" i="16"/>
  <c r="AP241" i="16" s="1"/>
  <c r="AQ241" i="16" s="1"/>
  <c r="AR241" i="16" s="1"/>
  <c r="AN241" i="16"/>
  <c r="W241" i="16"/>
  <c r="S241" i="16"/>
  <c r="I241" i="16"/>
  <c r="J241" i="16" s="1"/>
  <c r="K241" i="16" s="1"/>
  <c r="AT240" i="16"/>
  <c r="AS240" i="16"/>
  <c r="AO240" i="16"/>
  <c r="AP240" i="16" s="1"/>
  <c r="AQ240" i="16" s="1"/>
  <c r="AR240" i="16" s="1"/>
  <c r="AN240" i="16"/>
  <c r="W240" i="16"/>
  <c r="S240" i="16"/>
  <c r="I240" i="16"/>
  <c r="J240" i="16" s="1"/>
  <c r="K240" i="16" s="1"/>
  <c r="AT239" i="16"/>
  <c r="AS239" i="16"/>
  <c r="AO239" i="16"/>
  <c r="AP239" i="16" s="1"/>
  <c r="AQ239" i="16" s="1"/>
  <c r="AR239" i="16" s="1"/>
  <c r="AN239" i="16"/>
  <c r="W239" i="16"/>
  <c r="S239" i="16"/>
  <c r="I239" i="16"/>
  <c r="J239" i="16" s="1"/>
  <c r="K239" i="16" s="1"/>
  <c r="AT238" i="16"/>
  <c r="AS238" i="16"/>
  <c r="AO238" i="16"/>
  <c r="AP238" i="16" s="1"/>
  <c r="AQ238" i="16" s="1"/>
  <c r="AR238" i="16" s="1"/>
  <c r="AN238" i="16"/>
  <c r="W238" i="16"/>
  <c r="S238" i="16"/>
  <c r="I238" i="16"/>
  <c r="J238" i="16" s="1"/>
  <c r="K238" i="16" s="1"/>
  <c r="AT237" i="16"/>
  <c r="AS237" i="16"/>
  <c r="AO237" i="16"/>
  <c r="AP237" i="16" s="1"/>
  <c r="AQ237" i="16" s="1"/>
  <c r="AR237" i="16" s="1"/>
  <c r="AN237" i="16"/>
  <c r="W237" i="16"/>
  <c r="S237" i="16"/>
  <c r="I237" i="16"/>
  <c r="J237" i="16" s="1"/>
  <c r="K237" i="16" s="1"/>
  <c r="AT236" i="16"/>
  <c r="AS236" i="16"/>
  <c r="AO236" i="16"/>
  <c r="AP236" i="16" s="1"/>
  <c r="AQ236" i="16" s="1"/>
  <c r="AR236" i="16" s="1"/>
  <c r="AN236" i="16"/>
  <c r="W236" i="16"/>
  <c r="S236" i="16"/>
  <c r="I236" i="16"/>
  <c r="J236" i="16" s="1"/>
  <c r="K236" i="16" s="1"/>
  <c r="AT235" i="16"/>
  <c r="AS235" i="16"/>
  <c r="AO235" i="16"/>
  <c r="AP235" i="16" s="1"/>
  <c r="AQ235" i="16" s="1"/>
  <c r="AR235" i="16" s="1"/>
  <c r="AN235" i="16"/>
  <c r="W235" i="16"/>
  <c r="S235" i="16"/>
  <c r="I235" i="16"/>
  <c r="J235" i="16" s="1"/>
  <c r="K235" i="16" s="1"/>
  <c r="AT234" i="16"/>
  <c r="AS234" i="16"/>
  <c r="AO234" i="16"/>
  <c r="AP234" i="16" s="1"/>
  <c r="AQ234" i="16" s="1"/>
  <c r="AR234" i="16" s="1"/>
  <c r="AN234" i="16"/>
  <c r="W234" i="16"/>
  <c r="S234" i="16"/>
  <c r="I234" i="16"/>
  <c r="J234" i="16" s="1"/>
  <c r="K234" i="16" s="1"/>
  <c r="AT233" i="16"/>
  <c r="AS233" i="16"/>
  <c r="AO233" i="16"/>
  <c r="AP233" i="16" s="1"/>
  <c r="AQ233" i="16" s="1"/>
  <c r="AR233" i="16" s="1"/>
  <c r="AN233" i="16"/>
  <c r="W233" i="16"/>
  <c r="S233" i="16"/>
  <c r="I233" i="16"/>
  <c r="J233" i="16" s="1"/>
  <c r="K233" i="16" s="1"/>
  <c r="AT232" i="16"/>
  <c r="AS232" i="16"/>
  <c r="AO232" i="16"/>
  <c r="AP232" i="16" s="1"/>
  <c r="AQ232" i="16" s="1"/>
  <c r="AR232" i="16" s="1"/>
  <c r="AN232" i="16"/>
  <c r="W232" i="16"/>
  <c r="S232" i="16"/>
  <c r="I232" i="16"/>
  <c r="J232" i="16"/>
  <c r="K232" i="16" s="1"/>
  <c r="AT231" i="16"/>
  <c r="AS231" i="16"/>
  <c r="AO231" i="16"/>
  <c r="AP231" i="16" s="1"/>
  <c r="AQ231" i="16" s="1"/>
  <c r="AR231" i="16" s="1"/>
  <c r="AN231" i="16"/>
  <c r="W231" i="16"/>
  <c r="S231" i="16"/>
  <c r="I231" i="16"/>
  <c r="J231" i="16"/>
  <c r="K231" i="16" s="1"/>
  <c r="AT230" i="16"/>
  <c r="AS230" i="16"/>
  <c r="AO230" i="16"/>
  <c r="AP230" i="16" s="1"/>
  <c r="AQ230" i="16" s="1"/>
  <c r="AR230" i="16" s="1"/>
  <c r="AN230" i="16"/>
  <c r="W230" i="16"/>
  <c r="S230" i="16"/>
  <c r="I230" i="16"/>
  <c r="J230" i="16" s="1"/>
  <c r="K230" i="16" s="1"/>
  <c r="AT229" i="16"/>
  <c r="AS229" i="16"/>
  <c r="AO229" i="16"/>
  <c r="AP229" i="16" s="1"/>
  <c r="AQ229" i="16" s="1"/>
  <c r="AR229" i="16" s="1"/>
  <c r="AN229" i="16"/>
  <c r="W229" i="16"/>
  <c r="S229" i="16"/>
  <c r="I229" i="16"/>
  <c r="J229" i="16" s="1"/>
  <c r="K229" i="16" s="1"/>
  <c r="AT228" i="16"/>
  <c r="AS228" i="16"/>
  <c r="AO228" i="16"/>
  <c r="AP228" i="16" s="1"/>
  <c r="AQ228" i="16" s="1"/>
  <c r="AR228" i="16" s="1"/>
  <c r="AN228" i="16"/>
  <c r="W228" i="16"/>
  <c r="S228" i="16"/>
  <c r="I228" i="16"/>
  <c r="J228" i="16" s="1"/>
  <c r="K228" i="16" s="1"/>
  <c r="AT227" i="16"/>
  <c r="AS227" i="16"/>
  <c r="AO227" i="16"/>
  <c r="AP227" i="16" s="1"/>
  <c r="AQ227" i="16" s="1"/>
  <c r="AR227" i="16" s="1"/>
  <c r="AN227" i="16"/>
  <c r="W227" i="16"/>
  <c r="S227" i="16"/>
  <c r="I227" i="16"/>
  <c r="J227" i="16" s="1"/>
  <c r="K227" i="16" s="1"/>
  <c r="AT226" i="16"/>
  <c r="AS226" i="16"/>
  <c r="AO226" i="16"/>
  <c r="AP226" i="16" s="1"/>
  <c r="AQ226" i="16" s="1"/>
  <c r="AR226" i="16" s="1"/>
  <c r="AN226" i="16"/>
  <c r="W226" i="16"/>
  <c r="S226" i="16"/>
  <c r="I226" i="16"/>
  <c r="J226" i="16" s="1"/>
  <c r="K226" i="16" s="1"/>
  <c r="AT225" i="16"/>
  <c r="AS225" i="16"/>
  <c r="AO225" i="16"/>
  <c r="AP225" i="16" s="1"/>
  <c r="AQ225" i="16" s="1"/>
  <c r="AR225" i="16" s="1"/>
  <c r="AN225" i="16"/>
  <c r="W225" i="16"/>
  <c r="S225" i="16"/>
  <c r="I225" i="16"/>
  <c r="J225" i="16" s="1"/>
  <c r="K225" i="16" s="1"/>
  <c r="AT224" i="16"/>
  <c r="AS224" i="16"/>
  <c r="AO224" i="16"/>
  <c r="AP224" i="16" s="1"/>
  <c r="AQ224" i="16" s="1"/>
  <c r="AR224" i="16" s="1"/>
  <c r="AN224" i="16"/>
  <c r="W224" i="16"/>
  <c r="S224" i="16"/>
  <c r="I224" i="16"/>
  <c r="J224" i="16" s="1"/>
  <c r="K224" i="16" s="1"/>
  <c r="AT223" i="16"/>
  <c r="AS223" i="16"/>
  <c r="AO223" i="16"/>
  <c r="AP223" i="16" s="1"/>
  <c r="AQ223" i="16" s="1"/>
  <c r="AR223" i="16" s="1"/>
  <c r="AN223" i="16"/>
  <c r="W223" i="16"/>
  <c r="S223" i="16"/>
  <c r="I223" i="16"/>
  <c r="J223" i="16"/>
  <c r="K223" i="16" s="1"/>
  <c r="AT222" i="16"/>
  <c r="AS222" i="16"/>
  <c r="AO222" i="16"/>
  <c r="AP222" i="16" s="1"/>
  <c r="AQ222" i="16" s="1"/>
  <c r="AR222" i="16" s="1"/>
  <c r="AN222" i="16"/>
  <c r="W222" i="16"/>
  <c r="S222" i="16"/>
  <c r="I222" i="16"/>
  <c r="J222" i="16" s="1"/>
  <c r="K222" i="16" s="1"/>
  <c r="AT221" i="16"/>
  <c r="AS221" i="16"/>
  <c r="AO221" i="16"/>
  <c r="AP221" i="16" s="1"/>
  <c r="AQ221" i="16" s="1"/>
  <c r="AR221" i="16" s="1"/>
  <c r="AN221" i="16"/>
  <c r="W221" i="16"/>
  <c r="S221" i="16"/>
  <c r="I221" i="16"/>
  <c r="J221" i="16" s="1"/>
  <c r="K221" i="16" s="1"/>
  <c r="AT220" i="16"/>
  <c r="AS220" i="16"/>
  <c r="AO220" i="16"/>
  <c r="AP220" i="16" s="1"/>
  <c r="AQ220" i="16" s="1"/>
  <c r="AR220" i="16" s="1"/>
  <c r="AN220" i="16"/>
  <c r="W220" i="16"/>
  <c r="S220" i="16"/>
  <c r="I220" i="16"/>
  <c r="J220" i="16" s="1"/>
  <c r="K220" i="16" s="1"/>
  <c r="AT219" i="16"/>
  <c r="AS219" i="16"/>
  <c r="AO219" i="16"/>
  <c r="AP219" i="16" s="1"/>
  <c r="AQ219" i="16" s="1"/>
  <c r="AR219" i="16" s="1"/>
  <c r="AN219" i="16"/>
  <c r="W219" i="16"/>
  <c r="S219" i="16"/>
  <c r="I219" i="16"/>
  <c r="J219" i="16" s="1"/>
  <c r="K219" i="16" s="1"/>
  <c r="AT218" i="16"/>
  <c r="AS218" i="16"/>
  <c r="AO218" i="16"/>
  <c r="AP218" i="16" s="1"/>
  <c r="AQ218" i="16" s="1"/>
  <c r="AR218" i="16" s="1"/>
  <c r="AN218" i="16"/>
  <c r="W218" i="16"/>
  <c r="S218" i="16"/>
  <c r="I218" i="16"/>
  <c r="J218" i="16" s="1"/>
  <c r="K218" i="16" s="1"/>
  <c r="AT217" i="16"/>
  <c r="AS217" i="16"/>
  <c r="AO217" i="16"/>
  <c r="AP217" i="16" s="1"/>
  <c r="AQ217" i="16" s="1"/>
  <c r="AR217" i="16" s="1"/>
  <c r="AN217" i="16"/>
  <c r="W217" i="16"/>
  <c r="S217" i="16"/>
  <c r="I217" i="16"/>
  <c r="J217" i="16" s="1"/>
  <c r="K217" i="16" s="1"/>
  <c r="AT216" i="16"/>
  <c r="AS216" i="16"/>
  <c r="AO216" i="16"/>
  <c r="AP216" i="16" s="1"/>
  <c r="AQ216" i="16" s="1"/>
  <c r="AR216" i="16" s="1"/>
  <c r="AN216" i="16"/>
  <c r="W216" i="16"/>
  <c r="S216" i="16"/>
  <c r="I216" i="16"/>
  <c r="J216" i="16"/>
  <c r="K216" i="16" s="1"/>
  <c r="AT215" i="16"/>
  <c r="AS215" i="16"/>
  <c r="AO215" i="16"/>
  <c r="AP215" i="16" s="1"/>
  <c r="AQ215" i="16" s="1"/>
  <c r="AR215" i="16" s="1"/>
  <c r="AN215" i="16"/>
  <c r="W215" i="16"/>
  <c r="S215" i="16"/>
  <c r="I215" i="16"/>
  <c r="J215" i="16"/>
  <c r="K215" i="16" s="1"/>
  <c r="AT214" i="16"/>
  <c r="AS214" i="16"/>
  <c r="AO214" i="16"/>
  <c r="AP214" i="16" s="1"/>
  <c r="AQ214" i="16" s="1"/>
  <c r="AR214" i="16" s="1"/>
  <c r="AN214" i="16"/>
  <c r="W214" i="16"/>
  <c r="S214" i="16"/>
  <c r="I214" i="16"/>
  <c r="J214" i="16" s="1"/>
  <c r="K214" i="16" s="1"/>
  <c r="AT213" i="16"/>
  <c r="AS213" i="16"/>
  <c r="AO213" i="16"/>
  <c r="AP213" i="16" s="1"/>
  <c r="AQ213" i="16" s="1"/>
  <c r="AR213" i="16" s="1"/>
  <c r="AN213" i="16"/>
  <c r="W213" i="16"/>
  <c r="S213" i="16"/>
  <c r="I213" i="16"/>
  <c r="J213" i="16" s="1"/>
  <c r="K213" i="16" s="1"/>
  <c r="AT212" i="16"/>
  <c r="AS212" i="16"/>
  <c r="AO212" i="16"/>
  <c r="AP212" i="16" s="1"/>
  <c r="AQ212" i="16" s="1"/>
  <c r="AR212" i="16" s="1"/>
  <c r="AN212" i="16"/>
  <c r="W212" i="16"/>
  <c r="S212" i="16"/>
  <c r="I212" i="16"/>
  <c r="J212" i="16" s="1"/>
  <c r="K212" i="16" s="1"/>
  <c r="AT211" i="16"/>
  <c r="AS211" i="16"/>
  <c r="AO211" i="16"/>
  <c r="AP211" i="16" s="1"/>
  <c r="AQ211" i="16" s="1"/>
  <c r="AR211" i="16" s="1"/>
  <c r="AN211" i="16"/>
  <c r="W211" i="16"/>
  <c r="S211" i="16"/>
  <c r="I211" i="16"/>
  <c r="J211" i="16" s="1"/>
  <c r="K211" i="16" s="1"/>
  <c r="AT210" i="16"/>
  <c r="AS210" i="16"/>
  <c r="AO210" i="16"/>
  <c r="AP210" i="16" s="1"/>
  <c r="AQ210" i="16" s="1"/>
  <c r="AR210" i="16" s="1"/>
  <c r="AN210" i="16"/>
  <c r="W210" i="16"/>
  <c r="S210" i="16"/>
  <c r="I210" i="16"/>
  <c r="J210" i="16" s="1"/>
  <c r="K210" i="16" s="1"/>
  <c r="AT209" i="16"/>
  <c r="AS209" i="16"/>
  <c r="AO209" i="16"/>
  <c r="AP209" i="16" s="1"/>
  <c r="AQ209" i="16" s="1"/>
  <c r="AR209" i="16" s="1"/>
  <c r="AN209" i="16"/>
  <c r="W209" i="16"/>
  <c r="S209" i="16"/>
  <c r="I209" i="16"/>
  <c r="J209" i="16" s="1"/>
  <c r="K209" i="16" s="1"/>
  <c r="AT208" i="16"/>
  <c r="AS208" i="16"/>
  <c r="AO208" i="16"/>
  <c r="AP208" i="16" s="1"/>
  <c r="AQ208" i="16" s="1"/>
  <c r="AR208" i="16" s="1"/>
  <c r="AN208" i="16"/>
  <c r="W208" i="16"/>
  <c r="S208" i="16"/>
  <c r="I208" i="16"/>
  <c r="J208" i="16"/>
  <c r="K208" i="16" s="1"/>
  <c r="AT207" i="16"/>
  <c r="AS207" i="16"/>
  <c r="AO207" i="16"/>
  <c r="AP207" i="16" s="1"/>
  <c r="AQ207" i="16" s="1"/>
  <c r="AR207" i="16" s="1"/>
  <c r="AN207" i="16"/>
  <c r="W207" i="16"/>
  <c r="S207" i="16"/>
  <c r="I207" i="16"/>
  <c r="J207" i="16" s="1"/>
  <c r="K207" i="16" s="1"/>
  <c r="AT206" i="16"/>
  <c r="AS206" i="16"/>
  <c r="AO206" i="16"/>
  <c r="AP206" i="16" s="1"/>
  <c r="AQ206" i="16" s="1"/>
  <c r="AR206" i="16" s="1"/>
  <c r="AN206" i="16"/>
  <c r="W206" i="16"/>
  <c r="S206" i="16"/>
  <c r="I206" i="16"/>
  <c r="J206" i="16" s="1"/>
  <c r="K206" i="16" s="1"/>
  <c r="AT205" i="16"/>
  <c r="AS205" i="16"/>
  <c r="AO205" i="16"/>
  <c r="AP205" i="16" s="1"/>
  <c r="AQ205" i="16" s="1"/>
  <c r="AR205" i="16" s="1"/>
  <c r="AN205" i="16"/>
  <c r="W205" i="16"/>
  <c r="S205" i="16"/>
  <c r="I205" i="16"/>
  <c r="J205" i="16" s="1"/>
  <c r="K205" i="16" s="1"/>
  <c r="AT204" i="16"/>
  <c r="AS204" i="16"/>
  <c r="AO204" i="16"/>
  <c r="AP204" i="16" s="1"/>
  <c r="AQ204" i="16" s="1"/>
  <c r="AR204" i="16" s="1"/>
  <c r="AN204" i="16"/>
  <c r="W204" i="16"/>
  <c r="S204" i="16"/>
  <c r="I204" i="16"/>
  <c r="J204" i="16" s="1"/>
  <c r="K204" i="16" s="1"/>
  <c r="AT203" i="16"/>
  <c r="AS203" i="16"/>
  <c r="AO203" i="16"/>
  <c r="AP203" i="16" s="1"/>
  <c r="AQ203" i="16" s="1"/>
  <c r="AR203" i="16" s="1"/>
  <c r="AN203" i="16"/>
  <c r="W203" i="16"/>
  <c r="S203" i="16"/>
  <c r="I203" i="16"/>
  <c r="J203" i="16" s="1"/>
  <c r="K203" i="16" s="1"/>
  <c r="AT202" i="16"/>
  <c r="AS202" i="16"/>
  <c r="AO202" i="16"/>
  <c r="AP202" i="16" s="1"/>
  <c r="AQ202" i="16" s="1"/>
  <c r="AR202" i="16" s="1"/>
  <c r="AN202" i="16"/>
  <c r="W202" i="16"/>
  <c r="S202" i="16"/>
  <c r="I202" i="16"/>
  <c r="J202" i="16" s="1"/>
  <c r="K202" i="16" s="1"/>
  <c r="AT201" i="16"/>
  <c r="AS201" i="16"/>
  <c r="AO201" i="16"/>
  <c r="AP201" i="16" s="1"/>
  <c r="AQ201" i="16" s="1"/>
  <c r="AR201" i="16" s="1"/>
  <c r="AN201" i="16"/>
  <c r="W201" i="16"/>
  <c r="S201" i="16"/>
  <c r="I201" i="16"/>
  <c r="J201" i="16" s="1"/>
  <c r="K201" i="16" s="1"/>
  <c r="AT200" i="16"/>
  <c r="AS200" i="16"/>
  <c r="AO200" i="16"/>
  <c r="AP200" i="16" s="1"/>
  <c r="AQ200" i="16" s="1"/>
  <c r="AR200" i="16" s="1"/>
  <c r="AN200" i="16"/>
  <c r="W200" i="16"/>
  <c r="S200" i="16"/>
  <c r="I200" i="16"/>
  <c r="J200" i="16"/>
  <c r="K200" i="16" s="1"/>
  <c r="AT199" i="16"/>
  <c r="AS199" i="16"/>
  <c r="AO199" i="16"/>
  <c r="AP199" i="16" s="1"/>
  <c r="AQ199" i="16" s="1"/>
  <c r="AR199" i="16" s="1"/>
  <c r="AN199" i="16"/>
  <c r="W199" i="16"/>
  <c r="S199" i="16"/>
  <c r="I199" i="16"/>
  <c r="J199" i="16"/>
  <c r="K199" i="16" s="1"/>
  <c r="AC198" i="16"/>
  <c r="AF198" i="16"/>
  <c r="AL198" i="16"/>
  <c r="AS198" i="16"/>
  <c r="AE198" i="16"/>
  <c r="AN198" i="16" s="1"/>
  <c r="AO198" i="16"/>
  <c r="AP198" i="16" s="1"/>
  <c r="AQ198" i="16" s="1"/>
  <c r="AR198" i="16" s="1"/>
  <c r="AI198" i="16"/>
  <c r="W198" i="16"/>
  <c r="S198" i="16"/>
  <c r="I198" i="16"/>
  <c r="J198" i="16" s="1"/>
  <c r="K198" i="16" s="1"/>
  <c r="AT197" i="16"/>
  <c r="AS197" i="16"/>
  <c r="AO197" i="16"/>
  <c r="AP197" i="16" s="1"/>
  <c r="AQ197" i="16" s="1"/>
  <c r="AR197" i="16" s="1"/>
  <c r="AN197" i="16"/>
  <c r="W197" i="16"/>
  <c r="S197" i="16"/>
  <c r="I197" i="16"/>
  <c r="J197" i="16" s="1"/>
  <c r="K197" i="16" s="1"/>
  <c r="AT196" i="16"/>
  <c r="AS196" i="16"/>
  <c r="AO196" i="16"/>
  <c r="AP196" i="16" s="1"/>
  <c r="AQ196" i="16" s="1"/>
  <c r="AR196" i="16" s="1"/>
  <c r="AN196" i="16"/>
  <c r="W196" i="16"/>
  <c r="S196" i="16"/>
  <c r="I196" i="16"/>
  <c r="J196" i="16" s="1"/>
  <c r="K196" i="16" s="1"/>
  <c r="AT195" i="16"/>
  <c r="AS195" i="16"/>
  <c r="AO195" i="16"/>
  <c r="AP195" i="16" s="1"/>
  <c r="AQ195" i="16" s="1"/>
  <c r="AR195" i="16" s="1"/>
  <c r="AN195" i="16"/>
  <c r="W195" i="16"/>
  <c r="S195" i="16"/>
  <c r="I195" i="16"/>
  <c r="J195" i="16" s="1"/>
  <c r="K195" i="16" s="1"/>
  <c r="AT194" i="16"/>
  <c r="AS194" i="16"/>
  <c r="AO194" i="16"/>
  <c r="AP194" i="16" s="1"/>
  <c r="AQ194" i="16" s="1"/>
  <c r="AR194" i="16" s="1"/>
  <c r="AN194" i="16"/>
  <c r="W194" i="16"/>
  <c r="S194" i="16"/>
  <c r="I194" i="16"/>
  <c r="J194" i="16" s="1"/>
  <c r="K194" i="16" s="1"/>
  <c r="AT193" i="16"/>
  <c r="AS193" i="16"/>
  <c r="AO193" i="16"/>
  <c r="AP193" i="16" s="1"/>
  <c r="AQ193" i="16" s="1"/>
  <c r="AR193" i="16" s="1"/>
  <c r="AN193" i="16"/>
  <c r="W193" i="16"/>
  <c r="S193" i="16"/>
  <c r="I193" i="16"/>
  <c r="J193" i="16" s="1"/>
  <c r="K193" i="16" s="1"/>
  <c r="AT192" i="16"/>
  <c r="AS192" i="16"/>
  <c r="AO192" i="16"/>
  <c r="AP192" i="16" s="1"/>
  <c r="AQ192" i="16" s="1"/>
  <c r="AR192" i="16" s="1"/>
  <c r="AN192" i="16"/>
  <c r="W192" i="16"/>
  <c r="S192" i="16"/>
  <c r="I192" i="16"/>
  <c r="J192" i="16"/>
  <c r="K192" i="16" s="1"/>
  <c r="AT191" i="16"/>
  <c r="AS191" i="16"/>
  <c r="AO191" i="16"/>
  <c r="AP191" i="16" s="1"/>
  <c r="AQ191" i="16" s="1"/>
  <c r="AR191" i="16" s="1"/>
  <c r="AN191" i="16"/>
  <c r="W191" i="16"/>
  <c r="S191" i="16"/>
  <c r="I191" i="16"/>
  <c r="J191" i="16" s="1"/>
  <c r="K191" i="16" s="1"/>
  <c r="AT190" i="16"/>
  <c r="AS190" i="16"/>
  <c r="AO190" i="16"/>
  <c r="AP190" i="16" s="1"/>
  <c r="AQ190" i="16" s="1"/>
  <c r="AR190" i="16" s="1"/>
  <c r="AN190" i="16"/>
  <c r="W190" i="16"/>
  <c r="S190" i="16"/>
  <c r="I190" i="16"/>
  <c r="J190" i="16" s="1"/>
  <c r="K190" i="16" s="1"/>
  <c r="AS189" i="16"/>
  <c r="AO189" i="16"/>
  <c r="AP189" i="16" s="1"/>
  <c r="AQ189" i="16" s="1"/>
  <c r="AR189" i="16" s="1"/>
  <c r="AN189" i="16"/>
  <c r="W189" i="16"/>
  <c r="S189" i="16"/>
  <c r="I189" i="16"/>
  <c r="J189" i="16" s="1"/>
  <c r="K189" i="16" s="1"/>
  <c r="AT188" i="16"/>
  <c r="AS188" i="16"/>
  <c r="AO188" i="16"/>
  <c r="AP188" i="16" s="1"/>
  <c r="AQ188" i="16" s="1"/>
  <c r="AR188" i="16" s="1"/>
  <c r="AN188" i="16"/>
  <c r="W188" i="16"/>
  <c r="S188" i="16"/>
  <c r="I188" i="16"/>
  <c r="J188" i="16" s="1"/>
  <c r="K188" i="16" s="1"/>
  <c r="AT187" i="16"/>
  <c r="AS187" i="16"/>
  <c r="AO187" i="16"/>
  <c r="AP187" i="16" s="1"/>
  <c r="AQ187" i="16" s="1"/>
  <c r="AR187" i="16" s="1"/>
  <c r="AN187" i="16"/>
  <c r="W187" i="16"/>
  <c r="S187" i="16"/>
  <c r="I187" i="16"/>
  <c r="J187" i="16" s="1"/>
  <c r="K187" i="16" s="1"/>
  <c r="AT186" i="16"/>
  <c r="AS186" i="16"/>
  <c r="AO186" i="16"/>
  <c r="AP186" i="16" s="1"/>
  <c r="AQ186" i="16" s="1"/>
  <c r="AR186" i="16" s="1"/>
  <c r="AN186" i="16"/>
  <c r="W186" i="16"/>
  <c r="S186" i="16"/>
  <c r="I186" i="16"/>
  <c r="J186" i="16" s="1"/>
  <c r="K186" i="16" s="1"/>
  <c r="AT185" i="16"/>
  <c r="AS185" i="16"/>
  <c r="AO185" i="16"/>
  <c r="AP185" i="16" s="1"/>
  <c r="AQ185" i="16" s="1"/>
  <c r="AR185" i="16" s="1"/>
  <c r="AN185" i="16"/>
  <c r="W185" i="16"/>
  <c r="S185" i="16"/>
  <c r="I185" i="16"/>
  <c r="J185" i="16" s="1"/>
  <c r="K185" i="16" s="1"/>
  <c r="AT184" i="16"/>
  <c r="AS184" i="16"/>
  <c r="AO184" i="16"/>
  <c r="AP184" i="16" s="1"/>
  <c r="AQ184" i="16" s="1"/>
  <c r="AR184" i="16" s="1"/>
  <c r="AN184" i="16"/>
  <c r="W184" i="16"/>
  <c r="S184" i="16"/>
  <c r="I184" i="16"/>
  <c r="J184" i="16" s="1"/>
  <c r="K184" i="16" s="1"/>
  <c r="AT183" i="16"/>
  <c r="AS183" i="16"/>
  <c r="AO183" i="16"/>
  <c r="AP183" i="16" s="1"/>
  <c r="AQ183" i="16" s="1"/>
  <c r="AR183" i="16" s="1"/>
  <c r="AN183" i="16"/>
  <c r="W183" i="16"/>
  <c r="S183" i="16"/>
  <c r="I183" i="16"/>
  <c r="J183" i="16" s="1"/>
  <c r="K183" i="16" s="1"/>
  <c r="AT182" i="16"/>
  <c r="AS182" i="16"/>
  <c r="AO182" i="16"/>
  <c r="AP182" i="16" s="1"/>
  <c r="AQ182" i="16" s="1"/>
  <c r="AR182" i="16" s="1"/>
  <c r="AN182" i="16"/>
  <c r="W182" i="16"/>
  <c r="S182" i="16"/>
  <c r="I182" i="16"/>
  <c r="J182" i="16" s="1"/>
  <c r="K182" i="16" s="1"/>
  <c r="AT181" i="16"/>
  <c r="AS181" i="16"/>
  <c r="AO181" i="16"/>
  <c r="AP181" i="16" s="1"/>
  <c r="AQ181" i="16" s="1"/>
  <c r="AR181" i="16" s="1"/>
  <c r="AN181" i="16"/>
  <c r="W181" i="16"/>
  <c r="S181" i="16"/>
  <c r="I181" i="16"/>
  <c r="J181" i="16" s="1"/>
  <c r="K181" i="16" s="1"/>
  <c r="AT180" i="16"/>
  <c r="AS180" i="16"/>
  <c r="AO180" i="16"/>
  <c r="AP180" i="16" s="1"/>
  <c r="AQ180" i="16" s="1"/>
  <c r="AR180" i="16" s="1"/>
  <c r="AN180" i="16"/>
  <c r="W180" i="16"/>
  <c r="S180" i="16"/>
  <c r="I180" i="16"/>
  <c r="J180" i="16" s="1"/>
  <c r="K180" i="16" s="1"/>
  <c r="AT179" i="16"/>
  <c r="AS179" i="16"/>
  <c r="AO179" i="16"/>
  <c r="AP179" i="16" s="1"/>
  <c r="AQ179" i="16" s="1"/>
  <c r="AR179" i="16" s="1"/>
  <c r="AN179" i="16"/>
  <c r="W179" i="16"/>
  <c r="S179" i="16"/>
  <c r="I179" i="16"/>
  <c r="J179" i="16" s="1"/>
  <c r="K179" i="16" s="1"/>
  <c r="AT178" i="16"/>
  <c r="AS178" i="16"/>
  <c r="AO178" i="16"/>
  <c r="AP178" i="16" s="1"/>
  <c r="AQ178" i="16" s="1"/>
  <c r="AR178" i="16" s="1"/>
  <c r="AN178" i="16"/>
  <c r="W178" i="16"/>
  <c r="S178" i="16"/>
  <c r="I178" i="16"/>
  <c r="J178" i="16" s="1"/>
  <c r="K178" i="16" s="1"/>
  <c r="AT177" i="16"/>
  <c r="AS177" i="16"/>
  <c r="AO177" i="16"/>
  <c r="AP177" i="16" s="1"/>
  <c r="AQ177" i="16" s="1"/>
  <c r="AR177" i="16" s="1"/>
  <c r="AN177" i="16"/>
  <c r="W177" i="16"/>
  <c r="S177" i="16"/>
  <c r="I177" i="16"/>
  <c r="J177" i="16" s="1"/>
  <c r="K177" i="16" s="1"/>
  <c r="AT176" i="16"/>
  <c r="AS176" i="16"/>
  <c r="AO176" i="16"/>
  <c r="AP176" i="16" s="1"/>
  <c r="AQ176" i="16" s="1"/>
  <c r="AR176" i="16" s="1"/>
  <c r="AN176" i="16"/>
  <c r="W176" i="16"/>
  <c r="S176" i="16"/>
  <c r="I176" i="16"/>
  <c r="J176" i="16" s="1"/>
  <c r="K176" i="16" s="1"/>
  <c r="AT175" i="16"/>
  <c r="AS175" i="16"/>
  <c r="AO175" i="16"/>
  <c r="AP175" i="16" s="1"/>
  <c r="AQ175" i="16" s="1"/>
  <c r="AR175" i="16" s="1"/>
  <c r="AN175" i="16"/>
  <c r="W175" i="16"/>
  <c r="S175" i="16"/>
  <c r="I175" i="16"/>
  <c r="J175" i="16" s="1"/>
  <c r="K175" i="16" s="1"/>
  <c r="AT174" i="16"/>
  <c r="AS174" i="16"/>
  <c r="AO174" i="16"/>
  <c r="AP174" i="16" s="1"/>
  <c r="AQ174" i="16" s="1"/>
  <c r="AR174" i="16" s="1"/>
  <c r="AN174" i="16"/>
  <c r="W174" i="16"/>
  <c r="S174" i="16"/>
  <c r="I174" i="16"/>
  <c r="J174" i="16" s="1"/>
  <c r="K174" i="16" s="1"/>
  <c r="AT173" i="16"/>
  <c r="AS173" i="16"/>
  <c r="AO173" i="16"/>
  <c r="AP173" i="16" s="1"/>
  <c r="AQ173" i="16" s="1"/>
  <c r="AR173" i="16" s="1"/>
  <c r="AN173" i="16"/>
  <c r="W173" i="16"/>
  <c r="S173" i="16"/>
  <c r="I173" i="16"/>
  <c r="J173" i="16" s="1"/>
  <c r="K173" i="16" s="1"/>
  <c r="AT172" i="16"/>
  <c r="AS172" i="16"/>
  <c r="AO172" i="16"/>
  <c r="AP172" i="16" s="1"/>
  <c r="AQ172" i="16" s="1"/>
  <c r="AR172" i="16" s="1"/>
  <c r="AN172" i="16"/>
  <c r="W172" i="16"/>
  <c r="S172" i="16"/>
  <c r="I172" i="16"/>
  <c r="J172" i="16" s="1"/>
  <c r="K172" i="16" s="1"/>
  <c r="AT171" i="16"/>
  <c r="AS171" i="16"/>
  <c r="AO171" i="16"/>
  <c r="AP171" i="16" s="1"/>
  <c r="AQ171" i="16" s="1"/>
  <c r="AR171" i="16" s="1"/>
  <c r="AN171" i="16"/>
  <c r="W171" i="16"/>
  <c r="S171" i="16"/>
  <c r="I171" i="16"/>
  <c r="J171" i="16" s="1"/>
  <c r="K171" i="16" s="1"/>
  <c r="AT170" i="16"/>
  <c r="AS170" i="16"/>
  <c r="AO170" i="16"/>
  <c r="AP170" i="16" s="1"/>
  <c r="AQ170" i="16" s="1"/>
  <c r="AR170" i="16" s="1"/>
  <c r="AN170" i="16"/>
  <c r="W170" i="16"/>
  <c r="S170" i="16"/>
  <c r="I170" i="16"/>
  <c r="J170" i="16" s="1"/>
  <c r="K170" i="16" s="1"/>
  <c r="AT169" i="16"/>
  <c r="AS169" i="16"/>
  <c r="AO169" i="16"/>
  <c r="AP169" i="16" s="1"/>
  <c r="AQ169" i="16" s="1"/>
  <c r="AR169" i="16" s="1"/>
  <c r="AN169" i="16"/>
  <c r="W169" i="16"/>
  <c r="S169" i="16"/>
  <c r="J169" i="16"/>
  <c r="K169" i="16" s="1"/>
  <c r="AS168" i="16"/>
  <c r="AO168" i="16"/>
  <c r="AP168" i="16" s="1"/>
  <c r="AQ168" i="16" s="1"/>
  <c r="AR168" i="16" s="1"/>
  <c r="AN168" i="16"/>
  <c r="W168" i="16"/>
  <c r="S168" i="16"/>
  <c r="I168" i="16"/>
  <c r="J168" i="16" s="1"/>
  <c r="K168" i="16" s="1"/>
  <c r="AS167" i="16"/>
  <c r="AO167" i="16"/>
  <c r="AP167" i="16" s="1"/>
  <c r="AQ167" i="16" s="1"/>
  <c r="AR167" i="16" s="1"/>
  <c r="AN167" i="16"/>
  <c r="W167" i="16"/>
  <c r="S167" i="16"/>
  <c r="I167" i="16"/>
  <c r="J167" i="16" s="1"/>
  <c r="K167" i="16" s="1"/>
  <c r="AS166" i="16"/>
  <c r="AO166" i="16"/>
  <c r="AP166" i="16" s="1"/>
  <c r="AQ166" i="16" s="1"/>
  <c r="AR166" i="16" s="1"/>
  <c r="AN166" i="16"/>
  <c r="W166" i="16"/>
  <c r="S166" i="16"/>
  <c r="I166" i="16"/>
  <c r="J166" i="16" s="1"/>
  <c r="K166" i="16" s="1"/>
  <c r="AT165" i="16"/>
  <c r="AS165" i="16"/>
  <c r="AO165" i="16"/>
  <c r="AP165" i="16" s="1"/>
  <c r="AQ165" i="16" s="1"/>
  <c r="AR165" i="16" s="1"/>
  <c r="AN165" i="16"/>
  <c r="W165" i="16"/>
  <c r="S165" i="16"/>
  <c r="J165" i="16"/>
  <c r="K165" i="16" s="1"/>
  <c r="AT164" i="16"/>
  <c r="AS164" i="16"/>
  <c r="AO164" i="16"/>
  <c r="AP164" i="16" s="1"/>
  <c r="AQ164" i="16" s="1"/>
  <c r="AR164" i="16" s="1"/>
  <c r="AN164" i="16"/>
  <c r="W164" i="16"/>
  <c r="S164" i="16"/>
  <c r="J164" i="16"/>
  <c r="K164" i="16" s="1"/>
  <c r="AS163" i="16"/>
  <c r="AO163" i="16"/>
  <c r="AP163" i="16" s="1"/>
  <c r="AQ163" i="16" s="1"/>
  <c r="AR163" i="16" s="1"/>
  <c r="AN163" i="16"/>
  <c r="W163" i="16"/>
  <c r="S163" i="16"/>
  <c r="I163" i="16"/>
  <c r="J163" i="16" s="1"/>
  <c r="K163" i="16" s="1"/>
  <c r="AS162" i="16"/>
  <c r="AO162" i="16"/>
  <c r="AP162" i="16" s="1"/>
  <c r="AQ162" i="16" s="1"/>
  <c r="AR162" i="16" s="1"/>
  <c r="AN162" i="16"/>
  <c r="W162" i="16"/>
  <c r="S162" i="16"/>
  <c r="I162" i="16"/>
  <c r="J162" i="16" s="1"/>
  <c r="K162" i="16" s="1"/>
  <c r="AS161" i="16"/>
  <c r="AO161" i="16"/>
  <c r="AP161" i="16" s="1"/>
  <c r="AQ161" i="16" s="1"/>
  <c r="AR161" i="16" s="1"/>
  <c r="AN161" i="16"/>
  <c r="W161" i="16"/>
  <c r="S161" i="16"/>
  <c r="I161" i="16"/>
  <c r="J161" i="16" s="1"/>
  <c r="K161" i="16" s="1"/>
  <c r="AT160" i="16"/>
  <c r="AS160" i="16"/>
  <c r="AO160" i="16"/>
  <c r="AP160" i="16" s="1"/>
  <c r="AQ160" i="16" s="1"/>
  <c r="AR160" i="16" s="1"/>
  <c r="AN160" i="16"/>
  <c r="W160" i="16"/>
  <c r="S160" i="16"/>
  <c r="I160" i="16"/>
  <c r="J160" i="16" s="1"/>
  <c r="K160" i="16" s="1"/>
  <c r="AT159" i="16"/>
  <c r="AS159" i="16"/>
  <c r="AO159" i="16"/>
  <c r="AP159" i="16" s="1"/>
  <c r="AQ159" i="16" s="1"/>
  <c r="AR159" i="16" s="1"/>
  <c r="AN159" i="16"/>
  <c r="W159" i="16"/>
  <c r="S159" i="16"/>
  <c r="I159" i="16"/>
  <c r="J159" i="16" s="1"/>
  <c r="K159" i="16" s="1"/>
  <c r="AT158" i="16"/>
  <c r="AS158" i="16"/>
  <c r="AO158" i="16"/>
  <c r="AP158" i="16" s="1"/>
  <c r="AQ158" i="16" s="1"/>
  <c r="AR158" i="16" s="1"/>
  <c r="AN158" i="16"/>
  <c r="W158" i="16"/>
  <c r="S158" i="16"/>
  <c r="I158" i="16"/>
  <c r="J158" i="16" s="1"/>
  <c r="K158" i="16" s="1"/>
  <c r="AT157" i="16"/>
  <c r="AS157" i="16"/>
  <c r="AO157" i="16"/>
  <c r="AP157" i="16" s="1"/>
  <c r="AQ157" i="16" s="1"/>
  <c r="AR157" i="16" s="1"/>
  <c r="AN157" i="16"/>
  <c r="W157" i="16"/>
  <c r="S157" i="16"/>
  <c r="I157" i="16"/>
  <c r="J157" i="16" s="1"/>
  <c r="K157" i="16" s="1"/>
  <c r="AT156" i="16"/>
  <c r="AS156" i="16"/>
  <c r="AO156" i="16"/>
  <c r="AP156" i="16" s="1"/>
  <c r="AQ156" i="16" s="1"/>
  <c r="AR156" i="16" s="1"/>
  <c r="AN156" i="16"/>
  <c r="W156" i="16"/>
  <c r="S156" i="16"/>
  <c r="I156" i="16"/>
  <c r="J156" i="16" s="1"/>
  <c r="K156" i="16" s="1"/>
  <c r="AT155" i="16"/>
  <c r="AS155" i="16"/>
  <c r="AO155" i="16"/>
  <c r="AP155" i="16" s="1"/>
  <c r="AQ155" i="16" s="1"/>
  <c r="AR155" i="16" s="1"/>
  <c r="AN155" i="16"/>
  <c r="W155" i="16"/>
  <c r="S155" i="16"/>
  <c r="I155" i="16"/>
  <c r="J155" i="16" s="1"/>
  <c r="K155" i="16" s="1"/>
  <c r="AT154" i="16"/>
  <c r="AS154" i="16"/>
  <c r="AO154" i="16"/>
  <c r="AP154" i="16" s="1"/>
  <c r="AQ154" i="16" s="1"/>
  <c r="AR154" i="16" s="1"/>
  <c r="AN154" i="16"/>
  <c r="W154" i="16"/>
  <c r="S154" i="16"/>
  <c r="I154" i="16"/>
  <c r="J154" i="16" s="1"/>
  <c r="K154" i="16" s="1"/>
  <c r="AT153" i="16"/>
  <c r="AS153" i="16"/>
  <c r="AO153" i="16"/>
  <c r="AP153" i="16" s="1"/>
  <c r="AQ153" i="16" s="1"/>
  <c r="AR153" i="16" s="1"/>
  <c r="AN153" i="16"/>
  <c r="W153" i="16"/>
  <c r="S153" i="16"/>
  <c r="I153" i="16"/>
  <c r="J153" i="16" s="1"/>
  <c r="K153" i="16" s="1"/>
  <c r="AT152" i="16"/>
  <c r="AS152" i="16"/>
  <c r="AO152" i="16"/>
  <c r="AP152" i="16" s="1"/>
  <c r="AQ152" i="16" s="1"/>
  <c r="AR152" i="16" s="1"/>
  <c r="AN152" i="16"/>
  <c r="W152" i="16"/>
  <c r="S152" i="16"/>
  <c r="J152" i="16"/>
  <c r="K152" i="16" s="1"/>
  <c r="AT151" i="16"/>
  <c r="AS151" i="16"/>
  <c r="AO151" i="16"/>
  <c r="AP151" i="16" s="1"/>
  <c r="AQ151" i="16" s="1"/>
  <c r="AR151" i="16" s="1"/>
  <c r="AN151" i="16"/>
  <c r="W151" i="16"/>
  <c r="S151" i="16"/>
  <c r="J151" i="16"/>
  <c r="K151" i="16" s="1"/>
  <c r="AT150" i="16"/>
  <c r="AS150" i="16"/>
  <c r="AO150" i="16"/>
  <c r="AP150" i="16" s="1"/>
  <c r="AQ150" i="16" s="1"/>
  <c r="AR150" i="16" s="1"/>
  <c r="AN150" i="16"/>
  <c r="W150" i="16"/>
  <c r="S150" i="16"/>
  <c r="I150" i="16"/>
  <c r="J150" i="16" s="1"/>
  <c r="K150" i="16" s="1"/>
  <c r="AT149" i="16"/>
  <c r="AS149" i="16"/>
  <c r="AO149" i="16"/>
  <c r="AP149" i="16" s="1"/>
  <c r="AQ149" i="16" s="1"/>
  <c r="AR149" i="16" s="1"/>
  <c r="AN149" i="16"/>
  <c r="W149" i="16"/>
  <c r="S149" i="16"/>
  <c r="I149" i="16"/>
  <c r="J149" i="16" s="1"/>
  <c r="K149" i="16" s="1"/>
  <c r="AT148" i="16"/>
  <c r="AS148" i="16"/>
  <c r="AO148" i="16"/>
  <c r="AP148" i="16" s="1"/>
  <c r="AQ148" i="16" s="1"/>
  <c r="AR148" i="16" s="1"/>
  <c r="AN148" i="16"/>
  <c r="W148" i="16"/>
  <c r="S148" i="16"/>
  <c r="I148" i="16"/>
  <c r="J148" i="16" s="1"/>
  <c r="K148" i="16" s="1"/>
  <c r="AT147" i="16"/>
  <c r="AS147" i="16"/>
  <c r="AO147" i="16"/>
  <c r="AP147" i="16" s="1"/>
  <c r="AQ147" i="16" s="1"/>
  <c r="AR147" i="16" s="1"/>
  <c r="AN147" i="16"/>
  <c r="W147" i="16"/>
  <c r="S147" i="16"/>
  <c r="I147" i="16"/>
  <c r="J147" i="16" s="1"/>
  <c r="K147" i="16" s="1"/>
  <c r="AT146" i="16"/>
  <c r="AS146" i="16"/>
  <c r="AO146" i="16"/>
  <c r="AP146" i="16" s="1"/>
  <c r="AQ146" i="16" s="1"/>
  <c r="AR146" i="16" s="1"/>
  <c r="AN146" i="16"/>
  <c r="W146" i="16"/>
  <c r="S146" i="16"/>
  <c r="I146" i="16"/>
  <c r="J146" i="16" s="1"/>
  <c r="K146" i="16" s="1"/>
  <c r="AT145" i="16"/>
  <c r="AS145" i="16"/>
  <c r="AO145" i="16"/>
  <c r="AP145" i="16" s="1"/>
  <c r="AQ145" i="16" s="1"/>
  <c r="AR145" i="16" s="1"/>
  <c r="AN145" i="16"/>
  <c r="W145" i="16"/>
  <c r="S145" i="16"/>
  <c r="I145" i="16"/>
  <c r="J145" i="16" s="1"/>
  <c r="K145" i="16" s="1"/>
  <c r="AT144" i="16"/>
  <c r="AS144" i="16"/>
  <c r="AO144" i="16"/>
  <c r="AP144" i="16" s="1"/>
  <c r="AQ144" i="16" s="1"/>
  <c r="AR144" i="16" s="1"/>
  <c r="AN144" i="16"/>
  <c r="W144" i="16"/>
  <c r="S144" i="16"/>
  <c r="I144" i="16"/>
  <c r="J144" i="16" s="1"/>
  <c r="K144" i="16" s="1"/>
  <c r="AT143" i="16"/>
  <c r="AS143" i="16"/>
  <c r="AO143" i="16"/>
  <c r="AP143" i="16" s="1"/>
  <c r="AQ143" i="16" s="1"/>
  <c r="AR143" i="16" s="1"/>
  <c r="AN143" i="16"/>
  <c r="W143" i="16"/>
  <c r="S143" i="16"/>
  <c r="I143" i="16"/>
  <c r="J143" i="16" s="1"/>
  <c r="K143" i="16" s="1"/>
  <c r="AT142" i="16"/>
  <c r="AS142" i="16"/>
  <c r="AO142" i="16"/>
  <c r="AP142" i="16" s="1"/>
  <c r="AQ142" i="16" s="1"/>
  <c r="AR142" i="16" s="1"/>
  <c r="AN142" i="16"/>
  <c r="W142" i="16"/>
  <c r="S142" i="16"/>
  <c r="I142" i="16"/>
  <c r="J142" i="16" s="1"/>
  <c r="K142" i="16" s="1"/>
  <c r="AT141" i="16"/>
  <c r="AS141" i="16"/>
  <c r="AO141" i="16"/>
  <c r="AP141" i="16" s="1"/>
  <c r="AQ141" i="16" s="1"/>
  <c r="AR141" i="16" s="1"/>
  <c r="AN141" i="16"/>
  <c r="W141" i="16"/>
  <c r="S141" i="16"/>
  <c r="I141" i="16"/>
  <c r="J141" i="16" s="1"/>
  <c r="K141" i="16" s="1"/>
  <c r="AT140" i="16"/>
  <c r="AS140" i="16"/>
  <c r="AO140" i="16"/>
  <c r="AP140" i="16" s="1"/>
  <c r="AQ140" i="16" s="1"/>
  <c r="AR140" i="16" s="1"/>
  <c r="AN140" i="16"/>
  <c r="W140" i="16"/>
  <c r="S140" i="16"/>
  <c r="I140" i="16"/>
  <c r="J140" i="16" s="1"/>
  <c r="K140" i="16" s="1"/>
  <c r="AT139" i="16"/>
  <c r="AS139" i="16"/>
  <c r="AO139" i="16"/>
  <c r="AP139" i="16" s="1"/>
  <c r="AQ139" i="16" s="1"/>
  <c r="AR139" i="16" s="1"/>
  <c r="AN139" i="16"/>
  <c r="W139" i="16"/>
  <c r="S139" i="16"/>
  <c r="I139" i="16"/>
  <c r="J139" i="16" s="1"/>
  <c r="K139" i="16" s="1"/>
  <c r="AT138" i="16"/>
  <c r="AS138" i="16"/>
  <c r="AO138" i="16"/>
  <c r="AP138" i="16" s="1"/>
  <c r="AQ138" i="16" s="1"/>
  <c r="AR138" i="16" s="1"/>
  <c r="AN138" i="16"/>
  <c r="W138" i="16"/>
  <c r="S138" i="16"/>
  <c r="I138" i="16"/>
  <c r="J138" i="16" s="1"/>
  <c r="K138" i="16" s="1"/>
  <c r="AT137" i="16"/>
  <c r="AS137" i="16"/>
  <c r="AO137" i="16"/>
  <c r="AP137" i="16" s="1"/>
  <c r="AQ137" i="16" s="1"/>
  <c r="AR137" i="16" s="1"/>
  <c r="AN137" i="16"/>
  <c r="W137" i="16"/>
  <c r="S137" i="16"/>
  <c r="I137" i="16"/>
  <c r="J137" i="16" s="1"/>
  <c r="K137" i="16" s="1"/>
  <c r="AT136" i="16"/>
  <c r="AS136" i="16"/>
  <c r="AO136" i="16"/>
  <c r="AP136" i="16" s="1"/>
  <c r="AQ136" i="16" s="1"/>
  <c r="AR136" i="16" s="1"/>
  <c r="AN136" i="16"/>
  <c r="W136" i="16"/>
  <c r="S136" i="16"/>
  <c r="I136" i="16"/>
  <c r="J136" i="16" s="1"/>
  <c r="K136" i="16" s="1"/>
  <c r="AT135" i="16"/>
  <c r="AS135" i="16"/>
  <c r="AO135" i="16"/>
  <c r="AP135" i="16" s="1"/>
  <c r="AQ135" i="16" s="1"/>
  <c r="AR135" i="16" s="1"/>
  <c r="AN135" i="16"/>
  <c r="W135" i="16"/>
  <c r="S135" i="16"/>
  <c r="I135" i="16"/>
  <c r="J135" i="16" s="1"/>
  <c r="K135" i="16" s="1"/>
  <c r="AT134" i="16"/>
  <c r="AS134" i="16"/>
  <c r="AO134" i="16"/>
  <c r="AP134" i="16" s="1"/>
  <c r="AQ134" i="16" s="1"/>
  <c r="AR134" i="16" s="1"/>
  <c r="AN134" i="16"/>
  <c r="W134" i="16"/>
  <c r="S134" i="16"/>
  <c r="I134" i="16"/>
  <c r="J134" i="16" s="1"/>
  <c r="K134" i="16" s="1"/>
  <c r="AT133" i="16"/>
  <c r="AS133" i="16"/>
  <c r="AO133" i="16"/>
  <c r="AP133" i="16" s="1"/>
  <c r="AQ133" i="16" s="1"/>
  <c r="AR133" i="16" s="1"/>
  <c r="AN133" i="16"/>
  <c r="W133" i="16"/>
  <c r="S133" i="16"/>
  <c r="I133" i="16"/>
  <c r="J133" i="16" s="1"/>
  <c r="K133" i="16" s="1"/>
  <c r="AT132" i="16"/>
  <c r="AS132" i="16"/>
  <c r="AO132" i="16"/>
  <c r="AP132" i="16" s="1"/>
  <c r="AQ132" i="16" s="1"/>
  <c r="AR132" i="16" s="1"/>
  <c r="AN132" i="16"/>
  <c r="W132" i="16"/>
  <c r="S132" i="16"/>
  <c r="I132" i="16"/>
  <c r="J132" i="16" s="1"/>
  <c r="K132" i="16" s="1"/>
  <c r="AT131" i="16"/>
  <c r="AS131" i="16"/>
  <c r="AO131" i="16"/>
  <c r="AP131" i="16" s="1"/>
  <c r="AQ131" i="16" s="1"/>
  <c r="AR131" i="16" s="1"/>
  <c r="AN131" i="16"/>
  <c r="W131" i="16"/>
  <c r="S131" i="16"/>
  <c r="I131" i="16"/>
  <c r="J131" i="16" s="1"/>
  <c r="K131" i="16" s="1"/>
  <c r="AT130" i="16"/>
  <c r="AS130" i="16"/>
  <c r="AO130" i="16"/>
  <c r="AP130" i="16" s="1"/>
  <c r="AQ130" i="16" s="1"/>
  <c r="AR130" i="16" s="1"/>
  <c r="AN130" i="16"/>
  <c r="W130" i="16"/>
  <c r="S130" i="16"/>
  <c r="I130" i="16"/>
  <c r="J130" i="16" s="1"/>
  <c r="K130" i="16" s="1"/>
  <c r="AT129" i="16"/>
  <c r="AS129" i="16"/>
  <c r="AO129" i="16"/>
  <c r="AP129" i="16" s="1"/>
  <c r="AQ129" i="16" s="1"/>
  <c r="AR129" i="16" s="1"/>
  <c r="AN129" i="16"/>
  <c r="W129" i="16"/>
  <c r="S129" i="16"/>
  <c r="I129" i="16"/>
  <c r="J129" i="16" s="1"/>
  <c r="K129" i="16" s="1"/>
  <c r="AT128" i="16"/>
  <c r="AS128" i="16"/>
  <c r="AO128" i="16"/>
  <c r="AP128" i="16" s="1"/>
  <c r="AQ128" i="16" s="1"/>
  <c r="AR128" i="16" s="1"/>
  <c r="AN128" i="16"/>
  <c r="W128" i="16"/>
  <c r="S128" i="16"/>
  <c r="I128" i="16"/>
  <c r="J128" i="16" s="1"/>
  <c r="K128" i="16" s="1"/>
  <c r="AT127" i="16"/>
  <c r="AS127" i="16"/>
  <c r="AO127" i="16"/>
  <c r="AP127" i="16" s="1"/>
  <c r="AQ127" i="16" s="1"/>
  <c r="AR127" i="16" s="1"/>
  <c r="AN127" i="16"/>
  <c r="W127" i="16"/>
  <c r="S127" i="16"/>
  <c r="I127" i="16"/>
  <c r="J127" i="16" s="1"/>
  <c r="K127" i="16" s="1"/>
  <c r="AT126" i="16"/>
  <c r="AS126" i="16"/>
  <c r="AO126" i="16"/>
  <c r="AP126" i="16" s="1"/>
  <c r="AQ126" i="16" s="1"/>
  <c r="AR126" i="16" s="1"/>
  <c r="AN126" i="16"/>
  <c r="W126" i="16"/>
  <c r="S126" i="16"/>
  <c r="I126" i="16"/>
  <c r="J126" i="16" s="1"/>
  <c r="K126" i="16" s="1"/>
  <c r="AT125" i="16"/>
  <c r="AS125" i="16"/>
  <c r="AO125" i="16"/>
  <c r="AP125" i="16" s="1"/>
  <c r="AQ125" i="16" s="1"/>
  <c r="AR125" i="16" s="1"/>
  <c r="AN125" i="16"/>
  <c r="W125" i="16"/>
  <c r="S125" i="16"/>
  <c r="I125" i="16"/>
  <c r="J125" i="16" s="1"/>
  <c r="K125" i="16" s="1"/>
  <c r="AT124" i="16"/>
  <c r="AS124" i="16"/>
  <c r="AO124" i="16"/>
  <c r="AP124" i="16" s="1"/>
  <c r="AQ124" i="16" s="1"/>
  <c r="AR124" i="16" s="1"/>
  <c r="AN124" i="16"/>
  <c r="W124" i="16"/>
  <c r="S124" i="16"/>
  <c r="I124" i="16"/>
  <c r="J124" i="16" s="1"/>
  <c r="K124" i="16" s="1"/>
  <c r="AT123" i="16"/>
  <c r="AS123" i="16"/>
  <c r="AO123" i="16"/>
  <c r="AP123" i="16" s="1"/>
  <c r="AQ123" i="16" s="1"/>
  <c r="AR123" i="16" s="1"/>
  <c r="AN123" i="16"/>
  <c r="W123" i="16"/>
  <c r="S123" i="16"/>
  <c r="I123" i="16"/>
  <c r="J123" i="16" s="1"/>
  <c r="K123" i="16" s="1"/>
  <c r="AT122" i="16"/>
  <c r="AS122" i="16"/>
  <c r="AO122" i="16"/>
  <c r="AP122" i="16" s="1"/>
  <c r="AQ122" i="16" s="1"/>
  <c r="AR122" i="16" s="1"/>
  <c r="AN122" i="16"/>
  <c r="W122" i="16"/>
  <c r="S122" i="16"/>
  <c r="I122" i="16"/>
  <c r="J122" i="16" s="1"/>
  <c r="K122" i="16" s="1"/>
  <c r="AS121" i="16"/>
  <c r="AO121" i="16"/>
  <c r="AP121" i="16" s="1"/>
  <c r="AQ121" i="16" s="1"/>
  <c r="AR121" i="16" s="1"/>
  <c r="AN121" i="16"/>
  <c r="W121" i="16"/>
  <c r="S121" i="16"/>
  <c r="I121" i="16"/>
  <c r="J121" i="16" s="1"/>
  <c r="K121" i="16" s="1"/>
  <c r="AS120" i="16"/>
  <c r="AO120" i="16"/>
  <c r="AP120" i="16" s="1"/>
  <c r="AQ120" i="16" s="1"/>
  <c r="AR120" i="16" s="1"/>
  <c r="AN120" i="16"/>
  <c r="W120" i="16"/>
  <c r="S120" i="16"/>
  <c r="I120" i="16"/>
  <c r="J120" i="16" s="1"/>
  <c r="K120" i="16" s="1"/>
  <c r="AS119" i="16"/>
  <c r="AO119" i="16"/>
  <c r="AP119" i="16" s="1"/>
  <c r="AQ119" i="16" s="1"/>
  <c r="AR119" i="16" s="1"/>
  <c r="AN119" i="16"/>
  <c r="W119" i="16"/>
  <c r="S119" i="16"/>
  <c r="I119" i="16"/>
  <c r="J119" i="16" s="1"/>
  <c r="K119" i="16" s="1"/>
  <c r="AT118" i="16"/>
  <c r="AS118" i="16"/>
  <c r="AO118" i="16"/>
  <c r="AP118" i="16" s="1"/>
  <c r="AQ118" i="16" s="1"/>
  <c r="AR118" i="16" s="1"/>
  <c r="AN118" i="16"/>
  <c r="W118" i="16"/>
  <c r="S118" i="16"/>
  <c r="I118" i="16"/>
  <c r="J118" i="16" s="1"/>
  <c r="K118" i="16" s="1"/>
  <c r="AT117" i="16"/>
  <c r="AS117" i="16"/>
  <c r="AO117" i="16"/>
  <c r="AP117" i="16" s="1"/>
  <c r="AQ117" i="16" s="1"/>
  <c r="AR117" i="16" s="1"/>
  <c r="AN117" i="16"/>
  <c r="W117" i="16"/>
  <c r="S117" i="16"/>
  <c r="I117" i="16"/>
  <c r="J117" i="16" s="1"/>
  <c r="K117" i="16" s="1"/>
  <c r="AT116" i="16"/>
  <c r="AS116" i="16"/>
  <c r="AO116" i="16"/>
  <c r="AP116" i="16" s="1"/>
  <c r="AQ116" i="16" s="1"/>
  <c r="AR116" i="16" s="1"/>
  <c r="AN116" i="16"/>
  <c r="W116" i="16"/>
  <c r="S116" i="16"/>
  <c r="I116" i="16"/>
  <c r="J116" i="16" s="1"/>
  <c r="K116" i="16" s="1"/>
  <c r="AT115" i="16"/>
  <c r="AS115" i="16"/>
  <c r="AO115" i="16"/>
  <c r="AP115" i="16" s="1"/>
  <c r="AQ115" i="16" s="1"/>
  <c r="AR115" i="16" s="1"/>
  <c r="AN115" i="16"/>
  <c r="W115" i="16"/>
  <c r="S115" i="16"/>
  <c r="I115" i="16"/>
  <c r="J115" i="16" s="1"/>
  <c r="K115" i="16" s="1"/>
  <c r="AT114" i="16"/>
  <c r="AS114" i="16"/>
  <c r="AO114" i="16"/>
  <c r="AP114" i="16" s="1"/>
  <c r="AQ114" i="16" s="1"/>
  <c r="AR114" i="16" s="1"/>
  <c r="AN114" i="16"/>
  <c r="W114" i="16"/>
  <c r="S114" i="16"/>
  <c r="I114" i="16"/>
  <c r="J114" i="16" s="1"/>
  <c r="K114" i="16" s="1"/>
  <c r="AT113" i="16"/>
  <c r="AS113" i="16"/>
  <c r="AO113" i="16"/>
  <c r="AP113" i="16" s="1"/>
  <c r="AQ113" i="16" s="1"/>
  <c r="AR113" i="16" s="1"/>
  <c r="AN113" i="16"/>
  <c r="W113" i="16"/>
  <c r="S113" i="16"/>
  <c r="I113" i="16"/>
  <c r="J113" i="16" s="1"/>
  <c r="K113" i="16" s="1"/>
  <c r="AT112" i="16"/>
  <c r="AS112" i="16"/>
  <c r="AO112" i="16"/>
  <c r="AP112" i="16" s="1"/>
  <c r="AQ112" i="16" s="1"/>
  <c r="AR112" i="16" s="1"/>
  <c r="AN112" i="16"/>
  <c r="W112" i="16"/>
  <c r="S112" i="16"/>
  <c r="I112" i="16"/>
  <c r="J112" i="16" s="1"/>
  <c r="K112" i="16" s="1"/>
  <c r="AT111" i="16"/>
  <c r="AS111" i="16"/>
  <c r="AO111" i="16"/>
  <c r="AP111" i="16" s="1"/>
  <c r="AQ111" i="16" s="1"/>
  <c r="AR111" i="16" s="1"/>
  <c r="AN111" i="16"/>
  <c r="W111" i="16"/>
  <c r="S111" i="16"/>
  <c r="I111" i="16"/>
  <c r="J111" i="16" s="1"/>
  <c r="K111" i="16" s="1"/>
  <c r="AT110" i="16"/>
  <c r="AS110" i="16"/>
  <c r="AO110" i="16"/>
  <c r="AP110" i="16" s="1"/>
  <c r="AQ110" i="16" s="1"/>
  <c r="AR110" i="16" s="1"/>
  <c r="AN110" i="16"/>
  <c r="W110" i="16"/>
  <c r="S110" i="16"/>
  <c r="I110" i="16"/>
  <c r="J110" i="16" s="1"/>
  <c r="K110" i="16" s="1"/>
  <c r="AT109" i="16"/>
  <c r="AS109" i="16"/>
  <c r="AO109" i="16"/>
  <c r="AP109" i="16" s="1"/>
  <c r="AQ109" i="16" s="1"/>
  <c r="AR109" i="16" s="1"/>
  <c r="AN109" i="16"/>
  <c r="W109" i="16"/>
  <c r="S109" i="16"/>
  <c r="I109" i="16"/>
  <c r="J109" i="16" s="1"/>
  <c r="K109" i="16" s="1"/>
  <c r="AT108" i="16"/>
  <c r="AS108" i="16"/>
  <c r="AO108" i="16"/>
  <c r="AP108" i="16" s="1"/>
  <c r="AQ108" i="16" s="1"/>
  <c r="AR108" i="16" s="1"/>
  <c r="AN108" i="16"/>
  <c r="W108" i="16"/>
  <c r="S108" i="16"/>
  <c r="I105" i="16"/>
  <c r="I106" i="16"/>
  <c r="I107" i="16"/>
  <c r="J107" i="16" s="1"/>
  <c r="K107" i="16" s="1"/>
  <c r="AT463" i="16"/>
  <c r="AS463" i="16"/>
  <c r="AO463" i="16"/>
  <c r="AN463" i="16"/>
  <c r="W463" i="16"/>
  <c r="S463" i="16"/>
  <c r="AC107" i="16"/>
  <c r="AF107" i="16"/>
  <c r="AL107" i="16"/>
  <c r="AS107" i="16"/>
  <c r="AK107" i="16"/>
  <c r="AE107" i="16"/>
  <c r="AB107" i="16"/>
  <c r="AI107" i="16"/>
  <c r="AH107" i="16"/>
  <c r="W107" i="16"/>
  <c r="S107" i="16"/>
  <c r="AC106" i="16"/>
  <c r="AF106" i="16"/>
  <c r="AL106" i="16"/>
  <c r="AS106" i="16"/>
  <c r="AK106" i="16"/>
  <c r="AE106" i="16"/>
  <c r="AB106" i="16"/>
  <c r="W106" i="16"/>
  <c r="S106" i="16"/>
  <c r="J106" i="16"/>
  <c r="K106" i="16" s="1"/>
  <c r="AT105" i="16"/>
  <c r="AS105" i="16"/>
  <c r="AO105" i="16"/>
  <c r="AP105" i="16" s="1"/>
  <c r="AQ105" i="16" s="1"/>
  <c r="AR105" i="16" s="1"/>
  <c r="AN105" i="16"/>
  <c r="W105" i="16"/>
  <c r="S105" i="16"/>
  <c r="J105" i="16"/>
  <c r="K105" i="16" s="1"/>
  <c r="AT104" i="16"/>
  <c r="AS104" i="16"/>
  <c r="AO104" i="16"/>
  <c r="AP104" i="16" s="1"/>
  <c r="AQ104" i="16" s="1"/>
  <c r="AR104" i="16" s="1"/>
  <c r="AN104" i="16"/>
  <c r="W104" i="16"/>
  <c r="S104" i="16"/>
  <c r="I104" i="16"/>
  <c r="J104" i="16" s="1"/>
  <c r="K104" i="16" s="1"/>
  <c r="AT103" i="16"/>
  <c r="AS103" i="16"/>
  <c r="AO103" i="16"/>
  <c r="AP103" i="16" s="1"/>
  <c r="AQ103" i="16" s="1"/>
  <c r="AR103" i="16" s="1"/>
  <c r="AN103" i="16"/>
  <c r="W103" i="16"/>
  <c r="S103" i="16"/>
  <c r="I103" i="16"/>
  <c r="J103" i="16" s="1"/>
  <c r="K103" i="16" s="1"/>
  <c r="AT102" i="16"/>
  <c r="AS102" i="16"/>
  <c r="AO102" i="16"/>
  <c r="AP102" i="16" s="1"/>
  <c r="AQ102" i="16" s="1"/>
  <c r="AR102" i="16" s="1"/>
  <c r="AN102" i="16"/>
  <c r="W102" i="16"/>
  <c r="S102" i="16"/>
  <c r="I102" i="16"/>
  <c r="J102" i="16" s="1"/>
  <c r="K102" i="16" s="1"/>
  <c r="AT101" i="16"/>
  <c r="AS101" i="16"/>
  <c r="AO101" i="16"/>
  <c r="AP101" i="16" s="1"/>
  <c r="AQ101" i="16" s="1"/>
  <c r="AR101" i="16" s="1"/>
  <c r="AN101" i="16"/>
  <c r="W101" i="16"/>
  <c r="S101" i="16"/>
  <c r="I101" i="16"/>
  <c r="J101" i="16" s="1"/>
  <c r="K101" i="16" s="1"/>
  <c r="AT100" i="16"/>
  <c r="AS100" i="16"/>
  <c r="AO100" i="16"/>
  <c r="AP100" i="16" s="1"/>
  <c r="AQ100" i="16" s="1"/>
  <c r="AR100" i="16" s="1"/>
  <c r="AN100" i="16"/>
  <c r="W100" i="16"/>
  <c r="S100" i="16"/>
  <c r="I100" i="16"/>
  <c r="J100" i="16" s="1"/>
  <c r="K100" i="16" s="1"/>
  <c r="AT99" i="16"/>
  <c r="AS99" i="16"/>
  <c r="AO99" i="16"/>
  <c r="AP99" i="16" s="1"/>
  <c r="AQ99" i="16" s="1"/>
  <c r="AR99" i="16" s="1"/>
  <c r="AN99" i="16"/>
  <c r="W99" i="16"/>
  <c r="S99" i="16"/>
  <c r="I99" i="16"/>
  <c r="J99" i="16" s="1"/>
  <c r="K99" i="16" s="1"/>
  <c r="AT98" i="16"/>
  <c r="AS98" i="16"/>
  <c r="AO98" i="16"/>
  <c r="AP98" i="16" s="1"/>
  <c r="AQ98" i="16" s="1"/>
  <c r="AR98" i="16" s="1"/>
  <c r="AN98" i="16"/>
  <c r="W98" i="16"/>
  <c r="S98" i="16"/>
  <c r="I98" i="16"/>
  <c r="J98" i="16" s="1"/>
  <c r="K98" i="16" s="1"/>
  <c r="AT97" i="16"/>
  <c r="AS97" i="16"/>
  <c r="AO97" i="16"/>
  <c r="AP97" i="16" s="1"/>
  <c r="AQ97" i="16" s="1"/>
  <c r="AR97" i="16" s="1"/>
  <c r="AN97" i="16"/>
  <c r="W97" i="16"/>
  <c r="S97" i="16"/>
  <c r="I97" i="16"/>
  <c r="J97" i="16" s="1"/>
  <c r="K97" i="16" s="1"/>
  <c r="AT96" i="16"/>
  <c r="AS96" i="16"/>
  <c r="AO96" i="16"/>
  <c r="AP96" i="16" s="1"/>
  <c r="AQ96" i="16" s="1"/>
  <c r="AR96" i="16" s="1"/>
  <c r="AN96" i="16"/>
  <c r="W96" i="16"/>
  <c r="S96" i="16"/>
  <c r="J96" i="16"/>
  <c r="K96" i="16" s="1"/>
  <c r="AT95" i="16"/>
  <c r="AS95" i="16"/>
  <c r="AO95" i="16"/>
  <c r="AP95" i="16" s="1"/>
  <c r="AQ95" i="16" s="1"/>
  <c r="AR95" i="16" s="1"/>
  <c r="AN95" i="16"/>
  <c r="W95" i="16"/>
  <c r="S95" i="16"/>
  <c r="I95" i="16"/>
  <c r="J95" i="16" s="1"/>
  <c r="K95" i="16" s="1"/>
  <c r="AT94" i="16"/>
  <c r="AS94" i="16"/>
  <c r="AO94" i="16"/>
  <c r="AP94" i="16" s="1"/>
  <c r="AQ94" i="16" s="1"/>
  <c r="AR94" i="16" s="1"/>
  <c r="AN94" i="16"/>
  <c r="W94" i="16"/>
  <c r="S94" i="16"/>
  <c r="J94" i="16"/>
  <c r="K94" i="16" s="1"/>
  <c r="AT93" i="16"/>
  <c r="AS93" i="16"/>
  <c r="AO93" i="16"/>
  <c r="AP93" i="16" s="1"/>
  <c r="AQ93" i="16" s="1"/>
  <c r="AR93" i="16" s="1"/>
  <c r="AN93" i="16"/>
  <c r="W93" i="16"/>
  <c r="S93" i="16"/>
  <c r="I93" i="16"/>
  <c r="J93" i="16" s="1"/>
  <c r="K93" i="16" s="1"/>
  <c r="AT92" i="16"/>
  <c r="AS92" i="16"/>
  <c r="AO92" i="16"/>
  <c r="AP92" i="16" s="1"/>
  <c r="AQ92" i="16" s="1"/>
  <c r="AR92" i="16" s="1"/>
  <c r="AN92" i="16"/>
  <c r="W92" i="16"/>
  <c r="S92" i="16"/>
  <c r="I92" i="16"/>
  <c r="J92" i="16" s="1"/>
  <c r="K92" i="16" s="1"/>
  <c r="AT91" i="16"/>
  <c r="AS91" i="16"/>
  <c r="AO91" i="16"/>
  <c r="AP91" i="16" s="1"/>
  <c r="AQ91" i="16" s="1"/>
  <c r="AR91" i="16" s="1"/>
  <c r="AN91" i="16"/>
  <c r="W91" i="16"/>
  <c r="S91" i="16"/>
  <c r="I88" i="16"/>
  <c r="I89" i="16"/>
  <c r="J89" i="16" s="1"/>
  <c r="K89" i="16" s="1"/>
  <c r="AT90" i="16"/>
  <c r="AS90" i="16"/>
  <c r="AO90" i="16"/>
  <c r="AP90" i="16" s="1"/>
  <c r="AQ90" i="16" s="1"/>
  <c r="AR90" i="16" s="1"/>
  <c r="AN90" i="16"/>
  <c r="W90" i="16"/>
  <c r="S90" i="16"/>
  <c r="J90" i="16"/>
  <c r="K90" i="16" s="1"/>
  <c r="AT89" i="16"/>
  <c r="AS89" i="16"/>
  <c r="AO89" i="16"/>
  <c r="AP89" i="16" s="1"/>
  <c r="AQ89" i="16" s="1"/>
  <c r="AR89" i="16" s="1"/>
  <c r="AN89" i="16"/>
  <c r="W89" i="16"/>
  <c r="S89" i="16"/>
  <c r="AT88" i="16"/>
  <c r="AS88" i="16"/>
  <c r="AO88" i="16"/>
  <c r="AP88" i="16" s="1"/>
  <c r="AQ88" i="16" s="1"/>
  <c r="AR88" i="16" s="1"/>
  <c r="AN88" i="16"/>
  <c r="W88" i="16"/>
  <c r="S88" i="16"/>
  <c r="AT87" i="16"/>
  <c r="AS87" i="16"/>
  <c r="AO87" i="16"/>
  <c r="AP87" i="16" s="1"/>
  <c r="AQ87" i="16" s="1"/>
  <c r="AR87" i="16" s="1"/>
  <c r="AN87" i="16"/>
  <c r="W87" i="16"/>
  <c r="S87" i="16"/>
  <c r="I87" i="16"/>
  <c r="J87" i="16" s="1"/>
  <c r="K87" i="16" s="1"/>
  <c r="AT86" i="16"/>
  <c r="AS86" i="16"/>
  <c r="AO86" i="16"/>
  <c r="AP86" i="16" s="1"/>
  <c r="AQ86" i="16" s="1"/>
  <c r="AR86" i="16" s="1"/>
  <c r="AN86" i="16"/>
  <c r="W86" i="16"/>
  <c r="S86" i="16"/>
  <c r="I86" i="16"/>
  <c r="J86" i="16" s="1"/>
  <c r="K86" i="16" s="1"/>
  <c r="AT85" i="16"/>
  <c r="AS85" i="16"/>
  <c r="AO85" i="16"/>
  <c r="AP85" i="16" s="1"/>
  <c r="AQ85" i="16" s="1"/>
  <c r="AR85" i="16" s="1"/>
  <c r="AN85" i="16"/>
  <c r="W85" i="16"/>
  <c r="S85" i="16"/>
  <c r="J85" i="16"/>
  <c r="K85" i="16" s="1"/>
  <c r="AT84" i="16"/>
  <c r="AS84" i="16"/>
  <c r="AO84" i="16"/>
  <c r="AP84" i="16" s="1"/>
  <c r="AQ84" i="16" s="1"/>
  <c r="AR84" i="16" s="1"/>
  <c r="AN84" i="16"/>
  <c r="W84" i="16"/>
  <c r="S84" i="16"/>
  <c r="I84" i="16"/>
  <c r="J84" i="16" s="1"/>
  <c r="K84" i="16" s="1"/>
  <c r="AT83" i="16"/>
  <c r="AS83" i="16"/>
  <c r="AO83" i="16"/>
  <c r="AP83" i="16" s="1"/>
  <c r="AQ83" i="16" s="1"/>
  <c r="AR83" i="16" s="1"/>
  <c r="AN83" i="16"/>
  <c r="W83" i="16"/>
  <c r="S83" i="16"/>
  <c r="I83" i="16"/>
  <c r="J83" i="16" s="1"/>
  <c r="K83" i="16" s="1"/>
  <c r="AT82" i="16"/>
  <c r="AS82" i="16"/>
  <c r="AO82" i="16"/>
  <c r="AP82" i="16" s="1"/>
  <c r="AQ82" i="16" s="1"/>
  <c r="AR82" i="16" s="1"/>
  <c r="AN82" i="16"/>
  <c r="W82" i="16"/>
  <c r="S82" i="16"/>
  <c r="I82" i="16"/>
  <c r="J82" i="16" s="1"/>
  <c r="K82" i="16" s="1"/>
  <c r="AT81" i="16"/>
  <c r="AS81" i="16"/>
  <c r="AO81" i="16"/>
  <c r="AP81" i="16" s="1"/>
  <c r="AQ81" i="16" s="1"/>
  <c r="AR81" i="16" s="1"/>
  <c r="AN81" i="16"/>
  <c r="W81" i="16"/>
  <c r="S81" i="16"/>
  <c r="I81" i="16"/>
  <c r="J81" i="16" s="1"/>
  <c r="K81" i="16" s="1"/>
  <c r="AT80" i="16"/>
  <c r="AS80" i="16"/>
  <c r="AO80" i="16"/>
  <c r="AP80" i="16" s="1"/>
  <c r="AQ80" i="16" s="1"/>
  <c r="AR80" i="16" s="1"/>
  <c r="AN80" i="16"/>
  <c r="W80" i="16"/>
  <c r="S80" i="16"/>
  <c r="I80" i="16"/>
  <c r="J80" i="16" s="1"/>
  <c r="K80" i="16" s="1"/>
  <c r="AT462" i="16"/>
  <c r="AS462" i="16"/>
  <c r="AO462" i="16"/>
  <c r="AN462" i="16"/>
  <c r="W462" i="16"/>
  <c r="S462" i="16"/>
  <c r="AT79" i="16"/>
  <c r="AS79" i="16"/>
  <c r="AO79" i="16"/>
  <c r="AP79" i="16" s="1"/>
  <c r="AQ79" i="16" s="1"/>
  <c r="AR79" i="16" s="1"/>
  <c r="AN79" i="16"/>
  <c r="W79" i="16"/>
  <c r="S79" i="16"/>
  <c r="I79" i="16"/>
  <c r="J79" i="16" s="1"/>
  <c r="K79" i="16" s="1"/>
  <c r="AT78" i="16"/>
  <c r="AS78" i="16"/>
  <c r="AO78" i="16"/>
  <c r="AP78" i="16" s="1"/>
  <c r="AQ78" i="16" s="1"/>
  <c r="AR78" i="16" s="1"/>
  <c r="AN78" i="16"/>
  <c r="W78" i="16"/>
  <c r="S78" i="16"/>
  <c r="I78" i="16"/>
  <c r="J78" i="16" s="1"/>
  <c r="K78" i="16" s="1"/>
  <c r="AT77" i="16"/>
  <c r="AS77" i="16"/>
  <c r="AO77" i="16"/>
  <c r="AP77" i="16" s="1"/>
  <c r="AQ77" i="16" s="1"/>
  <c r="AR77" i="16" s="1"/>
  <c r="AN77" i="16"/>
  <c r="W77" i="16"/>
  <c r="S77" i="16"/>
  <c r="I77" i="16"/>
  <c r="J77" i="16" s="1"/>
  <c r="K77" i="16" s="1"/>
  <c r="AT76" i="16"/>
  <c r="AS76" i="16"/>
  <c r="AO76" i="16"/>
  <c r="AP76" i="16" s="1"/>
  <c r="AQ76" i="16" s="1"/>
  <c r="AR76" i="16" s="1"/>
  <c r="AN76" i="16"/>
  <c r="W76" i="16"/>
  <c r="S76" i="16"/>
  <c r="I76" i="16"/>
  <c r="J76" i="16" s="1"/>
  <c r="K76" i="16" s="1"/>
  <c r="AT75" i="16"/>
  <c r="AS75" i="16"/>
  <c r="AO75" i="16"/>
  <c r="AP75" i="16" s="1"/>
  <c r="AQ75" i="16" s="1"/>
  <c r="AR75" i="16" s="1"/>
  <c r="AN75" i="16"/>
  <c r="W75" i="16"/>
  <c r="S75" i="16"/>
  <c r="I75" i="16"/>
  <c r="J75" i="16" s="1"/>
  <c r="K75" i="16" s="1"/>
  <c r="AT74" i="16"/>
  <c r="AS74" i="16"/>
  <c r="AO74" i="16"/>
  <c r="AP74" i="16" s="1"/>
  <c r="AQ74" i="16" s="1"/>
  <c r="AR74" i="16" s="1"/>
  <c r="AN74" i="16"/>
  <c r="W74" i="16"/>
  <c r="S74" i="16"/>
  <c r="I74" i="16"/>
  <c r="J74" i="16" s="1"/>
  <c r="K74" i="16" s="1"/>
  <c r="AT73" i="16"/>
  <c r="AS73" i="16"/>
  <c r="AO73" i="16"/>
  <c r="AP73" i="16" s="1"/>
  <c r="AQ73" i="16" s="1"/>
  <c r="AR73" i="16" s="1"/>
  <c r="AN73" i="16"/>
  <c r="W73" i="16"/>
  <c r="S73" i="16"/>
  <c r="I73" i="16"/>
  <c r="J73" i="16" s="1"/>
  <c r="K73" i="16" s="1"/>
  <c r="AT72" i="16"/>
  <c r="AS72" i="16"/>
  <c r="AO72" i="16"/>
  <c r="AP72" i="16" s="1"/>
  <c r="AQ72" i="16" s="1"/>
  <c r="AR72" i="16" s="1"/>
  <c r="AN72" i="16"/>
  <c r="W72" i="16"/>
  <c r="S72" i="16"/>
  <c r="I72" i="16"/>
  <c r="J72" i="16" s="1"/>
  <c r="K72" i="16" s="1"/>
  <c r="AT71" i="16"/>
  <c r="AS71" i="16"/>
  <c r="AO71" i="16"/>
  <c r="AP71" i="16" s="1"/>
  <c r="AQ71" i="16" s="1"/>
  <c r="AR71" i="16" s="1"/>
  <c r="AN71" i="16"/>
  <c r="W71" i="16"/>
  <c r="S71" i="16"/>
  <c r="I71" i="16"/>
  <c r="J71" i="16" s="1"/>
  <c r="K71" i="16" s="1"/>
  <c r="AT70" i="16"/>
  <c r="AS70" i="16"/>
  <c r="AO70" i="16"/>
  <c r="AP70" i="16" s="1"/>
  <c r="AQ70" i="16" s="1"/>
  <c r="AR70" i="16" s="1"/>
  <c r="AN70" i="16"/>
  <c r="W70" i="16"/>
  <c r="S70" i="16"/>
  <c r="I70" i="16"/>
  <c r="J70" i="16" s="1"/>
  <c r="K70" i="16" s="1"/>
  <c r="AT69" i="16"/>
  <c r="AS69" i="16"/>
  <c r="AO69" i="16"/>
  <c r="AP69" i="16" s="1"/>
  <c r="AQ69" i="16" s="1"/>
  <c r="AR69" i="16" s="1"/>
  <c r="AN69" i="16"/>
  <c r="W69" i="16"/>
  <c r="S69" i="16"/>
  <c r="I69" i="16"/>
  <c r="J69" i="16" s="1"/>
  <c r="K69" i="16" s="1"/>
  <c r="AT68" i="16"/>
  <c r="AS68" i="16"/>
  <c r="AO68" i="16"/>
  <c r="AP68" i="16" s="1"/>
  <c r="AQ68" i="16" s="1"/>
  <c r="AR68" i="16" s="1"/>
  <c r="AN68" i="16"/>
  <c r="W68" i="16"/>
  <c r="S68" i="16"/>
  <c r="I68" i="16"/>
  <c r="J68" i="16" s="1"/>
  <c r="K68" i="16" s="1"/>
  <c r="AT67" i="16"/>
  <c r="AS67" i="16"/>
  <c r="AO67" i="16"/>
  <c r="AP67" i="16" s="1"/>
  <c r="AQ67" i="16" s="1"/>
  <c r="AR67" i="16" s="1"/>
  <c r="AN67" i="16"/>
  <c r="W67" i="16"/>
  <c r="S67" i="16"/>
  <c r="I67" i="16"/>
  <c r="J67" i="16" s="1"/>
  <c r="K67" i="16" s="1"/>
  <c r="AT66" i="16"/>
  <c r="AS66" i="16"/>
  <c r="AO66" i="16"/>
  <c r="AP66" i="16" s="1"/>
  <c r="AQ66" i="16" s="1"/>
  <c r="AR66" i="16" s="1"/>
  <c r="AN66" i="16"/>
  <c r="W66" i="16"/>
  <c r="S66" i="16"/>
  <c r="I66" i="16"/>
  <c r="J66" i="16" s="1"/>
  <c r="K66" i="16" s="1"/>
  <c r="AT65" i="16"/>
  <c r="AS65" i="16"/>
  <c r="AO65" i="16"/>
  <c r="AP65" i="16" s="1"/>
  <c r="AQ65" i="16" s="1"/>
  <c r="AR65" i="16" s="1"/>
  <c r="AN65" i="16"/>
  <c r="W65" i="16"/>
  <c r="S65" i="16"/>
  <c r="I65" i="16"/>
  <c r="J65" i="16" s="1"/>
  <c r="K65" i="16" s="1"/>
  <c r="AT64" i="16"/>
  <c r="AS64" i="16"/>
  <c r="AO64" i="16"/>
  <c r="AP64" i="16" s="1"/>
  <c r="AQ64" i="16" s="1"/>
  <c r="AR64" i="16" s="1"/>
  <c r="AN64" i="16"/>
  <c r="W64" i="16"/>
  <c r="S64" i="16"/>
  <c r="I64" i="16"/>
  <c r="J64" i="16" s="1"/>
  <c r="K64" i="16" s="1"/>
  <c r="AT63" i="16"/>
  <c r="AS63" i="16"/>
  <c r="AO63" i="16"/>
  <c r="AP63" i="16" s="1"/>
  <c r="AQ63" i="16" s="1"/>
  <c r="AR63" i="16" s="1"/>
  <c r="AN63" i="16"/>
  <c r="W63" i="16"/>
  <c r="S63" i="16"/>
  <c r="I63" i="16"/>
  <c r="J63" i="16" s="1"/>
  <c r="K63" i="16" s="1"/>
  <c r="AT62" i="16"/>
  <c r="AS62" i="16"/>
  <c r="AO62" i="16"/>
  <c r="AP62" i="16" s="1"/>
  <c r="AQ62" i="16" s="1"/>
  <c r="AR62" i="16" s="1"/>
  <c r="AN62" i="16"/>
  <c r="W62" i="16"/>
  <c r="S62" i="16"/>
  <c r="I62" i="16"/>
  <c r="J62" i="16" s="1"/>
  <c r="K62" i="16" s="1"/>
  <c r="AT61" i="16"/>
  <c r="AS61" i="16"/>
  <c r="AO61" i="16"/>
  <c r="AP61" i="16" s="1"/>
  <c r="AQ61" i="16" s="1"/>
  <c r="AR61" i="16" s="1"/>
  <c r="AN61" i="16"/>
  <c r="W61" i="16"/>
  <c r="S61" i="16"/>
  <c r="I61" i="16"/>
  <c r="J61" i="16" s="1"/>
  <c r="K61" i="16" s="1"/>
  <c r="AT60" i="16"/>
  <c r="AS60" i="16"/>
  <c r="AO60" i="16"/>
  <c r="AP60" i="16" s="1"/>
  <c r="AQ60" i="16" s="1"/>
  <c r="AR60" i="16" s="1"/>
  <c r="AN60" i="16"/>
  <c r="W60" i="16"/>
  <c r="S60" i="16"/>
  <c r="I60" i="16"/>
  <c r="J60" i="16" s="1"/>
  <c r="K60" i="16" s="1"/>
  <c r="AT59" i="16"/>
  <c r="AS59" i="16"/>
  <c r="AO59" i="16"/>
  <c r="AP59" i="16" s="1"/>
  <c r="AQ59" i="16" s="1"/>
  <c r="AR59" i="16" s="1"/>
  <c r="AN59" i="16"/>
  <c r="W59" i="16"/>
  <c r="S59" i="16"/>
  <c r="I59" i="16"/>
  <c r="J59" i="16" s="1"/>
  <c r="K59" i="16" s="1"/>
  <c r="AT58" i="16"/>
  <c r="AS58" i="16"/>
  <c r="AO58" i="16"/>
  <c r="AP58" i="16" s="1"/>
  <c r="AQ58" i="16" s="1"/>
  <c r="AR58" i="16" s="1"/>
  <c r="AN58" i="16"/>
  <c r="W58" i="16"/>
  <c r="I58" i="16"/>
  <c r="J58" i="16" s="1"/>
  <c r="K58" i="16" s="1"/>
  <c r="AT57" i="16"/>
  <c r="AS57" i="16"/>
  <c r="AO57" i="16"/>
  <c r="AP57" i="16" s="1"/>
  <c r="AQ57" i="16" s="1"/>
  <c r="AR57" i="16" s="1"/>
  <c r="AN57" i="16"/>
  <c r="W57" i="16"/>
  <c r="I57" i="16"/>
  <c r="J57" i="16" s="1"/>
  <c r="K57" i="16" s="1"/>
  <c r="AT56" i="16"/>
  <c r="AS56" i="16"/>
  <c r="AO56" i="16"/>
  <c r="AP56" i="16" s="1"/>
  <c r="AQ56" i="16" s="1"/>
  <c r="AR56" i="16" s="1"/>
  <c r="AN56" i="16"/>
  <c r="W56" i="16"/>
  <c r="S56" i="16"/>
  <c r="I56" i="16"/>
  <c r="J56" i="16" s="1"/>
  <c r="K56" i="16" s="1"/>
  <c r="AT55" i="16"/>
  <c r="AS55" i="16"/>
  <c r="AO55" i="16"/>
  <c r="AP55" i="16" s="1"/>
  <c r="AQ55" i="16" s="1"/>
  <c r="AR55" i="16" s="1"/>
  <c r="AN55" i="16"/>
  <c r="W55" i="16"/>
  <c r="S55" i="16"/>
  <c r="I55" i="16"/>
  <c r="J55" i="16" s="1"/>
  <c r="K55" i="16" s="1"/>
  <c r="AT54" i="16"/>
  <c r="AS54" i="16"/>
  <c r="AO54" i="16"/>
  <c r="AP54" i="16" s="1"/>
  <c r="AQ54" i="16" s="1"/>
  <c r="AR54" i="16" s="1"/>
  <c r="AN54" i="16"/>
  <c r="W54" i="16"/>
  <c r="S54" i="16"/>
  <c r="J54" i="16"/>
  <c r="K54" i="16" s="1"/>
  <c r="AT53" i="16"/>
  <c r="AS53" i="16"/>
  <c r="AO53" i="16"/>
  <c r="AP53" i="16" s="1"/>
  <c r="AQ53" i="16" s="1"/>
  <c r="AR53" i="16" s="1"/>
  <c r="AN53" i="16"/>
  <c r="W53" i="16"/>
  <c r="S53" i="16"/>
  <c r="I53" i="16"/>
  <c r="J53" i="16" s="1"/>
  <c r="K53" i="16" s="1"/>
  <c r="AT52" i="16"/>
  <c r="AS52" i="16"/>
  <c r="AO52" i="16"/>
  <c r="AP52" i="16" s="1"/>
  <c r="AQ52" i="16" s="1"/>
  <c r="AR52" i="16" s="1"/>
  <c r="AN52" i="16"/>
  <c r="W52" i="16"/>
  <c r="S52" i="16"/>
  <c r="I52" i="16"/>
  <c r="J52" i="16" s="1"/>
  <c r="K52" i="16" s="1"/>
  <c r="AT51" i="16"/>
  <c r="AS51" i="16"/>
  <c r="AO51" i="16"/>
  <c r="AP51" i="16" s="1"/>
  <c r="AQ51" i="16" s="1"/>
  <c r="AR51" i="16" s="1"/>
  <c r="AN51" i="16"/>
  <c r="W51" i="16"/>
  <c r="S51" i="16"/>
  <c r="I51" i="16"/>
  <c r="J51" i="16" s="1"/>
  <c r="K51" i="16" s="1"/>
  <c r="AT50" i="16"/>
  <c r="AS50" i="16"/>
  <c r="AO50" i="16"/>
  <c r="AP50" i="16" s="1"/>
  <c r="AQ50" i="16" s="1"/>
  <c r="AR50" i="16" s="1"/>
  <c r="AN50" i="16"/>
  <c r="W50" i="16"/>
  <c r="S50" i="16"/>
  <c r="I50" i="16"/>
  <c r="J50" i="16" s="1"/>
  <c r="K50" i="16" s="1"/>
  <c r="AT49" i="16"/>
  <c r="AS49" i="16"/>
  <c r="AO49" i="16"/>
  <c r="AP49" i="16" s="1"/>
  <c r="AQ49" i="16" s="1"/>
  <c r="AR49" i="16" s="1"/>
  <c r="AN49" i="16"/>
  <c r="W49" i="16"/>
  <c r="S49" i="16"/>
  <c r="I49" i="16"/>
  <c r="J49" i="16" s="1"/>
  <c r="K49" i="16" s="1"/>
  <c r="AT48" i="16"/>
  <c r="AS48" i="16"/>
  <c r="AO48" i="16"/>
  <c r="AP48" i="16" s="1"/>
  <c r="AQ48" i="16" s="1"/>
  <c r="AR48" i="16" s="1"/>
  <c r="AN48" i="16"/>
  <c r="W48" i="16"/>
  <c r="S48" i="16"/>
  <c r="I48" i="16"/>
  <c r="J48" i="16" s="1"/>
  <c r="K48" i="16" s="1"/>
  <c r="AT47" i="16"/>
  <c r="AS47" i="16"/>
  <c r="AO47" i="16"/>
  <c r="AP47" i="16" s="1"/>
  <c r="AQ47" i="16" s="1"/>
  <c r="AR47" i="16" s="1"/>
  <c r="AN47" i="16"/>
  <c r="W47" i="16"/>
  <c r="S47" i="16"/>
  <c r="I47" i="16"/>
  <c r="J47" i="16" s="1"/>
  <c r="K47" i="16" s="1"/>
  <c r="AT46" i="16"/>
  <c r="AS46" i="16"/>
  <c r="AO46" i="16"/>
  <c r="AP46" i="16" s="1"/>
  <c r="AQ46" i="16" s="1"/>
  <c r="AR46" i="16" s="1"/>
  <c r="AN46" i="16"/>
  <c r="W46" i="16"/>
  <c r="S46" i="16"/>
  <c r="I46" i="16"/>
  <c r="J46" i="16" s="1"/>
  <c r="K46" i="16" s="1"/>
  <c r="AT45" i="16"/>
  <c r="AS45" i="16"/>
  <c r="AO45" i="16"/>
  <c r="AP45" i="16" s="1"/>
  <c r="AQ45" i="16" s="1"/>
  <c r="AR45" i="16" s="1"/>
  <c r="AN45" i="16"/>
  <c r="W45" i="16"/>
  <c r="S45" i="16"/>
  <c r="I45" i="16"/>
  <c r="J45" i="16" s="1"/>
  <c r="K45" i="16" s="1"/>
  <c r="AT44" i="16"/>
  <c r="AS44" i="16"/>
  <c r="AO44" i="16"/>
  <c r="AP44" i="16" s="1"/>
  <c r="AQ44" i="16" s="1"/>
  <c r="AR44" i="16" s="1"/>
  <c r="AN44" i="16"/>
  <c r="W44" i="16"/>
  <c r="S44" i="16"/>
  <c r="I44" i="16"/>
  <c r="J44" i="16" s="1"/>
  <c r="K44" i="16" s="1"/>
  <c r="AT43" i="16"/>
  <c r="AS43" i="16"/>
  <c r="AO43" i="16"/>
  <c r="AP43" i="16" s="1"/>
  <c r="AQ43" i="16" s="1"/>
  <c r="AR43" i="16" s="1"/>
  <c r="AN43" i="16"/>
  <c r="W43" i="16"/>
  <c r="S43" i="16"/>
  <c r="I43" i="16"/>
  <c r="J43" i="16" s="1"/>
  <c r="K43" i="16" s="1"/>
  <c r="AT42" i="16"/>
  <c r="AS42" i="16"/>
  <c r="AO42" i="16"/>
  <c r="AP42" i="16" s="1"/>
  <c r="AQ42" i="16" s="1"/>
  <c r="AR42" i="16" s="1"/>
  <c r="AN42" i="16"/>
  <c r="W42" i="16"/>
  <c r="S42" i="16"/>
  <c r="I42" i="16"/>
  <c r="J42" i="16" s="1"/>
  <c r="K42" i="16" s="1"/>
  <c r="AT41" i="16"/>
  <c r="AS41" i="16"/>
  <c r="AO41" i="16"/>
  <c r="AP41" i="16" s="1"/>
  <c r="AQ41" i="16" s="1"/>
  <c r="AR41" i="16" s="1"/>
  <c r="AN41" i="16"/>
  <c r="W41" i="16"/>
  <c r="S41" i="16"/>
  <c r="I41" i="16"/>
  <c r="J41" i="16" s="1"/>
  <c r="K41" i="16" s="1"/>
  <c r="AT40" i="16"/>
  <c r="AS40" i="16"/>
  <c r="AO40" i="16"/>
  <c r="AP40" i="16" s="1"/>
  <c r="AQ40" i="16" s="1"/>
  <c r="AR40" i="16" s="1"/>
  <c r="AN40" i="16"/>
  <c r="W40" i="16"/>
  <c r="S40" i="16"/>
  <c r="I40" i="16"/>
  <c r="J40" i="16" s="1"/>
  <c r="K40" i="16" s="1"/>
  <c r="AT39" i="16"/>
  <c r="AS39" i="16"/>
  <c r="AO39" i="16"/>
  <c r="AP39" i="16" s="1"/>
  <c r="AQ39" i="16" s="1"/>
  <c r="AR39" i="16" s="1"/>
  <c r="AN39" i="16"/>
  <c r="W39" i="16"/>
  <c r="S39" i="16"/>
  <c r="I39" i="16"/>
  <c r="J39" i="16" s="1"/>
  <c r="K39" i="16" s="1"/>
  <c r="AT38" i="16"/>
  <c r="AS38" i="16"/>
  <c r="AO38" i="16"/>
  <c r="AP38" i="16" s="1"/>
  <c r="AQ38" i="16" s="1"/>
  <c r="AR38" i="16" s="1"/>
  <c r="AN38" i="16"/>
  <c r="W38" i="16"/>
  <c r="S38" i="16"/>
  <c r="I38" i="16"/>
  <c r="J38" i="16" s="1"/>
  <c r="K38" i="16" s="1"/>
  <c r="AT37" i="16"/>
  <c r="AS37" i="16"/>
  <c r="AO37" i="16"/>
  <c r="AP37" i="16" s="1"/>
  <c r="AQ37" i="16" s="1"/>
  <c r="AR37" i="16" s="1"/>
  <c r="AN37" i="16"/>
  <c r="W37" i="16"/>
  <c r="S37" i="16"/>
  <c r="I37" i="16"/>
  <c r="J37" i="16" s="1"/>
  <c r="K37" i="16" s="1"/>
  <c r="AT36" i="16"/>
  <c r="AS36" i="16"/>
  <c r="AO36" i="16"/>
  <c r="AP36" i="16" s="1"/>
  <c r="AQ36" i="16" s="1"/>
  <c r="AR36" i="16" s="1"/>
  <c r="AN36" i="16"/>
  <c r="W36" i="16"/>
  <c r="S36" i="16"/>
  <c r="I36" i="16"/>
  <c r="J36" i="16" s="1"/>
  <c r="K36" i="16" s="1"/>
  <c r="AT35" i="16"/>
  <c r="AS35" i="16"/>
  <c r="AO35" i="16"/>
  <c r="AP35" i="16" s="1"/>
  <c r="AQ35" i="16" s="1"/>
  <c r="AR35" i="16" s="1"/>
  <c r="AN35" i="16"/>
  <c r="W35" i="16"/>
  <c r="S35" i="16"/>
  <c r="I35" i="16"/>
  <c r="J35" i="16" s="1"/>
  <c r="K35" i="16" s="1"/>
  <c r="AT34" i="16"/>
  <c r="AS34" i="16"/>
  <c r="AO34" i="16"/>
  <c r="AP34" i="16" s="1"/>
  <c r="AQ34" i="16" s="1"/>
  <c r="AR34" i="16" s="1"/>
  <c r="AN34" i="16"/>
  <c r="W34" i="16"/>
  <c r="S34" i="16"/>
  <c r="J34" i="16"/>
  <c r="K34" i="16" s="1"/>
  <c r="AT33" i="16"/>
  <c r="AS33" i="16"/>
  <c r="AO33" i="16"/>
  <c r="AP33" i="16" s="1"/>
  <c r="AQ33" i="16" s="1"/>
  <c r="AR33" i="16" s="1"/>
  <c r="AN33" i="16"/>
  <c r="W33" i="16"/>
  <c r="S33" i="16"/>
  <c r="I33" i="16"/>
  <c r="J33" i="16" s="1"/>
  <c r="K33" i="16" s="1"/>
  <c r="AT32" i="16"/>
  <c r="AS32" i="16"/>
  <c r="AO32" i="16"/>
  <c r="AP32" i="16" s="1"/>
  <c r="AQ32" i="16" s="1"/>
  <c r="AR32" i="16" s="1"/>
  <c r="AN32" i="16"/>
  <c r="W32" i="16"/>
  <c r="S32" i="16"/>
  <c r="I32" i="16"/>
  <c r="J32" i="16" s="1"/>
  <c r="K32" i="16" s="1"/>
  <c r="AT31" i="16"/>
  <c r="AS31" i="16"/>
  <c r="AO31" i="16"/>
  <c r="AP31" i="16" s="1"/>
  <c r="AQ31" i="16" s="1"/>
  <c r="AR31" i="16" s="1"/>
  <c r="AN31" i="16"/>
  <c r="W31" i="16"/>
  <c r="S31" i="16"/>
  <c r="I31" i="16"/>
  <c r="J31" i="16" s="1"/>
  <c r="K31" i="16" s="1"/>
  <c r="AT30" i="16"/>
  <c r="AS30" i="16"/>
  <c r="AO30" i="16"/>
  <c r="AP30" i="16" s="1"/>
  <c r="AQ30" i="16" s="1"/>
  <c r="AR30" i="16" s="1"/>
  <c r="AN30" i="16"/>
  <c r="W30" i="16"/>
  <c r="S30" i="16"/>
  <c r="I30" i="16"/>
  <c r="J30" i="16" s="1"/>
  <c r="K30" i="16" s="1"/>
  <c r="AT29" i="16"/>
  <c r="AS29" i="16"/>
  <c r="AO29" i="16"/>
  <c r="AP29" i="16" s="1"/>
  <c r="AQ29" i="16" s="1"/>
  <c r="AR29" i="16" s="1"/>
  <c r="AN29" i="16"/>
  <c r="W29" i="16"/>
  <c r="S29" i="16"/>
  <c r="I29" i="16"/>
  <c r="J29" i="16" s="1"/>
  <c r="K29" i="16" s="1"/>
  <c r="AT28" i="16"/>
  <c r="AS28" i="16"/>
  <c r="AO28" i="16"/>
  <c r="AP28" i="16" s="1"/>
  <c r="AQ28" i="16" s="1"/>
  <c r="AR28" i="16" s="1"/>
  <c r="AN28" i="16"/>
  <c r="W28" i="16"/>
  <c r="S28" i="16"/>
  <c r="I28" i="16"/>
  <c r="J28" i="16" s="1"/>
  <c r="K28" i="16" s="1"/>
  <c r="AT27" i="16"/>
  <c r="AS27" i="16"/>
  <c r="AO27" i="16"/>
  <c r="AP27" i="16" s="1"/>
  <c r="AQ27" i="16" s="1"/>
  <c r="AR27" i="16" s="1"/>
  <c r="AN27" i="16"/>
  <c r="W27" i="16"/>
  <c r="S27" i="16"/>
  <c r="I27" i="16"/>
  <c r="J27" i="16" s="1"/>
  <c r="K27" i="16" s="1"/>
  <c r="AC26" i="16"/>
  <c r="AF26" i="16"/>
  <c r="AL26" i="16"/>
  <c r="AS26" i="16"/>
  <c r="AO26" i="16"/>
  <c r="AP26" i="16" s="1"/>
  <c r="AQ26" i="16" s="1"/>
  <c r="AR26" i="16" s="1"/>
  <c r="AN26" i="16"/>
  <c r="AI26" i="16"/>
  <c r="W26" i="16"/>
  <c r="S26" i="16"/>
  <c r="I26" i="16"/>
  <c r="J26" i="16" s="1"/>
  <c r="K26" i="16" s="1"/>
  <c r="AC665" i="16"/>
  <c r="AF665" i="16"/>
  <c r="AL665" i="16"/>
  <c r="AS665" i="16"/>
  <c r="AK665" i="16"/>
  <c r="AE665" i="16"/>
  <c r="AB665" i="16"/>
  <c r="AI665" i="16"/>
  <c r="AH665" i="16"/>
  <c r="W665" i="16"/>
  <c r="S665" i="16"/>
  <c r="I665" i="16"/>
  <c r="J665" i="16" s="1"/>
  <c r="K665" i="16" s="1"/>
  <c r="AT25" i="16"/>
  <c r="AS25" i="16"/>
  <c r="AO25" i="16"/>
  <c r="AP25" i="16" s="1"/>
  <c r="AQ25" i="16" s="1"/>
  <c r="AR25" i="16" s="1"/>
  <c r="AN25" i="16"/>
  <c r="W25" i="16"/>
  <c r="S25" i="16"/>
  <c r="I25" i="16"/>
  <c r="J25" i="16" s="1"/>
  <c r="K25" i="16" s="1"/>
  <c r="AT24" i="16"/>
  <c r="AS24" i="16"/>
  <c r="AO24" i="16"/>
  <c r="AP24" i="16" s="1"/>
  <c r="AQ24" i="16" s="1"/>
  <c r="AR24" i="16" s="1"/>
  <c r="AN24" i="16"/>
  <c r="W24" i="16"/>
  <c r="S24" i="16"/>
  <c r="I24" i="16"/>
  <c r="J24" i="16" s="1"/>
  <c r="K24" i="16" s="1"/>
  <c r="AT23" i="16"/>
  <c r="AS23" i="16"/>
  <c r="AO23" i="16"/>
  <c r="AP23" i="16" s="1"/>
  <c r="AQ23" i="16" s="1"/>
  <c r="AR23" i="16" s="1"/>
  <c r="AN23" i="16"/>
  <c r="W23" i="16"/>
  <c r="S23" i="16"/>
  <c r="I23" i="16"/>
  <c r="J23" i="16" s="1"/>
  <c r="K23" i="16" s="1"/>
  <c r="AT22" i="16"/>
  <c r="AS22" i="16"/>
  <c r="AO22" i="16"/>
  <c r="AP22" i="16" s="1"/>
  <c r="AQ22" i="16" s="1"/>
  <c r="AR22" i="16" s="1"/>
  <c r="AN22" i="16"/>
  <c r="W22" i="16"/>
  <c r="S22" i="16"/>
  <c r="I22" i="16"/>
  <c r="J22" i="16" s="1"/>
  <c r="K22" i="16" s="1"/>
  <c r="AT21" i="16"/>
  <c r="AS21" i="16"/>
  <c r="AO21" i="16"/>
  <c r="AP21" i="16" s="1"/>
  <c r="AQ21" i="16" s="1"/>
  <c r="AR21" i="16" s="1"/>
  <c r="AN21" i="16"/>
  <c r="W21" i="16"/>
  <c r="S21" i="16"/>
  <c r="I21" i="16"/>
  <c r="J21" i="16" s="1"/>
  <c r="K21" i="16" s="1"/>
  <c r="AT20" i="16"/>
  <c r="AS20" i="16"/>
  <c r="AO20" i="16"/>
  <c r="AP20" i="16" s="1"/>
  <c r="AQ20" i="16" s="1"/>
  <c r="AR20" i="16" s="1"/>
  <c r="AN20" i="16"/>
  <c r="W20" i="16"/>
  <c r="S20" i="16"/>
  <c r="I20" i="16"/>
  <c r="J20" i="16" s="1"/>
  <c r="K20" i="16" s="1"/>
  <c r="AT19" i="16"/>
  <c r="AS19" i="16"/>
  <c r="AO19" i="16"/>
  <c r="AP19" i="16" s="1"/>
  <c r="AQ19" i="16" s="1"/>
  <c r="AR19" i="16" s="1"/>
  <c r="AN19" i="16"/>
  <c r="W19" i="16"/>
  <c r="S19" i="16"/>
  <c r="I19" i="16"/>
  <c r="J19" i="16" s="1"/>
  <c r="K19" i="16" s="1"/>
  <c r="AT18" i="16"/>
  <c r="AS18" i="16"/>
  <c r="AO18" i="16"/>
  <c r="AP18" i="16" s="1"/>
  <c r="AQ18" i="16" s="1"/>
  <c r="AR18" i="16" s="1"/>
  <c r="AN18" i="16"/>
  <c r="W18" i="16"/>
  <c r="S18" i="16"/>
  <c r="I18" i="16"/>
  <c r="J18" i="16" s="1"/>
  <c r="K18" i="16" s="1"/>
  <c r="AT17" i="16"/>
  <c r="AS17" i="16"/>
  <c r="AO17" i="16"/>
  <c r="AP17" i="16" s="1"/>
  <c r="AQ17" i="16" s="1"/>
  <c r="AR17" i="16" s="1"/>
  <c r="AN17" i="16"/>
  <c r="W17" i="16"/>
  <c r="S17" i="16"/>
  <c r="I17" i="16"/>
  <c r="J17" i="16" s="1"/>
  <c r="K17" i="16" s="1"/>
  <c r="AT16" i="16"/>
  <c r="AS16" i="16"/>
  <c r="AO16" i="16"/>
  <c r="AP16" i="16" s="1"/>
  <c r="AQ16" i="16" s="1"/>
  <c r="AR16" i="16" s="1"/>
  <c r="AN16" i="16"/>
  <c r="W16" i="16"/>
  <c r="S16" i="16"/>
  <c r="I16" i="16"/>
  <c r="J16" i="16" s="1"/>
  <c r="K16" i="16" s="1"/>
  <c r="AT15" i="16"/>
  <c r="AS15" i="16"/>
  <c r="AO15" i="16"/>
  <c r="AP15" i="16" s="1"/>
  <c r="AQ15" i="16" s="1"/>
  <c r="AR15" i="16" s="1"/>
  <c r="AN15" i="16"/>
  <c r="W15" i="16"/>
  <c r="S15" i="16"/>
  <c r="I15" i="16"/>
  <c r="J15" i="16" s="1"/>
  <c r="K15" i="16" s="1"/>
  <c r="AT14" i="16"/>
  <c r="AS14" i="16"/>
  <c r="AO14" i="16"/>
  <c r="AP14" i="16" s="1"/>
  <c r="AQ14" i="16" s="1"/>
  <c r="AR14" i="16" s="1"/>
  <c r="AN14" i="16"/>
  <c r="W14" i="16"/>
  <c r="S14" i="16"/>
  <c r="I14" i="16"/>
  <c r="J14" i="16" s="1"/>
  <c r="K14" i="16" s="1"/>
  <c r="AT13" i="16"/>
  <c r="AS13" i="16"/>
  <c r="AO13" i="16"/>
  <c r="AP13" i="16" s="1"/>
  <c r="AQ13" i="16" s="1"/>
  <c r="AR13" i="16" s="1"/>
  <c r="AN13" i="16"/>
  <c r="W13" i="16"/>
  <c r="S13" i="16"/>
  <c r="I13" i="16"/>
  <c r="J13" i="16" s="1"/>
  <c r="AT12" i="16"/>
  <c r="AS12" i="16"/>
  <c r="AO12" i="16"/>
  <c r="AP12" i="16" s="1"/>
  <c r="AQ12" i="16" s="1"/>
  <c r="AR12" i="16" s="1"/>
  <c r="AN12" i="16"/>
  <c r="W12" i="16"/>
  <c r="S12" i="16"/>
  <c r="I12" i="16"/>
  <c r="J12" i="16" s="1"/>
  <c r="K12" i="16" s="1"/>
  <c r="AT11" i="16"/>
  <c r="AS11" i="16"/>
  <c r="AO11" i="16"/>
  <c r="AP11" i="16" s="1"/>
  <c r="AQ11" i="16" s="1"/>
  <c r="AR11" i="16" s="1"/>
  <c r="AN11" i="16"/>
  <c r="W11" i="16"/>
  <c r="S11" i="16"/>
  <c r="I11" i="16"/>
  <c r="J11" i="16" s="1"/>
  <c r="K11" i="16" s="1"/>
  <c r="AT10" i="16"/>
  <c r="AS10" i="16"/>
  <c r="AO10" i="16"/>
  <c r="AP10" i="16" s="1"/>
  <c r="AQ10" i="16" s="1"/>
  <c r="AR10" i="16" s="1"/>
  <c r="AN10" i="16"/>
  <c r="W10" i="16"/>
  <c r="S10" i="16"/>
  <c r="I10" i="16"/>
  <c r="J10" i="16" s="1"/>
  <c r="K10" i="16" s="1"/>
  <c r="AT9" i="16"/>
  <c r="AS9" i="16"/>
  <c r="AO9" i="16"/>
  <c r="AP9" i="16" s="1"/>
  <c r="AQ9" i="16" s="1"/>
  <c r="AR9" i="16" s="1"/>
  <c r="AN9" i="16"/>
  <c r="W9" i="16"/>
  <c r="S9" i="16"/>
  <c r="I9" i="16"/>
  <c r="J9" i="16" s="1"/>
  <c r="K9" i="16" s="1"/>
  <c r="AT8" i="16"/>
  <c r="AS8" i="16"/>
  <c r="AN8" i="16"/>
  <c r="W8" i="16"/>
  <c r="S8" i="16"/>
  <c r="G183" i="7"/>
  <c r="G76" i="7"/>
  <c r="G188" i="7"/>
  <c r="G196" i="7"/>
  <c r="G252" i="7"/>
  <c r="G101" i="7"/>
  <c r="G233" i="7"/>
  <c r="G190" i="7"/>
  <c r="G49" i="7"/>
  <c r="G249" i="7"/>
  <c r="G11" i="7"/>
  <c r="G180" i="7"/>
  <c r="G218" i="7"/>
  <c r="G10" i="7"/>
  <c r="G152" i="7"/>
  <c r="G164" i="7"/>
  <c r="G9" i="7"/>
  <c r="G245" i="7"/>
  <c r="G20" i="7"/>
  <c r="G173" i="7"/>
  <c r="G31" i="7"/>
  <c r="G59" i="7"/>
  <c r="G220" i="7"/>
  <c r="G229" i="7"/>
  <c r="G228" i="7"/>
  <c r="G172" i="7"/>
  <c r="G232" i="7"/>
  <c r="G95" i="7"/>
  <c r="G107" i="7"/>
  <c r="G167" i="7"/>
  <c r="G203" i="7"/>
  <c r="G181" i="7"/>
  <c r="G238" i="7"/>
  <c r="G54" i="7"/>
  <c r="G53" i="7"/>
  <c r="G86" i="7"/>
  <c r="G113" i="7"/>
  <c r="G102" i="7"/>
  <c r="G202" i="7"/>
  <c r="G166" i="7"/>
  <c r="G105" i="7"/>
  <c r="G104" i="7"/>
  <c r="G226" i="7"/>
  <c r="G165" i="7"/>
  <c r="G8" i="7"/>
  <c r="G60" i="7"/>
  <c r="G237" i="7"/>
  <c r="G94" i="7"/>
  <c r="G192" i="7"/>
  <c r="G175" i="7"/>
  <c r="G93" i="7"/>
  <c r="G224" i="7"/>
  <c r="G247" i="7"/>
  <c r="G45" i="7"/>
  <c r="G216" i="7"/>
  <c r="G70" i="7"/>
  <c r="G103" i="7"/>
  <c r="G191" i="7"/>
  <c r="G44" i="7"/>
  <c r="G246" i="7"/>
  <c r="G61" i="7"/>
  <c r="G213" i="7"/>
  <c r="G174" i="7"/>
  <c r="G236" i="7"/>
  <c r="G43" i="7"/>
  <c r="G120" i="7"/>
  <c r="G201" i="7"/>
  <c r="G158" i="7"/>
  <c r="G139" i="7"/>
  <c r="G130" i="7"/>
  <c r="G122" i="7"/>
  <c r="G48" i="7"/>
  <c r="G55" i="7"/>
  <c r="G71" i="7"/>
  <c r="G23" i="7"/>
  <c r="G227" i="7"/>
  <c r="G116" i="7"/>
  <c r="G4" i="7"/>
  <c r="G19" i="7"/>
  <c r="G148" i="7"/>
  <c r="G137" i="7"/>
  <c r="G136" i="7"/>
  <c r="G110" i="7"/>
  <c r="G141" i="7"/>
  <c r="G254" i="7"/>
  <c r="G22" i="7"/>
  <c r="Z204" i="7"/>
  <c r="G200" i="7"/>
  <c r="G145" i="7"/>
  <c r="G155" i="7"/>
  <c r="G25" i="7"/>
  <c r="G217" i="7"/>
  <c r="G212" i="7"/>
  <c r="G185" i="7"/>
  <c r="G126" i="7"/>
  <c r="G92" i="7"/>
  <c r="G150" i="7"/>
  <c r="G58" i="7"/>
  <c r="G119" i="7"/>
  <c r="G15" i="7"/>
  <c r="G52" i="7"/>
  <c r="G108" i="7"/>
  <c r="G67" i="7"/>
  <c r="G32" i="7"/>
  <c r="G112" i="7"/>
  <c r="G147" i="7"/>
  <c r="G16" i="7"/>
  <c r="G235" i="7"/>
  <c r="G29" i="7"/>
  <c r="G241" i="7"/>
  <c r="G146" i="7"/>
  <c r="G12" i="7"/>
  <c r="G240" i="7"/>
  <c r="G62" i="7"/>
  <c r="G219" i="7"/>
  <c r="G169" i="7"/>
  <c r="G28" i="7"/>
  <c r="G215" i="7"/>
  <c r="G24" i="7"/>
  <c r="G214" i="7"/>
  <c r="G50" i="7"/>
  <c r="G79" i="7"/>
  <c r="G35" i="7"/>
  <c r="G57" i="7"/>
  <c r="G99" i="7"/>
  <c r="G27" i="7"/>
  <c r="G131" i="7"/>
  <c r="G128" i="7"/>
  <c r="G96" i="7"/>
  <c r="G89" i="7"/>
  <c r="G30" i="7"/>
  <c r="G74" i="7"/>
  <c r="G138" i="7"/>
  <c r="G248" i="7"/>
  <c r="G243" i="7"/>
  <c r="G63" i="7"/>
  <c r="G205" i="7"/>
  <c r="G123" i="7"/>
  <c r="G244" i="7"/>
  <c r="G111" i="7"/>
  <c r="G153" i="7"/>
  <c r="G66" i="7"/>
  <c r="G156" i="7"/>
  <c r="G47" i="7"/>
  <c r="G118" i="7"/>
  <c r="G46" i="7"/>
  <c r="G160" i="7"/>
  <c r="G142" i="7"/>
  <c r="G56" i="7"/>
  <c r="G106" i="7"/>
  <c r="G98" i="7"/>
  <c r="G73" i="7"/>
  <c r="G72" i="7"/>
  <c r="G78" i="7"/>
  <c r="G65" i="7"/>
  <c r="G222" i="7"/>
  <c r="G225" i="7"/>
  <c r="G64" i="7"/>
  <c r="G154" i="7"/>
  <c r="G135" i="7"/>
  <c r="G199" i="7"/>
  <c r="G26" i="7"/>
  <c r="G132" i="7"/>
  <c r="G182" i="7"/>
  <c r="G77" i="7"/>
  <c r="G198" i="7"/>
  <c r="G115" i="7"/>
  <c r="G239" i="7"/>
  <c r="G127" i="7"/>
  <c r="G223" i="7"/>
  <c r="G38" i="7"/>
  <c r="G211" i="7"/>
  <c r="G37" i="7"/>
  <c r="G171" i="7"/>
  <c r="G68" i="7"/>
  <c r="G144" i="7"/>
  <c r="G186" i="7"/>
  <c r="G230" i="7"/>
  <c r="G234" i="7"/>
  <c r="G179" i="7"/>
  <c r="G170" i="7"/>
  <c r="G250" i="7"/>
  <c r="G100" i="7"/>
  <c r="G34" i="7"/>
  <c r="G40" i="7"/>
  <c r="G6" i="7"/>
  <c r="G176" i="7"/>
  <c r="G82" i="7"/>
  <c r="G33" i="7"/>
  <c r="G114" i="7"/>
  <c r="G189" i="7"/>
  <c r="G151" i="7"/>
  <c r="G124" i="7"/>
  <c r="G221" i="7"/>
  <c r="G88" i="7"/>
  <c r="G231" i="7"/>
  <c r="G39" i="7"/>
  <c r="G91" i="7"/>
  <c r="G149" i="7"/>
  <c r="G197" i="7"/>
  <c r="G18" i="7"/>
  <c r="G168" i="7"/>
  <c r="G157" i="7"/>
  <c r="G87" i="7"/>
  <c r="G121" i="7"/>
  <c r="G161" i="7"/>
  <c r="G208" i="7"/>
  <c r="G81" i="7"/>
  <c r="G253" i="7"/>
  <c r="G210" i="7"/>
  <c r="G187" i="7"/>
  <c r="G195" i="7"/>
  <c r="G75" i="7"/>
  <c r="G80" i="7"/>
  <c r="G17" i="7"/>
  <c r="G42" i="7"/>
  <c r="G143" i="7"/>
  <c r="G193" i="7"/>
  <c r="G209" i="7"/>
  <c r="G21" i="7"/>
  <c r="G207" i="7"/>
  <c r="G14" i="7"/>
  <c r="G13" i="7"/>
  <c r="G159" i="7"/>
  <c r="G251" i="7"/>
  <c r="G162" i="7"/>
  <c r="G140" i="7"/>
  <c r="G41" i="7"/>
  <c r="G5" i="7"/>
  <c r="G242" i="7"/>
  <c r="G184" i="7"/>
  <c r="G109" i="7"/>
  <c r="G69" i="7"/>
  <c r="G90" i="7"/>
  <c r="G178" i="7"/>
  <c r="G206" i="7"/>
  <c r="G36" i="7"/>
  <c r="G194" i="7"/>
  <c r="G134" i="7"/>
  <c r="G7" i="7"/>
  <c r="G177" i="7"/>
  <c r="G133" i="7"/>
  <c r="G117" i="7"/>
  <c r="G85" i="7"/>
  <c r="G84" i="7"/>
  <c r="G163" i="7"/>
  <c r="G97" i="7"/>
  <c r="G129" i="7"/>
  <c r="G51" i="7"/>
  <c r="G83" i="7"/>
  <c r="G125" i="7"/>
  <c r="BA1045" i="4"/>
  <c r="AV1045" i="4"/>
  <c r="AM1045" i="4"/>
  <c r="AD1045" i="4"/>
  <c r="BA1044" i="4"/>
  <c r="AV1044" i="4"/>
  <c r="AM1044" i="4"/>
  <c r="AD1044" i="4"/>
  <c r="BA1043" i="4"/>
  <c r="AV1043" i="4"/>
  <c r="AM1043" i="4"/>
  <c r="AD1043" i="4"/>
  <c r="BA1042" i="4"/>
  <c r="AV1042" i="4"/>
  <c r="AM1042" i="4"/>
  <c r="AD1042" i="4"/>
  <c r="BA1041" i="4"/>
  <c r="AV1041" i="4"/>
  <c r="AM1041" i="4"/>
  <c r="AD1041" i="4"/>
  <c r="BA1040" i="4"/>
  <c r="AV1040" i="4"/>
  <c r="AM1040" i="4"/>
  <c r="AD1040" i="4"/>
  <c r="BA1039" i="4"/>
  <c r="AV1039" i="4"/>
  <c r="AM1039" i="4"/>
  <c r="AD1039" i="4"/>
  <c r="BA1038" i="4"/>
  <c r="AV1038" i="4"/>
  <c r="AM1038" i="4"/>
  <c r="AD1038" i="4"/>
  <c r="BA1037" i="4"/>
  <c r="AV1037" i="4"/>
  <c r="AM1037" i="4"/>
  <c r="AD1037" i="4"/>
  <c r="BA1036" i="4"/>
  <c r="AV1036" i="4"/>
  <c r="AM1036" i="4"/>
  <c r="AD1036" i="4"/>
  <c r="BA1035" i="4"/>
  <c r="AV1035" i="4"/>
  <c r="AM1035" i="4"/>
  <c r="AD1035" i="4"/>
  <c r="BA1034" i="4"/>
  <c r="AV1034" i="4"/>
  <c r="AM1034" i="4"/>
  <c r="AD1034" i="4"/>
  <c r="BA1033" i="4"/>
  <c r="AV1033" i="4"/>
  <c r="AM1033" i="4"/>
  <c r="AD1033" i="4"/>
  <c r="BA1032" i="4"/>
  <c r="AV1032" i="4"/>
  <c r="AM1032" i="4"/>
  <c r="AD1032" i="4"/>
  <c r="BA1031" i="4"/>
  <c r="AV1031" i="4"/>
  <c r="AM1031" i="4"/>
  <c r="AD1031" i="4"/>
  <c r="BA1030" i="4"/>
  <c r="AV1030" i="4"/>
  <c r="AM1030" i="4"/>
  <c r="AD1030" i="4"/>
  <c r="BA1029" i="4"/>
  <c r="AV1029" i="4"/>
  <c r="AM1029" i="4"/>
  <c r="AD1029" i="4"/>
  <c r="BA1028" i="4"/>
  <c r="AV1028" i="4"/>
  <c r="AM1028" i="4"/>
  <c r="AD1028" i="4"/>
  <c r="BA1027" i="4"/>
  <c r="AV1027" i="4"/>
  <c r="AM1027" i="4"/>
  <c r="AD1027" i="4"/>
  <c r="BA1026" i="4"/>
  <c r="AV1026" i="4"/>
  <c r="AM1026" i="4"/>
  <c r="AD1026" i="4"/>
  <c r="BA1025" i="4"/>
  <c r="AV1025" i="4"/>
  <c r="AM1025" i="4"/>
  <c r="AD1025" i="4"/>
  <c r="BA1024" i="4"/>
  <c r="AV1024" i="4"/>
  <c r="AM1024" i="4"/>
  <c r="AD1024" i="4"/>
  <c r="BA1023" i="4"/>
  <c r="AV1023" i="4"/>
  <c r="AM1023" i="4"/>
  <c r="AD1023" i="4"/>
  <c r="BA1022" i="4"/>
  <c r="AV1022" i="4"/>
  <c r="AM1022" i="4"/>
  <c r="AD1022" i="4"/>
  <c r="BA1021" i="4"/>
  <c r="AV1021" i="4"/>
  <c r="AM1021" i="4"/>
  <c r="AD1021" i="4"/>
  <c r="BA1020" i="4"/>
  <c r="AV1020" i="4"/>
  <c r="AM1020" i="4"/>
  <c r="AD1020" i="4"/>
  <c r="BA1019" i="4"/>
  <c r="AV1019" i="4"/>
  <c r="AM1019" i="4"/>
  <c r="AD1019" i="4"/>
  <c r="BA1018" i="4"/>
  <c r="AV1018" i="4"/>
  <c r="AM1018" i="4"/>
  <c r="AD1018" i="4"/>
  <c r="BA1017" i="4"/>
  <c r="AV1017" i="4"/>
  <c r="AM1017" i="4"/>
  <c r="AD1017" i="4"/>
  <c r="BA1016" i="4"/>
  <c r="AV1016" i="4"/>
  <c r="AM1016" i="4"/>
  <c r="AD1016" i="4"/>
  <c r="BA1015" i="4"/>
  <c r="AV1015" i="4"/>
  <c r="AM1015" i="4"/>
  <c r="AD1015" i="4"/>
  <c r="BA1014" i="4"/>
  <c r="AV1014" i="4"/>
  <c r="AM1014" i="4"/>
  <c r="AD1014" i="4"/>
  <c r="BA1013" i="4"/>
  <c r="AV1013" i="4"/>
  <c r="AM1013" i="4"/>
  <c r="AD1013" i="4"/>
  <c r="BA1012" i="4"/>
  <c r="AV1012" i="4"/>
  <c r="AM1012" i="4"/>
  <c r="AD1012" i="4"/>
  <c r="BA1011" i="4"/>
  <c r="AV1011" i="4"/>
  <c r="AM1011" i="4"/>
  <c r="AD1011" i="4"/>
  <c r="BA1010" i="4"/>
  <c r="AV1010" i="4"/>
  <c r="AM1010" i="4"/>
  <c r="AD1010" i="4"/>
  <c r="BA1009" i="4"/>
  <c r="AV1009" i="4"/>
  <c r="AM1009" i="4"/>
  <c r="AD1009" i="4"/>
  <c r="BA1008" i="4"/>
  <c r="AV1008" i="4"/>
  <c r="AM1008" i="4"/>
  <c r="AD1008" i="4"/>
  <c r="BA1007" i="4"/>
  <c r="AV1007" i="4"/>
  <c r="AM1007" i="4"/>
  <c r="AD1007" i="4"/>
  <c r="BA1006" i="4"/>
  <c r="AV1006" i="4"/>
  <c r="AM1006" i="4"/>
  <c r="AD1006" i="4"/>
  <c r="BA1005" i="4"/>
  <c r="AV1005" i="4"/>
  <c r="AM1005" i="4"/>
  <c r="AD1005" i="4"/>
  <c r="BA1004" i="4"/>
  <c r="AV1004" i="4"/>
  <c r="AM1004" i="4"/>
  <c r="AD1004" i="4"/>
  <c r="BA1003" i="4"/>
  <c r="AV1003" i="4"/>
  <c r="AM1003" i="4"/>
  <c r="AD1003" i="4"/>
  <c r="BA1002" i="4"/>
  <c r="AV1002" i="4"/>
  <c r="AM1002" i="4"/>
  <c r="AD1002" i="4"/>
  <c r="BA1001" i="4"/>
  <c r="AV1001" i="4"/>
  <c r="AM1001" i="4"/>
  <c r="AD1001" i="4"/>
  <c r="BA1000" i="4"/>
  <c r="AV1000" i="4"/>
  <c r="AM1000" i="4"/>
  <c r="AD1000" i="4"/>
  <c r="BA999" i="4"/>
  <c r="AV999" i="4"/>
  <c r="AM999" i="4"/>
  <c r="AD999" i="4"/>
  <c r="BA998" i="4"/>
  <c r="AV998" i="4"/>
  <c r="AM998" i="4"/>
  <c r="AD998" i="4"/>
  <c r="BA997" i="4"/>
  <c r="AV997" i="4"/>
  <c r="AM997" i="4"/>
  <c r="AD997" i="4"/>
  <c r="BA996" i="4"/>
  <c r="AV996" i="4"/>
  <c r="AM996" i="4"/>
  <c r="AD996" i="4"/>
  <c r="BA995" i="4"/>
  <c r="AV995" i="4"/>
  <c r="AM995" i="4"/>
  <c r="AD995" i="4"/>
  <c r="BA994" i="4"/>
  <c r="AV994" i="4"/>
  <c r="AM994" i="4"/>
  <c r="AD994" i="4"/>
  <c r="BA993" i="4"/>
  <c r="AV993" i="4"/>
  <c r="AM993" i="4"/>
  <c r="AD993" i="4"/>
  <c r="BA992" i="4"/>
  <c r="AV992" i="4"/>
  <c r="AM992" i="4"/>
  <c r="AD992" i="4"/>
  <c r="BA991" i="4"/>
  <c r="AV991" i="4"/>
  <c r="AM991" i="4"/>
  <c r="AD991" i="4"/>
  <c r="BA990" i="4"/>
  <c r="AV990" i="4"/>
  <c r="AM990" i="4"/>
  <c r="AD990" i="4"/>
  <c r="BA989" i="4"/>
  <c r="AV989" i="4"/>
  <c r="AM989" i="4"/>
  <c r="AD989" i="4"/>
  <c r="BA988" i="4"/>
  <c r="AV988" i="4"/>
  <c r="AM988" i="4"/>
  <c r="AD988" i="4"/>
  <c r="BA987" i="4"/>
  <c r="AV987" i="4"/>
  <c r="AM987" i="4"/>
  <c r="AD987" i="4"/>
  <c r="BA986" i="4"/>
  <c r="AV986" i="4"/>
  <c r="AM986" i="4"/>
  <c r="AD986" i="4"/>
  <c r="BA985" i="4"/>
  <c r="AV985" i="4"/>
  <c r="AM985" i="4"/>
  <c r="AD985" i="4"/>
  <c r="BA984" i="4"/>
  <c r="AV984" i="4"/>
  <c r="AM984" i="4"/>
  <c r="AD984" i="4"/>
  <c r="BA983" i="4"/>
  <c r="AV983" i="4"/>
  <c r="AM983" i="4"/>
  <c r="AD983" i="4"/>
  <c r="BA982" i="4"/>
  <c r="AV982" i="4"/>
  <c r="AM982" i="4"/>
  <c r="AD982" i="4"/>
  <c r="BA981" i="4"/>
  <c r="AV981" i="4"/>
  <c r="AM981" i="4"/>
  <c r="AD981" i="4"/>
  <c r="BA980" i="4"/>
  <c r="AV980" i="4"/>
  <c r="AM980" i="4"/>
  <c r="AD980" i="4"/>
  <c r="BA979" i="4"/>
  <c r="AV979" i="4"/>
  <c r="AM979" i="4"/>
  <c r="AD979" i="4"/>
  <c r="BA978" i="4"/>
  <c r="AV978" i="4"/>
  <c r="AM978" i="4"/>
  <c r="AD978" i="4"/>
  <c r="BA977" i="4"/>
  <c r="AV977" i="4"/>
  <c r="AM977" i="4"/>
  <c r="AD977" i="4"/>
  <c r="BA976" i="4"/>
  <c r="AV976" i="4"/>
  <c r="AM976" i="4"/>
  <c r="AD976" i="4"/>
  <c r="BA975" i="4"/>
  <c r="AV975" i="4"/>
  <c r="AM975" i="4"/>
  <c r="AD975" i="4"/>
  <c r="BA974" i="4"/>
  <c r="AV974" i="4"/>
  <c r="AM974" i="4"/>
  <c r="AD974" i="4"/>
  <c r="BA973" i="4"/>
  <c r="AV973" i="4"/>
  <c r="AM973" i="4"/>
  <c r="AD973" i="4"/>
  <c r="BA972" i="4"/>
  <c r="AV972" i="4"/>
  <c r="AM972" i="4"/>
  <c r="AD972" i="4"/>
  <c r="BA971" i="4"/>
  <c r="AV971" i="4"/>
  <c r="AM971" i="4"/>
  <c r="AD971" i="4"/>
  <c r="BA970" i="4"/>
  <c r="AV970" i="4"/>
  <c r="AM970" i="4"/>
  <c r="AD970" i="4"/>
  <c r="BA969" i="4"/>
  <c r="AV969" i="4"/>
  <c r="AM969" i="4"/>
  <c r="AD969" i="4"/>
  <c r="BA968" i="4"/>
  <c r="AV968" i="4"/>
  <c r="AM968" i="4"/>
  <c r="AD968" i="4"/>
  <c r="BA967" i="4"/>
  <c r="AV967" i="4"/>
  <c r="AM967" i="4"/>
  <c r="AD967" i="4"/>
  <c r="BA966" i="4"/>
  <c r="AV966" i="4"/>
  <c r="AM966" i="4"/>
  <c r="AD966" i="4"/>
  <c r="BA965" i="4"/>
  <c r="AV965" i="4"/>
  <c r="AM965" i="4"/>
  <c r="AD965" i="4"/>
  <c r="BA964" i="4"/>
  <c r="AV964" i="4"/>
  <c r="AM964" i="4"/>
  <c r="AD964" i="4"/>
  <c r="BA963" i="4"/>
  <c r="AV963" i="4"/>
  <c r="AM963" i="4"/>
  <c r="AD963" i="4"/>
  <c r="BA962" i="4"/>
  <c r="AV962" i="4"/>
  <c r="AM962" i="4"/>
  <c r="AD962" i="4"/>
  <c r="BA961" i="4"/>
  <c r="AV961" i="4"/>
  <c r="AM961" i="4"/>
  <c r="AD961" i="4"/>
  <c r="BA960" i="4"/>
  <c r="AV960" i="4"/>
  <c r="AM960" i="4"/>
  <c r="AD960" i="4"/>
  <c r="BA959" i="4"/>
  <c r="AV959" i="4"/>
  <c r="AM959" i="4"/>
  <c r="AD959" i="4"/>
  <c r="BA958" i="4"/>
  <c r="AV958" i="4"/>
  <c r="AM958" i="4"/>
  <c r="AD958" i="4"/>
  <c r="BA957" i="4"/>
  <c r="AV957" i="4"/>
  <c r="AM957" i="4"/>
  <c r="AD957" i="4"/>
  <c r="BA956" i="4"/>
  <c r="AV956" i="4"/>
  <c r="AM956" i="4"/>
  <c r="AD956" i="4"/>
  <c r="BA955" i="4"/>
  <c r="AV955" i="4"/>
  <c r="AM955" i="4"/>
  <c r="AD955" i="4"/>
  <c r="BA954" i="4"/>
  <c r="AV954" i="4"/>
  <c r="AM954" i="4"/>
  <c r="AD954" i="4"/>
  <c r="BA953" i="4"/>
  <c r="AV953" i="4"/>
  <c r="AM953" i="4"/>
  <c r="AD953" i="4"/>
  <c r="BA952" i="4"/>
  <c r="AV952" i="4"/>
  <c r="AM952" i="4"/>
  <c r="AD952" i="4"/>
  <c r="BA951" i="4"/>
  <c r="AV951" i="4"/>
  <c r="AM951" i="4"/>
  <c r="AD951" i="4"/>
  <c r="BA950" i="4"/>
  <c r="AV950" i="4"/>
  <c r="AM950" i="4"/>
  <c r="AD950" i="4"/>
  <c r="BA949" i="4"/>
  <c r="AV949" i="4"/>
  <c r="AM949" i="4"/>
  <c r="AD949" i="4"/>
  <c r="BA948" i="4"/>
  <c r="AV948" i="4"/>
  <c r="AM948" i="4"/>
  <c r="AD948" i="4"/>
  <c r="BA947" i="4"/>
  <c r="AV947" i="4"/>
  <c r="AM947" i="4"/>
  <c r="AD947" i="4"/>
  <c r="BA946" i="4"/>
  <c r="AV946" i="4"/>
  <c r="AM946" i="4"/>
  <c r="AD946" i="4"/>
  <c r="BA945" i="4"/>
  <c r="AV945" i="4"/>
  <c r="AM945" i="4"/>
  <c r="AD945" i="4"/>
  <c r="BA944" i="4"/>
  <c r="AV944" i="4"/>
  <c r="AM944" i="4"/>
  <c r="AD944" i="4"/>
  <c r="BA943" i="4"/>
  <c r="AV943" i="4"/>
  <c r="AM943" i="4"/>
  <c r="AD943" i="4"/>
  <c r="BA942" i="4"/>
  <c r="AV942" i="4"/>
  <c r="AM942" i="4"/>
  <c r="AD942" i="4"/>
  <c r="BA941" i="4"/>
  <c r="AV941" i="4"/>
  <c r="AM941" i="4"/>
  <c r="AD941" i="4"/>
  <c r="BA940" i="4"/>
  <c r="AV940" i="4"/>
  <c r="AM940" i="4"/>
  <c r="AD940" i="4"/>
  <c r="BA939" i="4"/>
  <c r="AV939" i="4"/>
  <c r="AM939" i="4"/>
  <c r="AD939" i="4"/>
  <c r="BA938" i="4"/>
  <c r="AV938" i="4"/>
  <c r="AM938" i="4"/>
  <c r="AD938" i="4"/>
  <c r="BA937" i="4"/>
  <c r="AV937" i="4"/>
  <c r="AM937" i="4"/>
  <c r="AD937" i="4"/>
  <c r="BA936" i="4"/>
  <c r="AV936" i="4"/>
  <c r="AM936" i="4"/>
  <c r="AD936" i="4"/>
  <c r="BA935" i="4"/>
  <c r="AV935" i="4"/>
  <c r="AM935" i="4"/>
  <c r="AD935" i="4"/>
  <c r="BA934" i="4"/>
  <c r="AV934" i="4"/>
  <c r="AM934" i="4"/>
  <c r="AD934" i="4"/>
  <c r="BA933" i="4"/>
  <c r="AV933" i="4"/>
  <c r="AM933" i="4"/>
  <c r="AD933" i="4"/>
  <c r="BA932" i="4"/>
  <c r="AV932" i="4"/>
  <c r="AM932" i="4"/>
  <c r="AD932" i="4"/>
  <c r="BA931" i="4"/>
  <c r="AV931" i="4"/>
  <c r="AM931" i="4"/>
  <c r="AD931" i="4"/>
  <c r="BA930" i="4"/>
  <c r="AV930" i="4"/>
  <c r="AM930" i="4"/>
  <c r="AD930" i="4"/>
  <c r="BA926" i="4"/>
  <c r="AV926" i="4"/>
  <c r="AM926" i="4"/>
  <c r="AD926" i="4"/>
  <c r="U926" i="4"/>
  <c r="BA925" i="4"/>
  <c r="AV925" i="4"/>
  <c r="AM925" i="4"/>
  <c r="AD925" i="4"/>
  <c r="U925" i="4"/>
  <c r="BA924" i="4"/>
  <c r="AV924" i="4"/>
  <c r="AM924" i="4"/>
  <c r="AD924" i="4"/>
  <c r="U924" i="4"/>
  <c r="BA923" i="4"/>
  <c r="AV923" i="4"/>
  <c r="AM923" i="4"/>
  <c r="AD923" i="4"/>
  <c r="U923" i="4"/>
  <c r="BA922" i="4"/>
  <c r="AV922" i="4"/>
  <c r="AM922" i="4"/>
  <c r="AD922" i="4"/>
  <c r="U922" i="4"/>
  <c r="BA921" i="4"/>
  <c r="AV921" i="4"/>
  <c r="AM921" i="4"/>
  <c r="AD921" i="4"/>
  <c r="U921" i="4"/>
  <c r="BA920" i="4"/>
  <c r="AV920" i="4"/>
  <c r="AM920" i="4"/>
  <c r="AD920" i="4"/>
  <c r="U920" i="4"/>
  <c r="BA919" i="4"/>
  <c r="AV919" i="4"/>
  <c r="AM919" i="4"/>
  <c r="AD919" i="4"/>
  <c r="U919" i="4"/>
  <c r="BA918" i="4"/>
  <c r="AV918" i="4"/>
  <c r="AM918" i="4"/>
  <c r="AD918" i="4"/>
  <c r="U918" i="4"/>
  <c r="BA917" i="4"/>
  <c r="AV917" i="4"/>
  <c r="AM917" i="4"/>
  <c r="AD917" i="4"/>
  <c r="U917" i="4"/>
  <c r="BA916" i="4"/>
  <c r="AV916" i="4"/>
  <c r="AM916" i="4"/>
  <c r="AD916" i="4"/>
  <c r="U916" i="4"/>
  <c r="BA915" i="4"/>
  <c r="AV915" i="4"/>
  <c r="AM915" i="4"/>
  <c r="AD915" i="4"/>
  <c r="U915" i="4"/>
  <c r="BA914" i="4"/>
  <c r="AV914" i="4"/>
  <c r="AM914" i="4"/>
  <c r="AD914" i="4"/>
  <c r="U914" i="4"/>
  <c r="BA913" i="4"/>
  <c r="AV913" i="4"/>
  <c r="AM913" i="4"/>
  <c r="AD913" i="4"/>
  <c r="U913" i="4"/>
  <c r="BA912" i="4"/>
  <c r="AV912" i="4"/>
  <c r="AM912" i="4"/>
  <c r="AD912" i="4"/>
  <c r="U912" i="4"/>
  <c r="BA911" i="4"/>
  <c r="AV911" i="4"/>
  <c r="AM911" i="4"/>
  <c r="AD911" i="4"/>
  <c r="U911" i="4"/>
  <c r="BA910" i="4"/>
  <c r="AV910" i="4"/>
  <c r="AM910" i="4"/>
  <c r="AD910" i="4"/>
  <c r="U910" i="4"/>
  <c r="BA909" i="4"/>
  <c r="AV909" i="4"/>
  <c r="AM909" i="4"/>
  <c r="AD909" i="4"/>
  <c r="U909" i="4"/>
  <c r="BA908" i="4"/>
  <c r="AV908" i="4"/>
  <c r="AM908" i="4"/>
  <c r="AD908" i="4"/>
  <c r="U908" i="4"/>
  <c r="BA907" i="4"/>
  <c r="AV907" i="4"/>
  <c r="AM907" i="4"/>
  <c r="AD907" i="4"/>
  <c r="U907" i="4"/>
  <c r="BA906" i="4"/>
  <c r="AV906" i="4"/>
  <c r="AM906" i="4"/>
  <c r="AD906" i="4"/>
  <c r="U906" i="4"/>
  <c r="BA905" i="4"/>
  <c r="AV905" i="4"/>
  <c r="AM905" i="4"/>
  <c r="AD905" i="4"/>
  <c r="U905" i="4"/>
  <c r="BA904" i="4"/>
  <c r="AV904" i="4"/>
  <c r="AM904" i="4"/>
  <c r="AD904" i="4"/>
  <c r="U904" i="4"/>
  <c r="BA903" i="4"/>
  <c r="AV903" i="4"/>
  <c r="AM903" i="4"/>
  <c r="AD903" i="4"/>
  <c r="U903" i="4"/>
  <c r="BA902" i="4"/>
  <c r="AV902" i="4"/>
  <c r="AM902" i="4"/>
  <c r="AD902" i="4"/>
  <c r="U902" i="4"/>
  <c r="BA901" i="4"/>
  <c r="AV901" i="4"/>
  <c r="AM901" i="4"/>
  <c r="AD901" i="4"/>
  <c r="U901" i="4"/>
  <c r="BA900" i="4"/>
  <c r="AV900" i="4"/>
  <c r="AM900" i="4"/>
  <c r="AD900" i="4"/>
  <c r="U900" i="4"/>
  <c r="BA899" i="4"/>
  <c r="AV899" i="4"/>
  <c r="AM899" i="4"/>
  <c r="AD899" i="4"/>
  <c r="U899" i="4"/>
  <c r="BA898" i="4"/>
  <c r="AV898" i="4"/>
  <c r="AM898" i="4"/>
  <c r="AD898" i="4"/>
  <c r="U898" i="4"/>
  <c r="BA897" i="4"/>
  <c r="AV897" i="4"/>
  <c r="AM897" i="4"/>
  <c r="AD897" i="4"/>
  <c r="U897" i="4"/>
  <c r="BA896" i="4"/>
  <c r="AV896" i="4"/>
  <c r="AM896" i="4"/>
  <c r="AD896" i="4"/>
  <c r="U896" i="4"/>
  <c r="BA895" i="4"/>
  <c r="AV895" i="4"/>
  <c r="AM895" i="4"/>
  <c r="AD895" i="4"/>
  <c r="U895" i="4"/>
  <c r="BA894" i="4"/>
  <c r="AV894" i="4"/>
  <c r="AM894" i="4"/>
  <c r="AD894" i="4"/>
  <c r="U894" i="4"/>
  <c r="BA893" i="4"/>
  <c r="AV893" i="4"/>
  <c r="AM893" i="4"/>
  <c r="AD893" i="4"/>
  <c r="U893" i="4"/>
  <c r="BA892" i="4"/>
  <c r="AV892" i="4"/>
  <c r="AM892" i="4"/>
  <c r="AD892" i="4"/>
  <c r="U892" i="4"/>
  <c r="BA891" i="4"/>
  <c r="AV891" i="4"/>
  <c r="AM891" i="4"/>
  <c r="AD891" i="4"/>
  <c r="U891" i="4"/>
  <c r="BA890" i="4"/>
  <c r="AV890" i="4"/>
  <c r="AM890" i="4"/>
  <c r="AD890" i="4"/>
  <c r="U890" i="4"/>
  <c r="BA889" i="4"/>
  <c r="AV889" i="4"/>
  <c r="AM889" i="4"/>
  <c r="AD889" i="4"/>
  <c r="U889" i="4"/>
  <c r="BA888" i="4"/>
  <c r="AV888" i="4"/>
  <c r="AM888" i="4"/>
  <c r="AD888" i="4"/>
  <c r="U888" i="4"/>
  <c r="BA887" i="4"/>
  <c r="AV887" i="4"/>
  <c r="AM887" i="4"/>
  <c r="AD887" i="4"/>
  <c r="U887" i="4"/>
  <c r="BA886" i="4"/>
  <c r="AV886" i="4"/>
  <c r="AM886" i="4"/>
  <c r="AD886" i="4"/>
  <c r="U886" i="4"/>
  <c r="BA885" i="4"/>
  <c r="AV885" i="4"/>
  <c r="AM885" i="4"/>
  <c r="AD885" i="4"/>
  <c r="U885" i="4"/>
  <c r="BA884" i="4"/>
  <c r="AV884" i="4"/>
  <c r="AM884" i="4"/>
  <c r="AD884" i="4"/>
  <c r="U884" i="4"/>
  <c r="BA883" i="4"/>
  <c r="AV883" i="4"/>
  <c r="AM883" i="4"/>
  <c r="AD883" i="4"/>
  <c r="U883" i="4"/>
  <c r="BA882" i="4"/>
  <c r="AV882" i="4"/>
  <c r="AM882" i="4"/>
  <c r="AD882" i="4"/>
  <c r="U882" i="4"/>
  <c r="BA881" i="4"/>
  <c r="AV881" i="4"/>
  <c r="AM881" i="4"/>
  <c r="AD881" i="4"/>
  <c r="U881" i="4"/>
  <c r="BA880" i="4"/>
  <c r="AV880" i="4"/>
  <c r="AM880" i="4"/>
  <c r="AD880" i="4"/>
  <c r="U880" i="4"/>
  <c r="BA879" i="4"/>
  <c r="AV879" i="4"/>
  <c r="AM879" i="4"/>
  <c r="AD879" i="4"/>
  <c r="U879" i="4"/>
  <c r="BA878" i="4"/>
  <c r="AV878" i="4"/>
  <c r="AM878" i="4"/>
  <c r="AD878" i="4"/>
  <c r="U878" i="4"/>
  <c r="BA877" i="4"/>
  <c r="AV877" i="4"/>
  <c r="AM877" i="4"/>
  <c r="AD877" i="4"/>
  <c r="U877" i="4"/>
  <c r="BA876" i="4"/>
  <c r="AV876" i="4"/>
  <c r="AM876" i="4"/>
  <c r="AD876" i="4"/>
  <c r="U876" i="4"/>
  <c r="BA875" i="4"/>
  <c r="AV875" i="4"/>
  <c r="AM875" i="4"/>
  <c r="AD875" i="4"/>
  <c r="U875" i="4"/>
  <c r="BA874" i="4"/>
  <c r="AV874" i="4"/>
  <c r="AM874" i="4"/>
  <c r="AD874" i="4"/>
  <c r="U874" i="4"/>
  <c r="BA873" i="4"/>
  <c r="AV873" i="4"/>
  <c r="AM873" i="4"/>
  <c r="AD873" i="4"/>
  <c r="U873" i="4"/>
  <c r="BA872" i="4"/>
  <c r="AV872" i="4"/>
  <c r="AM872" i="4"/>
  <c r="AD872" i="4"/>
  <c r="U872" i="4"/>
  <c r="BA871" i="4"/>
  <c r="AV871" i="4"/>
  <c r="AM871" i="4"/>
  <c r="AD871" i="4"/>
  <c r="U871" i="4"/>
  <c r="BA870" i="4"/>
  <c r="AV870" i="4"/>
  <c r="AM870" i="4"/>
  <c r="AD870" i="4"/>
  <c r="U870" i="4"/>
  <c r="BA869" i="4"/>
  <c r="AV869" i="4"/>
  <c r="AM869" i="4"/>
  <c r="AD869" i="4"/>
  <c r="U869" i="4"/>
  <c r="BA868" i="4"/>
  <c r="AV868" i="4"/>
  <c r="AM868" i="4"/>
  <c r="AD868" i="4"/>
  <c r="U868" i="4"/>
  <c r="BA867" i="4"/>
  <c r="AV867" i="4"/>
  <c r="AM867" i="4"/>
  <c r="AD867" i="4"/>
  <c r="U867" i="4"/>
  <c r="BA866" i="4"/>
  <c r="AV866" i="4"/>
  <c r="AM866" i="4"/>
  <c r="AD866" i="4"/>
  <c r="U866" i="4"/>
  <c r="BA865" i="4"/>
  <c r="AV865" i="4"/>
  <c r="AM865" i="4"/>
  <c r="AD865" i="4"/>
  <c r="U865" i="4"/>
  <c r="BA864" i="4"/>
  <c r="AV864" i="4"/>
  <c r="AM864" i="4"/>
  <c r="AD864" i="4"/>
  <c r="U864" i="4"/>
  <c r="BA863" i="4"/>
  <c r="AV863" i="4"/>
  <c r="AM863" i="4"/>
  <c r="AD863" i="4"/>
  <c r="U863" i="4"/>
  <c r="BA862" i="4"/>
  <c r="AV862" i="4"/>
  <c r="AM862" i="4"/>
  <c r="AD862" i="4"/>
  <c r="U862" i="4"/>
  <c r="BA861" i="4"/>
  <c r="AV861" i="4"/>
  <c r="AM861" i="4"/>
  <c r="AD861" i="4"/>
  <c r="U861" i="4"/>
  <c r="BA860" i="4"/>
  <c r="AV860" i="4"/>
  <c r="AM860" i="4"/>
  <c r="AD860" i="4"/>
  <c r="U860" i="4"/>
  <c r="BA859" i="4"/>
  <c r="AV859" i="4"/>
  <c r="AM859" i="4"/>
  <c r="AD859" i="4"/>
  <c r="U859" i="4"/>
  <c r="BA858" i="4"/>
  <c r="AV858" i="4"/>
  <c r="AM858" i="4"/>
  <c r="AD858" i="4"/>
  <c r="U858" i="4"/>
  <c r="BA857" i="4"/>
  <c r="AV857" i="4"/>
  <c r="AM857" i="4"/>
  <c r="AD857" i="4"/>
  <c r="U857" i="4"/>
  <c r="BA856" i="4"/>
  <c r="AV856" i="4"/>
  <c r="AM856" i="4"/>
  <c r="AD856" i="4"/>
  <c r="U856" i="4"/>
  <c r="BA855" i="4"/>
  <c r="AV855" i="4"/>
  <c r="AM855" i="4"/>
  <c r="AD855" i="4"/>
  <c r="U855" i="4"/>
  <c r="BA854" i="4"/>
  <c r="AV854" i="4"/>
  <c r="AM854" i="4"/>
  <c r="AD854" i="4"/>
  <c r="U854" i="4"/>
  <c r="BA853" i="4"/>
  <c r="AV853" i="4"/>
  <c r="AM853" i="4"/>
  <c r="AD853" i="4"/>
  <c r="U853" i="4"/>
  <c r="BA852" i="4"/>
  <c r="AV852" i="4"/>
  <c r="AM852" i="4"/>
  <c r="AD852" i="4"/>
  <c r="U852" i="4"/>
  <c r="BA851" i="4"/>
  <c r="AV851" i="4"/>
  <c r="AM851" i="4"/>
  <c r="AD851" i="4"/>
  <c r="U851" i="4"/>
  <c r="BA850" i="4"/>
  <c r="AV850" i="4"/>
  <c r="AM850" i="4"/>
  <c r="AD850" i="4"/>
  <c r="U850" i="4"/>
  <c r="BA849" i="4"/>
  <c r="AV849" i="4"/>
  <c r="AM849" i="4"/>
  <c r="AD849" i="4"/>
  <c r="U849" i="4"/>
  <c r="BA848" i="4"/>
  <c r="AV848" i="4"/>
  <c r="AM848" i="4"/>
  <c r="AD848" i="4"/>
  <c r="U848" i="4"/>
  <c r="BA847" i="4"/>
  <c r="AV847" i="4"/>
  <c r="AM847" i="4"/>
  <c r="AD847" i="4"/>
  <c r="U847" i="4"/>
  <c r="BA846" i="4"/>
  <c r="AV846" i="4"/>
  <c r="AM846" i="4"/>
  <c r="AD846" i="4"/>
  <c r="U846" i="4"/>
  <c r="BA845" i="4"/>
  <c r="AV845" i="4"/>
  <c r="AM845" i="4"/>
  <c r="AD845" i="4"/>
  <c r="U845" i="4"/>
  <c r="BA844" i="4"/>
  <c r="AV844" i="4"/>
  <c r="AM844" i="4"/>
  <c r="AD844" i="4"/>
  <c r="U844" i="4"/>
  <c r="BA843" i="4"/>
  <c r="AV843" i="4"/>
  <c r="AM843" i="4"/>
  <c r="AD843" i="4"/>
  <c r="U843" i="4"/>
  <c r="BA842" i="4"/>
  <c r="AV842" i="4"/>
  <c r="AM842" i="4"/>
  <c r="AD842" i="4"/>
  <c r="U842" i="4"/>
  <c r="BA841" i="4"/>
  <c r="AV841" i="4"/>
  <c r="AM841" i="4"/>
  <c r="AD841" i="4"/>
  <c r="U841" i="4"/>
  <c r="BA840" i="4"/>
  <c r="AV840" i="4"/>
  <c r="AM840" i="4"/>
  <c r="AD840" i="4"/>
  <c r="U840" i="4"/>
  <c r="BA839" i="4"/>
  <c r="AV839" i="4"/>
  <c r="AM839" i="4"/>
  <c r="AD839" i="4"/>
  <c r="U839" i="4"/>
  <c r="BA838" i="4"/>
  <c r="AV838" i="4"/>
  <c r="AM838" i="4"/>
  <c r="AD838" i="4"/>
  <c r="U838" i="4"/>
  <c r="BA837" i="4"/>
  <c r="AV837" i="4"/>
  <c r="AM837" i="4"/>
  <c r="AD837" i="4"/>
  <c r="U837" i="4"/>
  <c r="BA836" i="4"/>
  <c r="AV836" i="4"/>
  <c r="AM836" i="4"/>
  <c r="AD836" i="4"/>
  <c r="U836" i="4"/>
  <c r="BA835" i="4"/>
  <c r="AV835" i="4"/>
  <c r="AM835" i="4"/>
  <c r="AD835" i="4"/>
  <c r="U835" i="4"/>
  <c r="BA834" i="4"/>
  <c r="AV834" i="4"/>
  <c r="AM834" i="4"/>
  <c r="AD834" i="4"/>
  <c r="U834" i="4"/>
  <c r="BA833" i="4"/>
  <c r="AV833" i="4"/>
  <c r="AM833" i="4"/>
  <c r="AD833" i="4"/>
  <c r="U833" i="4"/>
  <c r="BA832" i="4"/>
  <c r="AV832" i="4"/>
  <c r="AM832" i="4"/>
  <c r="AD832" i="4"/>
  <c r="U832" i="4"/>
  <c r="BA831" i="4"/>
  <c r="AV831" i="4"/>
  <c r="AM831" i="4"/>
  <c r="AD831" i="4"/>
  <c r="U831" i="4"/>
  <c r="BA830" i="4"/>
  <c r="AV830" i="4"/>
  <c r="AM830" i="4"/>
  <c r="AD830" i="4"/>
  <c r="U830" i="4"/>
  <c r="BA829" i="4"/>
  <c r="AV829" i="4"/>
  <c r="AM829" i="4"/>
  <c r="AD829" i="4"/>
  <c r="U829" i="4"/>
  <c r="BA828" i="4"/>
  <c r="AV828" i="4"/>
  <c r="AM828" i="4"/>
  <c r="AD828" i="4"/>
  <c r="U828" i="4"/>
  <c r="BA827" i="4"/>
  <c r="AV827" i="4"/>
  <c r="AM827" i="4"/>
  <c r="AD827" i="4"/>
  <c r="U827" i="4"/>
  <c r="BA826" i="4"/>
  <c r="AV826" i="4"/>
  <c r="AM826" i="4"/>
  <c r="AD826" i="4"/>
  <c r="U826" i="4"/>
  <c r="BA825" i="4"/>
  <c r="AV825" i="4"/>
  <c r="AM825" i="4"/>
  <c r="AD825" i="4"/>
  <c r="U825" i="4"/>
  <c r="BA824" i="4"/>
  <c r="AV824" i="4"/>
  <c r="AM824" i="4"/>
  <c r="AD824" i="4"/>
  <c r="U824" i="4"/>
  <c r="BA823" i="4"/>
  <c r="AV823" i="4"/>
  <c r="AM823" i="4"/>
  <c r="AD823" i="4"/>
  <c r="U823" i="4"/>
  <c r="BA822" i="4"/>
  <c r="AV822" i="4"/>
  <c r="AM822" i="4"/>
  <c r="AD822" i="4"/>
  <c r="U822" i="4"/>
  <c r="BA821" i="4"/>
  <c r="AV821" i="4"/>
  <c r="AM821" i="4"/>
  <c r="AD821" i="4"/>
  <c r="U821" i="4"/>
  <c r="BA820" i="4"/>
  <c r="AV820" i="4"/>
  <c r="AM820" i="4"/>
  <c r="AD820" i="4"/>
  <c r="U820" i="4"/>
  <c r="BA819" i="4"/>
  <c r="AV819" i="4"/>
  <c r="AM819" i="4"/>
  <c r="AD819" i="4"/>
  <c r="U819" i="4"/>
  <c r="BA818" i="4"/>
  <c r="AV818" i="4"/>
  <c r="AM818" i="4"/>
  <c r="AD818" i="4"/>
  <c r="U818" i="4"/>
  <c r="BA817" i="4"/>
  <c r="AV817" i="4"/>
  <c r="AM817" i="4"/>
  <c r="AD817" i="4"/>
  <c r="U817" i="4"/>
  <c r="BA816" i="4"/>
  <c r="AV816" i="4"/>
  <c r="AM816" i="4"/>
  <c r="AD816" i="4"/>
  <c r="U816" i="4"/>
  <c r="BA815" i="4"/>
  <c r="AV815" i="4"/>
  <c r="AM815" i="4"/>
  <c r="AD815" i="4"/>
  <c r="U815" i="4"/>
  <c r="BA814" i="4"/>
  <c r="AV814" i="4"/>
  <c r="AM814" i="4"/>
  <c r="AD814" i="4"/>
  <c r="U814" i="4"/>
  <c r="BA813" i="4"/>
  <c r="AV813" i="4"/>
  <c r="AM813" i="4"/>
  <c r="AD813" i="4"/>
  <c r="U813" i="4"/>
  <c r="BA812" i="4"/>
  <c r="AV812" i="4"/>
  <c r="AM812" i="4"/>
  <c r="AD812" i="4"/>
  <c r="U812" i="4"/>
  <c r="BA811" i="4"/>
  <c r="AV811" i="4"/>
  <c r="AM811" i="4"/>
  <c r="AD811" i="4"/>
  <c r="U811" i="4"/>
  <c r="BA810" i="4"/>
  <c r="AV810" i="4"/>
  <c r="AM810" i="4"/>
  <c r="AD810" i="4"/>
  <c r="U810" i="4"/>
  <c r="BA809" i="4"/>
  <c r="AV809" i="4"/>
  <c r="AM809" i="4"/>
  <c r="AD809" i="4"/>
  <c r="U809" i="4"/>
  <c r="BA808" i="4"/>
  <c r="AV808" i="4"/>
  <c r="AM808" i="4"/>
  <c r="AD808" i="4"/>
  <c r="U808" i="4"/>
  <c r="BA807" i="4"/>
  <c r="AV807" i="4"/>
  <c r="AM807" i="4"/>
  <c r="AD807" i="4"/>
  <c r="U807" i="4"/>
  <c r="BA806" i="4"/>
  <c r="AV806" i="4"/>
  <c r="AM806" i="4"/>
  <c r="AD806" i="4"/>
  <c r="U806" i="4"/>
  <c r="BA805" i="4"/>
  <c r="AV805" i="4"/>
  <c r="AM805" i="4"/>
  <c r="AD805" i="4"/>
  <c r="U805" i="4"/>
  <c r="BA804" i="4"/>
  <c r="AV804" i="4"/>
  <c r="AM804" i="4"/>
  <c r="AD804" i="4"/>
  <c r="U804" i="4"/>
  <c r="BA803" i="4"/>
  <c r="AV803" i="4"/>
  <c r="AM803" i="4"/>
  <c r="AD803" i="4"/>
  <c r="U803" i="4"/>
  <c r="BA802" i="4"/>
  <c r="AV802" i="4"/>
  <c r="AM802" i="4"/>
  <c r="AD802" i="4"/>
  <c r="U802" i="4"/>
  <c r="BA801" i="4"/>
  <c r="AV801" i="4"/>
  <c r="AM801" i="4"/>
  <c r="AD801" i="4"/>
  <c r="U801" i="4"/>
  <c r="BA800" i="4"/>
  <c r="AV800" i="4"/>
  <c r="AM800" i="4"/>
  <c r="AD800" i="4"/>
  <c r="U800" i="4"/>
  <c r="BA799" i="4"/>
  <c r="AV799" i="4"/>
  <c r="AM799" i="4"/>
  <c r="AD799" i="4"/>
  <c r="U799" i="4"/>
  <c r="BA798" i="4"/>
  <c r="AV798" i="4"/>
  <c r="AM798" i="4"/>
  <c r="AD798" i="4"/>
  <c r="U798" i="4"/>
  <c r="BA797" i="4"/>
  <c r="AV797" i="4"/>
  <c r="AM797" i="4"/>
  <c r="AD797" i="4"/>
  <c r="U797" i="4"/>
  <c r="BA796" i="4"/>
  <c r="AV796" i="4"/>
  <c r="AM796" i="4"/>
  <c r="AD796" i="4"/>
  <c r="U796" i="4"/>
  <c r="BA795" i="4"/>
  <c r="AV795" i="4"/>
  <c r="AM795" i="4"/>
  <c r="AD795" i="4"/>
  <c r="U795" i="4"/>
  <c r="BA794" i="4"/>
  <c r="AV794" i="4"/>
  <c r="AM794" i="4"/>
  <c r="AD794" i="4"/>
  <c r="U794" i="4"/>
  <c r="BA793" i="4"/>
  <c r="AV793" i="4"/>
  <c r="AM793" i="4"/>
  <c r="AD793" i="4"/>
  <c r="U793" i="4"/>
  <c r="BA792" i="4"/>
  <c r="AV792" i="4"/>
  <c r="AM792" i="4"/>
  <c r="AD792" i="4"/>
  <c r="U792" i="4"/>
  <c r="BA791" i="4"/>
  <c r="AV791" i="4"/>
  <c r="AM791" i="4"/>
  <c r="AD791" i="4"/>
  <c r="U791" i="4"/>
  <c r="BA790" i="4"/>
  <c r="AV790" i="4"/>
  <c r="AM790" i="4"/>
  <c r="AD790" i="4"/>
  <c r="U790" i="4"/>
  <c r="BA789" i="4"/>
  <c r="AV789" i="4"/>
  <c r="AM789" i="4"/>
  <c r="AD789" i="4"/>
  <c r="U789" i="4"/>
  <c r="BA788" i="4"/>
  <c r="AV788" i="4"/>
  <c r="AM788" i="4"/>
  <c r="AD788" i="4"/>
  <c r="U788" i="4"/>
  <c r="BA787" i="4"/>
  <c r="AV787" i="4"/>
  <c r="AM787" i="4"/>
  <c r="AD787" i="4"/>
  <c r="U787" i="4"/>
  <c r="BA786" i="4"/>
  <c r="AV786" i="4"/>
  <c r="AM786" i="4"/>
  <c r="AD786" i="4"/>
  <c r="U786" i="4"/>
  <c r="BA785" i="4"/>
  <c r="AV785" i="4"/>
  <c r="AM785" i="4"/>
  <c r="AD785" i="4"/>
  <c r="U785" i="4"/>
  <c r="BA784" i="4"/>
  <c r="AV784" i="4"/>
  <c r="AM784" i="4"/>
  <c r="AD784" i="4"/>
  <c r="U784" i="4"/>
  <c r="BA783" i="4"/>
  <c r="AV783" i="4"/>
  <c r="AM783" i="4"/>
  <c r="AD783" i="4"/>
  <c r="U783" i="4"/>
  <c r="BA782" i="4"/>
  <c r="AV782" i="4"/>
  <c r="AM782" i="4"/>
  <c r="AD782" i="4"/>
  <c r="U782" i="4"/>
  <c r="BA781" i="4"/>
  <c r="AV781" i="4"/>
  <c r="AM781" i="4"/>
  <c r="AD781" i="4"/>
  <c r="U781" i="4"/>
  <c r="BA780" i="4"/>
  <c r="AV780" i="4"/>
  <c r="AM780" i="4"/>
  <c r="AD780" i="4"/>
  <c r="U780" i="4"/>
  <c r="BA779" i="4"/>
  <c r="AV779" i="4"/>
  <c r="AM779" i="4"/>
  <c r="AD779" i="4"/>
  <c r="U779" i="4"/>
  <c r="BA778" i="4"/>
  <c r="AV778" i="4"/>
  <c r="AM778" i="4"/>
  <c r="AD778" i="4"/>
  <c r="U778" i="4"/>
  <c r="BA777" i="4"/>
  <c r="AV777" i="4"/>
  <c r="AM777" i="4"/>
  <c r="AD777" i="4"/>
  <c r="U777" i="4"/>
  <c r="BA776" i="4"/>
  <c r="AV776" i="4"/>
  <c r="AM776" i="4"/>
  <c r="AD776" i="4"/>
  <c r="U776" i="4"/>
  <c r="BA775" i="4"/>
  <c r="AV775" i="4"/>
  <c r="AM775" i="4"/>
  <c r="AD775" i="4"/>
  <c r="U775" i="4"/>
  <c r="BA774" i="4"/>
  <c r="AV774" i="4"/>
  <c r="AM774" i="4"/>
  <c r="AD774" i="4"/>
  <c r="U774" i="4"/>
  <c r="BA773" i="4"/>
  <c r="AV773" i="4"/>
  <c r="AM773" i="4"/>
  <c r="AD773" i="4"/>
  <c r="U773" i="4"/>
  <c r="BA772" i="4"/>
  <c r="AV772" i="4"/>
  <c r="AM772" i="4"/>
  <c r="AD772" i="4"/>
  <c r="U772" i="4"/>
  <c r="BA771" i="4"/>
  <c r="AV771" i="4"/>
  <c r="AM771" i="4"/>
  <c r="AD771" i="4"/>
  <c r="U771" i="4"/>
  <c r="BA770" i="4"/>
  <c r="AV770" i="4"/>
  <c r="AM770" i="4"/>
  <c r="AD770" i="4"/>
  <c r="U770" i="4"/>
  <c r="BA769" i="4"/>
  <c r="AV769" i="4"/>
  <c r="AM769" i="4"/>
  <c r="AD769" i="4"/>
  <c r="U769" i="4"/>
  <c r="BA768" i="4"/>
  <c r="AV768" i="4"/>
  <c r="AM768" i="4"/>
  <c r="AD768" i="4"/>
  <c r="U768" i="4"/>
  <c r="BA767" i="4"/>
  <c r="AV767" i="4"/>
  <c r="AM767" i="4"/>
  <c r="AD767" i="4"/>
  <c r="U767" i="4"/>
  <c r="BA766" i="4"/>
  <c r="AV766" i="4"/>
  <c r="AM766" i="4"/>
  <c r="AD766" i="4"/>
  <c r="U766" i="4"/>
  <c r="BA765" i="4"/>
  <c r="AV765" i="4"/>
  <c r="AM765" i="4"/>
  <c r="AD765" i="4"/>
  <c r="U765" i="4"/>
  <c r="BA764" i="4"/>
  <c r="AV764" i="4"/>
  <c r="AM764" i="4"/>
  <c r="AD764" i="4"/>
  <c r="U764" i="4"/>
  <c r="BA763" i="4"/>
  <c r="AV763" i="4"/>
  <c r="AM763" i="4"/>
  <c r="AD763" i="4"/>
  <c r="U763" i="4"/>
  <c r="BA762" i="4"/>
  <c r="AV762" i="4"/>
  <c r="AM762" i="4"/>
  <c r="AD762" i="4"/>
  <c r="U762" i="4"/>
  <c r="BA761" i="4"/>
  <c r="AV761" i="4"/>
  <c r="AM761" i="4"/>
  <c r="AD761" i="4"/>
  <c r="U761" i="4"/>
  <c r="BA760" i="4"/>
  <c r="AV760" i="4"/>
  <c r="AM760" i="4"/>
  <c r="AD760" i="4"/>
  <c r="U760" i="4"/>
  <c r="BA759" i="4"/>
  <c r="AV759" i="4"/>
  <c r="AM759" i="4"/>
  <c r="AD759" i="4"/>
  <c r="U759" i="4"/>
  <c r="BA758" i="4"/>
  <c r="AV758" i="4"/>
  <c r="AM758" i="4"/>
  <c r="AD758" i="4"/>
  <c r="U758" i="4"/>
  <c r="BA757" i="4"/>
  <c r="AV757" i="4"/>
  <c r="AM757" i="4"/>
  <c r="AD757" i="4"/>
  <c r="U757" i="4"/>
  <c r="BA756" i="4"/>
  <c r="AV756" i="4"/>
  <c r="AM756" i="4"/>
  <c r="AD756" i="4"/>
  <c r="U756" i="4"/>
  <c r="BA755" i="4"/>
  <c r="AV755" i="4"/>
  <c r="AM755" i="4"/>
  <c r="AD755" i="4"/>
  <c r="U755" i="4"/>
  <c r="BA754" i="4"/>
  <c r="AV754" i="4"/>
  <c r="AM754" i="4"/>
  <c r="AD754" i="4"/>
  <c r="U754" i="4"/>
  <c r="BA753" i="4"/>
  <c r="AV753" i="4"/>
  <c r="AM753" i="4"/>
  <c r="AD753" i="4"/>
  <c r="U753" i="4"/>
  <c r="BA752" i="4"/>
  <c r="AV752" i="4"/>
  <c r="AM752" i="4"/>
  <c r="AD752" i="4"/>
  <c r="U752" i="4"/>
  <c r="BA751" i="4"/>
  <c r="AV751" i="4"/>
  <c r="AM751" i="4"/>
  <c r="AD751" i="4"/>
  <c r="U751" i="4"/>
  <c r="BA750" i="4"/>
  <c r="AV750" i="4"/>
  <c r="AM750" i="4"/>
  <c r="AD750" i="4"/>
  <c r="U750" i="4"/>
  <c r="BA749" i="4"/>
  <c r="AV749" i="4"/>
  <c r="AM749" i="4"/>
  <c r="AD749" i="4"/>
  <c r="U749" i="4"/>
  <c r="BA748" i="4"/>
  <c r="AV748" i="4"/>
  <c r="AM748" i="4"/>
  <c r="AD748" i="4"/>
  <c r="U748" i="4"/>
  <c r="BA747" i="4"/>
  <c r="AV747" i="4"/>
  <c r="AM747" i="4"/>
  <c r="AD747" i="4"/>
  <c r="U747" i="4"/>
  <c r="BA746" i="4"/>
  <c r="AV746" i="4"/>
  <c r="AM746" i="4"/>
  <c r="AD746" i="4"/>
  <c r="U746" i="4"/>
  <c r="BA745" i="4"/>
  <c r="AV745" i="4"/>
  <c r="AM745" i="4"/>
  <c r="AD745" i="4"/>
  <c r="U745" i="4"/>
  <c r="BA744" i="4"/>
  <c r="AV744" i="4"/>
  <c r="AM744" i="4"/>
  <c r="AD744" i="4"/>
  <c r="U744" i="4"/>
  <c r="BA743" i="4"/>
  <c r="AV743" i="4"/>
  <c r="AM743" i="4"/>
  <c r="AD743" i="4"/>
  <c r="U743" i="4"/>
  <c r="BA742" i="4"/>
  <c r="AV742" i="4"/>
  <c r="AM742" i="4"/>
  <c r="AD742" i="4"/>
  <c r="U742" i="4"/>
  <c r="BA741" i="4"/>
  <c r="AV741" i="4"/>
  <c r="AM741" i="4"/>
  <c r="AD741" i="4"/>
  <c r="U741" i="4"/>
  <c r="BA740" i="4"/>
  <c r="AV740" i="4"/>
  <c r="AM740" i="4"/>
  <c r="AD740" i="4"/>
  <c r="U740" i="4"/>
  <c r="BA739" i="4"/>
  <c r="AV739" i="4"/>
  <c r="AM739" i="4"/>
  <c r="AD739" i="4"/>
  <c r="U739" i="4"/>
  <c r="BA738" i="4"/>
  <c r="AV738" i="4"/>
  <c r="AM738" i="4"/>
  <c r="AD738" i="4"/>
  <c r="U738" i="4"/>
  <c r="BA737" i="4"/>
  <c r="AV737" i="4"/>
  <c r="AM737" i="4"/>
  <c r="AD737" i="4"/>
  <c r="U737" i="4"/>
  <c r="BA736" i="4"/>
  <c r="AV736" i="4"/>
  <c r="AM736" i="4"/>
  <c r="AD736" i="4"/>
  <c r="U736" i="4"/>
  <c r="BA735" i="4"/>
  <c r="AV735" i="4"/>
  <c r="AM735" i="4"/>
  <c r="AD735" i="4"/>
  <c r="U735" i="4"/>
  <c r="BA734" i="4"/>
  <c r="AV734" i="4"/>
  <c r="AM734" i="4"/>
  <c r="AD734" i="4"/>
  <c r="U734" i="4"/>
  <c r="BA733" i="4"/>
  <c r="AV733" i="4"/>
  <c r="AM733" i="4"/>
  <c r="AD733" i="4"/>
  <c r="U733" i="4"/>
  <c r="BA732" i="4"/>
  <c r="AV732" i="4"/>
  <c r="AM732" i="4"/>
  <c r="AD732" i="4"/>
  <c r="U732" i="4"/>
  <c r="BA731" i="4"/>
  <c r="AV731" i="4"/>
  <c r="AM731" i="4"/>
  <c r="AD731" i="4"/>
  <c r="U731" i="4"/>
  <c r="BA730" i="4"/>
  <c r="AV730" i="4"/>
  <c r="AM730" i="4"/>
  <c r="AD730" i="4"/>
  <c r="U730" i="4"/>
  <c r="BA729" i="4"/>
  <c r="AV729" i="4"/>
  <c r="AM729" i="4"/>
  <c r="AD729" i="4"/>
  <c r="U729" i="4"/>
  <c r="BA728" i="4"/>
  <c r="AV728" i="4"/>
  <c r="AM728" i="4"/>
  <c r="AD728" i="4"/>
  <c r="U728" i="4"/>
  <c r="BA727" i="4"/>
  <c r="AV727" i="4"/>
  <c r="AM727" i="4"/>
  <c r="AD727" i="4"/>
  <c r="U727" i="4"/>
  <c r="BA726" i="4"/>
  <c r="AV726" i="4"/>
  <c r="AM726" i="4"/>
  <c r="AD726" i="4"/>
  <c r="U726" i="4"/>
  <c r="BA725" i="4"/>
  <c r="AV725" i="4"/>
  <c r="AM725" i="4"/>
  <c r="AD725" i="4"/>
  <c r="U725" i="4"/>
  <c r="BA724" i="4"/>
  <c r="AV724" i="4"/>
  <c r="AM724" i="4"/>
  <c r="AD724" i="4"/>
  <c r="U724" i="4"/>
  <c r="BA723" i="4"/>
  <c r="AV723" i="4"/>
  <c r="AM723" i="4"/>
  <c r="AD723" i="4"/>
  <c r="U723" i="4"/>
  <c r="BA722" i="4"/>
  <c r="AV722" i="4"/>
  <c r="AM722" i="4"/>
  <c r="AD722" i="4"/>
  <c r="U722" i="4"/>
  <c r="BA721" i="4"/>
  <c r="AV721" i="4"/>
  <c r="AM721" i="4"/>
  <c r="AD721" i="4"/>
  <c r="U721" i="4"/>
  <c r="BA720" i="4"/>
  <c r="AV720" i="4"/>
  <c r="AM720" i="4"/>
  <c r="AD720" i="4"/>
  <c r="U720" i="4"/>
  <c r="BA719" i="4"/>
  <c r="AV719" i="4"/>
  <c r="AM719" i="4"/>
  <c r="AD719" i="4"/>
  <c r="U719" i="4"/>
  <c r="BA718" i="4"/>
  <c r="AV718" i="4"/>
  <c r="AM718" i="4"/>
  <c r="AD718" i="4"/>
  <c r="U718" i="4"/>
  <c r="BA717" i="4"/>
  <c r="AV717" i="4"/>
  <c r="AM717" i="4"/>
  <c r="AD717" i="4"/>
  <c r="U717" i="4"/>
  <c r="BA716" i="4"/>
  <c r="AV716" i="4"/>
  <c r="AM716" i="4"/>
  <c r="AD716" i="4"/>
  <c r="U716" i="4"/>
  <c r="BA715" i="4"/>
  <c r="AV715" i="4"/>
  <c r="AM715" i="4"/>
  <c r="AD715" i="4"/>
  <c r="U715" i="4"/>
  <c r="BA714" i="4"/>
  <c r="AV714" i="4"/>
  <c r="AM714" i="4"/>
  <c r="AD714" i="4"/>
  <c r="U714" i="4"/>
  <c r="BA713" i="4"/>
  <c r="AV713" i="4"/>
  <c r="AM713" i="4"/>
  <c r="AD713" i="4"/>
  <c r="U713" i="4"/>
  <c r="BA712" i="4"/>
  <c r="AV712" i="4"/>
  <c r="AM712" i="4"/>
  <c r="AD712" i="4"/>
  <c r="U712" i="4"/>
  <c r="BA711" i="4"/>
  <c r="AV711" i="4"/>
  <c r="AM711" i="4"/>
  <c r="AD711" i="4"/>
  <c r="U711" i="4"/>
  <c r="BA710" i="4"/>
  <c r="AV710" i="4"/>
  <c r="AM710" i="4"/>
  <c r="AD710" i="4"/>
  <c r="U710" i="4"/>
  <c r="BA709" i="4"/>
  <c r="AV709" i="4"/>
  <c r="AM709" i="4"/>
  <c r="AD709" i="4"/>
  <c r="U709" i="4"/>
  <c r="BA708" i="4"/>
  <c r="AV708" i="4"/>
  <c r="AM708" i="4"/>
  <c r="AD708" i="4"/>
  <c r="U708" i="4"/>
  <c r="BA707" i="4"/>
  <c r="AV707" i="4"/>
  <c r="AM707" i="4"/>
  <c r="AD707" i="4"/>
  <c r="U707" i="4"/>
  <c r="BA706" i="4"/>
  <c r="AV706" i="4"/>
  <c r="AM706" i="4"/>
  <c r="AD706" i="4"/>
  <c r="U706" i="4"/>
  <c r="BA705" i="4"/>
  <c r="AV705" i="4"/>
  <c r="AM705" i="4"/>
  <c r="AD705" i="4"/>
  <c r="U705" i="4"/>
  <c r="BA704" i="4"/>
  <c r="AV704" i="4"/>
  <c r="AM704" i="4"/>
  <c r="AD704" i="4"/>
  <c r="U704" i="4"/>
  <c r="BA703" i="4"/>
  <c r="AV703" i="4"/>
  <c r="AM703" i="4"/>
  <c r="AD703" i="4"/>
  <c r="U703" i="4"/>
  <c r="BA702" i="4"/>
  <c r="AV702" i="4"/>
  <c r="AM702" i="4"/>
  <c r="AD702" i="4"/>
  <c r="U702" i="4"/>
  <c r="BA701" i="4"/>
  <c r="AV701" i="4"/>
  <c r="AM701" i="4"/>
  <c r="AD701" i="4"/>
  <c r="U701" i="4"/>
  <c r="BA700" i="4"/>
  <c r="AV700" i="4"/>
  <c r="AM700" i="4"/>
  <c r="AD700" i="4"/>
  <c r="U700" i="4"/>
  <c r="BA699" i="4"/>
  <c r="AV699" i="4"/>
  <c r="AM699" i="4"/>
  <c r="AD699" i="4"/>
  <c r="U699" i="4"/>
  <c r="BA698" i="4"/>
  <c r="AV698" i="4"/>
  <c r="AM698" i="4"/>
  <c r="AD698" i="4"/>
  <c r="U698" i="4"/>
  <c r="BA697" i="4"/>
  <c r="AV697" i="4"/>
  <c r="AM697" i="4"/>
  <c r="AD697" i="4"/>
  <c r="U697" i="4"/>
  <c r="BA696" i="4"/>
  <c r="AV696" i="4"/>
  <c r="AM696" i="4"/>
  <c r="AD696" i="4"/>
  <c r="U696" i="4"/>
  <c r="BA695" i="4"/>
  <c r="AV695" i="4"/>
  <c r="AM695" i="4"/>
  <c r="AD695" i="4"/>
  <c r="U695" i="4"/>
  <c r="BA694" i="4"/>
  <c r="AV694" i="4"/>
  <c r="AM694" i="4"/>
  <c r="AD694" i="4"/>
  <c r="U694" i="4"/>
  <c r="BA693" i="4"/>
  <c r="AV693" i="4"/>
  <c r="AM693" i="4"/>
  <c r="AD693" i="4"/>
  <c r="U693" i="4"/>
  <c r="BA692" i="4"/>
  <c r="AV692" i="4"/>
  <c r="AM692" i="4"/>
  <c r="AD692" i="4"/>
  <c r="U692" i="4"/>
  <c r="BA691" i="4"/>
  <c r="AV691" i="4"/>
  <c r="AM691" i="4"/>
  <c r="AD691" i="4"/>
  <c r="U691" i="4"/>
  <c r="BA690" i="4"/>
  <c r="AV690" i="4"/>
  <c r="AM690" i="4"/>
  <c r="AD690" i="4"/>
  <c r="U690" i="4"/>
  <c r="BA689" i="4"/>
  <c r="AV689" i="4"/>
  <c r="AM689" i="4"/>
  <c r="AD689" i="4"/>
  <c r="U689" i="4"/>
  <c r="BA688" i="4"/>
  <c r="AV688" i="4"/>
  <c r="AM688" i="4"/>
  <c r="AD688" i="4"/>
  <c r="U688" i="4"/>
  <c r="BA687" i="4"/>
  <c r="AV687" i="4"/>
  <c r="AM687" i="4"/>
  <c r="AD687" i="4"/>
  <c r="U687" i="4"/>
  <c r="BA686" i="4"/>
  <c r="AV686" i="4"/>
  <c r="AM686" i="4"/>
  <c r="AD686" i="4"/>
  <c r="U686" i="4"/>
  <c r="BA685" i="4"/>
  <c r="AV685" i="4"/>
  <c r="AM685" i="4"/>
  <c r="AD685" i="4"/>
  <c r="U685" i="4"/>
  <c r="BA684" i="4"/>
  <c r="AV684" i="4"/>
  <c r="AM684" i="4"/>
  <c r="AD684" i="4"/>
  <c r="U684" i="4"/>
  <c r="BA683" i="4"/>
  <c r="AV683" i="4"/>
  <c r="AM683" i="4"/>
  <c r="AD683" i="4"/>
  <c r="U683" i="4"/>
  <c r="BA682" i="4"/>
  <c r="AV682" i="4"/>
  <c r="AM682" i="4"/>
  <c r="AD682" i="4"/>
  <c r="U682" i="4"/>
  <c r="BA681" i="4"/>
  <c r="AV681" i="4"/>
  <c r="AM681" i="4"/>
  <c r="AD681" i="4"/>
  <c r="U681" i="4"/>
  <c r="BA680" i="4"/>
  <c r="AV680" i="4"/>
  <c r="AM680" i="4"/>
  <c r="AD680" i="4"/>
  <c r="U680" i="4"/>
  <c r="BA679" i="4"/>
  <c r="AV679" i="4"/>
  <c r="AM679" i="4"/>
  <c r="AD679" i="4"/>
  <c r="U679" i="4"/>
  <c r="BA678" i="4"/>
  <c r="AV678" i="4"/>
  <c r="AM678" i="4"/>
  <c r="AD678" i="4"/>
  <c r="U678" i="4"/>
  <c r="BA677" i="4"/>
  <c r="AV677" i="4"/>
  <c r="AM677" i="4"/>
  <c r="AD677" i="4"/>
  <c r="U677" i="4"/>
  <c r="BA676" i="4"/>
  <c r="AV676" i="4"/>
  <c r="AM676" i="4"/>
  <c r="AD676" i="4"/>
  <c r="U676" i="4"/>
  <c r="BA675" i="4"/>
  <c r="AV675" i="4"/>
  <c r="AM675" i="4"/>
  <c r="AD675" i="4"/>
  <c r="U675" i="4"/>
  <c r="BA674" i="4"/>
  <c r="AV674" i="4"/>
  <c r="AM674" i="4"/>
  <c r="AD674" i="4"/>
  <c r="U674" i="4"/>
  <c r="BA673" i="4"/>
  <c r="AV673" i="4"/>
  <c r="AM673" i="4"/>
  <c r="AD673" i="4"/>
  <c r="U673" i="4"/>
  <c r="BA672" i="4"/>
  <c r="AV672" i="4"/>
  <c r="AM672" i="4"/>
  <c r="AD672" i="4"/>
  <c r="U672" i="4"/>
  <c r="BA671" i="4"/>
  <c r="AV671" i="4"/>
  <c r="AM671" i="4"/>
  <c r="AD671" i="4"/>
  <c r="U671" i="4"/>
  <c r="BA670" i="4"/>
  <c r="AV670" i="4"/>
  <c r="AM670" i="4"/>
  <c r="AD670" i="4"/>
  <c r="U670" i="4"/>
  <c r="BA669" i="4"/>
  <c r="AV669" i="4"/>
  <c r="AM669" i="4"/>
  <c r="AD669" i="4"/>
  <c r="U669" i="4"/>
  <c r="BA668" i="4"/>
  <c r="AV668" i="4"/>
  <c r="AM668" i="4"/>
  <c r="AD668" i="4"/>
  <c r="U668" i="4"/>
  <c r="BA667" i="4"/>
  <c r="AV667" i="4"/>
  <c r="AM667" i="4"/>
  <c r="AD667" i="4"/>
  <c r="U667" i="4"/>
  <c r="BA666" i="4"/>
  <c r="AV666" i="4"/>
  <c r="AM666" i="4"/>
  <c r="AD666" i="4"/>
  <c r="U666" i="4"/>
  <c r="BA665" i="4"/>
  <c r="AV665" i="4"/>
  <c r="AM665" i="4"/>
  <c r="AD665" i="4"/>
  <c r="U665" i="4"/>
  <c r="BA664" i="4"/>
  <c r="AV664" i="4"/>
  <c r="AM664" i="4"/>
  <c r="AD664" i="4"/>
  <c r="U664" i="4"/>
  <c r="BA663" i="4"/>
  <c r="AV663" i="4"/>
  <c r="AM663" i="4"/>
  <c r="AD663" i="4"/>
  <c r="U663" i="4"/>
  <c r="BA662" i="4"/>
  <c r="AV662" i="4"/>
  <c r="AM662" i="4"/>
  <c r="AD662" i="4"/>
  <c r="U662" i="4"/>
  <c r="BA661" i="4"/>
  <c r="AV661" i="4"/>
  <c r="AM661" i="4"/>
  <c r="AD661" i="4"/>
  <c r="U661" i="4"/>
  <c r="BA660" i="4"/>
  <c r="AV660" i="4"/>
  <c r="AM660" i="4"/>
  <c r="AD660" i="4"/>
  <c r="U660" i="4"/>
  <c r="BA659" i="4"/>
  <c r="AV659" i="4"/>
  <c r="AM659" i="4"/>
  <c r="AD659" i="4"/>
  <c r="U659" i="4"/>
  <c r="BA658" i="4"/>
  <c r="AV658" i="4"/>
  <c r="AM658" i="4"/>
  <c r="AD658" i="4"/>
  <c r="U658" i="4"/>
  <c r="BA657" i="4"/>
  <c r="AV657" i="4"/>
  <c r="AM657" i="4"/>
  <c r="AD657" i="4"/>
  <c r="U657" i="4"/>
  <c r="BA656" i="4"/>
  <c r="AV656" i="4"/>
  <c r="AM656" i="4"/>
  <c r="AD656" i="4"/>
  <c r="U656" i="4"/>
  <c r="BA655" i="4"/>
  <c r="AV655" i="4"/>
  <c r="AM655" i="4"/>
  <c r="AD655" i="4"/>
  <c r="U655" i="4"/>
  <c r="BA654" i="4"/>
  <c r="AV654" i="4"/>
  <c r="AM654" i="4"/>
  <c r="AD654" i="4"/>
  <c r="U654" i="4"/>
  <c r="BA653" i="4"/>
  <c r="AV653" i="4"/>
  <c r="AM653" i="4"/>
  <c r="AD653" i="4"/>
  <c r="U653" i="4"/>
  <c r="BA652" i="4"/>
  <c r="AV652" i="4"/>
  <c r="AM652" i="4"/>
  <c r="AD652" i="4"/>
  <c r="U652" i="4"/>
  <c r="BA651" i="4"/>
  <c r="AV651" i="4"/>
  <c r="AM651" i="4"/>
  <c r="AD651" i="4"/>
  <c r="U651" i="4"/>
  <c r="BA650" i="4"/>
  <c r="AV650" i="4"/>
  <c r="AM650" i="4"/>
  <c r="AD650" i="4"/>
  <c r="U650" i="4"/>
  <c r="BA649" i="4"/>
  <c r="AV649" i="4"/>
  <c r="AM649" i="4"/>
  <c r="AD649" i="4"/>
  <c r="U649" i="4"/>
  <c r="BA648" i="4"/>
  <c r="AV648" i="4"/>
  <c r="AM648" i="4"/>
  <c r="AD648" i="4"/>
  <c r="U648" i="4"/>
  <c r="BA647" i="4"/>
  <c r="AV647" i="4"/>
  <c r="AM647" i="4"/>
  <c r="AD647" i="4"/>
  <c r="U647" i="4"/>
  <c r="BA646" i="4"/>
  <c r="AV646" i="4"/>
  <c r="AM646" i="4"/>
  <c r="AD646" i="4"/>
  <c r="U646" i="4"/>
  <c r="BA645" i="4"/>
  <c r="AV645" i="4"/>
  <c r="AM645" i="4"/>
  <c r="AD645" i="4"/>
  <c r="U645" i="4"/>
  <c r="BA644" i="4"/>
  <c r="AV644" i="4"/>
  <c r="AM644" i="4"/>
  <c r="AD644" i="4"/>
  <c r="U644" i="4"/>
  <c r="BA643" i="4"/>
  <c r="AV643" i="4"/>
  <c r="AM643" i="4"/>
  <c r="AD643" i="4"/>
  <c r="U643" i="4"/>
  <c r="BA642" i="4"/>
  <c r="AV642" i="4"/>
  <c r="AM642" i="4"/>
  <c r="AD642" i="4"/>
  <c r="U642" i="4"/>
  <c r="BA641" i="4"/>
  <c r="AV641" i="4"/>
  <c r="AM641" i="4"/>
  <c r="AD641" i="4"/>
  <c r="U641" i="4"/>
  <c r="BA640" i="4"/>
  <c r="AV640" i="4"/>
  <c r="AM640" i="4"/>
  <c r="AD640" i="4"/>
  <c r="U640" i="4"/>
  <c r="BA639" i="4"/>
  <c r="AV639" i="4"/>
  <c r="AM639" i="4"/>
  <c r="AD639" i="4"/>
  <c r="U639" i="4"/>
  <c r="BA638" i="4"/>
  <c r="AV638" i="4"/>
  <c r="AM638" i="4"/>
  <c r="AD638" i="4"/>
  <c r="U638" i="4"/>
  <c r="BA637" i="4"/>
  <c r="AV637" i="4"/>
  <c r="AM637" i="4"/>
  <c r="AD637" i="4"/>
  <c r="U637" i="4"/>
  <c r="BA636" i="4"/>
  <c r="AV636" i="4"/>
  <c r="AM636" i="4"/>
  <c r="AD636" i="4"/>
  <c r="U636" i="4"/>
  <c r="BA635" i="4"/>
  <c r="AV635" i="4"/>
  <c r="AM635" i="4"/>
  <c r="AD635" i="4"/>
  <c r="U635" i="4"/>
  <c r="BA634" i="4"/>
  <c r="AV634" i="4"/>
  <c r="AM634" i="4"/>
  <c r="AD634" i="4"/>
  <c r="U634" i="4"/>
  <c r="BA633" i="4"/>
  <c r="AV633" i="4"/>
  <c r="AM633" i="4"/>
  <c r="AD633" i="4"/>
  <c r="U633" i="4"/>
  <c r="BA632" i="4"/>
  <c r="AV632" i="4"/>
  <c r="AM632" i="4"/>
  <c r="AD632" i="4"/>
  <c r="U632" i="4"/>
  <c r="BA631" i="4"/>
  <c r="AV631" i="4"/>
  <c r="AM631" i="4"/>
  <c r="AD631" i="4"/>
  <c r="U631" i="4"/>
  <c r="BA630" i="4"/>
  <c r="AV630" i="4"/>
  <c r="AM630" i="4"/>
  <c r="AD630" i="4"/>
  <c r="U630" i="4"/>
  <c r="BA629" i="4"/>
  <c r="AV629" i="4"/>
  <c r="AM629" i="4"/>
  <c r="AD629" i="4"/>
  <c r="U629" i="4"/>
  <c r="BA628" i="4"/>
  <c r="AV628" i="4"/>
  <c r="AM628" i="4"/>
  <c r="AD628" i="4"/>
  <c r="U628" i="4"/>
  <c r="BA627" i="4"/>
  <c r="AV627" i="4"/>
  <c r="AM627" i="4"/>
  <c r="AD627" i="4"/>
  <c r="U627" i="4"/>
  <c r="BA626" i="4"/>
  <c r="AV626" i="4"/>
  <c r="AM626" i="4"/>
  <c r="AD626" i="4"/>
  <c r="U626" i="4"/>
  <c r="BA625" i="4"/>
  <c r="AV625" i="4"/>
  <c r="AM625" i="4"/>
  <c r="AD625" i="4"/>
  <c r="U625" i="4"/>
  <c r="BA624" i="4"/>
  <c r="AV624" i="4"/>
  <c r="AM624" i="4"/>
  <c r="AD624" i="4"/>
  <c r="U624" i="4"/>
  <c r="BA623" i="4"/>
  <c r="AV623" i="4"/>
  <c r="AM623" i="4"/>
  <c r="AD623" i="4"/>
  <c r="U623" i="4"/>
  <c r="BA622" i="4"/>
  <c r="AV622" i="4"/>
  <c r="AM622" i="4"/>
  <c r="AD622" i="4"/>
  <c r="U622" i="4"/>
  <c r="BA621" i="4"/>
  <c r="AV621" i="4"/>
  <c r="AM621" i="4"/>
  <c r="AD621" i="4"/>
  <c r="U621" i="4"/>
  <c r="BA620" i="4"/>
  <c r="AV620" i="4"/>
  <c r="AM620" i="4"/>
  <c r="AD620" i="4"/>
  <c r="U620" i="4"/>
  <c r="BA619" i="4"/>
  <c r="AV619" i="4"/>
  <c r="AM619" i="4"/>
  <c r="AD619" i="4"/>
  <c r="U619" i="4"/>
  <c r="BA618" i="4"/>
  <c r="AV618" i="4"/>
  <c r="AM618" i="4"/>
  <c r="AD618" i="4"/>
  <c r="U618" i="4"/>
  <c r="BA617" i="4"/>
  <c r="AV617" i="4"/>
  <c r="AM617" i="4"/>
  <c r="AD617" i="4"/>
  <c r="U617" i="4"/>
  <c r="BA616" i="4"/>
  <c r="AV616" i="4"/>
  <c r="AM616" i="4"/>
  <c r="AD616" i="4"/>
  <c r="U616" i="4"/>
  <c r="BA615" i="4"/>
  <c r="AV615" i="4"/>
  <c r="AM615" i="4"/>
  <c r="AD615" i="4"/>
  <c r="U615" i="4"/>
  <c r="BA614" i="4"/>
  <c r="AV614" i="4"/>
  <c r="AM614" i="4"/>
  <c r="AD614" i="4"/>
  <c r="U614" i="4"/>
  <c r="BA613" i="4"/>
  <c r="AV613" i="4"/>
  <c r="AM613" i="4"/>
  <c r="AD613" i="4"/>
  <c r="U613" i="4"/>
  <c r="BA612" i="4"/>
  <c r="AV612" i="4"/>
  <c r="AM612" i="4"/>
  <c r="AD612" i="4"/>
  <c r="U612" i="4"/>
  <c r="BA611" i="4"/>
  <c r="AV611" i="4"/>
  <c r="AM611" i="4"/>
  <c r="AD611" i="4"/>
  <c r="U611" i="4"/>
  <c r="BA610" i="4"/>
  <c r="AV610" i="4"/>
  <c r="AM610" i="4"/>
  <c r="AD610" i="4"/>
  <c r="U610" i="4"/>
  <c r="BA609" i="4"/>
  <c r="AV609" i="4"/>
  <c r="AM609" i="4"/>
  <c r="AD609" i="4"/>
  <c r="U609" i="4"/>
  <c r="BA608" i="4"/>
  <c r="AV608" i="4"/>
  <c r="AM608" i="4"/>
  <c r="AD608" i="4"/>
  <c r="U608" i="4"/>
  <c r="BA607" i="4"/>
  <c r="AV607" i="4"/>
  <c r="AM607" i="4"/>
  <c r="AD607" i="4"/>
  <c r="U607" i="4"/>
  <c r="BA606" i="4"/>
  <c r="AV606" i="4"/>
  <c r="AM606" i="4"/>
  <c r="AD606" i="4"/>
  <c r="U606" i="4"/>
  <c r="BA605" i="4"/>
  <c r="AV605" i="4"/>
  <c r="AM605" i="4"/>
  <c r="AD605" i="4"/>
  <c r="U605" i="4"/>
  <c r="BA604" i="4"/>
  <c r="AV604" i="4"/>
  <c r="AM604" i="4"/>
  <c r="AD604" i="4"/>
  <c r="U604" i="4"/>
  <c r="BA603" i="4"/>
  <c r="AV603" i="4"/>
  <c r="AM603" i="4"/>
  <c r="AD603" i="4"/>
  <c r="U603" i="4"/>
  <c r="BA602" i="4"/>
  <c r="AV602" i="4"/>
  <c r="AM602" i="4"/>
  <c r="AD602" i="4"/>
  <c r="U602" i="4"/>
  <c r="BA601" i="4"/>
  <c r="AV601" i="4"/>
  <c r="AM601" i="4"/>
  <c r="AD601" i="4"/>
  <c r="U601" i="4"/>
  <c r="BA600" i="4"/>
  <c r="AV600" i="4"/>
  <c r="AM600" i="4"/>
  <c r="AD600" i="4"/>
  <c r="U600" i="4"/>
  <c r="BA599" i="4"/>
  <c r="AV599" i="4"/>
  <c r="AM599" i="4"/>
  <c r="AD599" i="4"/>
  <c r="U599" i="4"/>
  <c r="BA598" i="4"/>
  <c r="AV598" i="4"/>
  <c r="AM598" i="4"/>
  <c r="AD598" i="4"/>
  <c r="U598" i="4"/>
  <c r="BA597" i="4"/>
  <c r="AV597" i="4"/>
  <c r="AM597" i="4"/>
  <c r="AD597" i="4"/>
  <c r="U597" i="4"/>
  <c r="BA596" i="4"/>
  <c r="AV596" i="4"/>
  <c r="AM596" i="4"/>
  <c r="AD596" i="4"/>
  <c r="U596" i="4"/>
  <c r="BA595" i="4"/>
  <c r="AV595" i="4"/>
  <c r="AM595" i="4"/>
  <c r="AD595" i="4"/>
  <c r="U595" i="4"/>
  <c r="BA594" i="4"/>
  <c r="AV594" i="4"/>
  <c r="AM594" i="4"/>
  <c r="AD594" i="4"/>
  <c r="U594" i="4"/>
  <c r="BA593" i="4"/>
  <c r="AV593" i="4"/>
  <c r="AM593" i="4"/>
  <c r="AD593" i="4"/>
  <c r="U593" i="4"/>
  <c r="BA592" i="4"/>
  <c r="AV592" i="4"/>
  <c r="AM592" i="4"/>
  <c r="AD592" i="4"/>
  <c r="U592" i="4"/>
  <c r="BA591" i="4"/>
  <c r="AV591" i="4"/>
  <c r="AM591" i="4"/>
  <c r="AD591" i="4"/>
  <c r="U591" i="4"/>
  <c r="BA590" i="4"/>
  <c r="AV590" i="4"/>
  <c r="AM590" i="4"/>
  <c r="AD590" i="4"/>
  <c r="U590" i="4"/>
  <c r="BA589" i="4"/>
  <c r="AV589" i="4"/>
  <c r="AM589" i="4"/>
  <c r="AD589" i="4"/>
  <c r="U589" i="4"/>
  <c r="BA588" i="4"/>
  <c r="AV588" i="4"/>
  <c r="AM588" i="4"/>
  <c r="AD588" i="4"/>
  <c r="U588" i="4"/>
  <c r="BA587" i="4"/>
  <c r="AV587" i="4"/>
  <c r="AM587" i="4"/>
  <c r="AD587" i="4"/>
  <c r="U587" i="4"/>
  <c r="BA586" i="4"/>
  <c r="AV586" i="4"/>
  <c r="AM586" i="4"/>
  <c r="AD586" i="4"/>
  <c r="U586" i="4"/>
  <c r="BA585" i="4"/>
  <c r="AV585" i="4"/>
  <c r="AM585" i="4"/>
  <c r="AD585" i="4"/>
  <c r="U585" i="4"/>
  <c r="BA584" i="4"/>
  <c r="AV584" i="4"/>
  <c r="AM584" i="4"/>
  <c r="AD584" i="4"/>
  <c r="U584" i="4"/>
  <c r="BA583" i="4"/>
  <c r="AV583" i="4"/>
  <c r="AM583" i="4"/>
  <c r="AD583" i="4"/>
  <c r="U583" i="4"/>
  <c r="BA582" i="4"/>
  <c r="AV582" i="4"/>
  <c r="AM582" i="4"/>
  <c r="AD582" i="4"/>
  <c r="U582" i="4"/>
  <c r="BA581" i="4"/>
  <c r="AV581" i="4"/>
  <c r="AM581" i="4"/>
  <c r="AD581" i="4"/>
  <c r="U581" i="4"/>
  <c r="BA580" i="4"/>
  <c r="AV580" i="4"/>
  <c r="AM580" i="4"/>
  <c r="AD580" i="4"/>
  <c r="U580" i="4"/>
  <c r="BA579" i="4"/>
  <c r="AV579" i="4"/>
  <c r="AM579" i="4"/>
  <c r="AD579" i="4"/>
  <c r="U579" i="4"/>
  <c r="BA578" i="4"/>
  <c r="AV578" i="4"/>
  <c r="AM578" i="4"/>
  <c r="AD578" i="4"/>
  <c r="U578" i="4"/>
  <c r="BA577" i="4"/>
  <c r="AV577" i="4"/>
  <c r="AM577" i="4"/>
  <c r="AD577" i="4"/>
  <c r="U577" i="4"/>
  <c r="BA576" i="4"/>
  <c r="AV576" i="4"/>
  <c r="AM576" i="4"/>
  <c r="AD576" i="4"/>
  <c r="U576" i="4"/>
  <c r="BA575" i="4"/>
  <c r="AV575" i="4"/>
  <c r="AM575" i="4"/>
  <c r="AD575" i="4"/>
  <c r="U575" i="4"/>
  <c r="BA574" i="4"/>
  <c r="AV574" i="4"/>
  <c r="AM574" i="4"/>
  <c r="AD574" i="4"/>
  <c r="U574" i="4"/>
  <c r="BA573" i="4"/>
  <c r="AV573" i="4"/>
  <c r="AM573" i="4"/>
  <c r="AD573" i="4"/>
  <c r="U573" i="4"/>
  <c r="BA572" i="4"/>
  <c r="AV572" i="4"/>
  <c r="AM572" i="4"/>
  <c r="AD572" i="4"/>
  <c r="U572" i="4"/>
  <c r="BA571" i="4"/>
  <c r="AV571" i="4"/>
  <c r="AM571" i="4"/>
  <c r="AD571" i="4"/>
  <c r="U571" i="4"/>
  <c r="BA570" i="4"/>
  <c r="AV570" i="4"/>
  <c r="AM570" i="4"/>
  <c r="AD570" i="4"/>
  <c r="U570" i="4"/>
  <c r="BA569" i="4"/>
  <c r="AV569" i="4"/>
  <c r="AM569" i="4"/>
  <c r="AD569" i="4"/>
  <c r="U569" i="4"/>
  <c r="BA568" i="4"/>
  <c r="AV568" i="4"/>
  <c r="AM568" i="4"/>
  <c r="AD568" i="4"/>
  <c r="U568" i="4"/>
  <c r="BA567" i="4"/>
  <c r="AV567" i="4"/>
  <c r="AM567" i="4"/>
  <c r="AD567" i="4"/>
  <c r="U567" i="4"/>
  <c r="BA566" i="4"/>
  <c r="AV566" i="4"/>
  <c r="AM566" i="4"/>
  <c r="AD566" i="4"/>
  <c r="U566" i="4"/>
  <c r="BA565" i="4"/>
  <c r="AV565" i="4"/>
  <c r="AM565" i="4"/>
  <c r="AD565" i="4"/>
  <c r="U565" i="4"/>
  <c r="BA564" i="4"/>
  <c r="AV564" i="4"/>
  <c r="AM564" i="4"/>
  <c r="AD564" i="4"/>
  <c r="U564" i="4"/>
  <c r="BA563" i="4"/>
  <c r="AV563" i="4"/>
  <c r="AM563" i="4"/>
  <c r="AD563" i="4"/>
  <c r="U563" i="4"/>
  <c r="BA562" i="4"/>
  <c r="AV562" i="4"/>
  <c r="AM562" i="4"/>
  <c r="AD562" i="4"/>
  <c r="U562" i="4"/>
  <c r="BA561" i="4"/>
  <c r="AV561" i="4"/>
  <c r="AM561" i="4"/>
  <c r="AD561" i="4"/>
  <c r="U561" i="4"/>
  <c r="BA560" i="4"/>
  <c r="AV560" i="4"/>
  <c r="AM560" i="4"/>
  <c r="AD560" i="4"/>
  <c r="U560" i="4"/>
  <c r="BA559" i="4"/>
  <c r="AV559" i="4"/>
  <c r="AM559" i="4"/>
  <c r="AD559" i="4"/>
  <c r="U559" i="4"/>
  <c r="BA558" i="4"/>
  <c r="AV558" i="4"/>
  <c r="AM558" i="4"/>
  <c r="AD558" i="4"/>
  <c r="U558" i="4"/>
  <c r="BA557" i="4"/>
  <c r="AV557" i="4"/>
  <c r="AM557" i="4"/>
  <c r="AD557" i="4"/>
  <c r="U557" i="4"/>
  <c r="BA556" i="4"/>
  <c r="AV556" i="4"/>
  <c r="AM556" i="4"/>
  <c r="AD556" i="4"/>
  <c r="U556" i="4"/>
  <c r="BA555" i="4"/>
  <c r="AV555" i="4"/>
  <c r="AM555" i="4"/>
  <c r="AD555" i="4"/>
  <c r="U555" i="4"/>
  <c r="BA554" i="4"/>
  <c r="AV554" i="4"/>
  <c r="AM554" i="4"/>
  <c r="AD554" i="4"/>
  <c r="U554" i="4"/>
  <c r="BA553" i="4"/>
  <c r="AV553" i="4"/>
  <c r="AM553" i="4"/>
  <c r="AD553" i="4"/>
  <c r="U553" i="4"/>
  <c r="BA552" i="4"/>
  <c r="AV552" i="4"/>
  <c r="AM552" i="4"/>
  <c r="AD552" i="4"/>
  <c r="U552" i="4"/>
  <c r="BA551" i="4"/>
  <c r="AV551" i="4"/>
  <c r="AM551" i="4"/>
  <c r="AD551" i="4"/>
  <c r="U551" i="4"/>
  <c r="BA550" i="4"/>
  <c r="AV550" i="4"/>
  <c r="AM550" i="4"/>
  <c r="AD550" i="4"/>
  <c r="U550" i="4"/>
  <c r="BA549" i="4"/>
  <c r="AV549" i="4"/>
  <c r="AM549" i="4"/>
  <c r="AD549" i="4"/>
  <c r="U549" i="4"/>
  <c r="BA548" i="4"/>
  <c r="AV548" i="4"/>
  <c r="AM548" i="4"/>
  <c r="AD548" i="4"/>
  <c r="U548" i="4"/>
  <c r="BA547" i="4"/>
  <c r="AV547" i="4"/>
  <c r="AM547" i="4"/>
  <c r="AD547" i="4"/>
  <c r="U547" i="4"/>
  <c r="BA546" i="4"/>
  <c r="AV546" i="4"/>
  <c r="AM546" i="4"/>
  <c r="AD546" i="4"/>
  <c r="U546" i="4"/>
  <c r="BA545" i="4"/>
  <c r="AV545" i="4"/>
  <c r="AM545" i="4"/>
  <c r="AD545" i="4"/>
  <c r="U545" i="4"/>
  <c r="BA544" i="4"/>
  <c r="AV544" i="4"/>
  <c r="AM544" i="4"/>
  <c r="AD544" i="4"/>
  <c r="U544" i="4"/>
  <c r="BA543" i="4"/>
  <c r="AV543" i="4"/>
  <c r="AM543" i="4"/>
  <c r="AD543" i="4"/>
  <c r="U543" i="4"/>
  <c r="BA542" i="4"/>
  <c r="AV542" i="4"/>
  <c r="AM542" i="4"/>
  <c r="AD542" i="4"/>
  <c r="U542" i="4"/>
  <c r="BA541" i="4"/>
  <c r="AV541" i="4"/>
  <c r="AM541" i="4"/>
  <c r="AD541" i="4"/>
  <c r="U541" i="4"/>
  <c r="BA540" i="4"/>
  <c r="AV540" i="4"/>
  <c r="AM540" i="4"/>
  <c r="AD540" i="4"/>
  <c r="U540" i="4"/>
  <c r="BA539" i="4"/>
  <c r="AV539" i="4"/>
  <c r="AM539" i="4"/>
  <c r="AD539" i="4"/>
  <c r="U539" i="4"/>
  <c r="BA538" i="4"/>
  <c r="AV538" i="4"/>
  <c r="AM538" i="4"/>
  <c r="AD538" i="4"/>
  <c r="U538" i="4"/>
  <c r="BA537" i="4"/>
  <c r="AV537" i="4"/>
  <c r="AM537" i="4"/>
  <c r="AD537" i="4"/>
  <c r="U537" i="4"/>
  <c r="BA536" i="4"/>
  <c r="AV536" i="4"/>
  <c r="AM536" i="4"/>
  <c r="AD536" i="4"/>
  <c r="U536" i="4"/>
  <c r="BA535" i="4"/>
  <c r="AV535" i="4"/>
  <c r="AM535" i="4"/>
  <c r="AD535" i="4"/>
  <c r="U535" i="4"/>
  <c r="BA534" i="4"/>
  <c r="AV534" i="4"/>
  <c r="AM534" i="4"/>
  <c r="AD534" i="4"/>
  <c r="U534" i="4"/>
  <c r="BA533" i="4"/>
  <c r="AV533" i="4"/>
  <c r="AM533" i="4"/>
  <c r="AD533" i="4"/>
  <c r="U533" i="4"/>
  <c r="BA532" i="4"/>
  <c r="AV532" i="4"/>
  <c r="AM532" i="4"/>
  <c r="AD532" i="4"/>
  <c r="U532" i="4"/>
  <c r="BA531" i="4"/>
  <c r="AV531" i="4"/>
  <c r="AM531" i="4"/>
  <c r="AD531" i="4"/>
  <c r="U531" i="4"/>
  <c r="BA530" i="4"/>
  <c r="AV530" i="4"/>
  <c r="AM530" i="4"/>
  <c r="AD530" i="4"/>
  <c r="U530" i="4"/>
  <c r="BA529" i="4"/>
  <c r="AV529" i="4"/>
  <c r="AM529" i="4"/>
  <c r="AD529" i="4"/>
  <c r="U529" i="4"/>
  <c r="BA528" i="4"/>
  <c r="AV528" i="4"/>
  <c r="AM528" i="4"/>
  <c r="AD528" i="4"/>
  <c r="U528" i="4"/>
  <c r="BA527" i="4"/>
  <c r="AV527" i="4"/>
  <c r="AM527" i="4"/>
  <c r="AD527" i="4"/>
  <c r="U527" i="4"/>
  <c r="BA526" i="4"/>
  <c r="AV526" i="4"/>
  <c r="AM526" i="4"/>
  <c r="AD526" i="4"/>
  <c r="U526" i="4"/>
  <c r="BA525" i="4"/>
  <c r="AV525" i="4"/>
  <c r="AM525" i="4"/>
  <c r="AD525" i="4"/>
  <c r="U525" i="4"/>
  <c r="BA524" i="4"/>
  <c r="AV524" i="4"/>
  <c r="AM524" i="4"/>
  <c r="AD524" i="4"/>
  <c r="U524" i="4"/>
  <c r="BA523" i="4"/>
  <c r="AV523" i="4"/>
  <c r="AM523" i="4"/>
  <c r="AD523" i="4"/>
  <c r="U523" i="4"/>
  <c r="BA522" i="4"/>
  <c r="AV522" i="4"/>
  <c r="AM522" i="4"/>
  <c r="AD522" i="4"/>
  <c r="U522" i="4"/>
  <c r="BA521" i="4"/>
  <c r="AV521" i="4"/>
  <c r="AM521" i="4"/>
  <c r="AD521" i="4"/>
  <c r="U521" i="4"/>
  <c r="BA520" i="4"/>
  <c r="AV520" i="4"/>
  <c r="AM520" i="4"/>
  <c r="AD520" i="4"/>
  <c r="U520" i="4"/>
  <c r="BA519" i="4"/>
  <c r="AV519" i="4"/>
  <c r="AM519" i="4"/>
  <c r="AD519" i="4"/>
  <c r="U519" i="4"/>
  <c r="BA518" i="4"/>
  <c r="AV518" i="4"/>
  <c r="AM518" i="4"/>
  <c r="AD518" i="4"/>
  <c r="U518" i="4"/>
  <c r="BA517" i="4"/>
  <c r="AV517" i="4"/>
  <c r="AM517" i="4"/>
  <c r="AD517" i="4"/>
  <c r="U517" i="4"/>
  <c r="BA516" i="4"/>
  <c r="AV516" i="4"/>
  <c r="AM516" i="4"/>
  <c r="AD516" i="4"/>
  <c r="U516" i="4"/>
  <c r="BA515" i="4"/>
  <c r="AV515" i="4"/>
  <c r="AM515" i="4"/>
  <c r="AD515" i="4"/>
  <c r="U515" i="4"/>
  <c r="BA514" i="4"/>
  <c r="AV514" i="4"/>
  <c r="AM514" i="4"/>
  <c r="AD514" i="4"/>
  <c r="U514" i="4"/>
  <c r="BA513" i="4"/>
  <c r="AV513" i="4"/>
  <c r="AM513" i="4"/>
  <c r="AD513" i="4"/>
  <c r="U513" i="4"/>
  <c r="BA512" i="4"/>
  <c r="AV512" i="4"/>
  <c r="AM512" i="4"/>
  <c r="AD512" i="4"/>
  <c r="U512" i="4"/>
  <c r="BA511" i="4"/>
  <c r="AV511" i="4"/>
  <c r="AM511" i="4"/>
  <c r="AD511" i="4"/>
  <c r="U511" i="4"/>
  <c r="BA510" i="4"/>
  <c r="AV510" i="4"/>
  <c r="AM510" i="4"/>
  <c r="AD510" i="4"/>
  <c r="U510" i="4"/>
  <c r="BA509" i="4"/>
  <c r="AV509" i="4"/>
  <c r="AM509" i="4"/>
  <c r="AD509" i="4"/>
  <c r="U509" i="4"/>
  <c r="BA508" i="4"/>
  <c r="AV508" i="4"/>
  <c r="AM508" i="4"/>
  <c r="AD508" i="4"/>
  <c r="U508" i="4"/>
  <c r="BA507" i="4"/>
  <c r="AV507" i="4"/>
  <c r="AM507" i="4"/>
  <c r="AD507" i="4"/>
  <c r="U507" i="4"/>
  <c r="BA506" i="4"/>
  <c r="AV506" i="4"/>
  <c r="AM506" i="4"/>
  <c r="AD506" i="4"/>
  <c r="U506" i="4"/>
  <c r="BA505" i="4"/>
  <c r="AV505" i="4"/>
  <c r="AM505" i="4"/>
  <c r="AD505" i="4"/>
  <c r="U505" i="4"/>
  <c r="BA504" i="4"/>
  <c r="AV504" i="4"/>
  <c r="AM504" i="4"/>
  <c r="AD504" i="4"/>
  <c r="U504" i="4"/>
  <c r="BA503" i="4"/>
  <c r="AV503" i="4"/>
  <c r="AM503" i="4"/>
  <c r="AD503" i="4"/>
  <c r="U503" i="4"/>
  <c r="BA502" i="4"/>
  <c r="AV502" i="4"/>
  <c r="AM502" i="4"/>
  <c r="AD502" i="4"/>
  <c r="U502" i="4"/>
  <c r="BA501" i="4"/>
  <c r="AV501" i="4"/>
  <c r="AM501" i="4"/>
  <c r="AD501" i="4"/>
  <c r="U501" i="4"/>
  <c r="BA500" i="4"/>
  <c r="AV500" i="4"/>
  <c r="AM500" i="4"/>
  <c r="AD500" i="4"/>
  <c r="U500" i="4"/>
  <c r="BA499" i="4"/>
  <c r="AV499" i="4"/>
  <c r="AM499" i="4"/>
  <c r="AD499" i="4"/>
  <c r="U499" i="4"/>
  <c r="BA498" i="4"/>
  <c r="AV498" i="4"/>
  <c r="AM498" i="4"/>
  <c r="AD498" i="4"/>
  <c r="U498" i="4"/>
  <c r="BA497" i="4"/>
  <c r="AV497" i="4"/>
  <c r="AM497" i="4"/>
  <c r="AD497" i="4"/>
  <c r="U497" i="4"/>
  <c r="BA496" i="4"/>
  <c r="AV496" i="4"/>
  <c r="AM496" i="4"/>
  <c r="AD496" i="4"/>
  <c r="U496" i="4"/>
  <c r="BA495" i="4"/>
  <c r="AV495" i="4"/>
  <c r="AM495" i="4"/>
  <c r="AD495" i="4"/>
  <c r="U495" i="4"/>
  <c r="BA494" i="4"/>
  <c r="AV494" i="4"/>
  <c r="AM494" i="4"/>
  <c r="AD494" i="4"/>
  <c r="U494" i="4"/>
  <c r="BA493" i="4"/>
  <c r="AV493" i="4"/>
  <c r="AM493" i="4"/>
  <c r="AD493" i="4"/>
  <c r="U493" i="4"/>
  <c r="BA492" i="4"/>
  <c r="AV492" i="4"/>
  <c r="AM492" i="4"/>
  <c r="AD492" i="4"/>
  <c r="U492" i="4"/>
  <c r="BA491" i="4"/>
  <c r="AV491" i="4"/>
  <c r="AM491" i="4"/>
  <c r="AD491" i="4"/>
  <c r="U491" i="4"/>
  <c r="BA490" i="4"/>
  <c r="AV490" i="4"/>
  <c r="AM490" i="4"/>
  <c r="AD490" i="4"/>
  <c r="U490" i="4"/>
  <c r="BA489" i="4"/>
  <c r="AV489" i="4"/>
  <c r="AM489" i="4"/>
  <c r="AD489" i="4"/>
  <c r="U489" i="4"/>
  <c r="BA488" i="4"/>
  <c r="AV488" i="4"/>
  <c r="AM488" i="4"/>
  <c r="AD488" i="4"/>
  <c r="U488" i="4"/>
  <c r="BA487" i="4"/>
  <c r="AV487" i="4"/>
  <c r="AM487" i="4"/>
  <c r="AD487" i="4"/>
  <c r="U487" i="4"/>
  <c r="BA486" i="4"/>
  <c r="AV486" i="4"/>
  <c r="AM486" i="4"/>
  <c r="AD486" i="4"/>
  <c r="U486" i="4"/>
  <c r="BA485" i="4"/>
  <c r="AV485" i="4"/>
  <c r="AM485" i="4"/>
  <c r="AD485" i="4"/>
  <c r="U485" i="4"/>
  <c r="BA484" i="4"/>
  <c r="AV484" i="4"/>
  <c r="AM484" i="4"/>
  <c r="AD484" i="4"/>
  <c r="U484" i="4"/>
  <c r="BA483" i="4"/>
  <c r="AV483" i="4"/>
  <c r="AM483" i="4"/>
  <c r="AD483" i="4"/>
  <c r="U483" i="4"/>
  <c r="BA482" i="4"/>
  <c r="AV482" i="4"/>
  <c r="AM482" i="4"/>
  <c r="AD482" i="4"/>
  <c r="U482" i="4"/>
  <c r="BA481" i="4"/>
  <c r="AV481" i="4"/>
  <c r="AM481" i="4"/>
  <c r="AD481" i="4"/>
  <c r="U481" i="4"/>
  <c r="BA480" i="4"/>
  <c r="AV480" i="4"/>
  <c r="AM480" i="4"/>
  <c r="AD480" i="4"/>
  <c r="U480" i="4"/>
  <c r="BA479" i="4"/>
  <c r="AV479" i="4"/>
  <c r="AM479" i="4"/>
  <c r="AD479" i="4"/>
  <c r="U479" i="4"/>
  <c r="BA478" i="4"/>
  <c r="AV478" i="4"/>
  <c r="AM478" i="4"/>
  <c r="AD478" i="4"/>
  <c r="U478" i="4"/>
  <c r="BA477" i="4"/>
  <c r="AV477" i="4"/>
  <c r="AM477" i="4"/>
  <c r="AD477" i="4"/>
  <c r="U477" i="4"/>
  <c r="BA476" i="4"/>
  <c r="AV476" i="4"/>
  <c r="AM476" i="4"/>
  <c r="AD476" i="4"/>
  <c r="U476" i="4"/>
  <c r="BA475" i="4"/>
  <c r="AV475" i="4"/>
  <c r="AM475" i="4"/>
  <c r="AD475" i="4"/>
  <c r="U475" i="4"/>
  <c r="BA474" i="4"/>
  <c r="AV474" i="4"/>
  <c r="AM474" i="4"/>
  <c r="AD474" i="4"/>
  <c r="U474" i="4"/>
  <c r="BA473" i="4"/>
  <c r="AV473" i="4"/>
  <c r="AM473" i="4"/>
  <c r="AD473" i="4"/>
  <c r="U473" i="4"/>
  <c r="BA472" i="4"/>
  <c r="AV472" i="4"/>
  <c r="AM472" i="4"/>
  <c r="AD472" i="4"/>
  <c r="U472" i="4"/>
  <c r="BA471" i="4"/>
  <c r="AV471" i="4"/>
  <c r="AM471" i="4"/>
  <c r="AD471" i="4"/>
  <c r="U471" i="4"/>
  <c r="BA470" i="4"/>
  <c r="AV470" i="4"/>
  <c r="AM470" i="4"/>
  <c r="AD470" i="4"/>
  <c r="U470" i="4"/>
  <c r="BA469" i="4"/>
  <c r="AV469" i="4"/>
  <c r="AM469" i="4"/>
  <c r="AD469" i="4"/>
  <c r="U469" i="4"/>
  <c r="BA468" i="4"/>
  <c r="AV468" i="4"/>
  <c r="AM468" i="4"/>
  <c r="AD468" i="4"/>
  <c r="U468" i="4"/>
  <c r="BA467" i="4"/>
  <c r="AV467" i="4"/>
  <c r="AM467" i="4"/>
  <c r="AD467" i="4"/>
  <c r="U467" i="4"/>
  <c r="BA466" i="4"/>
  <c r="AV466" i="4"/>
  <c r="AM466" i="4"/>
  <c r="AD466" i="4"/>
  <c r="U466" i="4"/>
  <c r="BA465" i="4"/>
  <c r="AV465" i="4"/>
  <c r="AM465" i="4"/>
  <c r="AD465" i="4"/>
  <c r="U465" i="4"/>
  <c r="BA464" i="4"/>
  <c r="AV464" i="4"/>
  <c r="AM464" i="4"/>
  <c r="AD464" i="4"/>
  <c r="U464" i="4"/>
  <c r="BA463" i="4"/>
  <c r="AV463" i="4"/>
  <c r="AM463" i="4"/>
  <c r="AD463" i="4"/>
  <c r="U463" i="4"/>
  <c r="BA462" i="4"/>
  <c r="AV462" i="4"/>
  <c r="AM462" i="4"/>
  <c r="AD462" i="4"/>
  <c r="U462" i="4"/>
  <c r="BA461" i="4"/>
  <c r="AV461" i="4"/>
  <c r="AM461" i="4"/>
  <c r="AD461" i="4"/>
  <c r="U461" i="4"/>
  <c r="BA460" i="4"/>
  <c r="AV460" i="4"/>
  <c r="AM460" i="4"/>
  <c r="AD460" i="4"/>
  <c r="U460" i="4"/>
  <c r="BA459" i="4"/>
  <c r="AV459" i="4"/>
  <c r="AM459" i="4"/>
  <c r="AD459" i="4"/>
  <c r="U459" i="4"/>
  <c r="BA458" i="4"/>
  <c r="AV458" i="4"/>
  <c r="AM458" i="4"/>
  <c r="AD458" i="4"/>
  <c r="U458" i="4"/>
  <c r="BA457" i="4"/>
  <c r="AV457" i="4"/>
  <c r="AM457" i="4"/>
  <c r="AD457" i="4"/>
  <c r="U457" i="4"/>
  <c r="BA456" i="4"/>
  <c r="AV456" i="4"/>
  <c r="AM456" i="4"/>
  <c r="AD456" i="4"/>
  <c r="U456" i="4"/>
  <c r="BA455" i="4"/>
  <c r="AV455" i="4"/>
  <c r="AM455" i="4"/>
  <c r="AD455" i="4"/>
  <c r="U455" i="4"/>
  <c r="BA454" i="4"/>
  <c r="AV454" i="4"/>
  <c r="AM454" i="4"/>
  <c r="AD454" i="4"/>
  <c r="U454" i="4"/>
  <c r="BA453" i="4"/>
  <c r="AV453" i="4"/>
  <c r="AM453" i="4"/>
  <c r="AD453" i="4"/>
  <c r="U453" i="4"/>
  <c r="BA452" i="4"/>
  <c r="AV452" i="4"/>
  <c r="AM452" i="4"/>
  <c r="AD452" i="4"/>
  <c r="U452" i="4"/>
  <c r="BA451" i="4"/>
  <c r="AV451" i="4"/>
  <c r="AM451" i="4"/>
  <c r="AD451" i="4"/>
  <c r="U451" i="4"/>
  <c r="BA450" i="4"/>
  <c r="AV450" i="4"/>
  <c r="AM450" i="4"/>
  <c r="AD450" i="4"/>
  <c r="U450" i="4"/>
  <c r="BA449" i="4"/>
  <c r="AV449" i="4"/>
  <c r="AM449" i="4"/>
  <c r="AD449" i="4"/>
  <c r="U449" i="4"/>
  <c r="BA448" i="4"/>
  <c r="AV448" i="4"/>
  <c r="AM448" i="4"/>
  <c r="AD448" i="4"/>
  <c r="U448" i="4"/>
  <c r="BA447" i="4"/>
  <c r="AV447" i="4"/>
  <c r="AM447" i="4"/>
  <c r="AD447" i="4"/>
  <c r="U447" i="4"/>
  <c r="BA446" i="4"/>
  <c r="AV446" i="4"/>
  <c r="AM446" i="4"/>
  <c r="AD446" i="4"/>
  <c r="U446" i="4"/>
  <c r="BA445" i="4"/>
  <c r="AV445" i="4"/>
  <c r="AM445" i="4"/>
  <c r="AD445" i="4"/>
  <c r="U445" i="4"/>
  <c r="BA444" i="4"/>
  <c r="AV444" i="4"/>
  <c r="AM444" i="4"/>
  <c r="AD444" i="4"/>
  <c r="U444" i="4"/>
  <c r="BA443" i="4"/>
  <c r="AV443" i="4"/>
  <c r="AM443" i="4"/>
  <c r="AD443" i="4"/>
  <c r="U443" i="4"/>
  <c r="BA442" i="4"/>
  <c r="AV442" i="4"/>
  <c r="AM442" i="4"/>
  <c r="AD442" i="4"/>
  <c r="U442" i="4"/>
  <c r="BA441" i="4"/>
  <c r="AV441" i="4"/>
  <c r="AM441" i="4"/>
  <c r="AD441" i="4"/>
  <c r="U441" i="4"/>
  <c r="BA440" i="4"/>
  <c r="AV440" i="4"/>
  <c r="AM440" i="4"/>
  <c r="AD440" i="4"/>
  <c r="U440" i="4"/>
  <c r="BA439" i="4"/>
  <c r="AV439" i="4"/>
  <c r="AM439" i="4"/>
  <c r="AD439" i="4"/>
  <c r="U439" i="4"/>
  <c r="BA438" i="4"/>
  <c r="AV438" i="4"/>
  <c r="AM438" i="4"/>
  <c r="AD438" i="4"/>
  <c r="U438" i="4"/>
  <c r="BA437" i="4"/>
  <c r="AV437" i="4"/>
  <c r="AM437" i="4"/>
  <c r="AD437" i="4"/>
  <c r="U437" i="4"/>
  <c r="BA436" i="4"/>
  <c r="AV436" i="4"/>
  <c r="AM436" i="4"/>
  <c r="AD436" i="4"/>
  <c r="U436" i="4"/>
  <c r="BA435" i="4"/>
  <c r="AV435" i="4"/>
  <c r="AM435" i="4"/>
  <c r="AD435" i="4"/>
  <c r="U435" i="4"/>
  <c r="BA434" i="4"/>
  <c r="AV434" i="4"/>
  <c r="AM434" i="4"/>
  <c r="AD434" i="4"/>
  <c r="U434" i="4"/>
  <c r="BA433" i="4"/>
  <c r="AV433" i="4"/>
  <c r="AM433" i="4"/>
  <c r="AD433" i="4"/>
  <c r="U433" i="4"/>
  <c r="BA432" i="4"/>
  <c r="AV432" i="4"/>
  <c r="AM432" i="4"/>
  <c r="AD432" i="4"/>
  <c r="U432" i="4"/>
  <c r="BA431" i="4"/>
  <c r="AV431" i="4"/>
  <c r="AM431" i="4"/>
  <c r="AD431" i="4"/>
  <c r="U431" i="4"/>
  <c r="BA430" i="4"/>
  <c r="AV430" i="4"/>
  <c r="AM430" i="4"/>
  <c r="AD430" i="4"/>
  <c r="U430" i="4"/>
  <c r="BA429" i="4"/>
  <c r="AV429" i="4"/>
  <c r="AM429" i="4"/>
  <c r="AD429" i="4"/>
  <c r="U429" i="4"/>
  <c r="BA428" i="4"/>
  <c r="AV428" i="4"/>
  <c r="AM428" i="4"/>
  <c r="AD428" i="4"/>
  <c r="U428" i="4"/>
  <c r="BA427" i="4"/>
  <c r="AV427" i="4"/>
  <c r="AM427" i="4"/>
  <c r="AD427" i="4"/>
  <c r="U427" i="4"/>
  <c r="BA426" i="4"/>
  <c r="AV426" i="4"/>
  <c r="AM426" i="4"/>
  <c r="AD426" i="4"/>
  <c r="U426" i="4"/>
  <c r="BA425" i="4"/>
  <c r="AV425" i="4"/>
  <c r="AM425" i="4"/>
  <c r="AD425" i="4"/>
  <c r="U425" i="4"/>
  <c r="BA424" i="4"/>
  <c r="AV424" i="4"/>
  <c r="AM424" i="4"/>
  <c r="AD424" i="4"/>
  <c r="U424" i="4"/>
  <c r="BA423" i="4"/>
  <c r="AV423" i="4"/>
  <c r="AM423" i="4"/>
  <c r="AD423" i="4"/>
  <c r="U423" i="4"/>
  <c r="BA422" i="4"/>
  <c r="AV422" i="4"/>
  <c r="AM422" i="4"/>
  <c r="AD422" i="4"/>
  <c r="U422" i="4"/>
  <c r="BA421" i="4"/>
  <c r="AV421" i="4"/>
  <c r="AM421" i="4"/>
  <c r="AD421" i="4"/>
  <c r="U421" i="4"/>
  <c r="BA420" i="4"/>
  <c r="AV420" i="4"/>
  <c r="AM420" i="4"/>
  <c r="AD420" i="4"/>
  <c r="U420" i="4"/>
  <c r="BA419" i="4"/>
  <c r="AV419" i="4"/>
  <c r="AM419" i="4"/>
  <c r="AD419" i="4"/>
  <c r="U419" i="4"/>
  <c r="BA418" i="4"/>
  <c r="AV418" i="4"/>
  <c r="AM418" i="4"/>
  <c r="AD418" i="4"/>
  <c r="U418" i="4"/>
  <c r="BA417" i="4"/>
  <c r="AV417" i="4"/>
  <c r="AM417" i="4"/>
  <c r="AD417" i="4"/>
  <c r="U417" i="4"/>
  <c r="BA416" i="4"/>
  <c r="AV416" i="4"/>
  <c r="AM416" i="4"/>
  <c r="AD416" i="4"/>
  <c r="U416" i="4"/>
  <c r="BA415" i="4"/>
  <c r="AV415" i="4"/>
  <c r="AM415" i="4"/>
  <c r="AD415" i="4"/>
  <c r="U415" i="4"/>
  <c r="BA414" i="4"/>
  <c r="AV414" i="4"/>
  <c r="AM414" i="4"/>
  <c r="AD414" i="4"/>
  <c r="U414" i="4"/>
  <c r="BA413" i="4"/>
  <c r="AV413" i="4"/>
  <c r="AM413" i="4"/>
  <c r="AD413" i="4"/>
  <c r="U413" i="4"/>
  <c r="BA412" i="4"/>
  <c r="AV412" i="4"/>
  <c r="AM412" i="4"/>
  <c r="AD412" i="4"/>
  <c r="U412" i="4"/>
  <c r="BA411" i="4"/>
  <c r="AV411" i="4"/>
  <c r="AM411" i="4"/>
  <c r="AD411" i="4"/>
  <c r="U411" i="4"/>
  <c r="BA410" i="4"/>
  <c r="AV410" i="4"/>
  <c r="AM410" i="4"/>
  <c r="AD410" i="4"/>
  <c r="U410" i="4"/>
  <c r="BA409" i="4"/>
  <c r="AV409" i="4"/>
  <c r="AM409" i="4"/>
  <c r="AD409" i="4"/>
  <c r="U409" i="4"/>
  <c r="BA408" i="4"/>
  <c r="AV408" i="4"/>
  <c r="AM408" i="4"/>
  <c r="AD408" i="4"/>
  <c r="U408" i="4"/>
  <c r="BA407" i="4"/>
  <c r="AV407" i="4"/>
  <c r="AM407" i="4"/>
  <c r="AD407" i="4"/>
  <c r="U407" i="4"/>
  <c r="BA406" i="4"/>
  <c r="AV406" i="4"/>
  <c r="AM406" i="4"/>
  <c r="AD406" i="4"/>
  <c r="U406" i="4"/>
  <c r="BA405" i="4"/>
  <c r="AV405" i="4"/>
  <c r="AM405" i="4"/>
  <c r="AD405" i="4"/>
  <c r="U405" i="4"/>
  <c r="BA404" i="4"/>
  <c r="AV404" i="4"/>
  <c r="AM404" i="4"/>
  <c r="AD404" i="4"/>
  <c r="U404" i="4"/>
  <c r="BA403" i="4"/>
  <c r="AV403" i="4"/>
  <c r="AM403" i="4"/>
  <c r="AD403" i="4"/>
  <c r="U403" i="4"/>
  <c r="BA402" i="4"/>
  <c r="AV402" i="4"/>
  <c r="AM402" i="4"/>
  <c r="AD402" i="4"/>
  <c r="U402" i="4"/>
  <c r="BA401" i="4"/>
  <c r="AV401" i="4"/>
  <c r="AM401" i="4"/>
  <c r="AD401" i="4"/>
  <c r="U401" i="4"/>
  <c r="BA400" i="4"/>
  <c r="AV400" i="4"/>
  <c r="AM400" i="4"/>
  <c r="AD400" i="4"/>
  <c r="U400" i="4"/>
  <c r="BA399" i="4"/>
  <c r="AV399" i="4"/>
  <c r="AM399" i="4"/>
  <c r="AD399" i="4"/>
  <c r="U399" i="4"/>
  <c r="BA398" i="4"/>
  <c r="AV398" i="4"/>
  <c r="AM398" i="4"/>
  <c r="AD398" i="4"/>
  <c r="U398" i="4"/>
  <c r="BA397" i="4"/>
  <c r="AV397" i="4"/>
  <c r="AM397" i="4"/>
  <c r="AD397" i="4"/>
  <c r="U397" i="4"/>
  <c r="BA396" i="4"/>
  <c r="AV396" i="4"/>
  <c r="AM396" i="4"/>
  <c r="AD396" i="4"/>
  <c r="U396" i="4"/>
  <c r="BA395" i="4"/>
  <c r="AV395" i="4"/>
  <c r="AM395" i="4"/>
  <c r="AD395" i="4"/>
  <c r="U395" i="4"/>
  <c r="BA394" i="4"/>
  <c r="AV394" i="4"/>
  <c r="AM394" i="4"/>
  <c r="AD394" i="4"/>
  <c r="U394" i="4"/>
  <c r="BA393" i="4"/>
  <c r="AV393" i="4"/>
  <c r="AM393" i="4"/>
  <c r="AD393" i="4"/>
  <c r="U393" i="4"/>
  <c r="BA392" i="4"/>
  <c r="AV392" i="4"/>
  <c r="AM392" i="4"/>
  <c r="AD392" i="4"/>
  <c r="U392" i="4"/>
  <c r="BA391" i="4"/>
  <c r="AV391" i="4"/>
  <c r="AM391" i="4"/>
  <c r="AD391" i="4"/>
  <c r="U391" i="4"/>
  <c r="BA390" i="4"/>
  <c r="AV390" i="4"/>
  <c r="AM390" i="4"/>
  <c r="AD390" i="4"/>
  <c r="U390" i="4"/>
  <c r="BA389" i="4"/>
  <c r="AV389" i="4"/>
  <c r="AM389" i="4"/>
  <c r="AD389" i="4"/>
  <c r="U389" i="4"/>
  <c r="BA388" i="4"/>
  <c r="AV388" i="4"/>
  <c r="AM388" i="4"/>
  <c r="AD388" i="4"/>
  <c r="U388" i="4"/>
  <c r="BA387" i="4"/>
  <c r="AV387" i="4"/>
  <c r="AM387" i="4"/>
  <c r="AD387" i="4"/>
  <c r="U387" i="4"/>
  <c r="BA386" i="4"/>
  <c r="AV386" i="4"/>
  <c r="AM386" i="4"/>
  <c r="AD386" i="4"/>
  <c r="U386" i="4"/>
  <c r="BA385" i="4"/>
  <c r="AV385" i="4"/>
  <c r="AM385" i="4"/>
  <c r="AD385" i="4"/>
  <c r="U385" i="4"/>
  <c r="BA384" i="4"/>
  <c r="AV384" i="4"/>
  <c r="AM384" i="4"/>
  <c r="AD384" i="4"/>
  <c r="U384" i="4"/>
  <c r="BA383" i="4"/>
  <c r="AV383" i="4"/>
  <c r="AM383" i="4"/>
  <c r="AD383" i="4"/>
  <c r="U383" i="4"/>
  <c r="BA382" i="4"/>
  <c r="AV382" i="4"/>
  <c r="AM382" i="4"/>
  <c r="AD382" i="4"/>
  <c r="U382" i="4"/>
  <c r="BA381" i="4"/>
  <c r="AV381" i="4"/>
  <c r="AM381" i="4"/>
  <c r="AD381" i="4"/>
  <c r="U381" i="4"/>
  <c r="BA380" i="4"/>
  <c r="AV380" i="4"/>
  <c r="AM380" i="4"/>
  <c r="AD380" i="4"/>
  <c r="U380" i="4"/>
  <c r="BA379" i="4"/>
  <c r="AV379" i="4"/>
  <c r="AM379" i="4"/>
  <c r="AD379" i="4"/>
  <c r="U379" i="4"/>
  <c r="BA378" i="4"/>
  <c r="AV378" i="4"/>
  <c r="AM378" i="4"/>
  <c r="AD378" i="4"/>
  <c r="U378" i="4"/>
  <c r="BA377" i="4"/>
  <c r="AV377" i="4"/>
  <c r="AM377" i="4"/>
  <c r="AD377" i="4"/>
  <c r="U377" i="4"/>
  <c r="BA376" i="4"/>
  <c r="AV376" i="4"/>
  <c r="AM376" i="4"/>
  <c r="AD376" i="4"/>
  <c r="U376" i="4"/>
  <c r="BA375" i="4"/>
  <c r="AV375" i="4"/>
  <c r="AM375" i="4"/>
  <c r="AD375" i="4"/>
  <c r="U375" i="4"/>
  <c r="BA374" i="4"/>
  <c r="AV374" i="4"/>
  <c r="AM374" i="4"/>
  <c r="AD374" i="4"/>
  <c r="U374" i="4"/>
  <c r="BA373" i="4"/>
  <c r="AV373" i="4"/>
  <c r="AM373" i="4"/>
  <c r="AD373" i="4"/>
  <c r="U373" i="4"/>
  <c r="BA372" i="4"/>
  <c r="AV372" i="4"/>
  <c r="AM372" i="4"/>
  <c r="AD372" i="4"/>
  <c r="U372" i="4"/>
  <c r="BA371" i="4"/>
  <c r="AV371" i="4"/>
  <c r="AM371" i="4"/>
  <c r="AD371" i="4"/>
  <c r="U371" i="4"/>
  <c r="BA370" i="4"/>
  <c r="AV370" i="4"/>
  <c r="AM370" i="4"/>
  <c r="AD370" i="4"/>
  <c r="U370" i="4"/>
  <c r="BA369" i="4"/>
  <c r="AV369" i="4"/>
  <c r="AM369" i="4"/>
  <c r="AD369" i="4"/>
  <c r="U369" i="4"/>
  <c r="BA368" i="4"/>
  <c r="AV368" i="4"/>
  <c r="AM368" i="4"/>
  <c r="AD368" i="4"/>
  <c r="U368" i="4"/>
  <c r="BA367" i="4"/>
  <c r="AV367" i="4"/>
  <c r="AM367" i="4"/>
  <c r="AD367" i="4"/>
  <c r="U367" i="4"/>
  <c r="BA366" i="4"/>
  <c r="AV366" i="4"/>
  <c r="AM366" i="4"/>
  <c r="AD366" i="4"/>
  <c r="U366" i="4"/>
  <c r="BA365" i="4"/>
  <c r="AV365" i="4"/>
  <c r="AM365" i="4"/>
  <c r="AD365" i="4"/>
  <c r="U365" i="4"/>
  <c r="BA364" i="4"/>
  <c r="AV364" i="4"/>
  <c r="AM364" i="4"/>
  <c r="AD364" i="4"/>
  <c r="U364" i="4"/>
  <c r="BA363" i="4"/>
  <c r="AV363" i="4"/>
  <c r="AM363" i="4"/>
  <c r="AD363" i="4"/>
  <c r="U363" i="4"/>
  <c r="BA362" i="4"/>
  <c r="AV362" i="4"/>
  <c r="AM362" i="4"/>
  <c r="AD362" i="4"/>
  <c r="U362" i="4"/>
  <c r="BA361" i="4"/>
  <c r="AV361" i="4"/>
  <c r="AM361" i="4"/>
  <c r="AD361" i="4"/>
  <c r="U361" i="4"/>
  <c r="BA360" i="4"/>
  <c r="AV360" i="4"/>
  <c r="AM360" i="4"/>
  <c r="AD360" i="4"/>
  <c r="U360" i="4"/>
  <c r="BA359" i="4"/>
  <c r="AV359" i="4"/>
  <c r="AM359" i="4"/>
  <c r="AD359" i="4"/>
  <c r="U359" i="4"/>
  <c r="BA358" i="4"/>
  <c r="AV358" i="4"/>
  <c r="AM358" i="4"/>
  <c r="AD358" i="4"/>
  <c r="U358" i="4"/>
  <c r="BA357" i="4"/>
  <c r="AV357" i="4"/>
  <c r="AM357" i="4"/>
  <c r="AD357" i="4"/>
  <c r="U357" i="4"/>
  <c r="BA356" i="4"/>
  <c r="AV356" i="4"/>
  <c r="AM356" i="4"/>
  <c r="AD356" i="4"/>
  <c r="U356" i="4"/>
  <c r="BA355" i="4"/>
  <c r="AV355" i="4"/>
  <c r="AM355" i="4"/>
  <c r="AD355" i="4"/>
  <c r="U355" i="4"/>
  <c r="BA354" i="4"/>
  <c r="AV354" i="4"/>
  <c r="AM354" i="4"/>
  <c r="AD354" i="4"/>
  <c r="U354" i="4"/>
  <c r="BA353" i="4"/>
  <c r="AV353" i="4"/>
  <c r="AM353" i="4"/>
  <c r="AD353" i="4"/>
  <c r="U353" i="4"/>
  <c r="BA352" i="4"/>
  <c r="AV352" i="4"/>
  <c r="AM352" i="4"/>
  <c r="AD352" i="4"/>
  <c r="U352" i="4"/>
  <c r="BA351" i="4"/>
  <c r="AV351" i="4"/>
  <c r="AM351" i="4"/>
  <c r="AD351" i="4"/>
  <c r="U351" i="4"/>
  <c r="BA350" i="4"/>
  <c r="AV350" i="4"/>
  <c r="AM350" i="4"/>
  <c r="AD350" i="4"/>
  <c r="U350" i="4"/>
  <c r="BA349" i="4"/>
  <c r="AV349" i="4"/>
  <c r="AM349" i="4"/>
  <c r="AD349" i="4"/>
  <c r="U349" i="4"/>
  <c r="BA348" i="4"/>
  <c r="AV348" i="4"/>
  <c r="AM348" i="4"/>
  <c r="AD348" i="4"/>
  <c r="U348" i="4"/>
  <c r="BA347" i="4"/>
  <c r="AV347" i="4"/>
  <c r="AM347" i="4"/>
  <c r="AD347" i="4"/>
  <c r="U347" i="4"/>
  <c r="BA346" i="4"/>
  <c r="AV346" i="4"/>
  <c r="AM346" i="4"/>
  <c r="AD346" i="4"/>
  <c r="U346" i="4"/>
  <c r="BA345" i="4"/>
  <c r="AV345" i="4"/>
  <c r="AM345" i="4"/>
  <c r="AD345" i="4"/>
  <c r="U345" i="4"/>
  <c r="BA344" i="4"/>
  <c r="AV344" i="4"/>
  <c r="AM344" i="4"/>
  <c r="AD344" i="4"/>
  <c r="U344" i="4"/>
  <c r="BA343" i="4"/>
  <c r="AV343" i="4"/>
  <c r="AM343" i="4"/>
  <c r="AD343" i="4"/>
  <c r="U343" i="4"/>
  <c r="BA342" i="4"/>
  <c r="AV342" i="4"/>
  <c r="AM342" i="4"/>
  <c r="AD342" i="4"/>
  <c r="U342" i="4"/>
  <c r="BA341" i="4"/>
  <c r="AV341" i="4"/>
  <c r="AM341" i="4"/>
  <c r="AD341" i="4"/>
  <c r="U341" i="4"/>
  <c r="BA340" i="4"/>
  <c r="AV340" i="4"/>
  <c r="AM340" i="4"/>
  <c r="AD340" i="4"/>
  <c r="U340" i="4"/>
  <c r="BA339" i="4"/>
  <c r="AV339" i="4"/>
  <c r="AM339" i="4"/>
  <c r="AD339" i="4"/>
  <c r="U339" i="4"/>
  <c r="BA338" i="4"/>
  <c r="AV338" i="4"/>
  <c r="AM338" i="4"/>
  <c r="AD338" i="4"/>
  <c r="U338" i="4"/>
  <c r="BA337" i="4"/>
  <c r="AV337" i="4"/>
  <c r="AM337" i="4"/>
  <c r="AD337" i="4"/>
  <c r="U337" i="4"/>
  <c r="BA336" i="4"/>
  <c r="AV336" i="4"/>
  <c r="AM336" i="4"/>
  <c r="AD336" i="4"/>
  <c r="U336" i="4"/>
  <c r="BA335" i="4"/>
  <c r="AV335" i="4"/>
  <c r="AM335" i="4"/>
  <c r="AD335" i="4"/>
  <c r="U335" i="4"/>
  <c r="BA334" i="4"/>
  <c r="AV334" i="4"/>
  <c r="AM334" i="4"/>
  <c r="AD334" i="4"/>
  <c r="U334" i="4"/>
  <c r="BA333" i="4"/>
  <c r="AV333" i="4"/>
  <c r="AM333" i="4"/>
  <c r="AD333" i="4"/>
  <c r="U333" i="4"/>
  <c r="BA332" i="4"/>
  <c r="AV332" i="4"/>
  <c r="AM332" i="4"/>
  <c r="AD332" i="4"/>
  <c r="U332" i="4"/>
  <c r="BA331" i="4"/>
  <c r="AV331" i="4"/>
  <c r="AM331" i="4"/>
  <c r="AD331" i="4"/>
  <c r="U331" i="4"/>
  <c r="BA330" i="4"/>
  <c r="AV330" i="4"/>
  <c r="AM330" i="4"/>
  <c r="AD330" i="4"/>
  <c r="U330" i="4"/>
  <c r="BA329" i="4"/>
  <c r="AV329" i="4"/>
  <c r="AM329" i="4"/>
  <c r="AD329" i="4"/>
  <c r="U329" i="4"/>
  <c r="BA328" i="4"/>
  <c r="AV328" i="4"/>
  <c r="AM328" i="4"/>
  <c r="AD328" i="4"/>
  <c r="U328" i="4"/>
  <c r="BA327" i="4"/>
  <c r="AV327" i="4"/>
  <c r="AM327" i="4"/>
  <c r="AD327" i="4"/>
  <c r="U327" i="4"/>
  <c r="BA326" i="4"/>
  <c r="AV326" i="4"/>
  <c r="AM326" i="4"/>
  <c r="AD326" i="4"/>
  <c r="U326" i="4"/>
  <c r="BA325" i="4"/>
  <c r="AV325" i="4"/>
  <c r="AM325" i="4"/>
  <c r="AD325" i="4"/>
  <c r="U325" i="4"/>
  <c r="BA324" i="4"/>
  <c r="AV324" i="4"/>
  <c r="AM324" i="4"/>
  <c r="AD324" i="4"/>
  <c r="U324" i="4"/>
  <c r="BA323" i="4"/>
  <c r="AV323" i="4"/>
  <c r="AM323" i="4"/>
  <c r="AD323" i="4"/>
  <c r="U323" i="4"/>
  <c r="BA322" i="4"/>
  <c r="AV322" i="4"/>
  <c r="AM322" i="4"/>
  <c r="AD322" i="4"/>
  <c r="U322" i="4"/>
  <c r="BA321" i="4"/>
  <c r="AV321" i="4"/>
  <c r="AM321" i="4"/>
  <c r="AD321" i="4"/>
  <c r="U321" i="4"/>
  <c r="BA320" i="4"/>
  <c r="AV320" i="4"/>
  <c r="AM320" i="4"/>
  <c r="AD320" i="4"/>
  <c r="U320" i="4"/>
  <c r="BA319" i="4"/>
  <c r="AV319" i="4"/>
  <c r="AM319" i="4"/>
  <c r="AD319" i="4"/>
  <c r="U319" i="4"/>
  <c r="BA318" i="4"/>
  <c r="AV318" i="4"/>
  <c r="AM318" i="4"/>
  <c r="AD318" i="4"/>
  <c r="U318" i="4"/>
  <c r="BA317" i="4"/>
  <c r="AV317" i="4"/>
  <c r="AM317" i="4"/>
  <c r="AD317" i="4"/>
  <c r="U317" i="4"/>
  <c r="BA316" i="4"/>
  <c r="AV316" i="4"/>
  <c r="AM316" i="4"/>
  <c r="AD316" i="4"/>
  <c r="U316" i="4"/>
  <c r="BA315" i="4"/>
  <c r="AV315" i="4"/>
  <c r="AM315" i="4"/>
  <c r="AD315" i="4"/>
  <c r="U315" i="4"/>
  <c r="BA314" i="4"/>
  <c r="AV314" i="4"/>
  <c r="AM314" i="4"/>
  <c r="AD314" i="4"/>
  <c r="U314" i="4"/>
  <c r="BA313" i="4"/>
  <c r="AV313" i="4"/>
  <c r="AM313" i="4"/>
  <c r="AD313" i="4"/>
  <c r="U313" i="4"/>
  <c r="BA312" i="4"/>
  <c r="AV312" i="4"/>
  <c r="AM312" i="4"/>
  <c r="AD312" i="4"/>
  <c r="U312" i="4"/>
  <c r="BA311" i="4"/>
  <c r="AV311" i="4"/>
  <c r="AM311" i="4"/>
  <c r="AD311" i="4"/>
  <c r="U311" i="4"/>
  <c r="BA310" i="4"/>
  <c r="AV310" i="4"/>
  <c r="AM310" i="4"/>
  <c r="AD310" i="4"/>
  <c r="U310" i="4"/>
  <c r="BA309" i="4"/>
  <c r="AV309" i="4"/>
  <c r="AM309" i="4"/>
  <c r="AD309" i="4"/>
  <c r="U309" i="4"/>
  <c r="BA308" i="4"/>
  <c r="AV308" i="4"/>
  <c r="AM308" i="4"/>
  <c r="AD308" i="4"/>
  <c r="U308" i="4"/>
  <c r="BA307" i="4"/>
  <c r="AV307" i="4"/>
  <c r="AM307" i="4"/>
  <c r="AD307" i="4"/>
  <c r="U307" i="4"/>
  <c r="BA306" i="4"/>
  <c r="AV306" i="4"/>
  <c r="AM306" i="4"/>
  <c r="AD306" i="4"/>
  <c r="U306" i="4"/>
  <c r="BA305" i="4"/>
  <c r="AV305" i="4"/>
  <c r="AM305" i="4"/>
  <c r="AD305" i="4"/>
  <c r="U305" i="4"/>
  <c r="BA304" i="4"/>
  <c r="AV304" i="4"/>
  <c r="AM304" i="4"/>
  <c r="AD304" i="4"/>
  <c r="U304" i="4"/>
  <c r="BA303" i="4"/>
  <c r="AV303" i="4"/>
  <c r="AM303" i="4"/>
  <c r="AD303" i="4"/>
  <c r="U303" i="4"/>
  <c r="BA302" i="4"/>
  <c r="AV302" i="4"/>
  <c r="AM302" i="4"/>
  <c r="AD302" i="4"/>
  <c r="U302" i="4"/>
  <c r="BA301" i="4"/>
  <c r="AV301" i="4"/>
  <c r="AM301" i="4"/>
  <c r="AD301" i="4"/>
  <c r="U301" i="4"/>
  <c r="BA300" i="4"/>
  <c r="AV300" i="4"/>
  <c r="AM300" i="4"/>
  <c r="AD300" i="4"/>
  <c r="U300" i="4"/>
  <c r="BA299" i="4"/>
  <c r="AV299" i="4"/>
  <c r="AM299" i="4"/>
  <c r="AD299" i="4"/>
  <c r="U299" i="4"/>
  <c r="BA298" i="4"/>
  <c r="AV298" i="4"/>
  <c r="AM298" i="4"/>
  <c r="AD298" i="4"/>
  <c r="U298" i="4"/>
  <c r="BA297" i="4"/>
  <c r="AV297" i="4"/>
  <c r="AM297" i="4"/>
  <c r="AD297" i="4"/>
  <c r="U297" i="4"/>
  <c r="BA296" i="4"/>
  <c r="AV296" i="4"/>
  <c r="AM296" i="4"/>
  <c r="AD296" i="4"/>
  <c r="U296" i="4"/>
  <c r="BA295" i="4"/>
  <c r="AV295" i="4"/>
  <c r="AM295" i="4"/>
  <c r="AD295" i="4"/>
  <c r="U295" i="4"/>
  <c r="BA294" i="4"/>
  <c r="AV294" i="4"/>
  <c r="AM294" i="4"/>
  <c r="AD294" i="4"/>
  <c r="U294" i="4"/>
  <c r="BA293" i="4"/>
  <c r="AV293" i="4"/>
  <c r="AM293" i="4"/>
  <c r="AD293" i="4"/>
  <c r="U293" i="4"/>
  <c r="BA292" i="4"/>
  <c r="AV292" i="4"/>
  <c r="AM292" i="4"/>
  <c r="AD292" i="4"/>
  <c r="U292" i="4"/>
  <c r="BA291" i="4"/>
  <c r="AV291" i="4"/>
  <c r="AM291" i="4"/>
  <c r="AD291" i="4"/>
  <c r="U291" i="4"/>
  <c r="BA290" i="4"/>
  <c r="AV290" i="4"/>
  <c r="AM290" i="4"/>
  <c r="AD290" i="4"/>
  <c r="U290" i="4"/>
  <c r="BA289" i="4"/>
  <c r="AV289" i="4"/>
  <c r="AM289" i="4"/>
  <c r="AD289" i="4"/>
  <c r="U289" i="4"/>
  <c r="BA288" i="4"/>
  <c r="AV288" i="4"/>
  <c r="AM288" i="4"/>
  <c r="AD288" i="4"/>
  <c r="U288" i="4"/>
  <c r="BA287" i="4"/>
  <c r="AV287" i="4"/>
  <c r="AM287" i="4"/>
  <c r="AD287" i="4"/>
  <c r="U287" i="4"/>
  <c r="BA286" i="4"/>
  <c r="AV286" i="4"/>
  <c r="AM286" i="4"/>
  <c r="AD286" i="4"/>
  <c r="U286" i="4"/>
  <c r="BA285" i="4"/>
  <c r="AV285" i="4"/>
  <c r="AM285" i="4"/>
  <c r="AD285" i="4"/>
  <c r="U285" i="4"/>
  <c r="BA284" i="4"/>
  <c r="AV284" i="4"/>
  <c r="AM284" i="4"/>
  <c r="AD284" i="4"/>
  <c r="U284" i="4"/>
  <c r="BA283" i="4"/>
  <c r="AV283" i="4"/>
  <c r="AM283" i="4"/>
  <c r="AD283" i="4"/>
  <c r="U283" i="4"/>
  <c r="BA282" i="4"/>
  <c r="AV282" i="4"/>
  <c r="AM282" i="4"/>
  <c r="AD282" i="4"/>
  <c r="U282" i="4"/>
  <c r="BA281" i="4"/>
  <c r="AV281" i="4"/>
  <c r="AM281" i="4"/>
  <c r="AD281" i="4"/>
  <c r="U281" i="4"/>
  <c r="BA280" i="4"/>
  <c r="AV280" i="4"/>
  <c r="AM280" i="4"/>
  <c r="AD280" i="4"/>
  <c r="U280" i="4"/>
  <c r="BA279" i="4"/>
  <c r="AV279" i="4"/>
  <c r="AM279" i="4"/>
  <c r="AD279" i="4"/>
  <c r="U279" i="4"/>
  <c r="BA278" i="4"/>
  <c r="AV278" i="4"/>
  <c r="AM278" i="4"/>
  <c r="AD278" i="4"/>
  <c r="U278" i="4"/>
  <c r="BA277" i="4"/>
  <c r="AV277" i="4"/>
  <c r="AM277" i="4"/>
  <c r="AD277" i="4"/>
  <c r="U277" i="4"/>
  <c r="BA276" i="4"/>
  <c r="AV276" i="4"/>
  <c r="AM276" i="4"/>
  <c r="AD276" i="4"/>
  <c r="U276" i="4"/>
  <c r="BA275" i="4"/>
  <c r="AV275" i="4"/>
  <c r="AM275" i="4"/>
  <c r="AD275" i="4"/>
  <c r="U275" i="4"/>
  <c r="BA274" i="4"/>
  <c r="AV274" i="4"/>
  <c r="AM274" i="4"/>
  <c r="AD274" i="4"/>
  <c r="U274" i="4"/>
  <c r="BA273" i="4"/>
  <c r="AV273" i="4"/>
  <c r="AM273" i="4"/>
  <c r="AD273" i="4"/>
  <c r="U273" i="4"/>
  <c r="BA272" i="4"/>
  <c r="AV272" i="4"/>
  <c r="AM272" i="4"/>
  <c r="AD272" i="4"/>
  <c r="U272" i="4"/>
  <c r="BA271" i="4"/>
  <c r="AV271" i="4"/>
  <c r="AM271" i="4"/>
  <c r="AD271" i="4"/>
  <c r="U271" i="4"/>
  <c r="BA270" i="4"/>
  <c r="AV270" i="4"/>
  <c r="AM270" i="4"/>
  <c r="AD270" i="4"/>
  <c r="U270" i="4"/>
  <c r="BA269" i="4"/>
  <c r="AV269" i="4"/>
  <c r="AM269" i="4"/>
  <c r="AD269" i="4"/>
  <c r="U269" i="4"/>
  <c r="BA268" i="4"/>
  <c r="AV268" i="4"/>
  <c r="AM268" i="4"/>
  <c r="AD268" i="4"/>
  <c r="U268" i="4"/>
  <c r="BA267" i="4"/>
  <c r="AV267" i="4"/>
  <c r="AM267" i="4"/>
  <c r="AD267" i="4"/>
  <c r="U267" i="4"/>
  <c r="BA266" i="4"/>
  <c r="AV266" i="4"/>
  <c r="AM266" i="4"/>
  <c r="AD266" i="4"/>
  <c r="U266" i="4"/>
  <c r="BA265" i="4"/>
  <c r="AV265" i="4"/>
  <c r="AM265" i="4"/>
  <c r="AD265" i="4"/>
  <c r="U265" i="4"/>
  <c r="BA264" i="4"/>
  <c r="AV264" i="4"/>
  <c r="AM264" i="4"/>
  <c r="AD264" i="4"/>
  <c r="U264" i="4"/>
  <c r="BA263" i="4"/>
  <c r="AV263" i="4"/>
  <c r="AM263" i="4"/>
  <c r="AD263" i="4"/>
  <c r="U263" i="4"/>
  <c r="BA262" i="4"/>
  <c r="AV262" i="4"/>
  <c r="AM262" i="4"/>
  <c r="AD262" i="4"/>
  <c r="U262" i="4"/>
  <c r="BA261" i="4"/>
  <c r="AV261" i="4"/>
  <c r="AM261" i="4"/>
  <c r="AD261" i="4"/>
  <c r="U261" i="4"/>
  <c r="BA260" i="4"/>
  <c r="AV260" i="4"/>
  <c r="AM260" i="4"/>
  <c r="AD260" i="4"/>
  <c r="U260" i="4"/>
  <c r="BA259" i="4"/>
  <c r="AV259" i="4"/>
  <c r="AM259" i="4"/>
  <c r="AD259" i="4"/>
  <c r="U259" i="4"/>
  <c r="BA258" i="4"/>
  <c r="AV258" i="4"/>
  <c r="AM258" i="4"/>
  <c r="AD258" i="4"/>
  <c r="U258" i="4"/>
  <c r="BA257" i="4"/>
  <c r="AV257" i="4"/>
  <c r="AM257" i="4"/>
  <c r="AD257" i="4"/>
  <c r="U257" i="4"/>
  <c r="BA256" i="4"/>
  <c r="AV256" i="4"/>
  <c r="AM256" i="4"/>
  <c r="AD256" i="4"/>
  <c r="U256" i="4"/>
  <c r="BA255" i="4"/>
  <c r="AV255" i="4"/>
  <c r="AM255" i="4"/>
  <c r="AD255" i="4"/>
  <c r="U255" i="4"/>
  <c r="BA254" i="4"/>
  <c r="AV254" i="4"/>
  <c r="AM254" i="4"/>
  <c r="AD254" i="4"/>
  <c r="U254" i="4"/>
  <c r="BA253" i="4"/>
  <c r="AV253" i="4"/>
  <c r="AM253" i="4"/>
  <c r="AD253" i="4"/>
  <c r="U253" i="4"/>
  <c r="BA252" i="4"/>
  <c r="AV252" i="4"/>
  <c r="AM252" i="4"/>
  <c r="AD252" i="4"/>
  <c r="U252" i="4"/>
  <c r="BA251" i="4"/>
  <c r="AV251" i="4"/>
  <c r="AM251" i="4"/>
  <c r="AD251" i="4"/>
  <c r="U251" i="4"/>
  <c r="BA250" i="4"/>
  <c r="AV250" i="4"/>
  <c r="AM250" i="4"/>
  <c r="AD250" i="4"/>
  <c r="U250" i="4"/>
  <c r="BA249" i="4"/>
  <c r="AV249" i="4"/>
  <c r="AM249" i="4"/>
  <c r="AD249" i="4"/>
  <c r="U249" i="4"/>
  <c r="BA248" i="4"/>
  <c r="AV248" i="4"/>
  <c r="AM248" i="4"/>
  <c r="AD248" i="4"/>
  <c r="U248" i="4"/>
  <c r="BA247" i="4"/>
  <c r="AV247" i="4"/>
  <c r="AM247" i="4"/>
  <c r="AD247" i="4"/>
  <c r="U247" i="4"/>
  <c r="BA246" i="4"/>
  <c r="AV246" i="4"/>
  <c r="AM246" i="4"/>
  <c r="AD246" i="4"/>
  <c r="U246" i="4"/>
  <c r="BA245" i="4"/>
  <c r="AV245" i="4"/>
  <c r="AM245" i="4"/>
  <c r="AD245" i="4"/>
  <c r="U245" i="4"/>
  <c r="BA244" i="4"/>
  <c r="AV244" i="4"/>
  <c r="AM244" i="4"/>
  <c r="AD244" i="4"/>
  <c r="U244" i="4"/>
  <c r="BA243" i="4"/>
  <c r="AV243" i="4"/>
  <c r="AM243" i="4"/>
  <c r="AD243" i="4"/>
  <c r="U243" i="4"/>
  <c r="BA242" i="4"/>
  <c r="AV242" i="4"/>
  <c r="AM242" i="4"/>
  <c r="AD242" i="4"/>
  <c r="U242" i="4"/>
  <c r="BA241" i="4"/>
  <c r="AV241" i="4"/>
  <c r="AM241" i="4"/>
  <c r="AD241" i="4"/>
  <c r="U241" i="4"/>
  <c r="BA240" i="4"/>
  <c r="AV240" i="4"/>
  <c r="AM240" i="4"/>
  <c r="AD240" i="4"/>
  <c r="U240" i="4"/>
  <c r="BA239" i="4"/>
  <c r="AV239" i="4"/>
  <c r="AM239" i="4"/>
  <c r="AD239" i="4"/>
  <c r="U239" i="4"/>
  <c r="BA238" i="4"/>
  <c r="AV238" i="4"/>
  <c r="AM238" i="4"/>
  <c r="AD238" i="4"/>
  <c r="U238" i="4"/>
  <c r="BA237" i="4"/>
  <c r="AV237" i="4"/>
  <c r="AM237" i="4"/>
  <c r="AD237" i="4"/>
  <c r="U237" i="4"/>
  <c r="BA236" i="4"/>
  <c r="AV236" i="4"/>
  <c r="AM236" i="4"/>
  <c r="AD236" i="4"/>
  <c r="U236" i="4"/>
  <c r="BA235" i="4"/>
  <c r="AV235" i="4"/>
  <c r="AM235" i="4"/>
  <c r="AD235" i="4"/>
  <c r="U235" i="4"/>
  <c r="BA234" i="4"/>
  <c r="AV234" i="4"/>
  <c r="AM234" i="4"/>
  <c r="AD234" i="4"/>
  <c r="U234" i="4"/>
  <c r="BA233" i="4"/>
  <c r="AV233" i="4"/>
  <c r="AM233" i="4"/>
  <c r="AD233" i="4"/>
  <c r="U233" i="4"/>
  <c r="BA232" i="4"/>
  <c r="AV232" i="4"/>
  <c r="AM232" i="4"/>
  <c r="AD232" i="4"/>
  <c r="U232" i="4"/>
  <c r="BA231" i="4"/>
  <c r="AV231" i="4"/>
  <c r="AM231" i="4"/>
  <c r="AD231" i="4"/>
  <c r="U231" i="4"/>
  <c r="BA230" i="4"/>
  <c r="AV230" i="4"/>
  <c r="AM230" i="4"/>
  <c r="AD230" i="4"/>
  <c r="U230" i="4"/>
  <c r="BA229" i="4"/>
  <c r="AV229" i="4"/>
  <c r="AM229" i="4"/>
  <c r="AD229" i="4"/>
  <c r="U229" i="4"/>
  <c r="BA228" i="4"/>
  <c r="AV228" i="4"/>
  <c r="AM228" i="4"/>
  <c r="AD228" i="4"/>
  <c r="U228" i="4"/>
  <c r="BA227" i="4"/>
  <c r="AV227" i="4"/>
  <c r="AM227" i="4"/>
  <c r="AD227" i="4"/>
  <c r="U227" i="4"/>
  <c r="BA226" i="4"/>
  <c r="AV226" i="4"/>
  <c r="AM226" i="4"/>
  <c r="AD226" i="4"/>
  <c r="U226" i="4"/>
  <c r="BA225" i="4"/>
  <c r="AV225" i="4"/>
  <c r="AM225" i="4"/>
  <c r="AD225" i="4"/>
  <c r="U225" i="4"/>
  <c r="BA224" i="4"/>
  <c r="AV224" i="4"/>
  <c r="AM224" i="4"/>
  <c r="AD224" i="4"/>
  <c r="U224" i="4"/>
  <c r="BA223" i="4"/>
  <c r="AV223" i="4"/>
  <c r="AM223" i="4"/>
  <c r="AD223" i="4"/>
  <c r="U223" i="4"/>
  <c r="BA222" i="4"/>
  <c r="AV222" i="4"/>
  <c r="AM222" i="4"/>
  <c r="AD222" i="4"/>
  <c r="U222" i="4"/>
  <c r="BA221" i="4"/>
  <c r="AV221" i="4"/>
  <c r="AM221" i="4"/>
  <c r="AD221" i="4"/>
  <c r="U221" i="4"/>
  <c r="BA220" i="4"/>
  <c r="AV220" i="4"/>
  <c r="AM220" i="4"/>
  <c r="AD220" i="4"/>
  <c r="U220" i="4"/>
  <c r="BA219" i="4"/>
  <c r="AV219" i="4"/>
  <c r="AM219" i="4"/>
  <c r="AD219" i="4"/>
  <c r="U219" i="4"/>
  <c r="BA218" i="4"/>
  <c r="AV218" i="4"/>
  <c r="AM218" i="4"/>
  <c r="AD218" i="4"/>
  <c r="U218" i="4"/>
  <c r="BA217" i="4"/>
  <c r="AV217" i="4"/>
  <c r="AM217" i="4"/>
  <c r="AD217" i="4"/>
  <c r="U217" i="4"/>
  <c r="BA216" i="4"/>
  <c r="AV216" i="4"/>
  <c r="AM216" i="4"/>
  <c r="AD216" i="4"/>
  <c r="U216" i="4"/>
  <c r="BA215" i="4"/>
  <c r="AV215" i="4"/>
  <c r="AM215" i="4"/>
  <c r="AD215" i="4"/>
  <c r="U215" i="4"/>
  <c r="BA214" i="4"/>
  <c r="AV214" i="4"/>
  <c r="AM214" i="4"/>
  <c r="AD214" i="4"/>
  <c r="U214" i="4"/>
  <c r="BA213" i="4"/>
  <c r="AV213" i="4"/>
  <c r="AM213" i="4"/>
  <c r="AD213" i="4"/>
  <c r="U213" i="4"/>
  <c r="BA212" i="4"/>
  <c r="AV212" i="4"/>
  <c r="AM212" i="4"/>
  <c r="AD212" i="4"/>
  <c r="U212" i="4"/>
  <c r="BA211" i="4"/>
  <c r="AV211" i="4"/>
  <c r="AM211" i="4"/>
  <c r="AD211" i="4"/>
  <c r="U211" i="4"/>
  <c r="BA210" i="4"/>
  <c r="AV210" i="4"/>
  <c r="AM210" i="4"/>
  <c r="AD210" i="4"/>
  <c r="U210" i="4"/>
  <c r="BA209" i="4"/>
  <c r="AV209" i="4"/>
  <c r="AM209" i="4"/>
  <c r="AD209" i="4"/>
  <c r="U209" i="4"/>
  <c r="BA208" i="4"/>
  <c r="AV208" i="4"/>
  <c r="AM208" i="4"/>
  <c r="AD208" i="4"/>
  <c r="U208" i="4"/>
  <c r="BA207" i="4"/>
  <c r="AV207" i="4"/>
  <c r="AM207" i="4"/>
  <c r="AD207" i="4"/>
  <c r="U207" i="4"/>
  <c r="BA206" i="4"/>
  <c r="AV206" i="4"/>
  <c r="AM206" i="4"/>
  <c r="AD206" i="4"/>
  <c r="U206" i="4"/>
  <c r="BA205" i="4"/>
  <c r="AV205" i="4"/>
  <c r="AM205" i="4"/>
  <c r="AD205" i="4"/>
  <c r="U205" i="4"/>
  <c r="BA204" i="4"/>
  <c r="AV204" i="4"/>
  <c r="AM204" i="4"/>
  <c r="AD204" i="4"/>
  <c r="U204" i="4"/>
  <c r="BA203" i="4"/>
  <c r="AV203" i="4"/>
  <c r="AM203" i="4"/>
  <c r="AD203" i="4"/>
  <c r="U203" i="4"/>
  <c r="BA202" i="4"/>
  <c r="AV202" i="4"/>
  <c r="AM202" i="4"/>
  <c r="AD202" i="4"/>
  <c r="U202" i="4"/>
  <c r="BA201" i="4"/>
  <c r="AV201" i="4"/>
  <c r="AM201" i="4"/>
  <c r="AD201" i="4"/>
  <c r="U201" i="4"/>
  <c r="BA200" i="4"/>
  <c r="AV200" i="4"/>
  <c r="AM200" i="4"/>
  <c r="AD200" i="4"/>
  <c r="U200" i="4"/>
  <c r="BA199" i="4"/>
  <c r="AV199" i="4"/>
  <c r="AM199" i="4"/>
  <c r="AD199" i="4"/>
  <c r="U199" i="4"/>
  <c r="BA198" i="4"/>
  <c r="AV198" i="4"/>
  <c r="AM198" i="4"/>
  <c r="AD198" i="4"/>
  <c r="U198" i="4"/>
  <c r="BA197" i="4"/>
  <c r="AV197" i="4"/>
  <c r="AM197" i="4"/>
  <c r="AD197" i="4"/>
  <c r="U197" i="4"/>
  <c r="BA196" i="4"/>
  <c r="AV196" i="4"/>
  <c r="AM196" i="4"/>
  <c r="AD196" i="4"/>
  <c r="U196" i="4"/>
  <c r="BA195" i="4"/>
  <c r="AV195" i="4"/>
  <c r="AM195" i="4"/>
  <c r="AD195" i="4"/>
  <c r="U195" i="4"/>
  <c r="BA194" i="4"/>
  <c r="AV194" i="4"/>
  <c r="AM194" i="4"/>
  <c r="AD194" i="4"/>
  <c r="U194" i="4"/>
  <c r="BA193" i="4"/>
  <c r="AV193" i="4"/>
  <c r="AM193" i="4"/>
  <c r="AD193" i="4"/>
  <c r="U193" i="4"/>
  <c r="BA192" i="4"/>
  <c r="AV192" i="4"/>
  <c r="AM192" i="4"/>
  <c r="AD192" i="4"/>
  <c r="U192" i="4"/>
  <c r="BA191" i="4"/>
  <c r="AV191" i="4"/>
  <c r="AM191" i="4"/>
  <c r="AD191" i="4"/>
  <c r="U191" i="4"/>
  <c r="BA190" i="4"/>
  <c r="AV190" i="4"/>
  <c r="AM190" i="4"/>
  <c r="AD190" i="4"/>
  <c r="U190" i="4"/>
  <c r="BA189" i="4"/>
  <c r="AV189" i="4"/>
  <c r="AM189" i="4"/>
  <c r="AD189" i="4"/>
  <c r="U189" i="4"/>
  <c r="BA188" i="4"/>
  <c r="AV188" i="4"/>
  <c r="AM188" i="4"/>
  <c r="AD188" i="4"/>
  <c r="U188" i="4"/>
  <c r="BA187" i="4"/>
  <c r="AV187" i="4"/>
  <c r="AM187" i="4"/>
  <c r="AD187" i="4"/>
  <c r="U187" i="4"/>
  <c r="BA186" i="4"/>
  <c r="AV186" i="4"/>
  <c r="AM186" i="4"/>
  <c r="AD186" i="4"/>
  <c r="U186" i="4"/>
  <c r="BA185" i="4"/>
  <c r="AV185" i="4"/>
  <c r="AM185" i="4"/>
  <c r="AD185" i="4"/>
  <c r="U185" i="4"/>
  <c r="BA184" i="4"/>
  <c r="AV184" i="4"/>
  <c r="AM184" i="4"/>
  <c r="AD184" i="4"/>
  <c r="U184" i="4"/>
  <c r="BA183" i="4"/>
  <c r="AV183" i="4"/>
  <c r="AM183" i="4"/>
  <c r="AD183" i="4"/>
  <c r="U183" i="4"/>
  <c r="BA182" i="4"/>
  <c r="AV182" i="4"/>
  <c r="AM182" i="4"/>
  <c r="AD182" i="4"/>
  <c r="U182" i="4"/>
  <c r="BA181" i="4"/>
  <c r="AV181" i="4"/>
  <c r="AM181" i="4"/>
  <c r="AD181" i="4"/>
  <c r="U181" i="4"/>
  <c r="BA180" i="4"/>
  <c r="AV180" i="4"/>
  <c r="AM180" i="4"/>
  <c r="AD180" i="4"/>
  <c r="U180" i="4"/>
  <c r="BA179" i="4"/>
  <c r="AV179" i="4"/>
  <c r="AM179" i="4"/>
  <c r="AD179" i="4"/>
  <c r="U179" i="4"/>
  <c r="BA178" i="4"/>
  <c r="AV178" i="4"/>
  <c r="AM178" i="4"/>
  <c r="AD178" i="4"/>
  <c r="U178" i="4"/>
  <c r="BA177" i="4"/>
  <c r="AV177" i="4"/>
  <c r="AM177" i="4"/>
  <c r="AD177" i="4"/>
  <c r="U177" i="4"/>
  <c r="BA176" i="4"/>
  <c r="AV176" i="4"/>
  <c r="AM176" i="4"/>
  <c r="AD176" i="4"/>
  <c r="U176" i="4"/>
  <c r="BA175" i="4"/>
  <c r="AV175" i="4"/>
  <c r="AM175" i="4"/>
  <c r="AD175" i="4"/>
  <c r="U175" i="4"/>
  <c r="BA174" i="4"/>
  <c r="AV174" i="4"/>
  <c r="AM174" i="4"/>
  <c r="AD174" i="4"/>
  <c r="U174" i="4"/>
  <c r="BA173" i="4"/>
  <c r="AV173" i="4"/>
  <c r="AM173" i="4"/>
  <c r="AD173" i="4"/>
  <c r="U173" i="4"/>
  <c r="BA172" i="4"/>
  <c r="AV172" i="4"/>
  <c r="AM172" i="4"/>
  <c r="AD172" i="4"/>
  <c r="U172" i="4"/>
  <c r="BA171" i="4"/>
  <c r="AV171" i="4"/>
  <c r="AM171" i="4"/>
  <c r="AD171" i="4"/>
  <c r="U171" i="4"/>
  <c r="BA170" i="4"/>
  <c r="AV170" i="4"/>
  <c r="AM170" i="4"/>
  <c r="AD170" i="4"/>
  <c r="U170" i="4"/>
  <c r="BA169" i="4"/>
  <c r="AV169" i="4"/>
  <c r="AM169" i="4"/>
  <c r="AD169" i="4"/>
  <c r="U169" i="4"/>
  <c r="BA168" i="4"/>
  <c r="AV168" i="4"/>
  <c r="AM168" i="4"/>
  <c r="AD168" i="4"/>
  <c r="U168" i="4"/>
  <c r="BA167" i="4"/>
  <c r="AV167" i="4"/>
  <c r="AM167" i="4"/>
  <c r="AD167" i="4"/>
  <c r="U167" i="4"/>
  <c r="BA166" i="4"/>
  <c r="AV166" i="4"/>
  <c r="AM166" i="4"/>
  <c r="AD166" i="4"/>
  <c r="U166" i="4"/>
  <c r="BA165" i="4"/>
  <c r="AV165" i="4"/>
  <c r="AM165" i="4"/>
  <c r="AD165" i="4"/>
  <c r="U165" i="4"/>
  <c r="BA164" i="4"/>
  <c r="AV164" i="4"/>
  <c r="AM164" i="4"/>
  <c r="AD164" i="4"/>
  <c r="U164" i="4"/>
  <c r="BA163" i="4"/>
  <c r="AV163" i="4"/>
  <c r="AM163" i="4"/>
  <c r="AD163" i="4"/>
  <c r="U163" i="4"/>
  <c r="BA162" i="4"/>
  <c r="AV162" i="4"/>
  <c r="AM162" i="4"/>
  <c r="AD162" i="4"/>
  <c r="U162" i="4"/>
  <c r="BA161" i="4"/>
  <c r="AV161" i="4"/>
  <c r="AM161" i="4"/>
  <c r="AD161" i="4"/>
  <c r="U161" i="4"/>
  <c r="BA160" i="4"/>
  <c r="AV160" i="4"/>
  <c r="AM160" i="4"/>
  <c r="AD160" i="4"/>
  <c r="U160" i="4"/>
  <c r="BA159" i="4"/>
  <c r="AV159" i="4"/>
  <c r="AM159" i="4"/>
  <c r="AD159" i="4"/>
  <c r="U159" i="4"/>
  <c r="BA158" i="4"/>
  <c r="AV158" i="4"/>
  <c r="AM158" i="4"/>
  <c r="AD158" i="4"/>
  <c r="U158" i="4"/>
  <c r="BA157" i="4"/>
  <c r="AV157" i="4"/>
  <c r="AM157" i="4"/>
  <c r="AD157" i="4"/>
  <c r="U157" i="4"/>
  <c r="BA156" i="4"/>
  <c r="AV156" i="4"/>
  <c r="AM156" i="4"/>
  <c r="AD156" i="4"/>
  <c r="U156" i="4"/>
  <c r="BA155" i="4"/>
  <c r="AV155" i="4"/>
  <c r="AM155" i="4"/>
  <c r="AD155" i="4"/>
  <c r="U155" i="4"/>
  <c r="BA154" i="4"/>
  <c r="AV154" i="4"/>
  <c r="AM154" i="4"/>
  <c r="AD154" i="4"/>
  <c r="U154" i="4"/>
  <c r="BA153" i="4"/>
  <c r="AV153" i="4"/>
  <c r="AM153" i="4"/>
  <c r="AD153" i="4"/>
  <c r="U153" i="4"/>
  <c r="BA152" i="4"/>
  <c r="AV152" i="4"/>
  <c r="AM152" i="4"/>
  <c r="AD152" i="4"/>
  <c r="U152" i="4"/>
  <c r="BA151" i="4"/>
  <c r="AV151" i="4"/>
  <c r="AM151" i="4"/>
  <c r="AD151" i="4"/>
  <c r="U151" i="4"/>
  <c r="BA150" i="4"/>
  <c r="AV150" i="4"/>
  <c r="AM150" i="4"/>
  <c r="AD150" i="4"/>
  <c r="U150" i="4"/>
  <c r="BA149" i="4"/>
  <c r="AV149" i="4"/>
  <c r="AM149" i="4"/>
  <c r="AD149" i="4"/>
  <c r="U149" i="4"/>
  <c r="BA148" i="4"/>
  <c r="AV148" i="4"/>
  <c r="AM148" i="4"/>
  <c r="AD148" i="4"/>
  <c r="U148" i="4"/>
  <c r="BA147" i="4"/>
  <c r="AV147" i="4"/>
  <c r="AM147" i="4"/>
  <c r="AD147" i="4"/>
  <c r="U147" i="4"/>
  <c r="BA146" i="4"/>
  <c r="AV146" i="4"/>
  <c r="AM146" i="4"/>
  <c r="AD146" i="4"/>
  <c r="U146" i="4"/>
  <c r="BA145" i="4"/>
  <c r="AV145" i="4"/>
  <c r="AM145" i="4"/>
  <c r="AD145" i="4"/>
  <c r="U145" i="4"/>
  <c r="BA144" i="4"/>
  <c r="AV144" i="4"/>
  <c r="AM144" i="4"/>
  <c r="AD144" i="4"/>
  <c r="U144" i="4"/>
  <c r="BA143" i="4"/>
  <c r="AV143" i="4"/>
  <c r="AM143" i="4"/>
  <c r="AD143" i="4"/>
  <c r="U143" i="4"/>
  <c r="BA142" i="4"/>
  <c r="AV142" i="4"/>
  <c r="AM142" i="4"/>
  <c r="AD142" i="4"/>
  <c r="U142" i="4"/>
  <c r="BA141" i="4"/>
  <c r="AV141" i="4"/>
  <c r="AM141" i="4"/>
  <c r="AD141" i="4"/>
  <c r="U141" i="4"/>
  <c r="BA140" i="4"/>
  <c r="AV140" i="4"/>
  <c r="AM140" i="4"/>
  <c r="AD140" i="4"/>
  <c r="U140" i="4"/>
  <c r="BA139" i="4"/>
  <c r="AV139" i="4"/>
  <c r="AM139" i="4"/>
  <c r="AD139" i="4"/>
  <c r="U139" i="4"/>
  <c r="BA138" i="4"/>
  <c r="AV138" i="4"/>
  <c r="AM138" i="4"/>
  <c r="AD138" i="4"/>
  <c r="U138" i="4"/>
  <c r="BA137" i="4"/>
  <c r="AV137" i="4"/>
  <c r="AM137" i="4"/>
  <c r="AD137" i="4"/>
  <c r="U137" i="4"/>
  <c r="BA136" i="4"/>
  <c r="AV136" i="4"/>
  <c r="AM136" i="4"/>
  <c r="AD136" i="4"/>
  <c r="U136" i="4"/>
  <c r="BA135" i="4"/>
  <c r="AV135" i="4"/>
  <c r="AM135" i="4"/>
  <c r="AD135" i="4"/>
  <c r="U135" i="4"/>
  <c r="BA134" i="4"/>
  <c r="AV134" i="4"/>
  <c r="AM134" i="4"/>
  <c r="AD134" i="4"/>
  <c r="U134" i="4"/>
  <c r="BA133" i="4"/>
  <c r="AV133" i="4"/>
  <c r="AM133" i="4"/>
  <c r="AD133" i="4"/>
  <c r="U133" i="4"/>
  <c r="BA132" i="4"/>
  <c r="AV132" i="4"/>
  <c r="AM132" i="4"/>
  <c r="AD132" i="4"/>
  <c r="U132" i="4"/>
  <c r="BA131" i="4"/>
  <c r="AV131" i="4"/>
  <c r="AM131" i="4"/>
  <c r="AD131" i="4"/>
  <c r="U131" i="4"/>
  <c r="BA130" i="4"/>
  <c r="AV130" i="4"/>
  <c r="AM130" i="4"/>
  <c r="AD130" i="4"/>
  <c r="U130" i="4"/>
  <c r="BA129" i="4"/>
  <c r="AV129" i="4"/>
  <c r="AM129" i="4"/>
  <c r="AD129" i="4"/>
  <c r="U129" i="4"/>
  <c r="BA128" i="4"/>
  <c r="AV128" i="4"/>
  <c r="AM128" i="4"/>
  <c r="AD128" i="4"/>
  <c r="U128" i="4"/>
  <c r="BA127" i="4"/>
  <c r="AV127" i="4"/>
  <c r="AM127" i="4"/>
  <c r="AD127" i="4"/>
  <c r="U127" i="4"/>
  <c r="BA126" i="4"/>
  <c r="AV126" i="4"/>
  <c r="AM126" i="4"/>
  <c r="AD126" i="4"/>
  <c r="U126" i="4"/>
  <c r="BA125" i="4"/>
  <c r="AV125" i="4"/>
  <c r="AM125" i="4"/>
  <c r="AD125" i="4"/>
  <c r="U125" i="4"/>
  <c r="BA124" i="4"/>
  <c r="AV124" i="4"/>
  <c r="AM124" i="4"/>
  <c r="AD124" i="4"/>
  <c r="U124" i="4"/>
  <c r="BA123" i="4"/>
  <c r="AV123" i="4"/>
  <c r="AM123" i="4"/>
  <c r="AD123" i="4"/>
  <c r="U123" i="4"/>
  <c r="BA122" i="4"/>
  <c r="AV122" i="4"/>
  <c r="AM122" i="4"/>
  <c r="AD122" i="4"/>
  <c r="U122" i="4"/>
  <c r="BA121" i="4"/>
  <c r="AV121" i="4"/>
  <c r="AM121" i="4"/>
  <c r="AD121" i="4"/>
  <c r="U121" i="4"/>
  <c r="BA120" i="4"/>
  <c r="AV120" i="4"/>
  <c r="AM120" i="4"/>
  <c r="AD120" i="4"/>
  <c r="U120" i="4"/>
  <c r="BA119" i="4"/>
  <c r="AV119" i="4"/>
  <c r="AM119" i="4"/>
  <c r="AD119" i="4"/>
  <c r="U119" i="4"/>
  <c r="BA118" i="4"/>
  <c r="AV118" i="4"/>
  <c r="AM118" i="4"/>
  <c r="AD118" i="4"/>
  <c r="U118" i="4"/>
  <c r="BA117" i="4"/>
  <c r="AV117" i="4"/>
  <c r="AM117" i="4"/>
  <c r="AD117" i="4"/>
  <c r="U117" i="4"/>
  <c r="BA116" i="4"/>
  <c r="AV116" i="4"/>
  <c r="AM116" i="4"/>
  <c r="AD116" i="4"/>
  <c r="U116" i="4"/>
  <c r="BA115" i="4"/>
  <c r="AV115" i="4"/>
  <c r="AM115" i="4"/>
  <c r="AD115" i="4"/>
  <c r="U115" i="4"/>
  <c r="BA114" i="4"/>
  <c r="AV114" i="4"/>
  <c r="AM114" i="4"/>
  <c r="AD114" i="4"/>
  <c r="U114" i="4"/>
  <c r="BA113" i="4"/>
  <c r="AV113" i="4"/>
  <c r="AM113" i="4"/>
  <c r="AD113" i="4"/>
  <c r="U113" i="4"/>
  <c r="BA112" i="4"/>
  <c r="AV112" i="4"/>
  <c r="AM112" i="4"/>
  <c r="AD112" i="4"/>
  <c r="U112" i="4"/>
  <c r="BA111" i="4"/>
  <c r="AV111" i="4"/>
  <c r="AM111" i="4"/>
  <c r="AD111" i="4"/>
  <c r="U111" i="4"/>
  <c r="BA110" i="4"/>
  <c r="AV110" i="4"/>
  <c r="AM110" i="4"/>
  <c r="AD110" i="4"/>
  <c r="U110" i="4"/>
  <c r="BA109" i="4"/>
  <c r="AV109" i="4"/>
  <c r="AM109" i="4"/>
  <c r="AD109" i="4"/>
  <c r="U109" i="4"/>
  <c r="BA108" i="4"/>
  <c r="AV108" i="4"/>
  <c r="AM108" i="4"/>
  <c r="AD108" i="4"/>
  <c r="U108" i="4"/>
  <c r="BA107" i="4"/>
  <c r="AV107" i="4"/>
  <c r="AM107" i="4"/>
  <c r="AD107" i="4"/>
  <c r="U107" i="4"/>
  <c r="BA106" i="4"/>
  <c r="AV106" i="4"/>
  <c r="AM106" i="4"/>
  <c r="AD106" i="4"/>
  <c r="U106" i="4"/>
  <c r="BA105" i="4"/>
  <c r="AV105" i="4"/>
  <c r="AM105" i="4"/>
  <c r="AD105" i="4"/>
  <c r="U105" i="4"/>
  <c r="BA104" i="4"/>
  <c r="AV104" i="4"/>
  <c r="AM104" i="4"/>
  <c r="AD104" i="4"/>
  <c r="U104" i="4"/>
  <c r="BA103" i="4"/>
  <c r="AV103" i="4"/>
  <c r="AM103" i="4"/>
  <c r="AD103" i="4"/>
  <c r="U103" i="4"/>
  <c r="BA102" i="4"/>
  <c r="AV102" i="4"/>
  <c r="AM102" i="4"/>
  <c r="AD102" i="4"/>
  <c r="U102" i="4"/>
  <c r="BA101" i="4"/>
  <c r="AV101" i="4"/>
  <c r="AM101" i="4"/>
  <c r="AD101" i="4"/>
  <c r="U101" i="4"/>
  <c r="BA100" i="4"/>
  <c r="AV100" i="4"/>
  <c r="AM100" i="4"/>
  <c r="AD100" i="4"/>
  <c r="U100" i="4"/>
  <c r="BA99" i="4"/>
  <c r="AV99" i="4"/>
  <c r="AM99" i="4"/>
  <c r="AD99" i="4"/>
  <c r="U99" i="4"/>
  <c r="BA98" i="4"/>
  <c r="AV98" i="4"/>
  <c r="AM98" i="4"/>
  <c r="AD98" i="4"/>
  <c r="U98" i="4"/>
  <c r="BA97" i="4"/>
  <c r="AV97" i="4"/>
  <c r="AM97" i="4"/>
  <c r="AD97" i="4"/>
  <c r="U97" i="4"/>
  <c r="BA96" i="4"/>
  <c r="AV96" i="4"/>
  <c r="AM96" i="4"/>
  <c r="AD96" i="4"/>
  <c r="U96" i="4"/>
  <c r="BA95" i="4"/>
  <c r="AV95" i="4"/>
  <c r="AM95" i="4"/>
  <c r="AD95" i="4"/>
  <c r="U95" i="4"/>
  <c r="BA94" i="4"/>
  <c r="AV94" i="4"/>
  <c r="AM94" i="4"/>
  <c r="AD94" i="4"/>
  <c r="U94" i="4"/>
  <c r="BA93" i="4"/>
  <c r="AV93" i="4"/>
  <c r="AM93" i="4"/>
  <c r="AD93" i="4"/>
  <c r="U93" i="4"/>
  <c r="BA92" i="4"/>
  <c r="AV92" i="4"/>
  <c r="AM92" i="4"/>
  <c r="AD92" i="4"/>
  <c r="U92" i="4"/>
  <c r="BA91" i="4"/>
  <c r="AV91" i="4"/>
  <c r="AM91" i="4"/>
  <c r="AD91" i="4"/>
  <c r="U91" i="4"/>
  <c r="BA90" i="4"/>
  <c r="AV90" i="4"/>
  <c r="AM90" i="4"/>
  <c r="AD90" i="4"/>
  <c r="U90" i="4"/>
  <c r="BA89" i="4"/>
  <c r="AV89" i="4"/>
  <c r="AM89" i="4"/>
  <c r="AD89" i="4"/>
  <c r="U89" i="4"/>
  <c r="BA88" i="4"/>
  <c r="AV88" i="4"/>
  <c r="AM88" i="4"/>
  <c r="AD88" i="4"/>
  <c r="U88" i="4"/>
  <c r="BA87" i="4"/>
  <c r="AV87" i="4"/>
  <c r="AM87" i="4"/>
  <c r="AD87" i="4"/>
  <c r="U87" i="4"/>
  <c r="BA86" i="4"/>
  <c r="AV86" i="4"/>
  <c r="AM86" i="4"/>
  <c r="AD86" i="4"/>
  <c r="U86" i="4"/>
  <c r="BA85" i="4"/>
  <c r="AV85" i="4"/>
  <c r="AM85" i="4"/>
  <c r="AD85" i="4"/>
  <c r="U85" i="4"/>
  <c r="BA84" i="4"/>
  <c r="AV84" i="4"/>
  <c r="AM84" i="4"/>
  <c r="AD84" i="4"/>
  <c r="U84" i="4"/>
  <c r="BA83" i="4"/>
  <c r="AV83" i="4"/>
  <c r="AM83" i="4"/>
  <c r="AD83" i="4"/>
  <c r="U83" i="4"/>
  <c r="BA82" i="4"/>
  <c r="AV82" i="4"/>
  <c r="AM82" i="4"/>
  <c r="AD82" i="4"/>
  <c r="U82" i="4"/>
  <c r="BA81" i="4"/>
  <c r="AV81" i="4"/>
  <c r="AM81" i="4"/>
  <c r="AD81" i="4"/>
  <c r="U81" i="4"/>
  <c r="BA80" i="4"/>
  <c r="AV80" i="4"/>
  <c r="AM80" i="4"/>
  <c r="AD80" i="4"/>
  <c r="U80" i="4"/>
  <c r="BA79" i="4"/>
  <c r="AV79" i="4"/>
  <c r="AM79" i="4"/>
  <c r="AD79" i="4"/>
  <c r="U79" i="4"/>
  <c r="BA78" i="4"/>
  <c r="AV78" i="4"/>
  <c r="AM78" i="4"/>
  <c r="AD78" i="4"/>
  <c r="U78" i="4"/>
  <c r="BA77" i="4"/>
  <c r="AV77" i="4"/>
  <c r="AM77" i="4"/>
  <c r="AD77" i="4"/>
  <c r="U77" i="4"/>
  <c r="BA76" i="4"/>
  <c r="AV76" i="4"/>
  <c r="AM76" i="4"/>
  <c r="AD76" i="4"/>
  <c r="U76" i="4"/>
  <c r="BA75" i="4"/>
  <c r="AV75" i="4"/>
  <c r="AM75" i="4"/>
  <c r="AD75" i="4"/>
  <c r="U75" i="4"/>
  <c r="BA74" i="4"/>
  <c r="AV74" i="4"/>
  <c r="AM74" i="4"/>
  <c r="AD74" i="4"/>
  <c r="U74" i="4"/>
  <c r="BA73" i="4"/>
  <c r="AV73" i="4"/>
  <c r="AM73" i="4"/>
  <c r="AD73" i="4"/>
  <c r="U73" i="4"/>
  <c r="BA72" i="4"/>
  <c r="AV72" i="4"/>
  <c r="AM72" i="4"/>
  <c r="AD72" i="4"/>
  <c r="U72" i="4"/>
  <c r="BA71" i="4"/>
  <c r="AV71" i="4"/>
  <c r="AM71" i="4"/>
  <c r="AD71" i="4"/>
  <c r="U71" i="4"/>
  <c r="BA70" i="4"/>
  <c r="AV70" i="4"/>
  <c r="AM70" i="4"/>
  <c r="AD70" i="4"/>
  <c r="U70" i="4"/>
  <c r="BA69" i="4"/>
  <c r="AV69" i="4"/>
  <c r="AM69" i="4"/>
  <c r="AD69" i="4"/>
  <c r="U69" i="4"/>
  <c r="BA68" i="4"/>
  <c r="AV68" i="4"/>
  <c r="AM68" i="4"/>
  <c r="AD68" i="4"/>
  <c r="U68" i="4"/>
  <c r="BA67" i="4"/>
  <c r="AV67" i="4"/>
  <c r="AM67" i="4"/>
  <c r="AD67" i="4"/>
  <c r="U67" i="4"/>
  <c r="BA66" i="4"/>
  <c r="AV66" i="4"/>
  <c r="AM66" i="4"/>
  <c r="AD66" i="4"/>
  <c r="U66" i="4"/>
  <c r="BA65" i="4"/>
  <c r="AV65" i="4"/>
  <c r="AM65" i="4"/>
  <c r="AD65" i="4"/>
  <c r="U65" i="4"/>
  <c r="BA64" i="4"/>
  <c r="AV64" i="4"/>
  <c r="AM64" i="4"/>
  <c r="AD64" i="4"/>
  <c r="U64" i="4"/>
  <c r="BA63" i="4"/>
  <c r="AV63" i="4"/>
  <c r="AM63" i="4"/>
  <c r="AD63" i="4"/>
  <c r="U63" i="4"/>
  <c r="BA62" i="4"/>
  <c r="AV62" i="4"/>
  <c r="AM62" i="4"/>
  <c r="AD62" i="4"/>
  <c r="U62" i="4"/>
  <c r="BA61" i="4"/>
  <c r="AV61" i="4"/>
  <c r="AM61" i="4"/>
  <c r="AD61" i="4"/>
  <c r="U61" i="4"/>
  <c r="BA60" i="4"/>
  <c r="AV60" i="4"/>
  <c r="AM60" i="4"/>
  <c r="AD60" i="4"/>
  <c r="U60" i="4"/>
  <c r="BA59" i="4"/>
  <c r="AV59" i="4"/>
  <c r="AM59" i="4"/>
  <c r="AD59" i="4"/>
  <c r="U59" i="4"/>
  <c r="BA58" i="4"/>
  <c r="AV58" i="4"/>
  <c r="AM58" i="4"/>
  <c r="AD58" i="4"/>
  <c r="U58" i="4"/>
  <c r="BA57" i="4"/>
  <c r="AV57" i="4"/>
  <c r="AM57" i="4"/>
  <c r="AD57" i="4"/>
  <c r="U57" i="4"/>
  <c r="BA56" i="4"/>
  <c r="AV56" i="4"/>
  <c r="AM56" i="4"/>
  <c r="AD56" i="4"/>
  <c r="U56" i="4"/>
  <c r="BA55" i="4"/>
  <c r="AV55" i="4"/>
  <c r="AM55" i="4"/>
  <c r="AD55" i="4"/>
  <c r="U55" i="4"/>
  <c r="BA54" i="4"/>
  <c r="AV54" i="4"/>
  <c r="AM54" i="4"/>
  <c r="AD54" i="4"/>
  <c r="U54" i="4"/>
  <c r="BA53" i="4"/>
  <c r="AV53" i="4"/>
  <c r="AM53" i="4"/>
  <c r="AD53" i="4"/>
  <c r="U53" i="4"/>
  <c r="BA52" i="4"/>
  <c r="AV52" i="4"/>
  <c r="AM52" i="4"/>
  <c r="AD52" i="4"/>
  <c r="U52" i="4"/>
  <c r="BA51" i="4"/>
  <c r="AV51" i="4"/>
  <c r="AM51" i="4"/>
  <c r="AD51" i="4"/>
  <c r="U51" i="4"/>
  <c r="BA50" i="4"/>
  <c r="AV50" i="4"/>
  <c r="AM50" i="4"/>
  <c r="AD50" i="4"/>
  <c r="U50" i="4"/>
  <c r="BA49" i="4"/>
  <c r="AV49" i="4"/>
  <c r="AM49" i="4"/>
  <c r="AD49" i="4"/>
  <c r="U49" i="4"/>
  <c r="BA48" i="4"/>
  <c r="AV48" i="4"/>
  <c r="AM48" i="4"/>
  <c r="AD48" i="4"/>
  <c r="U48" i="4"/>
  <c r="BA47" i="4"/>
  <c r="AV47" i="4"/>
  <c r="AM47" i="4"/>
  <c r="AD47" i="4"/>
  <c r="U47" i="4"/>
  <c r="BA46" i="4"/>
  <c r="AV46" i="4"/>
  <c r="AM46" i="4"/>
  <c r="AD46" i="4"/>
  <c r="U46" i="4"/>
  <c r="BA45" i="4"/>
  <c r="AV45" i="4"/>
  <c r="AM45" i="4"/>
  <c r="AD45" i="4"/>
  <c r="U45" i="4"/>
  <c r="BA44" i="4"/>
  <c r="AV44" i="4"/>
  <c r="AM44" i="4"/>
  <c r="AD44" i="4"/>
  <c r="U44" i="4"/>
  <c r="BA43" i="4"/>
  <c r="AV43" i="4"/>
  <c r="AM43" i="4"/>
  <c r="AD43" i="4"/>
  <c r="U43" i="4"/>
  <c r="BA42" i="4"/>
  <c r="AV42" i="4"/>
  <c r="AM42" i="4"/>
  <c r="AD42" i="4"/>
  <c r="U42" i="4"/>
  <c r="BA41" i="4"/>
  <c r="AV41" i="4"/>
  <c r="AM41" i="4"/>
  <c r="AD41" i="4"/>
  <c r="U41" i="4"/>
  <c r="BA40" i="4"/>
  <c r="AV40" i="4"/>
  <c r="AM40" i="4"/>
  <c r="AD40" i="4"/>
  <c r="U40" i="4"/>
  <c r="BA39" i="4"/>
  <c r="AV39" i="4"/>
  <c r="AM39" i="4"/>
  <c r="AD39" i="4"/>
  <c r="U39" i="4"/>
  <c r="BA38" i="4"/>
  <c r="AV38" i="4"/>
  <c r="AM38" i="4"/>
  <c r="AD38" i="4"/>
  <c r="U38" i="4"/>
  <c r="BA37" i="4"/>
  <c r="AV37" i="4"/>
  <c r="AM37" i="4"/>
  <c r="AD37" i="4"/>
  <c r="U37" i="4"/>
  <c r="BA36" i="4"/>
  <c r="AV36" i="4"/>
  <c r="AM36" i="4"/>
  <c r="AD36" i="4"/>
  <c r="U36" i="4"/>
  <c r="BA35" i="4"/>
  <c r="AV35" i="4"/>
  <c r="AM35" i="4"/>
  <c r="AD35" i="4"/>
  <c r="U35" i="4"/>
  <c r="BA34" i="4"/>
  <c r="AV34" i="4"/>
  <c r="AM34" i="4"/>
  <c r="AD34" i="4"/>
  <c r="U34" i="4"/>
  <c r="BA33" i="4"/>
  <c r="AV33" i="4"/>
  <c r="AM33" i="4"/>
  <c r="AD33" i="4"/>
  <c r="U33" i="4"/>
  <c r="BA32" i="4"/>
  <c r="AV32" i="4"/>
  <c r="AM32" i="4"/>
  <c r="AD32" i="4"/>
  <c r="U32" i="4"/>
  <c r="BA31" i="4"/>
  <c r="AV31" i="4"/>
  <c r="AM31" i="4"/>
  <c r="AD31" i="4"/>
  <c r="U31" i="4"/>
  <c r="BA30" i="4"/>
  <c r="AV30" i="4"/>
  <c r="AM30" i="4"/>
  <c r="AD30" i="4"/>
  <c r="U30" i="4"/>
  <c r="BA29" i="4"/>
  <c r="AV29" i="4"/>
  <c r="AM29" i="4"/>
  <c r="AD29" i="4"/>
  <c r="U29" i="4"/>
  <c r="BA28" i="4"/>
  <c r="AV28" i="4"/>
  <c r="AM28" i="4"/>
  <c r="AD28" i="4"/>
  <c r="U28" i="4"/>
  <c r="BA27" i="4"/>
  <c r="AV27" i="4"/>
  <c r="AM27" i="4"/>
  <c r="AD27" i="4"/>
  <c r="U27" i="4"/>
  <c r="BA26" i="4"/>
  <c r="AV26" i="4"/>
  <c r="AM26" i="4"/>
  <c r="AD26" i="4"/>
  <c r="U26" i="4"/>
  <c r="BA25" i="4"/>
  <c r="AV25" i="4"/>
  <c r="AM25" i="4"/>
  <c r="AD25" i="4"/>
  <c r="U25" i="4"/>
  <c r="BA24" i="4"/>
  <c r="AV24" i="4"/>
  <c r="AM24" i="4"/>
  <c r="AD24" i="4"/>
  <c r="U24" i="4"/>
  <c r="BA23" i="4"/>
  <c r="AV23" i="4"/>
  <c r="AM23" i="4"/>
  <c r="AD23" i="4"/>
  <c r="U23" i="4"/>
  <c r="BA22" i="4"/>
  <c r="AV22" i="4"/>
  <c r="AM22" i="4"/>
  <c r="AD22" i="4"/>
  <c r="U22" i="4"/>
  <c r="BA21" i="4"/>
  <c r="AV21" i="4"/>
  <c r="AM21" i="4"/>
  <c r="AD21" i="4"/>
  <c r="U21" i="4"/>
  <c r="BA20" i="4"/>
  <c r="AV20" i="4"/>
  <c r="AM20" i="4"/>
  <c r="AD20" i="4"/>
  <c r="U20" i="4"/>
  <c r="BA19" i="4"/>
  <c r="AV19" i="4"/>
  <c r="AM19" i="4"/>
  <c r="AD19" i="4"/>
  <c r="U19" i="4"/>
  <c r="BA18" i="4"/>
  <c r="AV18" i="4"/>
  <c r="AM18" i="4"/>
  <c r="AD18" i="4"/>
  <c r="U18" i="4"/>
  <c r="BA17" i="4"/>
  <c r="AV17" i="4"/>
  <c r="AM17" i="4"/>
  <c r="AD17" i="4"/>
  <c r="U17" i="4"/>
  <c r="BA16" i="4"/>
  <c r="AV16" i="4"/>
  <c r="AM16" i="4"/>
  <c r="AD16" i="4"/>
  <c r="U16" i="4"/>
  <c r="BA15" i="4"/>
  <c r="AV15" i="4"/>
  <c r="AM15" i="4"/>
  <c r="AD15" i="4"/>
  <c r="U15" i="4"/>
  <c r="BA14" i="4"/>
  <c r="AV14" i="4"/>
  <c r="AM14" i="4"/>
  <c r="AD14" i="4"/>
  <c r="U14" i="4"/>
  <c r="BA13" i="4"/>
  <c r="AV13" i="4"/>
  <c r="AM13" i="4"/>
  <c r="AD13" i="4"/>
  <c r="U13" i="4"/>
  <c r="BA12" i="4"/>
  <c r="AV12" i="4"/>
  <c r="AM12" i="4"/>
  <c r="AD12" i="4"/>
  <c r="U12" i="4"/>
  <c r="BA11" i="4"/>
  <c r="AV11" i="4"/>
  <c r="AM11" i="4"/>
  <c r="AD11" i="4"/>
  <c r="U11" i="4"/>
  <c r="BA10" i="4"/>
  <c r="AV10" i="4"/>
  <c r="AM10" i="4"/>
  <c r="AD10" i="4"/>
  <c r="U10" i="4"/>
  <c r="BA9" i="4"/>
  <c r="AV9" i="4"/>
  <c r="AM9" i="4"/>
  <c r="AD9" i="4"/>
  <c r="U9" i="4"/>
  <c r="BA8" i="4"/>
  <c r="AV8" i="4"/>
  <c r="AM8" i="4"/>
  <c r="AD8" i="4"/>
  <c r="U8" i="4"/>
  <c r="BA7" i="4"/>
  <c r="AV7" i="4"/>
  <c r="AM7" i="4"/>
  <c r="AD7" i="4"/>
  <c r="U7" i="4"/>
  <c r="BA6" i="4"/>
  <c r="AV6" i="4"/>
  <c r="AM6" i="4"/>
  <c r="AD6" i="4"/>
  <c r="U6" i="4"/>
  <c r="BA5" i="4"/>
  <c r="AV5" i="4"/>
  <c r="AM5" i="4"/>
  <c r="AD5" i="4"/>
  <c r="U5" i="4"/>
  <c r="BA4" i="4"/>
  <c r="AV4" i="4"/>
  <c r="AM4" i="4"/>
  <c r="AD4" i="4"/>
  <c r="U4" i="4"/>
  <c r="T73" i="3"/>
  <c r="T96" i="3"/>
  <c r="T76" i="3"/>
  <c r="T102" i="3"/>
  <c r="T67" i="3"/>
  <c r="T66" i="3"/>
  <c r="T6" i="3"/>
  <c r="T78" i="3"/>
  <c r="T63" i="3"/>
  <c r="T91" i="3"/>
  <c r="T21" i="3"/>
  <c r="T20" i="3"/>
  <c r="T14" i="3"/>
  <c r="T15" i="3"/>
  <c r="T17" i="3"/>
  <c r="T16" i="3"/>
  <c r="T12" i="3"/>
  <c r="T13" i="3"/>
  <c r="T23" i="3"/>
  <c r="T22" i="3"/>
  <c r="T25" i="3"/>
  <c r="T24" i="3"/>
  <c r="T19" i="3"/>
  <c r="T18" i="3"/>
  <c r="T42" i="3"/>
  <c r="T47" i="3"/>
  <c r="T46" i="3"/>
  <c r="T45" i="3"/>
  <c r="T49" i="3"/>
  <c r="T48" i="3"/>
  <c r="T44" i="3"/>
  <c r="T43" i="3"/>
  <c r="T32" i="3"/>
  <c r="T83" i="3"/>
  <c r="T82" i="3"/>
  <c r="T26" i="3"/>
  <c r="T54" i="3"/>
  <c r="T52" i="3"/>
  <c r="T51" i="3"/>
  <c r="T50" i="3"/>
  <c r="T53" i="3"/>
  <c r="T57" i="3"/>
  <c r="T61" i="3"/>
  <c r="T56" i="3"/>
  <c r="T60" i="3"/>
  <c r="T58" i="3"/>
  <c r="T59" i="3"/>
  <c r="T55" i="3"/>
  <c r="T81" i="3"/>
  <c r="T79" i="3"/>
  <c r="T80" i="3"/>
  <c r="T28" i="3"/>
  <c r="T27" i="3"/>
  <c r="T86" i="3"/>
  <c r="T65" i="3"/>
  <c r="T64" i="3"/>
  <c r="T111" i="3"/>
  <c r="T108" i="3"/>
  <c r="T90" i="3"/>
  <c r="T88" i="3"/>
  <c r="T89" i="3"/>
  <c r="T11" i="3"/>
  <c r="T30" i="3"/>
  <c r="T29" i="3"/>
  <c r="T31" i="3"/>
  <c r="T9" i="3"/>
  <c r="T7" i="3"/>
  <c r="T8" i="3"/>
  <c r="T40" i="3"/>
  <c r="T5" i="3"/>
  <c r="T85" i="3"/>
  <c r="T72" i="3"/>
  <c r="T95" i="3"/>
  <c r="T71" i="3"/>
  <c r="T94" i="3"/>
  <c r="T34" i="3"/>
  <c r="T84" i="3"/>
  <c r="T87" i="3"/>
  <c r="T41" i="3"/>
  <c r="T110" i="3"/>
  <c r="T109" i="3"/>
  <c r="T62" i="3"/>
  <c r="T10" i="3"/>
  <c r="T38" i="3"/>
  <c r="T37" i="3"/>
  <c r="T35" i="3"/>
  <c r="T39" i="3"/>
  <c r="T33" i="3"/>
  <c r="T36" i="3"/>
  <c r="T107" i="3"/>
  <c r="T106" i="3"/>
  <c r="T105" i="3"/>
  <c r="T104" i="3"/>
  <c r="T93" i="3"/>
  <c r="T77" i="3"/>
  <c r="T74" i="3"/>
  <c r="T75" i="3"/>
  <c r="T103" i="3"/>
  <c r="T92" i="3"/>
  <c r="T4" i="3"/>
  <c r="T101" i="3"/>
  <c r="T100" i="3"/>
  <c r="T99" i="3"/>
  <c r="T98" i="3"/>
  <c r="T97" i="3"/>
  <c r="AO411" i="16" l="1"/>
  <c r="AN665" i="16"/>
  <c r="AT106" i="16"/>
  <c r="AT409" i="16"/>
  <c r="AT411" i="16"/>
  <c r="AT198" i="16"/>
  <c r="AO665" i="16"/>
  <c r="AT665" i="16"/>
  <c r="AN409" i="16"/>
  <c r="AO412" i="16"/>
  <c r="AO413" i="16"/>
  <c r="AT413" i="16"/>
  <c r="AT379" i="16"/>
  <c r="AT107" i="16"/>
  <c r="AN411" i="16"/>
  <c r="AO379" i="16"/>
  <c r="AN379" i="16"/>
  <c r="AN107" i="16"/>
  <c r="AO107" i="16"/>
  <c r="AP107" i="16" s="1"/>
  <c r="AQ107" i="16" s="1"/>
  <c r="AR107" i="16" s="1"/>
  <c r="I91" i="16"/>
  <c r="J91" i="16" s="1"/>
  <c r="K91" i="16" s="1"/>
  <c r="J88" i="16"/>
  <c r="K88" i="16" s="1"/>
  <c r="AT26" i="16"/>
  <c r="AN106" i="16"/>
  <c r="AO106" i="16"/>
  <c r="AP106" i="16" s="1"/>
  <c r="AQ106" i="16" s="1"/>
  <c r="AR106" i="16" s="1"/>
  <c r="AN414" i="16"/>
  <c r="AO414" i="16"/>
  <c r="AN413" i="16"/>
  <c r="AO409" i="16"/>
  <c r="AT412" i="16"/>
  <c r="AT414" i="16"/>
  <c r="K13" i="16"/>
  <c r="J108" i="16"/>
  <c r="K108" i="16" s="1"/>
</calcChain>
</file>

<file path=xl/sharedStrings.xml><?xml version="1.0" encoding="utf-8"?>
<sst xmlns="http://schemas.openxmlformats.org/spreadsheetml/2006/main" count="52882" uniqueCount="4256">
  <si>
    <t>Habitat</t>
  </si>
  <si>
    <t>Latitude</t>
  </si>
  <si>
    <t>absLatitude</t>
  </si>
  <si>
    <t>Stage</t>
  </si>
  <si>
    <t>Common</t>
  </si>
  <si>
    <t>Kingdom</t>
  </si>
  <si>
    <t>Phylum</t>
  </si>
  <si>
    <t>Class</t>
  </si>
  <si>
    <t>Order</t>
  </si>
  <si>
    <t>Family</t>
  </si>
  <si>
    <t>Species</t>
  </si>
  <si>
    <t>AccTime</t>
  </si>
  <si>
    <t>LogAccTime</t>
  </si>
  <si>
    <t>Citation</t>
  </si>
  <si>
    <t>LogMass</t>
  </si>
  <si>
    <t>No.Temp</t>
  </si>
  <si>
    <t>TestTempRange</t>
  </si>
  <si>
    <t>C</t>
  </si>
  <si>
    <t>73C</t>
  </si>
  <si>
    <t>freshwater</t>
  </si>
  <si>
    <t>carnivore</t>
  </si>
  <si>
    <t>banded pennant dragonfly</t>
  </si>
  <si>
    <t>Animalia</t>
  </si>
  <si>
    <t>Arthropoda</t>
  </si>
  <si>
    <t>Insecta</t>
  </si>
  <si>
    <t>Odonata</t>
  </si>
  <si>
    <t>Libellulidae</t>
  </si>
  <si>
    <t>Celithemis fasciata</t>
  </si>
  <si>
    <t>75C</t>
  </si>
  <si>
    <t>473C</t>
  </si>
  <si>
    <t>marine</t>
  </si>
  <si>
    <t>omnivore</t>
  </si>
  <si>
    <t>atlantic herring</t>
  </si>
  <si>
    <t>Chordata</t>
  </si>
  <si>
    <t>Actinopterygii</t>
  </si>
  <si>
    <t>Clupeiformes</t>
  </si>
  <si>
    <t>Clupeidae</t>
  </si>
  <si>
    <t>Clupea harengus</t>
  </si>
  <si>
    <t>473R</t>
  </si>
  <si>
    <t>herbivore</t>
  </si>
  <si>
    <t>36152R</t>
  </si>
  <si>
    <t>terrestrial</t>
  </si>
  <si>
    <t>eastern fence lizard</t>
  </si>
  <si>
    <t>Reptilia</t>
  </si>
  <si>
    <t>Squamata</t>
  </si>
  <si>
    <t>Phrynosomatidae</t>
  </si>
  <si>
    <t>Sceloporus undulatus</t>
  </si>
  <si>
    <t>36153R</t>
  </si>
  <si>
    <t>36155R</t>
  </si>
  <si>
    <t>36164R</t>
  </si>
  <si>
    <t>36194R</t>
  </si>
  <si>
    <t>bucktoothed tetra</t>
  </si>
  <si>
    <t>Characiformes</t>
  </si>
  <si>
    <t>Characidae</t>
  </si>
  <si>
    <t>Exodon paradoxus</t>
  </si>
  <si>
    <t>36195R</t>
  </si>
  <si>
    <t>black banded leporinus</t>
  </si>
  <si>
    <t>Anostomidae</t>
  </si>
  <si>
    <t>Leporinus fasciatus</t>
  </si>
  <si>
    <t>36214R</t>
  </si>
  <si>
    <t>sockeye salmon</t>
  </si>
  <si>
    <t>Salmoniformes</t>
  </si>
  <si>
    <t>Salmonidae</t>
  </si>
  <si>
    <t>Oncorhynchus nerka</t>
  </si>
  <si>
    <t>36249R</t>
  </si>
  <si>
    <t>zebra danio</t>
  </si>
  <si>
    <t>Cypriniformes</t>
  </si>
  <si>
    <t>Cyprinidae</t>
  </si>
  <si>
    <t>Danio rerio</t>
  </si>
  <si>
    <t>36262R</t>
  </si>
  <si>
    <t>colubrid snake</t>
  </si>
  <si>
    <t>Colubridae</t>
  </si>
  <si>
    <t>Natrix maura</t>
  </si>
  <si>
    <t>36507R</t>
  </si>
  <si>
    <t>pacific tree frog</t>
  </si>
  <si>
    <t>Amphibia</t>
  </si>
  <si>
    <t>Anura</t>
  </si>
  <si>
    <t>Hylidae</t>
  </si>
  <si>
    <t>Hyla regilla</t>
  </si>
  <si>
    <t>36509R</t>
  </si>
  <si>
    <t>36511R</t>
  </si>
  <si>
    <t>36694R</t>
  </si>
  <si>
    <t>lesser grain borer</t>
  </si>
  <si>
    <t>Coleoptera</t>
  </si>
  <si>
    <t>Bostrichidae</t>
  </si>
  <si>
    <t>Rhyzopertha dominica</t>
  </si>
  <si>
    <t>36695R</t>
  </si>
  <si>
    <t>36696R</t>
  </si>
  <si>
    <t>36697R</t>
  </si>
  <si>
    <t>37711C</t>
  </si>
  <si>
    <t>soft-shell clam</t>
  </si>
  <si>
    <t>Mollusca</t>
  </si>
  <si>
    <t>Bivalvia</t>
  </si>
  <si>
    <t>Myoida</t>
  </si>
  <si>
    <t>Myidae</t>
  </si>
  <si>
    <t>Mya arenaria</t>
  </si>
  <si>
    <t>37875R</t>
  </si>
  <si>
    <t>wandering garter snake</t>
  </si>
  <si>
    <t>Thamnophis elegans vagrans</t>
  </si>
  <si>
    <t>37930R</t>
  </si>
  <si>
    <t>australian ground frog</t>
  </si>
  <si>
    <t>Limnodynastidae</t>
  </si>
  <si>
    <t>Limnodynastes tasmaniensis</t>
  </si>
  <si>
    <t>37931R</t>
  </si>
  <si>
    <t>37935C</t>
  </si>
  <si>
    <t>blue mussel</t>
  </si>
  <si>
    <t>Mytiloida</t>
  </si>
  <si>
    <t>Mytilidae</t>
  </si>
  <si>
    <t>Mytilus edulis</t>
  </si>
  <si>
    <t>37936C</t>
  </si>
  <si>
    <t>37937C</t>
  </si>
  <si>
    <t>38087R</t>
  </si>
  <si>
    <t>day gecko</t>
  </si>
  <si>
    <t>Gekkonidae</t>
  </si>
  <si>
    <t>Phelsuma dubia</t>
  </si>
  <si>
    <t>38088R</t>
  </si>
  <si>
    <t>38095R</t>
  </si>
  <si>
    <t>39584C</t>
  </si>
  <si>
    <t>cotton aphid</t>
  </si>
  <si>
    <t>Hemiptera</t>
  </si>
  <si>
    <t>Aphididae</t>
  </si>
  <si>
    <t>Aphis gossypii</t>
  </si>
  <si>
    <t>39585C</t>
  </si>
  <si>
    <t>39733C</t>
  </si>
  <si>
    <t>blue mold</t>
  </si>
  <si>
    <t>Fungi</t>
  </si>
  <si>
    <t>Ascomycota</t>
  </si>
  <si>
    <t>Ascomycetes</t>
  </si>
  <si>
    <t>Eurotiales</t>
  </si>
  <si>
    <t>Trichocomaceae</t>
  </si>
  <si>
    <t>Paecilomyces fumosoroseus</t>
  </si>
  <si>
    <t>39734C</t>
  </si>
  <si>
    <t>39735C</t>
  </si>
  <si>
    <t>39736C</t>
  </si>
  <si>
    <t>39737C</t>
  </si>
  <si>
    <t>39738C</t>
  </si>
  <si>
    <t>39740C</t>
  </si>
  <si>
    <t>39741C</t>
  </si>
  <si>
    <t>39742C</t>
  </si>
  <si>
    <t>39743C</t>
  </si>
  <si>
    <t>39744C</t>
  </si>
  <si>
    <t>39745C</t>
  </si>
  <si>
    <t>39746C</t>
  </si>
  <si>
    <t>39747C</t>
  </si>
  <si>
    <t>39748C</t>
  </si>
  <si>
    <t>39749C</t>
  </si>
  <si>
    <t>39758C</t>
  </si>
  <si>
    <t>39759C</t>
  </si>
  <si>
    <t>39760C</t>
  </si>
  <si>
    <t>39761C</t>
  </si>
  <si>
    <t>39762C</t>
  </si>
  <si>
    <t>39763C</t>
  </si>
  <si>
    <t>39764C</t>
  </si>
  <si>
    <t>39765C</t>
  </si>
  <si>
    <t>39766C</t>
  </si>
  <si>
    <t>39767C</t>
  </si>
  <si>
    <t>39768C</t>
  </si>
  <si>
    <t>39769C</t>
  </si>
  <si>
    <t>36433C</t>
  </si>
  <si>
    <t>cockle</t>
  </si>
  <si>
    <t>Veneroida</t>
  </si>
  <si>
    <t>Cardiidae</t>
  </si>
  <si>
    <t>Cardium lamarcki</t>
  </si>
  <si>
    <t>38325C</t>
  </si>
  <si>
    <t>common cockle</t>
  </si>
  <si>
    <t>Cerastoderma edule</t>
  </si>
  <si>
    <t>523C</t>
  </si>
  <si>
    <t>38326C</t>
  </si>
  <si>
    <t>36182R</t>
  </si>
  <si>
    <t>37719C</t>
  </si>
  <si>
    <t>sponge</t>
  </si>
  <si>
    <t>Porifera</t>
  </si>
  <si>
    <t>Demospongiae</t>
  </si>
  <si>
    <t>Halichondrida</t>
  </si>
  <si>
    <t>Halichondriidae</t>
  </si>
  <si>
    <t>Halichondria panicea</t>
  </si>
  <si>
    <t>37722C</t>
  </si>
  <si>
    <t>480C</t>
  </si>
  <si>
    <t>ragworm</t>
  </si>
  <si>
    <t>Annelida</t>
  </si>
  <si>
    <t>Polychaeta</t>
  </si>
  <si>
    <t>Aciculata</t>
  </si>
  <si>
    <t>Nereididae</t>
  </si>
  <si>
    <t>Nereis diversicolor</t>
  </si>
  <si>
    <t>494C</t>
  </si>
  <si>
    <t>496C</t>
  </si>
  <si>
    <t>36137C</t>
  </si>
  <si>
    <t>38039R</t>
  </si>
  <si>
    <t>lucerne aphid parasite</t>
  </si>
  <si>
    <t>Hymenoptera</t>
  </si>
  <si>
    <t>Braconidae</t>
  </si>
  <si>
    <t>Aphidius ervi</t>
  </si>
  <si>
    <t>679R</t>
  </si>
  <si>
    <t>back-swimmer</t>
  </si>
  <si>
    <t>Notonectidae</t>
  </si>
  <si>
    <t>Notonecta kirbyi</t>
  </si>
  <si>
    <t>36511C</t>
  </si>
  <si>
    <t>36150C</t>
  </si>
  <si>
    <t>zebra mussel</t>
  </si>
  <si>
    <t>Dreissenidae</t>
  </si>
  <si>
    <t>Dreissena polymorpha</t>
  </si>
  <si>
    <t>large psammodromus lizard</t>
  </si>
  <si>
    <t>Lacertidae</t>
  </si>
  <si>
    <t>Psammodromus algirus</t>
  </si>
  <si>
    <t>Diptera</t>
  </si>
  <si>
    <t>Calliphoridae</t>
  </si>
  <si>
    <t>Calliphora spp.</t>
  </si>
  <si>
    <t>720C</t>
  </si>
  <si>
    <t>720R</t>
  </si>
  <si>
    <t>wingless blowfly</t>
  </si>
  <si>
    <t>38300C</t>
  </si>
  <si>
    <t>south african abalone</t>
  </si>
  <si>
    <t>Gastropoda</t>
  </si>
  <si>
    <t>Archaeogastropoda</t>
  </si>
  <si>
    <t>Haliotididae</t>
  </si>
  <si>
    <t>Haliotis midae</t>
  </si>
  <si>
    <t>38301C</t>
  </si>
  <si>
    <t>73R</t>
  </si>
  <si>
    <t>chironomid</t>
  </si>
  <si>
    <t>Chironomidae</t>
  </si>
  <si>
    <t>Chironomus tentans</t>
  </si>
  <si>
    <t>75R</t>
  </si>
  <si>
    <t>38298C</t>
  </si>
  <si>
    <t>38299C</t>
  </si>
  <si>
    <t>469C</t>
  </si>
  <si>
    <t>39739C</t>
  </si>
  <si>
    <t>39750C</t>
  </si>
  <si>
    <t>39751C</t>
  </si>
  <si>
    <t>39752C</t>
  </si>
  <si>
    <t>39753C</t>
  </si>
  <si>
    <t>39754C</t>
  </si>
  <si>
    <t>39755C</t>
  </si>
  <si>
    <t>39756C</t>
  </si>
  <si>
    <t>39757C</t>
  </si>
  <si>
    <t>39673C</t>
  </si>
  <si>
    <t>telenomus wasp</t>
  </si>
  <si>
    <t>Scelionidae</t>
  </si>
  <si>
    <t>Telenomus isis</t>
  </si>
  <si>
    <t>39673R</t>
  </si>
  <si>
    <t>self</t>
  </si>
  <si>
    <t>maize stalk borer</t>
  </si>
  <si>
    <t>Lepidoptera</t>
  </si>
  <si>
    <t>Noctuidae</t>
  </si>
  <si>
    <t>Busseola fusca</t>
  </si>
  <si>
    <t>39675C</t>
  </si>
  <si>
    <t>39675R</t>
  </si>
  <si>
    <t>corn stalkborer</t>
  </si>
  <si>
    <t>Sesamia nonagrioides</t>
  </si>
  <si>
    <t>39676C</t>
  </si>
  <si>
    <t>39676R</t>
  </si>
  <si>
    <t>39677C</t>
  </si>
  <si>
    <t>39677R</t>
  </si>
  <si>
    <t>durra stemborer</t>
  </si>
  <si>
    <t>Sesamia calamistis</t>
  </si>
  <si>
    <t>39678C</t>
  </si>
  <si>
    <t>39678R</t>
  </si>
  <si>
    <t>39691C</t>
  </si>
  <si>
    <t>39691R</t>
  </si>
  <si>
    <t>39692C</t>
  </si>
  <si>
    <t>39692R</t>
  </si>
  <si>
    <t>39693C</t>
  </si>
  <si>
    <t>39693R</t>
  </si>
  <si>
    <t>39694C</t>
  </si>
  <si>
    <t>39694R</t>
  </si>
  <si>
    <t>39695C</t>
  </si>
  <si>
    <t>39695R</t>
  </si>
  <si>
    <t>39696C</t>
  </si>
  <si>
    <t>39696R</t>
  </si>
  <si>
    <t>Latitudes&lt;25</t>
  </si>
  <si>
    <t>Topt</t>
  </si>
  <si>
    <t>AccTemp</t>
  </si>
  <si>
    <t>Trophic</t>
  </si>
  <si>
    <t>Mass</t>
  </si>
  <si>
    <t>BreadthNotLogTrans</t>
  </si>
  <si>
    <t>Exclude&gt;TempRange</t>
  </si>
  <si>
    <t>524C</t>
  </si>
  <si>
    <t>include</t>
  </si>
  <si>
    <t>36437C</t>
  </si>
  <si>
    <t>exclude</t>
  </si>
  <si>
    <t>303C</t>
  </si>
  <si>
    <t>Perca flavescens</t>
  </si>
  <si>
    <t>yellow perch</t>
  </si>
  <si>
    <t>Perciformes</t>
  </si>
  <si>
    <t>Percidae</t>
  </si>
  <si>
    <t>303R</t>
  </si>
  <si>
    <t>Coregonus clupeaformis</t>
  </si>
  <si>
    <t>lake whitefish</t>
  </si>
  <si>
    <t>305C</t>
  </si>
  <si>
    <t>305R</t>
  </si>
  <si>
    <t>39613C</t>
  </si>
  <si>
    <t>Eucalyptus regnans</t>
  </si>
  <si>
    <t>producer</t>
  </si>
  <si>
    <t>mountain ash</t>
  </si>
  <si>
    <t>Plantae</t>
  </si>
  <si>
    <t>Magnoliophyta</t>
  </si>
  <si>
    <t>Magnoliopsida</t>
  </si>
  <si>
    <t>Myrtales</t>
  </si>
  <si>
    <t>Myrtaceae</t>
  </si>
  <si>
    <t>304C</t>
  </si>
  <si>
    <t>304R</t>
  </si>
  <si>
    <t>LogBreadth</t>
  </si>
  <si>
    <t>ID</t>
  </si>
  <si>
    <t>LogMass&gt;10^-5</t>
  </si>
  <si>
    <t>Record</t>
  </si>
  <si>
    <t>Family1</t>
  </si>
  <si>
    <t>Genus1</t>
  </si>
  <si>
    <t>Species1</t>
  </si>
  <si>
    <t>Family2</t>
  </si>
  <si>
    <t>Genus2</t>
  </si>
  <si>
    <t>Species2</t>
  </si>
  <si>
    <t>Family3</t>
  </si>
  <si>
    <t>Genus3</t>
  </si>
  <si>
    <t>Species3</t>
  </si>
  <si>
    <t>N numb</t>
  </si>
  <si>
    <t>N cat</t>
  </si>
  <si>
    <t>N comment</t>
  </si>
  <si>
    <t>Raw CTM1</t>
  </si>
  <si>
    <t>Raw CTM2</t>
  </si>
  <si>
    <t>Acclim</t>
  </si>
  <si>
    <t>Safety</t>
  </si>
  <si>
    <t>Heating rate</t>
  </si>
  <si>
    <t>Photoperiod</t>
  </si>
  <si>
    <t>EP1</t>
  </si>
  <si>
    <t>EP1 descrip</t>
  </si>
  <si>
    <t>EP2</t>
  </si>
  <si>
    <t>Elevation</t>
  </si>
  <si>
    <t>Log Elevation</t>
  </si>
  <si>
    <t>Locality</t>
  </si>
  <si>
    <t>Geog cat</t>
  </si>
  <si>
    <t>Abs lat</t>
  </si>
  <si>
    <t>Log Abs Lat</t>
  </si>
  <si>
    <t>Longitude</t>
  </si>
  <si>
    <t>Source</t>
  </si>
  <si>
    <t>Comments</t>
  </si>
  <si>
    <t>Year</t>
  </si>
  <si>
    <t>Reference</t>
  </si>
  <si>
    <t>Range</t>
  </si>
  <si>
    <t>Log Range</t>
  </si>
  <si>
    <t>Introduced</t>
  </si>
  <si>
    <t>Elev min</t>
  </si>
  <si>
    <t>Elev max</t>
  </si>
  <si>
    <t>SVL</t>
  </si>
  <si>
    <t>log SVL</t>
  </si>
  <si>
    <t>Aquatic</t>
  </si>
  <si>
    <t>IUCN 2014</t>
  </si>
  <si>
    <t>IUCN 2104risk</t>
  </si>
  <si>
    <t>tmxslope</t>
  </si>
  <si>
    <t>BIOCLIM5</t>
  </si>
  <si>
    <t>Caudata</t>
  </si>
  <si>
    <t>Plethodontidae</t>
  </si>
  <si>
    <t>Desmognathus</t>
  </si>
  <si>
    <t>fuscus</t>
  </si>
  <si>
    <t>Adult</t>
  </si>
  <si>
    <t>A</t>
  </si>
  <si>
    <t>Given</t>
  </si>
  <si>
    <t>NA</t>
  </si>
  <si>
    <t>Y</t>
  </si>
  <si>
    <t>0</t>
  </si>
  <si>
    <t>12:12</t>
  </si>
  <si>
    <t>L</t>
  </si>
  <si>
    <t>Animals unresponsive to prodding</t>
  </si>
  <si>
    <t>Preble County, Ohio</t>
  </si>
  <si>
    <t>Temperate</t>
  </si>
  <si>
    <t>Field</t>
  </si>
  <si>
    <t>Layne and Claussen 1982b</t>
  </si>
  <si>
    <t>Layne, J. R., and D. L. Claussen. 1982. The time courses of CTMax and CTMin acclimation in the salamander Desmognathus fuscus. Journal of Thermal Biology 7:139-141.</t>
  </si>
  <si>
    <t>Not introduced</t>
  </si>
  <si>
    <t>Terrestrial</t>
  </si>
  <si>
    <t>Not threatened</t>
  </si>
  <si>
    <t>Ranidae</t>
  </si>
  <si>
    <t>Rana</t>
  </si>
  <si>
    <t>clamitans</t>
  </si>
  <si>
    <t>Loss of righting response</t>
  </si>
  <si>
    <t>Long Island, New York</t>
  </si>
  <si>
    <t>Brattstrom and Lawrence 1962</t>
  </si>
  <si>
    <t>Brattstrom, B. H., and P. Lawrence. 1962. The rate of thermal acclimation in anuran amphibians. Physiological Zoology 35:148-156.</t>
  </si>
  <si>
    <t>0.5</t>
  </si>
  <si>
    <t>Ambystomatidae</t>
  </si>
  <si>
    <t>Ambystoma</t>
  </si>
  <si>
    <t>tigrinum</t>
  </si>
  <si>
    <t>larva</t>
  </si>
  <si>
    <t>B</t>
  </si>
  <si>
    <t>N given</t>
  </si>
  <si>
    <t>1</t>
  </si>
  <si>
    <t>24:0</t>
  </si>
  <si>
    <t>Buffalo County, Nebraska</t>
  </si>
  <si>
    <t>Nietfeldt et al. 1980</t>
  </si>
  <si>
    <t>Nietfeldt, J. W., S. M. Jones, D. L. Droge, and R. E. Ballinger. 1980. Rate of thermal acclimation in larval Ambystoma tigrinum. Journal of Herpetology 14:209-211.</t>
  </si>
  <si>
    <t>Aquatic &amp; terrestrial</t>
  </si>
  <si>
    <t>Bufonidae</t>
  </si>
  <si>
    <t>Bufo</t>
  </si>
  <si>
    <t>fowleri</t>
  </si>
  <si>
    <t>Anaxyrus</t>
  </si>
  <si>
    <t>Eurycea</t>
  </si>
  <si>
    <t>bislineata</t>
  </si>
  <si>
    <t>Layne and Claussen 1982</t>
  </si>
  <si>
    <t>Layne Jr, J. R., and D. L. Claussen. 1982. Seasonal variation in the thermal acclimation of critical thermal maxima (CTMax) and minima (CTMin) in the salamander Eurycea bislineata. Journal of Thermal Biology 7:29-33.</t>
  </si>
  <si>
    <t>catesbeiana</t>
  </si>
  <si>
    <t>Lithobates</t>
  </si>
  <si>
    <t>palustris</t>
  </si>
  <si>
    <t>pipiens</t>
  </si>
  <si>
    <t>0:24</t>
  </si>
  <si>
    <t>Supplier</t>
  </si>
  <si>
    <t>Location estimated</t>
  </si>
  <si>
    <t>marinus</t>
  </si>
  <si>
    <t>Rhinella</t>
  </si>
  <si>
    <t>marina</t>
  </si>
  <si>
    <t>Barro Colorado Island, Panama</t>
  </si>
  <si>
    <t>Tropical</t>
  </si>
  <si>
    <t>Sherman et al. 1991</t>
  </si>
  <si>
    <t>Sherman, E., L. Baldwin, G. Fernandez, and E. Deurell. 1991. Fever and thermal tolerance in the toad Bufo marinus. Journal of Thermal Biology 16:297-301.</t>
  </si>
  <si>
    <t>Scaphiopodidae</t>
  </si>
  <si>
    <t>Scaphiopus</t>
  </si>
  <si>
    <t>holbrookii</t>
  </si>
  <si>
    <t>2</t>
  </si>
  <si>
    <t>Melanophryniscus</t>
  </si>
  <si>
    <t xml:space="preserve">rubriventris </t>
  </si>
  <si>
    <t>S</t>
  </si>
  <si>
    <t>Onset of spasms</t>
  </si>
  <si>
    <t>Abra Colorada, Argentina</t>
  </si>
  <si>
    <t>Subtropical</t>
  </si>
  <si>
    <t>Low melanism</t>
  </si>
  <si>
    <t>Sanabria et al. 2014</t>
  </si>
  <si>
    <t>Sanabria, E. A., M. Vaira, L. B. Quiroga, M. S. Akmentins, and L. C. Pereyra. 2014. Variation of thermal parameters in two different color morphs of a diurnal poison toad, Melanophryniscus rubriventris (Anura: Bufonidae). Journal of Thermal Biology 41:1-5.</t>
  </si>
  <si>
    <t>Angosto de Jaire, Argentina</t>
  </si>
  <si>
    <t>High melanism</t>
  </si>
  <si>
    <t>Leptodactylidae</t>
  </si>
  <si>
    <t>Pleurodema</t>
  </si>
  <si>
    <t>nebulosum</t>
  </si>
  <si>
    <t>nebulosa</t>
  </si>
  <si>
    <t>Juvenile</t>
  </si>
  <si>
    <t>San Juan, Argentina</t>
  </si>
  <si>
    <t>Sanabria et al. 2013</t>
  </si>
  <si>
    <t>Sanabria, E. A., L. B. Quiroga, E. Gonzalez, D. Moreno, and A. Cataldo. 2013. Thermal parameters and locomotor performance in juvenile of Pleurodema nebulosum (Anura: Leptodactylidae) from the Monte Desert. Journal of Thermal Biology 38:390-395.</t>
  </si>
  <si>
    <t>3</t>
  </si>
  <si>
    <t>americanus</t>
  </si>
  <si>
    <t>Motionless and no longer responded to mechanical stimulation with forceps</t>
  </si>
  <si>
    <t>Clemson, South Carolina</t>
  </si>
  <si>
    <t>Gosner stage 46</t>
  </si>
  <si>
    <t>Cupp 1980</t>
  </si>
  <si>
    <t>Cupp, P. V. 1980. Thermal tolerance of five salientian amphibians during development and metamorphosis. Herpetologica 36:234-244.</t>
  </si>
  <si>
    <t>Gosner stage 43</t>
  </si>
  <si>
    <t>Gosner stage 29</t>
  </si>
  <si>
    <t>Gosner stage 42</t>
  </si>
  <si>
    <t>Gosner stage 41</t>
  </si>
  <si>
    <t>Gosner stage 36</t>
  </si>
  <si>
    <t>Gosner stage 39</t>
  </si>
  <si>
    <t>woodhousii</t>
  </si>
  <si>
    <t>Gosner stage 27</t>
  </si>
  <si>
    <t>Gosner stage 32</t>
  </si>
  <si>
    <t>Strabomantidae</t>
  </si>
  <si>
    <t>Bryophryne</t>
  </si>
  <si>
    <t>cophites</t>
  </si>
  <si>
    <t>Craugastoridae</t>
  </si>
  <si>
    <t>Phrynopus</t>
  </si>
  <si>
    <t>Category</t>
  </si>
  <si>
    <t>Manu National Park, Peru</t>
  </si>
  <si>
    <t>Catenazzi et al. 2014</t>
  </si>
  <si>
    <t>Catenazzi, A., E. Lehr, and V. T. Vredenburg. 2014. Thermal physiology, disease, and amphibian declines on the eastern slopes of the Andes. Conservation Biology 28:509-517.</t>
  </si>
  <si>
    <t>Threatened</t>
  </si>
  <si>
    <t>hanssaueri</t>
  </si>
  <si>
    <t>New species</t>
  </si>
  <si>
    <t>nubilosus</t>
  </si>
  <si>
    <t xml:space="preserve">Eleutherodactylus </t>
  </si>
  <si>
    <t>cundalli</t>
  </si>
  <si>
    <t>Eleutherodactylidae</t>
  </si>
  <si>
    <t>Absence of muscle tone and failure to respond to being picked up</t>
  </si>
  <si>
    <t>Saint Mary's Parish, Jamaica</t>
  </si>
  <si>
    <t>Pough et al. 1977</t>
  </si>
  <si>
    <t>Pough, F. H., M. M. Stewart, and R. G. Thomas. 1977. Physiological basis of habitat partitioning in Jamaican Eleutherodactylus. Oecologia 27:285-293.</t>
  </si>
  <si>
    <t>gossei</t>
  </si>
  <si>
    <t>johnstonei</t>
  </si>
  <si>
    <t>Arboreal</t>
  </si>
  <si>
    <t>planirostris</t>
  </si>
  <si>
    <t>Microhylidae</t>
  </si>
  <si>
    <t>Gastrophryne</t>
  </si>
  <si>
    <t>carolinensis</t>
  </si>
  <si>
    <t>Hypsiboas</t>
  </si>
  <si>
    <t>faber</t>
  </si>
  <si>
    <t>When tadpoles did not move after five consecutive taps</t>
  </si>
  <si>
    <t>Boracéia Ecological Station, São Paulo, Brazil</t>
  </si>
  <si>
    <t>Clutch 1</t>
  </si>
  <si>
    <t>Simon et al. 2015</t>
  </si>
  <si>
    <t>Simon, M. N., P. L. Ribeiro, C. A. Navas. 2015. Upper thermal tolerance plasticity in tropical amphibian species from contrasting habitats: implications for warming impact prediction. Journal of Thermal Biology 48:36-44.</t>
  </si>
  <si>
    <t>Clutch 2</t>
  </si>
  <si>
    <t>sylvatica</t>
  </si>
  <si>
    <t>sylvaticus</t>
  </si>
  <si>
    <t>Highlands, North Carolina</t>
  </si>
  <si>
    <t>Physalaemus</t>
  </si>
  <si>
    <t>cuvieri</t>
  </si>
  <si>
    <t>Clutch 4</t>
  </si>
  <si>
    <t>Clutch 3</t>
  </si>
  <si>
    <t>diplolistris</t>
  </si>
  <si>
    <t>diplolister</t>
  </si>
  <si>
    <t>Angicos, Rio Grande do Norte, Brazil</t>
  </si>
  <si>
    <t>Pristimantis</t>
  </si>
  <si>
    <t>danae</t>
  </si>
  <si>
    <t>pharangobates</t>
  </si>
  <si>
    <t>rhabdolaemus</t>
  </si>
  <si>
    <t>salaputium</t>
  </si>
  <si>
    <t>toftae</t>
  </si>
  <si>
    <t>Hyla</t>
  </si>
  <si>
    <t>regilla</t>
  </si>
  <si>
    <t>Pseudacris</t>
  </si>
  <si>
    <t>Clinton, Montana</t>
  </si>
  <si>
    <t>Claussen 1973</t>
  </si>
  <si>
    <t>Claussen, D. L. 1973. The thermal relations of the tailed frog, Ascaphus truei, and the pacific treefrog, Hyla regilla. Comparative Biochemistry and Physiology part A 44:137-153.</t>
  </si>
  <si>
    <t>triseriata</t>
  </si>
  <si>
    <t>Psychrophrynella</t>
  </si>
  <si>
    <t>usurpator</t>
  </si>
  <si>
    <t>icterica</t>
  </si>
  <si>
    <t>ictericus</t>
  </si>
  <si>
    <t>Clutch 5</t>
  </si>
  <si>
    <t>St. Croix, Virgin Islands</t>
  </si>
  <si>
    <t>McManus and Nellis 1975</t>
  </si>
  <si>
    <t>McManus, J. J., and D. W. Nellis. 1975. The critical thermal maximum of the marine toad Bufo marinus. Caribbean Journal of Science 15:67-70.</t>
  </si>
  <si>
    <t>Alytidae</t>
  </si>
  <si>
    <t>Alytes</t>
  </si>
  <si>
    <t>cisternasii</t>
  </si>
  <si>
    <t>Iberian Peninsula</t>
  </si>
  <si>
    <t>Duarte et al. 2012</t>
  </si>
  <si>
    <t>Duarte, H., M. Tejedo, M. Katzenberger, F. Marangoni, D. Baldo, J. F. Beltrán, D. A. Martí, A. Richter-Boix, and A. Gonzalez-Voyer. 2012. Can amphibians take the heat? Vulnerability to climate warming in subtropical and temperate larval amphibian communities. Global Change Biology 18:412-421.</t>
  </si>
  <si>
    <t>dickhilleni</t>
  </si>
  <si>
    <t>muletensis</t>
  </si>
  <si>
    <t>4</t>
  </si>
  <si>
    <t>Gosner stage 44</t>
  </si>
  <si>
    <t>bufo</t>
  </si>
  <si>
    <t>Ceratophryidae</t>
  </si>
  <si>
    <t>Ceratophrys</t>
  </si>
  <si>
    <t>cranwelli</t>
  </si>
  <si>
    <t>Northern Argentina</t>
  </si>
  <si>
    <t>Hylodidae</t>
  </si>
  <si>
    <t>Crossodactylus</t>
  </si>
  <si>
    <t>schmidti</t>
  </si>
  <si>
    <t>Northeastern Argentina</t>
  </si>
  <si>
    <t>Dendropsophus</t>
  </si>
  <si>
    <t>minutus</t>
  </si>
  <si>
    <t>minuta</t>
  </si>
  <si>
    <t>Dermatonotus</t>
  </si>
  <si>
    <t>muelleri</t>
  </si>
  <si>
    <t>Discoglossus</t>
  </si>
  <si>
    <t>galganoi</t>
  </si>
  <si>
    <t>Discoglossidae</t>
  </si>
  <si>
    <t>Elachistocleis</t>
  </si>
  <si>
    <t>bicolor</t>
  </si>
  <si>
    <t>Epidalea</t>
  </si>
  <si>
    <t>calamita</t>
  </si>
  <si>
    <t>Gosner stage 24</t>
  </si>
  <si>
    <t>arborea</t>
  </si>
  <si>
    <t>meridionalis</t>
  </si>
  <si>
    <t>versicolor</t>
  </si>
  <si>
    <t>Complete immobility</t>
  </si>
  <si>
    <t>Pittsburgh, Pennsylvania</t>
  </si>
  <si>
    <t>Katzenberger et al. 2014</t>
  </si>
  <si>
    <t>Katzenberger, M., J. Hammond, H. Duarte, M. Tejedo, C. Calabuig, and R. A. Relyea. 2014. Swimming with predators and pesticides: how environmental stressors affect the thermal physiology of tadpoles. PLoS ONE 9:e98265.</t>
  </si>
  <si>
    <t xml:space="preserve">Rana </t>
  </si>
  <si>
    <t>erythraea</t>
  </si>
  <si>
    <t>Hylarana</t>
  </si>
  <si>
    <t>Missing</t>
  </si>
  <si>
    <t>Mt. Banahaw, Philippines</t>
  </si>
  <si>
    <t>Scheffers et al. 2014</t>
  </si>
  <si>
    <t xml:space="preserve">Scheffers, B. R., D. P. Edwards, A. Diesmos, S. E. Williams, and T. A. Evans. 2014. Microhabitats reduce animal's exposure to climate extremes. Global Change Biology 20:495-503. </t>
  </si>
  <si>
    <t>curupi</t>
  </si>
  <si>
    <t>raniceps</t>
  </si>
  <si>
    <t>Kaloula</t>
  </si>
  <si>
    <t>kalingensis</t>
  </si>
  <si>
    <t>Scheffers et al. 2013</t>
  </si>
  <si>
    <t>Scheffers, B. R., R. M. Brunner, S. D. Ramirez, L. P. Shoo, A. Diesmos, and S. E. Williams. 2013. Thermal buffering of microhabitats is a critical factor mediating warming vulnerability of frogs in the Philippine biodiversity hotspot. Biotropica 45:628-635.</t>
  </si>
  <si>
    <t>walteri</t>
  </si>
  <si>
    <t>Lepidobatrachus</t>
  </si>
  <si>
    <t>llanensis</t>
  </si>
  <si>
    <t>Leptodactylus</t>
  </si>
  <si>
    <t>bufonius</t>
  </si>
  <si>
    <t>latinasus</t>
  </si>
  <si>
    <t>latrans</t>
  </si>
  <si>
    <t>ocellatus</t>
  </si>
  <si>
    <t>podicipinus</t>
  </si>
  <si>
    <t>Alsodidae</t>
  </si>
  <si>
    <t>Limnomedusa</t>
  </si>
  <si>
    <t>macroglossa</t>
  </si>
  <si>
    <t>woodworthi</t>
  </si>
  <si>
    <t>Limnonectes</t>
  </si>
  <si>
    <t>Dicroglossidae</t>
  </si>
  <si>
    <t>Oxford, Ohio</t>
  </si>
  <si>
    <t>Lotshaw 1977</t>
  </si>
  <si>
    <t>Lotshaw, D. P. 1977. Temperature adaptation and effects of thermal acclimation in Rana sylvatica and Rana catesbeiana. Comparative Biochemistry and Physiology A 56:287-294.</t>
  </si>
  <si>
    <t>Lebanon, Ohio</t>
  </si>
  <si>
    <t>Lake Itasca State Park, Minnesota</t>
  </si>
  <si>
    <t>vergatipes</t>
  </si>
  <si>
    <t>virgatipes</t>
  </si>
  <si>
    <t>Burlington County, New Jersey</t>
  </si>
  <si>
    <t>Holzman and McManus 1973</t>
  </si>
  <si>
    <r>
      <t xml:space="preserve">Holzman, N., and J. J. McManus. 1973. Effects of acclimation on metabolic rate and thermal tolerance in the carpenter frog, </t>
    </r>
    <r>
      <rPr>
        <i/>
        <sz val="9"/>
        <rFont val="Arial"/>
        <family val="2"/>
      </rPr>
      <t>Rana vergatipes</t>
    </r>
    <r>
      <rPr>
        <sz val="9"/>
        <rFont val="Arial"/>
        <family val="2"/>
      </rPr>
      <t>. Comparative Biochemistry and Physiology Part A 45:833-842.</t>
    </r>
  </si>
  <si>
    <t>devincenzii</t>
  </si>
  <si>
    <t>Occidozyga</t>
  </si>
  <si>
    <t>laevis</t>
  </si>
  <si>
    <t>Pelobatidae</t>
  </si>
  <si>
    <t>Pelobates</t>
  </si>
  <si>
    <t>cultripes</t>
  </si>
  <si>
    <t>Pelodytidae</t>
  </si>
  <si>
    <t>Pelodytes</t>
  </si>
  <si>
    <t>ibericus</t>
  </si>
  <si>
    <t>Pelophylax</t>
  </si>
  <si>
    <t>lessonae</t>
  </si>
  <si>
    <t>lesssonae</t>
  </si>
  <si>
    <t>perezi</t>
  </si>
  <si>
    <t>Rhacophoridae</t>
  </si>
  <si>
    <t>Philautus</t>
  </si>
  <si>
    <t>surdus</t>
  </si>
  <si>
    <t>Phyllomedusa</t>
  </si>
  <si>
    <t>sauvagii</t>
  </si>
  <si>
    <t>tetraploidea</t>
  </si>
  <si>
    <t>albonotatus</t>
  </si>
  <si>
    <t>Ceratobatrachidae</t>
  </si>
  <si>
    <t>Platymantis</t>
  </si>
  <si>
    <t>banahao</t>
  </si>
  <si>
    <t>corrugatus</t>
  </si>
  <si>
    <t>corrugata</t>
  </si>
  <si>
    <t>dorsalis</t>
  </si>
  <si>
    <t>luzonensis</t>
  </si>
  <si>
    <t>montanus</t>
  </si>
  <si>
    <t>montana</t>
  </si>
  <si>
    <t>Salamandridae</t>
  </si>
  <si>
    <t>Pleurodeles</t>
  </si>
  <si>
    <t>waltl</t>
  </si>
  <si>
    <t>No movements of the throat, abdomen, or legs could be elicited by tapping the side of the jar</t>
  </si>
  <si>
    <t>Larimer County, Colorado</t>
  </si>
  <si>
    <t>Miller and Packard 1977</t>
  </si>
  <si>
    <t>Miller, K., and G. C. Packard. 1977. An altitudinal cline in critical thermal maxima of chorus frogs (Pseudacris triseriata). American Naturalist 111:267-277.</t>
  </si>
  <si>
    <t>No movements could be elicited by tapping container</t>
  </si>
  <si>
    <t>Piedmont</t>
  </si>
  <si>
    <t>Miller and Packard 1974</t>
  </si>
  <si>
    <t>Miller, K., and G. C. Packard. 1974. Critical thermal maximum: ecotypic variation between montane and piedmont chorus frogs (Pseudacris triseriata, Hylidae). Experientia 30:355-356.</t>
  </si>
  <si>
    <t>Montane</t>
  </si>
  <si>
    <t>Pseudis</t>
  </si>
  <si>
    <t>limellum</t>
  </si>
  <si>
    <t>Lysapsus</t>
  </si>
  <si>
    <t>platensis</t>
  </si>
  <si>
    <t>paradoxa</t>
  </si>
  <si>
    <t>arvalis</t>
  </si>
  <si>
    <t>iberica</t>
  </si>
  <si>
    <t>temporaria</t>
  </si>
  <si>
    <t>ornata</t>
  </si>
  <si>
    <t>crucifer</t>
  </si>
  <si>
    <t>azarai</t>
  </si>
  <si>
    <t>granulosus</t>
  </si>
  <si>
    <t>granulosa</t>
  </si>
  <si>
    <t>schneideri</t>
  </si>
  <si>
    <t>Salamandra</t>
  </si>
  <si>
    <t>salamandra</t>
  </si>
  <si>
    <t>Sanguirana</t>
  </si>
  <si>
    <t>everetti</t>
  </si>
  <si>
    <t>luzonensis </t>
  </si>
  <si>
    <t>Scinax</t>
  </si>
  <si>
    <t>acuminatus</t>
  </si>
  <si>
    <t>fuscovarius</t>
  </si>
  <si>
    <t>nasicus</t>
  </si>
  <si>
    <t>Trachycephalus</t>
  </si>
  <si>
    <t>venulosus</t>
  </si>
  <si>
    <t>Lissotriton</t>
  </si>
  <si>
    <t>boscai</t>
  </si>
  <si>
    <t>Triturus</t>
  </si>
  <si>
    <t>cristatus</t>
  </si>
  <si>
    <t>pygmaeus</t>
  </si>
  <si>
    <t>Acris</t>
  </si>
  <si>
    <t>crepitans</t>
  </si>
  <si>
    <t>5</t>
  </si>
  <si>
    <t>Vermillion, South Dakota</t>
  </si>
  <si>
    <t>Dunlap 1968</t>
  </si>
  <si>
    <t>Dunlap, D. G. 1968. Critical thermal maximum as a function of temperature of acclimation in two species of hylid frogs. Physiological Zoology 41:432-439.</t>
  </si>
  <si>
    <t>terrestris</t>
  </si>
  <si>
    <t>Tuscaloosa County, Alabama</t>
  </si>
  <si>
    <t>Noland and Ultsch 1981</t>
  </si>
  <si>
    <t>Noland, R., and G. R. Ultsch. 1981. The roles of temperature and dissolved oxygen in microhabitat selection by the tadpoles of a frog (Rana pipiens) and a toad (Bufo terrestris). Copeia 1981:645-652.</t>
  </si>
  <si>
    <t>6</t>
  </si>
  <si>
    <t>Swimming movements became spasmodic</t>
  </si>
  <si>
    <t>Mountain Lake Biological Station, University of Virginia</t>
  </si>
  <si>
    <t>Zweifel 1957</t>
  </si>
  <si>
    <t>Zweifel, R. G. 1957. Studies on the critical thermal maxima of salamanders. Ecology 38:64-69.</t>
  </si>
  <si>
    <t>quadramaculcatus</t>
  </si>
  <si>
    <t>quadramaculatus</t>
  </si>
  <si>
    <t>Diemictylus</t>
  </si>
  <si>
    <t>viridescens</t>
  </si>
  <si>
    <t>Notophthalmus</t>
  </si>
  <si>
    <t>7</t>
  </si>
  <si>
    <t>Grand Tower, Illinois</t>
  </si>
  <si>
    <t>Red color morph</t>
  </si>
  <si>
    <t>Gray 1977</t>
  </si>
  <si>
    <t xml:space="preserve">Gray, R. H. 1977. Lack of physiological differentiation in three color morphs of the cricket frog Acris crepitans in Illinois. Transactions of the Illinois State Academy of Science 70:73-79. </t>
  </si>
  <si>
    <t>Gray color morph</t>
  </si>
  <si>
    <t>Green color morph</t>
  </si>
  <si>
    <t>Normal, Illinois</t>
  </si>
  <si>
    <t>gryllus</t>
  </si>
  <si>
    <t>Central Florida</t>
  </si>
  <si>
    <t>John-Alder et al. 1988</t>
  </si>
  <si>
    <t>John-Alder, H. B., P. J. Morin, and S. Lawler. 1988. Thermal physiology, phenology, and distribution of tree frogs. American Naturalist 132:506-520.</t>
  </si>
  <si>
    <t>jeffersonianum</t>
  </si>
  <si>
    <t>Carlisle, Pennsylvania</t>
  </si>
  <si>
    <t>Gatz 1971</t>
  </si>
  <si>
    <t>Gatz, A. J., Jr. 1971. Critical thermal maxima of Ambystoma maculatum (Shaw) and Ambystoma jeffersonianum (Green) in relation to time of breeding. Herpetologica 27:157-160.</t>
  </si>
  <si>
    <t>maculatum</t>
  </si>
  <si>
    <t>Spasms ceased and an open mouth gape was apparent</t>
  </si>
  <si>
    <t>Las Cruces, New Mexico</t>
  </si>
  <si>
    <t>Delson and Whitford 1973</t>
  </si>
  <si>
    <t>Delson, J., and W. G. Whitford. 1973. Critical thermal maxima in several life history stages in desert and montane populations of Ambystoma tigrinum. Herpetologica 29:352-355.</t>
  </si>
  <si>
    <t>Sacramento Mountains, New Mexico</t>
  </si>
  <si>
    <t>Neotenic adults</t>
  </si>
  <si>
    <t>Aneides</t>
  </si>
  <si>
    <t>ferreus</t>
  </si>
  <si>
    <t>Brattstrom 1963</t>
  </si>
  <si>
    <t>Brattstrom, B. H. 1963. A preliminary review of the thermal requirements of amphibians. Ecology 44:238-255.</t>
  </si>
  <si>
    <t>Ascaphidae</t>
  </si>
  <si>
    <t>Ascaphus</t>
  </si>
  <si>
    <t>truei</t>
  </si>
  <si>
    <t>Missoula, Montana</t>
  </si>
  <si>
    <t>Buergeria</t>
  </si>
  <si>
    <t xml:space="preserve"> japonica</t>
  </si>
  <si>
    <t>Chukou, Taiwan</t>
  </si>
  <si>
    <t>Chen et al. 2001</t>
  </si>
  <si>
    <t>Chen, T. C., Y. C. Kam, and Y. S. Lin. 2001. Thermal physiology and reproductive phenology of Buergeria japonica (Rhacophoridae) breeding in a stream and a geothermal hotspring in Taiwan. Zoological Science 18:591-596.</t>
  </si>
  <si>
    <t>Jentse, Taiwan</t>
  </si>
  <si>
    <t>Myobatrachidae</t>
  </si>
  <si>
    <t>Crinia</t>
  </si>
  <si>
    <t>signifera</t>
  </si>
  <si>
    <t>Gatton, Queensland</t>
  </si>
  <si>
    <t>Johnson 1971</t>
  </si>
  <si>
    <t>Johnson, C. R. 1971. Thermal relations in some southern and eastern Australian anurans. Proceedings of the Royal Society of Queensland 82: 87-94.</t>
  </si>
  <si>
    <t>labialis</t>
  </si>
  <si>
    <t>Bogotá, Colombia ‎</t>
  </si>
  <si>
    <t>Mahoney and Hutchison 1969</t>
  </si>
  <si>
    <t>Mahoney, J. J., and V. H. Hutchison. 1969. Photoperiod acclimation and 24-hour variations in the critical thermal maxima of a tropical and a temperate frog. Oecologia 2:143-161.</t>
  </si>
  <si>
    <t>16:8</t>
  </si>
  <si>
    <t>8:16</t>
  </si>
  <si>
    <t>portoricensis</t>
  </si>
  <si>
    <t>Convulsive movements</t>
  </si>
  <si>
    <t>Experimental station at Rio Piedras, Puerto Rico</t>
  </si>
  <si>
    <t>Heatwole et al. 1965</t>
  </si>
  <si>
    <t>Heatwole, H., M. Nelson, and E. Ortiz. 1965. Comparison of critical thermal maxima of two species of Puerto Rican frogs of the genus Eleutherodactylus. Physiological Zoology 38:1-8.</t>
  </si>
  <si>
    <t>Luquillo Forest, Puerto Rico</t>
  </si>
  <si>
    <t>richmondi</t>
  </si>
  <si>
    <t>Ensatina</t>
  </si>
  <si>
    <t>escholtzii</t>
  </si>
  <si>
    <t>eschscholtzii</t>
  </si>
  <si>
    <t>Fejervarya</t>
  </si>
  <si>
    <t>cancrivora</t>
  </si>
  <si>
    <t>Hoga Island, Indonesia</t>
  </si>
  <si>
    <t>Dabruzzi et al. 2012</t>
  </si>
  <si>
    <t>Dabruzzi, T. F., M. L. Wygoda, and W. A. Bennett. 2012. Some like it hot: heat tolerance of the crab-eating frog, Fejervarya cancrivora. Micronesica 43:101-106.</t>
  </si>
  <si>
    <t>andersonii</t>
  </si>
  <si>
    <t>Ocean County, New Jersey</t>
  </si>
  <si>
    <t>cinerea</t>
  </si>
  <si>
    <t>squirella</t>
  </si>
  <si>
    <t>Limnodynastes</t>
  </si>
  <si>
    <t>Samford, Queensland</t>
  </si>
  <si>
    <t>Castlemaine, Victoria</t>
  </si>
  <si>
    <t>peronii</t>
  </si>
  <si>
    <t>Brisbane, Queensland</t>
  </si>
  <si>
    <t>salmini</t>
  </si>
  <si>
    <t>tasmaniensis</t>
  </si>
  <si>
    <t>Adelaide, South Australia</t>
  </si>
  <si>
    <t>berlandieri</t>
  </si>
  <si>
    <t>Maness and Hutchison 1980</t>
  </si>
  <si>
    <t>Maness, J. D., and V. H. Hutchison. 1980. Acute adjustment of thermal tolerance in vertebrate ectotherms following exposure to critical thermal maxima. Journal of Thermal Biology 5:225-233.</t>
  </si>
  <si>
    <t>Cyclorana</t>
  </si>
  <si>
    <t>alboguttatus</t>
  </si>
  <si>
    <t>alboguttata</t>
  </si>
  <si>
    <t>Litoria</t>
  </si>
  <si>
    <t>Chinchilla, Queensland</t>
  </si>
  <si>
    <t>aurea</t>
  </si>
  <si>
    <t>australis</t>
  </si>
  <si>
    <t>caerulea</t>
  </si>
  <si>
    <t>Proserpine, Queensland</t>
  </si>
  <si>
    <t>Johnson 1970</t>
  </si>
  <si>
    <t>Johnson, C. R. 1970. Observations on body temperatures, critical thermal maxima and tolerance to water loss in the Australian hylid, Hyla caerulea (White). Proceedings of the Royal Society of Queensland 82: 47-50.</t>
  </si>
  <si>
    <t>0500 hr</t>
  </si>
  <si>
    <t>Johnson, C. R. 1971. Daily variation in thermal tolerance of Litoria caerulea (Anura: Hylidae). Comparative Biochemistry and Physiology Part A 40:1109-1111.</t>
  </si>
  <si>
    <t>0300 hr</t>
  </si>
  <si>
    <t>1700 hr</t>
  </si>
  <si>
    <t>2100 hr</t>
  </si>
  <si>
    <t>1900 hr</t>
  </si>
  <si>
    <t>0100 hr</t>
  </si>
  <si>
    <t>1500 hr</t>
  </si>
  <si>
    <t>0700 hr</t>
  </si>
  <si>
    <t>0900 hr</t>
  </si>
  <si>
    <t>2300 hr</t>
  </si>
  <si>
    <t>1300 hr</t>
  </si>
  <si>
    <t>1100 hr</t>
  </si>
  <si>
    <t>eucnemis</t>
  </si>
  <si>
    <t>Atherton, Queensland</t>
  </si>
  <si>
    <t>glauerti</t>
  </si>
  <si>
    <t>fallax</t>
  </si>
  <si>
    <t>freycineti</t>
  </si>
  <si>
    <t>Beerwah, Queensland</t>
  </si>
  <si>
    <t>gracilenta</t>
  </si>
  <si>
    <t>Johnson 1972</t>
  </si>
  <si>
    <t>Johnson, C. R. 1972. Diel variation in thermal tolerance of Litoria gracilenta (Anura: Hylidae). Comparative Biochemistry and Physiology Part A 41:727-730.</t>
  </si>
  <si>
    <t>100 hr</t>
  </si>
  <si>
    <t>300 hr</t>
  </si>
  <si>
    <t>500 hr</t>
  </si>
  <si>
    <t>900 hr</t>
  </si>
  <si>
    <t>700 hr</t>
  </si>
  <si>
    <t>lesueuri</t>
  </si>
  <si>
    <t>nasuta</t>
  </si>
  <si>
    <t>nigrofrenata</t>
  </si>
  <si>
    <t>pearsoniana</t>
  </si>
  <si>
    <t>Mt. Glorious, Queensland</t>
  </si>
  <si>
    <t>peroni</t>
  </si>
  <si>
    <t>rubella</t>
  </si>
  <si>
    <t>Mixophyes</t>
  </si>
  <si>
    <t>fasciolatus</t>
  </si>
  <si>
    <t>Neobatrachus</t>
  </si>
  <si>
    <t>pictus</t>
  </si>
  <si>
    <t>sudelli</t>
  </si>
  <si>
    <t>Marree, South Australia</t>
  </si>
  <si>
    <t>Osteopilus</t>
  </si>
  <si>
    <t>septentrionalis</t>
  </si>
  <si>
    <t>Southern Florida</t>
  </si>
  <si>
    <t>Plethodon</t>
  </si>
  <si>
    <t>dunni</t>
  </si>
  <si>
    <t>vehiculum</t>
  </si>
  <si>
    <t>Somerset, New Jersey</t>
  </si>
  <si>
    <t>Pseudophryne</t>
  </si>
  <si>
    <t>bibroni</t>
  </si>
  <si>
    <t>bibronii</t>
  </si>
  <si>
    <t>major</t>
  </si>
  <si>
    <t>semimarmorata</t>
  </si>
  <si>
    <t>Paa</t>
  </si>
  <si>
    <t>spinosa</t>
  </si>
  <si>
    <t>Quasipaa</t>
  </si>
  <si>
    <t>Pingjiang, China</t>
  </si>
  <si>
    <t>Zheng and Liu 2010</t>
  </si>
  <si>
    <t>Zheng, R.-Q., and C.-T. Liu. 2010. Giant spiny-frog (Paa spinosa) from different populations differ in thermal preference but not in thermal tolerance. Aquatic Ecology 44:723-729.</t>
  </si>
  <si>
    <t>Yangshan, China</t>
  </si>
  <si>
    <t>Wuyishan, China</t>
  </si>
  <si>
    <t>Longsheng, China</t>
  </si>
  <si>
    <t>Lishui, China</t>
  </si>
  <si>
    <t>Jinggangshan, China</t>
  </si>
  <si>
    <t>Ceased all movements and no longer responded to mechanical stimulation with forceps</t>
  </si>
  <si>
    <t>Central Kentucky Wildlife Area, Kentucky</t>
  </si>
  <si>
    <t>10C acclimation</t>
  </si>
  <si>
    <t>Willhite and Cupp 1982</t>
  </si>
  <si>
    <t>Willhite, C., and P. V. J. Cupp. 1982. Daily rhythms of thermal tolerance in Rana clamitans (Anura: Ranidae) tadpoles. Comparative Biochemistry and Physiology Part A 71:255-258.</t>
  </si>
  <si>
    <t>0400 hr</t>
  </si>
  <si>
    <t>20C acclimation</t>
  </si>
  <si>
    <t>2400 hr</t>
  </si>
  <si>
    <t>2000 hr</t>
  </si>
  <si>
    <t>0800 hr</t>
  </si>
  <si>
    <t>1600 hr</t>
  </si>
  <si>
    <t>1200 hr</t>
  </si>
  <si>
    <t>30C acclimation</t>
  </si>
  <si>
    <t>Rhyacotritonidae</t>
  </si>
  <si>
    <t>Rhyacotriton</t>
  </si>
  <si>
    <t>olympicus</t>
  </si>
  <si>
    <t>variegatus</t>
  </si>
  <si>
    <t>14:10</t>
  </si>
  <si>
    <t>Erratic behavior or inability to right themselves</t>
  </si>
  <si>
    <t>Corvallis, Oregon</t>
  </si>
  <si>
    <t>Bury 2008</t>
  </si>
  <si>
    <t>Bury, R. B. 2008. Low thermal tolerances of stream amphibians in the Pacific Northwest: Implications for riparian and forest management. Applied Herpetology 5:63-74.</t>
  </si>
  <si>
    <t>Taudactylus</t>
  </si>
  <si>
    <t>diurnus</t>
  </si>
  <si>
    <t>Extinct</t>
  </si>
  <si>
    <t>Johnson 1971b</t>
  </si>
  <si>
    <t>Johnson, C. R. 1971. Thermal relations and water balance in the day frog Taudactylus diurnus from an Australian rain forest. Australian Journal of Zoology 19:35-39.</t>
  </si>
  <si>
    <t>Uperoleia</t>
  </si>
  <si>
    <t>laevigata</t>
  </si>
  <si>
    <t>marmorata</t>
  </si>
  <si>
    <t>rugosa</t>
  </si>
  <si>
    <t>8</t>
  </si>
  <si>
    <t>Abrupt cessation of movement</t>
  </si>
  <si>
    <t>Bennington, Vermont</t>
  </si>
  <si>
    <t>Sherman and Levitis 2003</t>
  </si>
  <si>
    <t>Sherman, E., and D. Levitis. 2003. Heat hardening as a function of developmental stage in larval and juvenile Bufo americanus and Xenopus laevis. Journal of Thermal Biology 28:373-380.</t>
  </si>
  <si>
    <t>Pipidae</t>
  </si>
  <si>
    <t>Xenopus</t>
  </si>
  <si>
    <t>Owens County, Indiana</t>
  </si>
  <si>
    <t>Claussen 1977</t>
  </si>
  <si>
    <t>Claussen, D. L. 1977. Thermal acclimation in ambystomatid salamanders. Comparative Biochemistry and Physiology Part A 58:333-340.</t>
  </si>
  <si>
    <t>Warren County, Ohio</t>
  </si>
  <si>
    <t>Jackson County, Illinois</t>
  </si>
  <si>
    <t>10</t>
  </si>
  <si>
    <t>Maryland</t>
  </si>
  <si>
    <t>Manis and Claussen 1986</t>
  </si>
  <si>
    <t>Manis, M. L., and D. L. Claussen. 1986. Environmental and genetic influences on the thermal physiology of Rana sylvatica. Journal of Thermal Biology 11:31-36.</t>
  </si>
  <si>
    <t>New York</t>
  </si>
  <si>
    <t>Ohio</t>
  </si>
  <si>
    <t>Michigan</t>
  </si>
  <si>
    <t>Kentucky</t>
  </si>
  <si>
    <t>Proteidae</t>
  </si>
  <si>
    <t>Necturus</t>
  </si>
  <si>
    <t>maculosus</t>
  </si>
  <si>
    <t>11</t>
  </si>
  <si>
    <t>Northern Wisconsin</t>
  </si>
  <si>
    <t>Hutchison and Rowlan 1975</t>
  </si>
  <si>
    <r>
      <t xml:space="preserve">Hutchison, V. H., and S. D. Rowlan. 1975. Thermal acclimation and tolerance in the mudpuppy, </t>
    </r>
    <r>
      <rPr>
        <i/>
        <sz val="9"/>
        <rFont val="Arial"/>
        <family val="2"/>
      </rPr>
      <t>Necturus maculosus</t>
    </r>
    <r>
      <rPr>
        <sz val="9"/>
        <rFont val="Arial"/>
        <family val="2"/>
      </rPr>
      <t>. Journal of Herpetology 9:367-368.</t>
    </r>
  </si>
  <si>
    <t>Adelotus</t>
  </si>
  <si>
    <t>brevis</t>
  </si>
  <si>
    <t>Gosford, New South Wales</t>
  </si>
  <si>
    <t>Brattstrom 1970</t>
  </si>
  <si>
    <t>Brattstrom, B. H. 1970. Thermal acclimation in Australian amphibians. Comparative Biochemistry and Physiology 35:69-103.</t>
  </si>
  <si>
    <t>dacnicolor</t>
  </si>
  <si>
    <t>Pachymedusa</t>
  </si>
  <si>
    <t>Agalychnis</t>
  </si>
  <si>
    <t>14</t>
  </si>
  <si>
    <t>24:0 or 0:24</t>
  </si>
  <si>
    <t>Sinaloa-Nayarit, Mexico</t>
  </si>
  <si>
    <t>Brattstrom 1968</t>
  </si>
  <si>
    <t>Brattstrom, B. H. 1968. Thermal acclimation in Anuran amphibians as a function of latitude and altitude. Comparative Biochemistry and Physiology 24:93-111.</t>
  </si>
  <si>
    <t>macrodactylum</t>
  </si>
  <si>
    <t>H</t>
  </si>
  <si>
    <t>Heat rigor and failture to respond to stimuli</t>
  </si>
  <si>
    <t>Lewiston, Idaho</t>
  </si>
  <si>
    <t>Howard et al. 1983</t>
  </si>
  <si>
    <r>
      <t xml:space="preserve">Howard, J. H., R. L. Wallace, and J. R. Stauffer. 1983. Critical thermal maxima in populations of </t>
    </r>
    <r>
      <rPr>
        <i/>
        <sz val="9"/>
        <rFont val="Arial"/>
        <family val="2"/>
      </rPr>
      <t>Ambystoma macrodactylum</t>
    </r>
    <r>
      <rPr>
        <sz val="9"/>
        <rFont val="Arial"/>
        <family val="2"/>
      </rPr>
      <t xml:space="preserve"> from different elevations. Journal of Herpetology 17:400-402.</t>
    </r>
  </si>
  <si>
    <t>Halfway, Oregon</t>
  </si>
  <si>
    <t>Wallowa County, Oregon</t>
  </si>
  <si>
    <t>Cleveland County, Oklahoma</t>
  </si>
  <si>
    <t>Lutterschmidt and Hutchison 1997</t>
  </si>
  <si>
    <t>Lutterschmidt, W. I., and V. H. Hutchison. 1997. The critical thermal maximum: data to support the onset of spasms as the definitive end point. Canadian Journal of Zoology 75:1553-1560.</t>
  </si>
  <si>
    <t>boreas</t>
  </si>
  <si>
    <t>Whittier, California</t>
  </si>
  <si>
    <t>El Toro, California</t>
  </si>
  <si>
    <t>Hermosa, California</t>
  </si>
  <si>
    <t>Clinton, British Columbia</t>
  </si>
  <si>
    <t>Dry Lake, California</t>
  </si>
  <si>
    <t>canorus</t>
  </si>
  <si>
    <t>Tioga Pass, California</t>
  </si>
  <si>
    <t>cognatus</t>
  </si>
  <si>
    <t>Sonora, Mexico</t>
  </si>
  <si>
    <t>Norman, Oklahoma</t>
  </si>
  <si>
    <t>Paulson and Hutchison 1987</t>
  </si>
  <si>
    <t>Paulson, B. K., and V. H. Hutchison. 1987. Blood changes in Bufo cognatus following acute heat stress. Comparative Biochemistry and Physiology Part A 87:461-466.</t>
  </si>
  <si>
    <t>Paulson and Hutchison 1987b</t>
  </si>
  <si>
    <t>Paulson, B. K., and V. H. Hutchison. 1987. Origin of the stimulus for muscular spasms at the critical thermal maximum in anurans. Copeia 1987:810-813.</t>
  </si>
  <si>
    <t>compactilis</t>
  </si>
  <si>
    <t>JalisCounty, Lagos, Mexico</t>
  </si>
  <si>
    <t>debilis</t>
  </si>
  <si>
    <t>Sonora-Nayarit, Mexico</t>
  </si>
  <si>
    <t>exsul</t>
  </si>
  <si>
    <t>Deep Springs, California</t>
  </si>
  <si>
    <t>nelsoni</t>
  </si>
  <si>
    <t>Beatty, Nevada</t>
  </si>
  <si>
    <t>aeneus</t>
  </si>
  <si>
    <t>Western Virginia</t>
  </si>
  <si>
    <t>Hutchison 1958</t>
  </si>
  <si>
    <t>Hutchison, V. H. 1958. The distribution and ecology of the cave salamander, Eurycea lucifuga. Ecological Monographs 28:2-20.</t>
  </si>
  <si>
    <t>darlingtoni</t>
  </si>
  <si>
    <t>Assa</t>
  </si>
  <si>
    <t>Lamington, Queensland</t>
  </si>
  <si>
    <t>Cophixalis</t>
  </si>
  <si>
    <t>ornatus</t>
  </si>
  <si>
    <t>Cophixalus</t>
  </si>
  <si>
    <t>El Arish, Queensland</t>
  </si>
  <si>
    <t>parainsignifera</t>
  </si>
  <si>
    <t>parinsignifera</t>
  </si>
  <si>
    <t>Nyngan, New South Wales</t>
  </si>
  <si>
    <t>Warrenbayne, Victoria</t>
  </si>
  <si>
    <t>Grampians, Victoria</t>
  </si>
  <si>
    <t>Knox, Victoria</t>
  </si>
  <si>
    <t>Buchan, Victoria</t>
  </si>
  <si>
    <t>Murrindal, Victoria</t>
  </si>
  <si>
    <t>Oatlands, Tasmania</t>
  </si>
  <si>
    <t>Armidale, New South Wales</t>
  </si>
  <si>
    <t>Mt. Kosciuszko, New South Wales</t>
  </si>
  <si>
    <t>Cryptobranchidae</t>
  </si>
  <si>
    <t>Cryptobranchus</t>
  </si>
  <si>
    <t>alleganiensis</t>
  </si>
  <si>
    <t>Ozark County, Missouri</t>
  </si>
  <si>
    <t>Hutchison et al. 1973</t>
  </si>
  <si>
    <r>
      <t xml:space="preserve">Hutchison, V. H., G. Engbretson, and D. Turney. 1973. Thermal acclimation and tolerance in the hellbender, </t>
    </r>
    <r>
      <rPr>
        <i/>
        <sz val="9"/>
        <rFont val="Arial"/>
        <family val="2"/>
      </rPr>
      <t>Cryptobranchus alleganiensis</t>
    </r>
    <r>
      <rPr>
        <sz val="9"/>
        <rFont val="Arial"/>
        <family val="2"/>
      </rPr>
      <t>. Copeia 1973:805-807.</t>
    </r>
  </si>
  <si>
    <t>Dendrobatidae</t>
  </si>
  <si>
    <t xml:space="preserve">Dendrobates </t>
  </si>
  <si>
    <t>auratus</t>
  </si>
  <si>
    <t>Limon, Costa Rica</t>
  </si>
  <si>
    <t>ochrophaeus</t>
  </si>
  <si>
    <t>longicauda</t>
  </si>
  <si>
    <t>lucifuga</t>
  </si>
  <si>
    <t>Geocrinia</t>
  </si>
  <si>
    <t>victoriana</t>
  </si>
  <si>
    <t>Bendago, Victoria</t>
  </si>
  <si>
    <t>Mt. Baw Baw, Victoria</t>
  </si>
  <si>
    <t>chrysoscelis</t>
  </si>
  <si>
    <t>walkeri</t>
  </si>
  <si>
    <t>W. Casas, Chiapas, Mexico</t>
  </si>
  <si>
    <t>alvarius</t>
  </si>
  <si>
    <t>Incilius</t>
  </si>
  <si>
    <t>canaliferus</t>
  </si>
  <si>
    <t>Guatemala, Guatemala</t>
  </si>
  <si>
    <t>marmoreus</t>
  </si>
  <si>
    <t>Oaxaca, Salina, Cruz, Mexico</t>
  </si>
  <si>
    <t>mazatlanensis</t>
  </si>
  <si>
    <t>melanotus</t>
  </si>
  <si>
    <t>melanonotus</t>
  </si>
  <si>
    <t>Wilson's Promontory National Park, Victoria</t>
  </si>
  <si>
    <t>Tamworth, New South Wales</t>
  </si>
  <si>
    <t>fletcheri</t>
  </si>
  <si>
    <t>Tully, Queensland</t>
  </si>
  <si>
    <t>Loss of responsiveness to mechanical stimulation with forceps</t>
  </si>
  <si>
    <t>Butler County, Ohio</t>
  </si>
  <si>
    <t>Gosner stages 28-34</t>
  </si>
  <si>
    <t>Menke and Claussen 1982</t>
  </si>
  <si>
    <t>Menke, M. E., and D. L. Claussen. 1982. Thermal acclimation and hardening in tadpoles of the bullfrog, Rana catesbeiana. Journal of Thermal Biology 7:215-219.</t>
  </si>
  <si>
    <t>Gosner stage 45</t>
  </si>
  <si>
    <t>Gosner stages 43-44</t>
  </si>
  <si>
    <t>Gosner stages 41-43</t>
  </si>
  <si>
    <t>Gosner stages 33-40</t>
  </si>
  <si>
    <t>Gosner stages 45-46</t>
  </si>
  <si>
    <t>Gosner stages 28-35</t>
  </si>
  <si>
    <t>palmipes</t>
  </si>
  <si>
    <t>Turrialba, Costa Rica</t>
  </si>
  <si>
    <t>Supplier, Wisconsin</t>
  </si>
  <si>
    <t>Wisconsin</t>
  </si>
  <si>
    <t>Seibel et al. 1970</t>
  </si>
  <si>
    <t>Seibel, R. V. 1970. Variables affecting the critical thermal maximum of the leopard frog Rana pipiens. Herpetologica 26:208-213.</t>
  </si>
  <si>
    <t>Vol Turrialba, Costa Rica</t>
  </si>
  <si>
    <t>E. Casas, Chiapas, Mexico</t>
  </si>
  <si>
    <t>utricularia</t>
  </si>
  <si>
    <t>sphenocephala</t>
  </si>
  <si>
    <t>sphenocephalus</t>
  </si>
  <si>
    <t>warschewitschi</t>
  </si>
  <si>
    <t>warszewitschii</t>
  </si>
  <si>
    <t>brevipes</t>
  </si>
  <si>
    <t>Bowen, Queensland</t>
  </si>
  <si>
    <t>Townsville, Queensland</t>
  </si>
  <si>
    <t>chloris</t>
  </si>
  <si>
    <t>Cairns, Queensland</t>
  </si>
  <si>
    <t>citropa</t>
  </si>
  <si>
    <t>Mt. Lookout, New South Wales</t>
  </si>
  <si>
    <t>ewingi</t>
  </si>
  <si>
    <t>ewingii</t>
  </si>
  <si>
    <t>phyllochroa</t>
  </si>
  <si>
    <t>rothi</t>
  </si>
  <si>
    <t>rothii</t>
  </si>
  <si>
    <t>verreauxi</t>
  </si>
  <si>
    <t>verreauxii</t>
  </si>
  <si>
    <t>alpina</t>
  </si>
  <si>
    <t>Snowy Mountains, New South Wales</t>
  </si>
  <si>
    <t>Ritchart and Hutchison 1986</t>
  </si>
  <si>
    <t>Ritchart, J. P., and V. H. Hutchison. 1986. The effects of ATP and cAMP on the thermal tolerance of the mudpuppy, Necturus maculosus. Journal of Thermal Biology 11:47-51.</t>
  </si>
  <si>
    <t>Philoria</t>
  </si>
  <si>
    <t>frosti</t>
  </si>
  <si>
    <t>loveridgei</t>
  </si>
  <si>
    <t>sphagnicola</t>
  </si>
  <si>
    <t>sphagnicolus</t>
  </si>
  <si>
    <t>ouachitae</t>
  </si>
  <si>
    <t>californiae</t>
  </si>
  <si>
    <t>cadaverina</t>
  </si>
  <si>
    <t>Riverside County, California</t>
  </si>
  <si>
    <t>corroboree</t>
  </si>
  <si>
    <t>Smiggin Holes, New South Wales</t>
  </si>
  <si>
    <t>dendyi</t>
  </si>
  <si>
    <t>boylei</t>
  </si>
  <si>
    <t>boyleii</t>
  </si>
  <si>
    <t>boylii</t>
  </si>
  <si>
    <t>Copper, California</t>
  </si>
  <si>
    <t>cascadae</t>
  </si>
  <si>
    <t>Plumas County, California</t>
  </si>
  <si>
    <t>chensinensis</t>
  </si>
  <si>
    <t>China</t>
  </si>
  <si>
    <t>Wang and Li 2007</t>
  </si>
  <si>
    <t>Wang, L.-Z., and X.-C. Li. 2007. Effect of temperature on incubation and thermal tolerance of the Chinese forest frog. Chinese Journal of Zoology 42:121-127</t>
  </si>
  <si>
    <t>pretiosa</t>
  </si>
  <si>
    <t>haemititicus</t>
  </si>
  <si>
    <t>Rhaebo</t>
  </si>
  <si>
    <t>haematiticus</t>
  </si>
  <si>
    <t>Uncontrolled, jerky swimming behavior or rolled over (belly-up)</t>
  </si>
  <si>
    <t xml:space="preserve">Scaphiopus </t>
  </si>
  <si>
    <t xml:space="preserve">Pternohyla </t>
  </si>
  <si>
    <t>fodiens</t>
  </si>
  <si>
    <t>Smilisca</t>
  </si>
  <si>
    <t xml:space="preserve">Smilisca </t>
  </si>
  <si>
    <t>baudini</t>
  </si>
  <si>
    <t>baudinii</t>
  </si>
  <si>
    <t>hammondi</t>
  </si>
  <si>
    <t>hammondii</t>
  </si>
  <si>
    <t>Spea</t>
  </si>
  <si>
    <t>smithi</t>
  </si>
  <si>
    <t>Tlalocohyla</t>
  </si>
  <si>
    <t>smithii</t>
  </si>
  <si>
    <t>Nayarit, Mexico</t>
  </si>
  <si>
    <t>Odontophrynidae</t>
  </si>
  <si>
    <t>Odontophrynus</t>
  </si>
  <si>
    <t>occidentalis</t>
  </si>
  <si>
    <t>15</t>
  </si>
  <si>
    <t>Lost the capacity to swim or they showed muscular spasms</t>
  </si>
  <si>
    <t>Sanabria and Quiroga 2011</t>
  </si>
  <si>
    <t>Sanabria, E. A., and L. B. Quiroga. 2011. Change in the thermal biology of tadpoles of Odontophrynus occidentalis from the Monte desert, Argentina: responses to photoperiod. Journal of Thermal Biology 36:288-291.</t>
  </si>
  <si>
    <t>Aldodidae</t>
  </si>
  <si>
    <t>Alsodes</t>
  </si>
  <si>
    <t>gargola</t>
  </si>
  <si>
    <t>20</t>
  </si>
  <si>
    <t>No behavioral responses to a mechanical stimulus</t>
  </si>
  <si>
    <t>Lake Toncek, Río Negro Province, Argentina</t>
  </si>
  <si>
    <t>Navas et al. 2010</t>
  </si>
  <si>
    <t>Navas, C. A., C. A. Ubeda, R. Logares, and F. G. Jara. 2010. Thermal tolerances in tadpoles of three species of Patagonian anurans. South American Journal of Herpetology 5:89-96.</t>
  </si>
  <si>
    <t>bufonium</t>
  </si>
  <si>
    <t>bufoninum</t>
  </si>
  <si>
    <t>Arroyo ÑireCounty, Río Negro Province, Argentina</t>
  </si>
  <si>
    <t>spinulosa</t>
  </si>
  <si>
    <t>spinulosus</t>
  </si>
  <si>
    <t>Rhinella </t>
  </si>
  <si>
    <t>21</t>
  </si>
  <si>
    <t>Dicamptodontidae</t>
  </si>
  <si>
    <t>Dicamptodon</t>
  </si>
  <si>
    <t>tenebrosus</t>
  </si>
  <si>
    <t>Glide, Oregon</t>
  </si>
  <si>
    <t>Erskine and Hutchison 1982</t>
  </si>
  <si>
    <t>Erskine, D. J., and V. H. Hutchison. 1982. Reduced thermal tolerance in an amphibian treated with melatonin. Journal of Thermal Biology 7:121-123.</t>
  </si>
  <si>
    <t>laterale</t>
  </si>
  <si>
    <t>Alsburg, Vermont</t>
  </si>
  <si>
    <t>Hutchison 1961</t>
  </si>
  <si>
    <t>Hutchison, V. H. 1961. Critical thermal maxima in salamanders. Physiological Zoology 34:92-125.</t>
  </si>
  <si>
    <t>mabeei</t>
  </si>
  <si>
    <t>Bladen County, North Carolina</t>
  </si>
  <si>
    <t>Durham, North Carolina</t>
  </si>
  <si>
    <t>opacum</t>
  </si>
  <si>
    <t>talpoideum</t>
  </si>
  <si>
    <t>Charleston, South Carolina</t>
  </si>
  <si>
    <t>Amphiumidae</t>
  </si>
  <si>
    <t>Amphiuma</t>
  </si>
  <si>
    <t>means</t>
  </si>
  <si>
    <t>Wauban, Louisiana</t>
  </si>
  <si>
    <t>Onset of paralysis</t>
  </si>
  <si>
    <t>Northern California</t>
  </si>
  <si>
    <t>de Vlaming and Bury 1970</t>
  </si>
  <si>
    <r>
      <t xml:space="preserve">de Vlaming, V. L., and R. B. Bury. 1970. Thermal selection in tadpoles of the tailed-frog, </t>
    </r>
    <r>
      <rPr>
        <i/>
        <sz val="9"/>
        <rFont val="Arial"/>
        <family val="2"/>
      </rPr>
      <t>Ascaphus truei</t>
    </r>
    <r>
      <rPr>
        <sz val="9"/>
        <rFont val="Arial"/>
        <family val="2"/>
      </rPr>
      <t>. Journal of Herpetology 4:179-189.</t>
    </r>
  </si>
  <si>
    <t xml:space="preserve"> Hynobiidae</t>
  </si>
  <si>
    <t>Batrachuperus</t>
  </si>
  <si>
    <t>tibetanus</t>
  </si>
  <si>
    <t>Hynobiidae</t>
  </si>
  <si>
    <t>30</t>
  </si>
  <si>
    <t>Jiang et al. 1987</t>
  </si>
  <si>
    <t>Jiang, S., P. Yu, and Q. Hu. 1987. A study on the critical thermal maxima of five species of salamanders of China. Acta Herpetologica Sinica 6:56-62.</t>
  </si>
  <si>
    <t>yenyuanensis</t>
  </si>
  <si>
    <t>Patrick County, Virginia</t>
  </si>
  <si>
    <t>monticola</t>
  </si>
  <si>
    <t>Transylvania County, North Carolina</t>
  </si>
  <si>
    <t>Alleghany County, North Carolina</t>
  </si>
  <si>
    <t>Haywood County, North Carolina</t>
  </si>
  <si>
    <t>Jackson County, North Carolina</t>
  </si>
  <si>
    <t>Giles County, Virginia</t>
  </si>
  <si>
    <t>Manculus</t>
  </si>
  <si>
    <t>quadridigitatus</t>
  </si>
  <si>
    <t xml:space="preserve">quadridigitata </t>
  </si>
  <si>
    <t>Gyrinophilus</t>
  </si>
  <si>
    <t>danielsi</t>
  </si>
  <si>
    <t>porphyriticus</t>
  </si>
  <si>
    <t>Macon County, North Carolina</t>
  </si>
  <si>
    <t>Hemidactylium</t>
  </si>
  <si>
    <t>scutatum</t>
  </si>
  <si>
    <t>Brunswick County, North Carolina</t>
  </si>
  <si>
    <t>Hampden County, Massachusetts</t>
  </si>
  <si>
    <t>Franklin County, North Carolina</t>
  </si>
  <si>
    <t>Ontario, Canada</t>
  </si>
  <si>
    <t>Sussex County, New Jersey</t>
  </si>
  <si>
    <t>Orange County, North Carolina</t>
  </si>
  <si>
    <t>Chippewa County, Michigan</t>
  </si>
  <si>
    <t>Logan County, West Virginia</t>
  </si>
  <si>
    <t>Pachytriton</t>
  </si>
  <si>
    <t>labiatum</t>
  </si>
  <si>
    <t>labiatus</t>
  </si>
  <si>
    <t>Paramesotriton</t>
  </si>
  <si>
    <t>chinensis</t>
  </si>
  <si>
    <t>cinereus</t>
  </si>
  <si>
    <t>Ridley Creek State Park, Media, Pennsylvania</t>
  </si>
  <si>
    <t>Yu et al. 1998</t>
  </si>
  <si>
    <t>Yu, Z. M., R. Dickstein, W. E. Magee, and J. R. Spotila. 1998. Heat shock response in the salamanders Plethodon jordani and Plethodon cinereus. Journal of Thermal Biology 23:259-265.</t>
  </si>
  <si>
    <t>Mountain Lake, Virginia</t>
  </si>
  <si>
    <t>glutinosus</t>
  </si>
  <si>
    <t>jordani</t>
  </si>
  <si>
    <t>Sevier County, Tennessee</t>
  </si>
  <si>
    <t>Cherokee County, North Carolina</t>
  </si>
  <si>
    <t>Grandfather Mountain, Avery County, North Carolina</t>
  </si>
  <si>
    <t>wehrlei</t>
  </si>
  <si>
    <t>Roanake County, Virginia</t>
  </si>
  <si>
    <t>Pseudotriton</t>
  </si>
  <si>
    <t>Taricha</t>
  </si>
  <si>
    <t>Seattle, Washington</t>
  </si>
  <si>
    <t>Tylototriton</t>
  </si>
  <si>
    <t>kweichowensis</t>
  </si>
  <si>
    <t>45</t>
  </si>
  <si>
    <t>Sylvania, New South Wales</t>
  </si>
  <si>
    <t>Marshall and Grigg 1980</t>
  </si>
  <si>
    <t>Marshall, E., and G. C. Grigg. 1980. Acclimation of CTM, LD50, and rapid loss of acclimation of thermal preferendum in tadpoles of Limnodynastes peronii (Anura, Myobatrachidae). Australian Zoologist 20:447-455.</t>
  </si>
  <si>
    <t>dobrogicus</t>
  </si>
  <si>
    <t>Fülopháza, Hungary</t>
  </si>
  <si>
    <t>Gvoždik et al. 2007</t>
  </si>
  <si>
    <r>
      <t xml:space="preserve">Gvoždik, L., M. Puky, and M. Šugerková. 2007. Acclimation is beneficial at extreme test temperatures in the Danube crested newt, </t>
    </r>
    <r>
      <rPr>
        <i/>
        <sz val="9"/>
        <rFont val="Arial"/>
        <family val="2"/>
      </rPr>
      <t>Triturus dobrogicus</t>
    </r>
    <r>
      <rPr>
        <sz val="9"/>
        <rFont val="Arial"/>
        <family val="2"/>
      </rPr>
      <t xml:space="preserve"> (Caudata, Salamandridae). Biological Journal of the Linnean Society 90:627-636.</t>
    </r>
  </si>
  <si>
    <t>90</t>
  </si>
  <si>
    <t>Life</t>
  </si>
  <si>
    <t>120</t>
  </si>
  <si>
    <t>Movements could no longer be elicited by prodding the tadpole, and an open-mouth gape had replaced normal respiratory movement</t>
  </si>
  <si>
    <t>Hoppe 1978</t>
  </si>
  <si>
    <r>
      <t xml:space="preserve">Hoppe, D. M. 1978. Thermal tolerance in tadpoles of the chorus frog </t>
    </r>
    <r>
      <rPr>
        <i/>
        <sz val="9"/>
        <rFont val="Arial"/>
        <family val="2"/>
      </rPr>
      <t>Pseudacris triseriata</t>
    </r>
    <r>
      <rPr>
        <sz val="9"/>
        <rFont val="Arial"/>
        <family val="2"/>
      </rPr>
      <t>. Herpetologica 34:318-321.</t>
    </r>
  </si>
  <si>
    <t>Gosner stage 38</t>
  </si>
  <si>
    <t>N missing</t>
  </si>
  <si>
    <t>Larvae stopped responding to a probe</t>
  </si>
  <si>
    <t>Canada</t>
  </si>
  <si>
    <t>N</t>
  </si>
  <si>
    <t>Itasca State Park, Minnesota</t>
  </si>
  <si>
    <t>Onset of heat coma after spasms ended</t>
  </si>
  <si>
    <t>Durham County, North Carolina</t>
  </si>
  <si>
    <t>Gatz 1973</t>
  </si>
  <si>
    <t>Gatz, A. J. J. 1973. Intraspecific variations in critical thermal maxima of Ambystoma maculatum. Herpetologica 29:264-268.</t>
  </si>
  <si>
    <t>Ramsey County, Minnesota</t>
  </si>
  <si>
    <t>Chatham, Massachsetts</t>
  </si>
  <si>
    <t>Gosner stage 45-46</t>
  </si>
  <si>
    <t>Sherman 1980</t>
  </si>
  <si>
    <t>Sherman, E. 1980. Ontogenetic change in thermal tolerance of the toad Bufo woodhousii fowleri. Comparative Biochemistry and Physiology Part A 65:227-230.</t>
  </si>
  <si>
    <t>Gosner stage 42-43</t>
  </si>
  <si>
    <t>Gosner stage 26-41</t>
  </si>
  <si>
    <t>Adult (26-58mm)</t>
  </si>
  <si>
    <t>Juvenile (10-13.5mm)</t>
  </si>
  <si>
    <t>Juvenile (14-17mm)</t>
  </si>
  <si>
    <t>Bombinatoridae</t>
  </si>
  <si>
    <t>Bombina</t>
  </si>
  <si>
    <t>variegata</t>
  </si>
  <si>
    <t>Rupea, Romania</t>
  </si>
  <si>
    <t>Sos 2007</t>
  </si>
  <si>
    <t>Sos, T. 2007. Thermoconformity even in hot small temporary water bodies: a case study in yellow-bellied toad (Bombina v. variegata). Herpetologica Romanica 1:1-11.</t>
  </si>
  <si>
    <t>Wulai hot spring, Taiwan</t>
  </si>
  <si>
    <t>Gosner stages 26-28</t>
  </si>
  <si>
    <t>Wu and Kam 2005</t>
  </si>
  <si>
    <t>Wu, C. S., and Y. C. Kam. 2005. Thermal tolerance and thermoregulation by Taiwanese rhacophorid tadpoles (Buergeria japonica) living in geothermal hot springs and streams. Herpetologica 61:35-46.</t>
  </si>
  <si>
    <t>Guoshin, Taiwan</t>
  </si>
  <si>
    <t>Rushan hot spring, Taiwan</t>
  </si>
  <si>
    <t>Whitetop Mountain, Virginia</t>
  </si>
  <si>
    <t>coqui</t>
  </si>
  <si>
    <t>Failed to respond to prodding</t>
  </si>
  <si>
    <t>University of Puerto Rico, Rio Piedras, Puerto Rico</t>
  </si>
  <si>
    <t>Christian et al. 1988</t>
  </si>
  <si>
    <t>Christian, K. A., F. Nunez, L. Clos, and L. Diaz. 1988. Thermal relations of some tropical frogs along an altitudinal gradient. Biotropica 20:236-239.</t>
  </si>
  <si>
    <t>El Yunque National Forest, Puerto Rico</t>
  </si>
  <si>
    <t>nana</t>
  </si>
  <si>
    <t>Spring Lake, San Marcos, Texas</t>
  </si>
  <si>
    <t>Berkhouse and Fries 1995</t>
  </si>
  <si>
    <t>Berkhouse, C. S., and J. N. Fries. 1995. Critical thermal maxima of juvenile and adult San Marcos salamanders (Eurycea nana). Southwestern Naturalist 40:430-434.</t>
  </si>
  <si>
    <t>Hyperoliidae</t>
  </si>
  <si>
    <t>Hyperolius</t>
  </si>
  <si>
    <t>tuberilinguis</t>
  </si>
  <si>
    <t>E</t>
  </si>
  <si>
    <t>Sharp increase in EWL</t>
  </si>
  <si>
    <t>Commercial supplier in Mozambique</t>
  </si>
  <si>
    <t>Geise and Lindenmair 1988</t>
  </si>
  <si>
    <t>Geise, W., and K. E. Linsenmair. 1988. Adaptations of the reed frog Hyperolius viridiflavus (Amphibia, Anura, Hyperoliidae) to its arid environment IV: ecological significance of water economy with comments on thermoregulation and energy allocation. Oecologia 77:327-338.</t>
  </si>
  <si>
    <t>viridiflavus</t>
  </si>
  <si>
    <t>Ivory Coast, West Africa</t>
  </si>
  <si>
    <t>Yale-Myers Forest, Connecticut</t>
  </si>
  <si>
    <t>Forested pond</t>
  </si>
  <si>
    <t>Skelly and Freidenburg 2000</t>
  </si>
  <si>
    <t>Skelly, D. K., and L. K. Freidenburg. 2000. Effects of beaver on the thermal biology of an amphibian. Ecology Letters 3:483-486.</t>
  </si>
  <si>
    <t>Beaver pond</t>
  </si>
  <si>
    <t>Tracy et al. 2008</t>
  </si>
  <si>
    <t>Tracy, C. R., K. A. Christian, G. Betts, and C. R. Tracy. 2008. Body temperature and resistance to evaporative water loss in tropical Australian frogs. Comparative Biochemistry and Physiology part A 150:102-108.</t>
  </si>
  <si>
    <t>coplandi</t>
  </si>
  <si>
    <t>dahlii</t>
  </si>
  <si>
    <t>inermis</t>
  </si>
  <si>
    <t>tornieri</t>
  </si>
  <si>
    <t>wotjulumensis</t>
  </si>
  <si>
    <t>watjulumensis</t>
  </si>
  <si>
    <t>Taconic Mountains, Vermont</t>
  </si>
  <si>
    <t>Sherman 2008</t>
  </si>
  <si>
    <t>Sherman, E. 2008. Thermal biology of newts (Notophthalmus viridescens) chronically infected with a naturally occurring pathogen. Journal of Thermal Biology 33:27-31.</t>
  </si>
  <si>
    <t>Animals took longer than 5 sec to right themselves</t>
  </si>
  <si>
    <t>HR</t>
  </si>
  <si>
    <t>Weston, Vermont</t>
  </si>
  <si>
    <t>Sunny day am</t>
  </si>
  <si>
    <t>Pough 1974</t>
  </si>
  <si>
    <t>Pough, F. H. 1974. Natural daily temperature acclimation of eastern red efts, Notophthalmus V. viridescens (rafinesque) (Amphibia: Caudata). Comparative Biochemistry and Physiology Part A 47:71-78.</t>
  </si>
  <si>
    <t>19C</t>
  </si>
  <si>
    <t>Partly sunny am</t>
  </si>
  <si>
    <t>Cloudy day 2 am</t>
  </si>
  <si>
    <t>Cloudy day 2 pm</t>
  </si>
  <si>
    <t>Rehydrated</t>
  </si>
  <si>
    <t>Dehydrated</t>
  </si>
  <si>
    <t>Cloudy day 1 pm</t>
  </si>
  <si>
    <t>Cloudy day 1 am</t>
  </si>
  <si>
    <t>Partly sunny pm</t>
  </si>
  <si>
    <t>Sunny day pm</t>
  </si>
  <si>
    <t>Cycloramphidae</t>
  </si>
  <si>
    <t>Winter</t>
  </si>
  <si>
    <t>Sanabria et al. 2013b</t>
  </si>
  <si>
    <t>Sanabria, E. A., L. B. Quiroga, and A. L. Martino. 2013. Seasonal changes in the thermal tolerances of Odontophrynus occidentalis (BERG, 1896) (Anura: Cycloramphidae). Belgian Journal of Zoology 143:23-29.</t>
  </si>
  <si>
    <t>Summer</t>
  </si>
  <si>
    <t>Platyplectrum</t>
  </si>
  <si>
    <t>ornatum</t>
  </si>
  <si>
    <t>No longer responded to mechanical stimulation with blunt forceps</t>
  </si>
  <si>
    <t>Dalby, Queensland</t>
  </si>
  <si>
    <t>24C, high UV-B</t>
  </si>
  <si>
    <t>Kern et al. 2014</t>
  </si>
  <si>
    <t>Kern, P., R. L. Cramp, and C. E. Franklin. 2014. Temperature and UV-B-insensitive performance in tadpoles of the ornate burrowing frog: an ephemeral pond specialist. Journal of Experimental Biology 217:1246-1252.</t>
  </si>
  <si>
    <t>24C, low UV-B</t>
  </si>
  <si>
    <t>18-32C, low UV-B</t>
  </si>
  <si>
    <t>18-32C, high UV-B</t>
  </si>
  <si>
    <t>ruber</t>
  </si>
  <si>
    <t>arenarum</t>
  </si>
  <si>
    <t>Sanabria et al. 2012</t>
  </si>
  <si>
    <t>Sanabria, E. A., L. B. Quiroga, and A. L. Martino. 2012. Seasonal changes in the thermal tolerances of the toad Rhinella arenarum (Bufonidae) in the Monte Desert of Argentina. Journal of Thermal Biology 37:409-412.</t>
  </si>
  <si>
    <t>Navas et al. 2007</t>
  </si>
  <si>
    <t>Navas, C. A., M. M. Antoniazzi, J. E. Carvalho, H. Suzuki, and C. Jared. 2007. Physiological basis for diurnal activity in dispersing juvenile Bufo granulosus in the Caatinga, a Brazilian semi-arid environment. Comparative Biochemistry and Physiology Part A 147:647-657.</t>
  </si>
  <si>
    <t>Movement could no longer be stimulated, even by prodding</t>
  </si>
  <si>
    <t>Floyd 1983</t>
  </si>
  <si>
    <t>Floyd, R. B. 1983. Ontogenetic change in the temperature tolerance of larval Bufo marinus (Anura, Bufonidae). Comparative Biochemistry and Physiology Part A 75:267-271.</t>
  </si>
  <si>
    <t>Gosner stage 40</t>
  </si>
  <si>
    <t>Gosner stage 28</t>
  </si>
  <si>
    <t>8L:16D</t>
  </si>
  <si>
    <t>Floyd 1985</t>
  </si>
  <si>
    <t>Floyd, R. B. 1985. Effects of photoperiod and starvation on the temperature tolerance of larvae of the giant toad, Bufo marinus. Copeia:625-631.</t>
  </si>
  <si>
    <t>16L:8D</t>
  </si>
  <si>
    <t>Gosner stage 30</t>
  </si>
  <si>
    <t>Gosner stage 34</t>
  </si>
  <si>
    <t>Gosner stage 20</t>
  </si>
  <si>
    <t>Variable</t>
  </si>
  <si>
    <t>Description</t>
  </si>
  <si>
    <t>Order that data were entered</t>
  </si>
  <si>
    <t>Family according to paper</t>
  </si>
  <si>
    <t>Genus according to paper</t>
  </si>
  <si>
    <t>Species according to paper</t>
  </si>
  <si>
    <t>Family according to life history database</t>
  </si>
  <si>
    <t>Genus according to life history database</t>
  </si>
  <si>
    <t>Species according to life history database</t>
  </si>
  <si>
    <t>Family according to IUCN</t>
  </si>
  <si>
    <t>Genus according to IUCN</t>
  </si>
  <si>
    <t>Species according to IUCN</t>
  </si>
  <si>
    <t>Life stage (larva, metamorph, juvenile, adult)</t>
  </si>
  <si>
    <t>Sample size</t>
  </si>
  <si>
    <t>Sample size category used in some papers (A=1-10, B=10-100, C=100+)</t>
  </si>
  <si>
    <t>Nature of N (given, category, missing)</t>
  </si>
  <si>
    <t>Critical thermal maximum (mean)</t>
  </si>
  <si>
    <t>Second measure of critical thermal maximum (mean), if given</t>
  </si>
  <si>
    <t>Were animals acclimated (Y/N)</t>
  </si>
  <si>
    <t>Acclim time</t>
  </si>
  <si>
    <t>Number of days animals were acclimated</t>
  </si>
  <si>
    <t>Acclim temp</t>
  </si>
  <si>
    <t>Thermal safety margin (CTM-BIOCLIM5 [max temp of warmest month])</t>
  </si>
  <si>
    <t>Heating rate during trials (degrees C/min)</t>
  </si>
  <si>
    <t>Photoperiod (number of hours light: number of hours dark)</t>
  </si>
  <si>
    <t>CTM endpoint (L=loss of righting response, S=onset of spasms, H=heat rigor, E=increase in evaporative water loss)</t>
  </si>
  <si>
    <t>Description of endpoint 1</t>
  </si>
  <si>
    <t>Endpoint 2, if measured</t>
  </si>
  <si>
    <t>Elevation of collection site (from paper if given, otherwise estimated from center point of range)</t>
  </si>
  <si>
    <t>Locality of collection site</t>
  </si>
  <si>
    <t>Geographical category of collection site (tropical&lt;23.4378°, subtropical=23.4378° to 38°, temperate&gt;38°)</t>
  </si>
  <si>
    <t>Distance from equator to collection site (regardless of hemisphere)</t>
  </si>
  <si>
    <t>Latitude of collection site</t>
  </si>
  <si>
    <t>Longitude of collection site</t>
  </si>
  <si>
    <t>Source of animals (field or supplier)</t>
  </si>
  <si>
    <t>Year study was published</t>
  </si>
  <si>
    <t>Citation for paper</t>
  </si>
  <si>
    <t>Full reference for paper</t>
  </si>
  <si>
    <r>
      <t>Geographic range (km</t>
    </r>
    <r>
      <rPr>
        <vertAlign val="superscript"/>
        <sz val="10"/>
        <rFont val="Arial"/>
        <family val="2"/>
      </rPr>
      <t>2</t>
    </r>
    <r>
      <rPr>
        <sz val="10"/>
        <rFont val="Arial"/>
        <family val="2"/>
      </rPr>
      <t>)</t>
    </r>
  </si>
  <si>
    <t>Introduced to other countries (Introduced, Not introduced)</t>
  </si>
  <si>
    <t>Minimum elevation</t>
  </si>
  <si>
    <t>Maximum elevation</t>
  </si>
  <si>
    <t>Body size in mm</t>
  </si>
  <si>
    <t>Aquatic, Arboreal, Terrestrial, Aquatic &amp; terrestrial</t>
  </si>
  <si>
    <t>Not threatened, Threatened (all categories above Least Concern)</t>
  </si>
  <si>
    <t>Acclim time (life=120)</t>
  </si>
  <si>
    <t>Number of days animals were acclimated with lifetime acclimation set at 120 days</t>
  </si>
  <si>
    <t>log Acclim time</t>
  </si>
  <si>
    <t>Acclim time (Life=120)</t>
  </si>
  <si>
    <t>Acclimation temperature (°C)</t>
  </si>
  <si>
    <t>Log10(Range)</t>
  </si>
  <si>
    <t>Log10(Acclim time (life=120) +1)</t>
  </si>
  <si>
    <t>Log10(SVL)</t>
  </si>
  <si>
    <t>IUCN 2014risk</t>
  </si>
  <si>
    <t>Not threatened=0, Threatened (all categories above Least Concern)=1</t>
  </si>
  <si>
    <t>tmaxslope</t>
  </si>
  <si>
    <t>Slope for the relationship between maximum temperature and year for the 50 years prior to the study and a the location of the collection</t>
  </si>
  <si>
    <t>Max Temperature of Warmest Month; used to calculate thermal safety margin</t>
  </si>
  <si>
    <t>Average of Safety</t>
  </si>
  <si>
    <t>Average of Elevation</t>
  </si>
  <si>
    <t>Log Average of Elevation</t>
  </si>
  <si>
    <t>Average of Abs lat</t>
  </si>
  <si>
    <t>Average of tmxslope</t>
  </si>
  <si>
    <t>The CTMax by Spp data are species averages from the "CTMax" worksheet.  See the "Metadata for CTMax" worksheet for variable descriptions.</t>
  </si>
  <si>
    <t>Random effects models with study nested within species were too complex and would not converge.  This is why we generated averages by species and conducted binomial regression on the species averages.</t>
  </si>
  <si>
    <t>library(car)</t>
  </si>
  <si>
    <t>library(nlme)</t>
  </si>
  <si>
    <t>library(lme4)</t>
  </si>
  <si>
    <t>library(visreg)</t>
  </si>
  <si>
    <t>library(lattice)</t>
  </si>
  <si>
    <t>library(MASS)</t>
  </si>
  <si>
    <t>library(MuMIn)</t>
  </si>
  <si>
    <t>data=AccTime</t>
  </si>
  <si>
    <t>data=CTMax</t>
  </si>
  <si>
    <t>data=CTMax.by.Spp</t>
  </si>
  <si>
    <t>Organism's common name</t>
  </si>
  <si>
    <t>Organism's kingdom</t>
  </si>
  <si>
    <t>Organism's phylum</t>
  </si>
  <si>
    <t>Organism's class</t>
  </si>
  <si>
    <t>Organism's order</t>
  </si>
  <si>
    <t>Organism's family</t>
  </si>
  <si>
    <t>Organism's genus and species name</t>
  </si>
  <si>
    <t>Habitat where trait performance was measured: Marine, freshwater, or terrestrial</t>
  </si>
  <si>
    <t>Absolute value of latitude</t>
  </si>
  <si>
    <t>Broad trophic group of consumer, as determined by published literature and expert opinion: carnivore; herbivore; omnivore; self = energy self-supplied (e.g., pupae, egg)</t>
  </si>
  <si>
    <t>Mass in kilograms as obtained from original source or estimated from other published literature (see Dell et al. (2011) for further details).</t>
  </si>
  <si>
    <t>Log10(AccTime + 1)</t>
  </si>
  <si>
    <t>Log10(Mass + 1)</t>
  </si>
  <si>
    <t>Number of temperature tested in study</t>
  </si>
  <si>
    <t>Optimal performace temperature (°C)</t>
  </si>
  <si>
    <t>Unique identifier code for each intraspecific thermal response curve</t>
  </si>
  <si>
    <t>Approximate latitude of middle of location where animals were collected (e.g., filed station, town, state, country), or when not available then where measurements were taken</t>
  </si>
  <si>
    <t>Time in seconds organism spent at AccTemp. Every attempt was made to obtain a value, and where necessary text descriptions of time were converted to seconds (e.g., “few” or “several” = 3, “couple” = 2)</t>
  </si>
  <si>
    <t>Breadth</t>
  </si>
  <si>
    <t>Breadth of thermal performace curve (°C)</t>
  </si>
  <si>
    <t>Log10(Breadth)</t>
  </si>
  <si>
    <t>Range of temperatures tested (°C)</t>
  </si>
  <si>
    <t>Whether a breadth measurement was excluded because it was larger than the range of temperatures tested</t>
  </si>
  <si>
    <t>data=JL.Topt</t>
  </si>
  <si>
    <t>data=JL.Breadth</t>
  </si>
  <si>
    <t>model2&lt;-lme(Topt~AccTemp*LogMass*absLatitude+Habitat+Trophic,data=data, random = ~ 1 | ID, weights = varFixed(~ 1/No.Temp), na.action=na.omit,method="ML")</t>
  </si>
  <si>
    <t>ddmodel2 &lt;- dredge(model2)</t>
  </si>
  <si>
    <t>subset(ddmodel2, delta &lt; 4)</t>
  </si>
  <si>
    <t>summary(model.avg(ddmodel2, subset = delta &lt; 4))</t>
  </si>
  <si>
    <t>Anova(model2)</t>
  </si>
  <si>
    <t>summary(model2)</t>
  </si>
  <si>
    <t>model3.1&lt;-lme(LogBreadth~AccTemp+LogMass+absLatitude+Habitat+Trophic+AccTemp*LogMass+AccTemp*absLatitude+LogMass*absLatitude,data=subset(data, LogMass&lt;0.00001), random = ~ 1 | ID, weights = varFixed(~ 1/No.Temp), method="ML")</t>
  </si>
  <si>
    <t>model3.2&lt;-lme(LogBreadth~AccTemp+LogMass+absLatitude+Habitat+Trophic+AccTemp*LogMass+AccTemp*absLatitude,data=subset(data, LogMass&lt;0.00001), random = ~ 1 | ID, weights = varFixed(~ 1/No.Temp), method="ML")</t>
  </si>
  <si>
    <t>model3.3&lt;-lme(LogBreadth~AccTemp+LogMass+absLatitude+Habitat+Trophic+AccTemp*LogMass+ LogMass*absLatitude,data=subset(data, LogMass&lt;0.00001), random = ~ 1 | ID, weights = varFixed(~ 1/No.Temp), method="ML")</t>
  </si>
  <si>
    <t>model3.4&lt;-lme(LogBreadth~AccTemp+LogMass+absLatitude+Habitat+Trophic+AccTemp*absLatitude+LogMass*absLatitude,data=subset(data, LogMass&lt;0.00001), random = ~ 1 | ID, weights = varFixed(~ 1/No.Temp), method="ML")</t>
  </si>
  <si>
    <t>model3.5&lt;-lme(LogBreadth~AccTemp+LogMass+absLatitude+Habitat+Trophic,data=subset(data, LogMass&lt;0.00001), random = ~ 1 | ID, weights = varFixed(~ 1/No.Temp), method="ML")</t>
  </si>
  <si>
    <t>model3.6&lt;-lme(LogBreadth~AccTemp+LogMass+absLatitude+Habitat,data=subset(data, LogMass&lt;0.00001), random = ~ 1 | ID, weights = varFixed(~ 1/No.Temp), method="ML")</t>
  </si>
  <si>
    <t>model3.7&lt;-lme(LogBreadth~AccTemp+LogMass+absLatitude+Trophic,data=subset(data, LogMass&lt;0.00001), random = ~ 1 | ID, weights = varFixed(~ 1/No.Temp), method="ML")</t>
  </si>
  <si>
    <t>model3.8&lt;-lme(LogBreadth~AccTemp+LogMass+Habitat+Trophic,data=subset(data, LogMass&lt;0.00001), random = ~ 1 | ID, weights = varFixed(~ 1/No.Temp), method="ML")</t>
  </si>
  <si>
    <t>model3.9&lt;-lme(LogBreadth~AccTemp+absLatitude+Habitat+Trophic,data=subset(data, LogMass&lt;0.00001), random = ~ 1 | ID, weights = varFixed(~ 1/No.Temp), method="ML")</t>
  </si>
  <si>
    <t>model3.10&lt;-lme(LogBreadth~LogMass+absLatitude+Habitat+Trophic,data=subset(data, LogMass&lt;0.00001), random = ~ 1 | ID, weights = varFixed(~ 1/No.Temp), method="ML")</t>
  </si>
  <si>
    <t>anova(model3.1, model3.3)#AccTemp*absLatitude</t>
  </si>
  <si>
    <t>anova(model3.1, model3.4)#AccTemp*LogMass</t>
  </si>
  <si>
    <t>anova(model3.5, model3.6)#Trophic</t>
  </si>
  <si>
    <t>anova(model3.5, model3.7)#Habitat</t>
  </si>
  <si>
    <t>anova(model3.5, model3.8)#AbsLatitude</t>
  </si>
  <si>
    <t>anova(model3.5, model3.9)#LogMass</t>
  </si>
  <si>
    <t>anova(model3.5, model3.10)#AccTemp</t>
  </si>
  <si>
    <t>model3.0&lt;-lme(LogBreadth~AccTemp*LogMass*absLatitude+Habitat+Trophic,data=subset(data, LogMass&lt;0.00001), random = ~ 1 | ID, weights = varFixed(~ 1/No.Temp), method="ML")</t>
  </si>
  <si>
    <t>anova(model3.0, model3.1)#three way</t>
  </si>
  <si>
    <t>subset(ddmodel3.0, delta &lt; 4)</t>
  </si>
  <si>
    <t>ddmodel3.0 &lt;- dredge(model3.0)</t>
  </si>
  <si>
    <t>summary(model.avg(ddmodel3.0, subset = delta &lt; 4))</t>
  </si>
  <si>
    <t>model1.1&lt;-lme(Topt~LogAccTime+AccTemp+LogMass+absLatitude+Habitat+ absLatitude:AccTemp+absLatitude:LogAccTime+absLatitude:LogMass+AccTemp:LogAccTime+AccTemp:LogMass+LogAccTime:LogMass+LogAccTime:AccTemp:LogMass,data=data, random = ~ 1 | ID, weights = varFixed(~ 1/No.Temp), method="ML")</t>
  </si>
  <si>
    <t>model1.2&lt;-lme(Topt~LogAccTime+AccTemp+LogMass+absLatitude+Habitat+ absLatitude:AccTemp+absLatitude:LogMass+AccTemp:LogAccTime+AccTemp:LogMass+LogAccTime:LogMass,data=data, random = ~ 1 | ID, weights = varFixed(~ 1/No.Temp), method="ML")</t>
  </si>
  <si>
    <t>(msAICc &lt;- model.sel(model1.1, model1.2, model1.3))</t>
  </si>
  <si>
    <t>Anova(model1.1)</t>
  </si>
  <si>
    <t>logMass</t>
  </si>
  <si>
    <t>Natural log of Mass</t>
  </si>
  <si>
    <t>Output from the 1000 simulations associated with the mathematical model</t>
  </si>
  <si>
    <t>Mass in kilograms as simulated species</t>
  </si>
  <si>
    <t>Absolute value of latitude of simulated species</t>
  </si>
  <si>
    <r>
      <t>Temperature (</t>
    </r>
    <r>
      <rPr>
        <sz val="11"/>
        <color rgb="FF000000"/>
        <rFont val="Calibri"/>
        <family val="2"/>
        <scheme val="minor"/>
      </rPr>
      <t>°</t>
    </r>
    <r>
      <rPr>
        <sz val="11"/>
        <color theme="1"/>
        <rFont val="Calibri"/>
        <family val="2"/>
        <scheme val="minor"/>
      </rPr>
      <t>C) at which organism was acclimated (i.e., prior to placement at test temperature). Average temperature given when a temperature range reported in the original study</t>
    </r>
  </si>
  <si>
    <r>
      <t>Temperature (</t>
    </r>
    <r>
      <rPr>
        <sz val="11"/>
        <color rgb="FF000000"/>
        <rFont val="Calibri"/>
        <family val="2"/>
        <scheme val="minor"/>
      </rPr>
      <t>°</t>
    </r>
    <r>
      <rPr>
        <sz val="11"/>
        <color theme="1"/>
        <rFont val="Calibri"/>
        <family val="2"/>
        <scheme val="minor"/>
      </rPr>
      <t>C) at which simulated species was acclimated (i.e., prior to placement at test temperature)</t>
    </r>
  </si>
  <si>
    <t>anova(model3.1, model3.2)#LogMass:absLatitude</t>
  </si>
  <si>
    <t>Missing acclimation time</t>
  </si>
  <si>
    <t>model4&lt;-lme(Raw.CTM1~log.Acclim.time+Acclim.temp+log.SVL+Abs.lat+Habitat+Stage+log.Acclim.time:Acclim.temp+log.Acclim.time:log.SVL+Acclim.temp:log.SVL+log.Acclim.time:Abs.lat+Acclim.temp:Abs.lat+log.SVL:Abs.lat+log.Acclim.time:Acclim.temp:log.SVL,data=subset(data, Abs.lat&gt;25), random = ~ 1 | Species3/Citation, weights = varFixed(~ 1/N.numb), method="ML")</t>
  </si>
  <si>
    <t>ddmodel4 &lt;- dredge(model4)</t>
  </si>
  <si>
    <t>subset(ddmodel4, delta &lt; 4)</t>
  </si>
  <si>
    <t>summary(model.avg(ddmodel4, subset = delta &lt; 4))</t>
  </si>
  <si>
    <t>Anova(model4)</t>
  </si>
  <si>
    <t>summary(model4)</t>
  </si>
  <si>
    <t>model5&lt;-lme(Raw.CTM1~log.Acclim.time*Acclim.temp*log.SVL*Abs.lat+Habitat+Stage,data=data, random = ~ 1 | Species3/Citation, weights = varFixed(~ 1/N.numb), method="ML")</t>
  </si>
  <si>
    <t>ddmodel5 &lt;- dredge(model5)</t>
  </si>
  <si>
    <t>subset(ddmodel5, delta &lt; 4)</t>
  </si>
  <si>
    <t>summary(model.avg(ddmodel5, subset = delta &lt; 4))</t>
  </si>
  <si>
    <t>Anova(model5)</t>
  </si>
  <si>
    <t>summary(model5)</t>
  </si>
  <si>
    <t>R code</t>
  </si>
  <si>
    <t>Genus</t>
  </si>
  <si>
    <t>Body.mass (kg)</t>
  </si>
  <si>
    <t>Body.mass (g)</t>
  </si>
  <si>
    <t>Ex vs In situ</t>
  </si>
  <si>
    <t>Source for body mass</t>
  </si>
  <si>
    <t>source</t>
  </si>
  <si>
    <t>life hist</t>
  </si>
  <si>
    <t>Geo location</t>
  </si>
  <si>
    <t>lat</t>
  </si>
  <si>
    <t>long</t>
  </si>
  <si>
    <t>ation vs ization</t>
  </si>
  <si>
    <t>accl period (days)</t>
  </si>
  <si>
    <t>LogAcclPeriod</t>
  </si>
  <si>
    <t>Trait</t>
  </si>
  <si>
    <t>details</t>
  </si>
  <si>
    <t>R1,1</t>
  </si>
  <si>
    <t>se</t>
  </si>
  <si>
    <t>R1,2</t>
  </si>
  <si>
    <t>R2,1</t>
  </si>
  <si>
    <t>R2,2</t>
  </si>
  <si>
    <t>Q10Cold</t>
  </si>
  <si>
    <t>PostAcclimation</t>
  </si>
  <si>
    <t>Ratio</t>
  </si>
  <si>
    <t>LogRatio</t>
  </si>
  <si>
    <t>MeanN</t>
  </si>
  <si>
    <t>MeanSE</t>
  </si>
  <si>
    <t>a</t>
  </si>
  <si>
    <t>b</t>
  </si>
  <si>
    <t>c</t>
  </si>
  <si>
    <t>Lit source</t>
  </si>
  <si>
    <t>Scorpaeniformes</t>
  </si>
  <si>
    <t>Cottidae</t>
  </si>
  <si>
    <t xml:space="preserve">Myoxocephalus </t>
  </si>
  <si>
    <t xml:space="preserve">scorpius </t>
  </si>
  <si>
    <t xml:space="preserve">Myoxocephalus  scorpius </t>
  </si>
  <si>
    <t>velocity</t>
  </si>
  <si>
    <t>ex situ</t>
  </si>
  <si>
    <t>Ball, D. and I. A. Johnston (1996). "Molecular mechanisms underlying the plasticity of muscle contractile properties with temperature acclimation in the marine fish Myoxocephalus scorpius." Journal of Experimental Biology 199(6): 1363-1373.</t>
  </si>
  <si>
    <t>m</t>
  </si>
  <si>
    <t>w</t>
  </si>
  <si>
    <t>St Andrews, Scotland</t>
  </si>
  <si>
    <t>muscle</t>
  </si>
  <si>
    <t>L s-1</t>
  </si>
  <si>
    <t>Complete</t>
  </si>
  <si>
    <t>tension</t>
  </si>
  <si>
    <t>kN m-2</t>
  </si>
  <si>
    <t>Gadiformes</t>
  </si>
  <si>
    <t>Gadidae</t>
  </si>
  <si>
    <t>Gadus</t>
  </si>
  <si>
    <t>morhua</t>
  </si>
  <si>
    <t>Gadus morhua</t>
  </si>
  <si>
    <t>in situ</t>
  </si>
  <si>
    <t>Lurman et al 2009 J Comp Physiol B 179, 623-633</t>
  </si>
  <si>
    <t>Helgoland, Germany</t>
  </si>
  <si>
    <t>swim</t>
  </si>
  <si>
    <t>sustained</t>
  </si>
  <si>
    <t>confound temp. and body mass</t>
  </si>
  <si>
    <t>Lurman et al 2009 J Comp Physiol B 179, 623-635</t>
  </si>
  <si>
    <t>Tromso, Norway</t>
  </si>
  <si>
    <t>Lurman et al 2009 J Comp Physiol B 179, 623-638</t>
  </si>
  <si>
    <t>http://jeb.biologists.org/content/jexbio/201/7/913.full.pdf</t>
  </si>
  <si>
    <t>Swim</t>
  </si>
  <si>
    <t>m/s</t>
  </si>
  <si>
    <t>Beddow, T. A., J. L. Vanleeuwen, et al. (1995). "SWIMMING KINEMATICS OF FAST STARTS ARE ALTERED BY TEMPERATURE-ACCLIMATION IN THE MARINE FISH MYOXOCEPHALUS-SCORPIUS." Journal of Experimental Biology 198(1): 203-208.</t>
  </si>
  <si>
    <t>acceleration</t>
  </si>
  <si>
    <t>m/s2</t>
  </si>
  <si>
    <t>Crocodylia</t>
  </si>
  <si>
    <t>Crocodilidae</t>
  </si>
  <si>
    <t>Crocodylus</t>
  </si>
  <si>
    <t>porosus</t>
  </si>
  <si>
    <t>Crocodylus porosus</t>
  </si>
  <si>
    <t>Glanville and Seebacher 2006 JEB 209, 4869-4877</t>
  </si>
  <si>
    <t>f</t>
  </si>
  <si>
    <t>j</t>
  </si>
  <si>
    <t>Darwin, Australia</t>
  </si>
  <si>
    <t>Nototheniidae</t>
  </si>
  <si>
    <t>Pagothenia</t>
  </si>
  <si>
    <t>borchgrevincki</t>
  </si>
  <si>
    <t>Pagothenia borchgrevincki</t>
  </si>
  <si>
    <t>Robinson and Davidson 2008 J Fish Biol 73, 1676-1689</t>
  </si>
  <si>
    <t>Scott Base, Antarctica</t>
  </si>
  <si>
    <t>Robinson and Davidson 2008 J Fish Biol 73, 1676-1690</t>
  </si>
  <si>
    <t>Franklin et al 2007 JEB 210, 3068-3074</t>
  </si>
  <si>
    <t>Seebacher et al. 2005 Biol Lett 1, 151-154</t>
  </si>
  <si>
    <t>Testudines</t>
  </si>
  <si>
    <t>Chelidae</t>
  </si>
  <si>
    <t>Elusor</t>
  </si>
  <si>
    <t>macrurus</t>
  </si>
  <si>
    <t>Elusor macrurus</t>
  </si>
  <si>
    <t>Clarke et al 2008 PBZ 81, 301-309</t>
  </si>
  <si>
    <t>Mary River, QLD, Austraia</t>
  </si>
  <si>
    <t>sprint</t>
  </si>
  <si>
    <t>units in m/s</t>
  </si>
  <si>
    <t>Clarke et al 2008 PBZ 81, 301-310</t>
  </si>
  <si>
    <t>Cichlidae</t>
  </si>
  <si>
    <t>Oreochromis</t>
  </si>
  <si>
    <t>mossambicus</t>
  </si>
  <si>
    <t>Oreochromis mossambicus</t>
  </si>
  <si>
    <t>Schnell and Seebacher 2008 PBZ 81, 733-747</t>
  </si>
  <si>
    <t>SE QLD, Australia</t>
  </si>
  <si>
    <t>Schnell and Seebacher 2008 PBZ 81, 733-743</t>
  </si>
  <si>
    <t>Triturus dobrogicus</t>
  </si>
  <si>
    <t>Gvozdik et al 2007 Biol J Linn Soc 90, 627-636</t>
  </si>
  <si>
    <t>Fülopháza, Hungary</t>
  </si>
  <si>
    <t>Limnodynastes peronii</t>
  </si>
  <si>
    <t>Wilson and Franklin 2000 Comp Biochem Physiol A 127, 21-28</t>
  </si>
  <si>
    <t>Sydney, Australia</t>
  </si>
  <si>
    <t>Atheriniformes</t>
  </si>
  <si>
    <t>Melanotaeniidae</t>
  </si>
  <si>
    <t>Melanotaenia</t>
  </si>
  <si>
    <t>duboulayi</t>
  </si>
  <si>
    <t>Melanotaenia duboulayi</t>
  </si>
  <si>
    <t>http://www.sciencedirect.com/science/article/pii/S0044848611006946</t>
  </si>
  <si>
    <t>SE Queensland</t>
  </si>
  <si>
    <t>Ferris and Wilson 2012 J therm Biol 37, 236-242</t>
  </si>
  <si>
    <t>Percichthyidae</t>
  </si>
  <si>
    <t>Macquaria</t>
  </si>
  <si>
    <t>novemaculaeta</t>
  </si>
  <si>
    <t>Macquaria novemaculaeta</t>
  </si>
  <si>
    <t>Grigatchick et al 2012 Proc. Roy Soc. B 279, 4058-4064.</t>
  </si>
  <si>
    <t>Palmers Island, NSW, Australia</t>
  </si>
  <si>
    <t>Xenopus laevis</t>
  </si>
  <si>
    <t>Wilson et al 2000 J Comp Physiol B 170, 117-124</t>
  </si>
  <si>
    <t>distribution is natural dist; animals came from breeding colony</t>
  </si>
  <si>
    <t>Wilson et al 2000 J Comp Physiol B 170, 117-125</t>
  </si>
  <si>
    <t>guttolineata</t>
  </si>
  <si>
    <t>Eurycea guttolineata</t>
  </si>
  <si>
    <t>Marvin 2003 J Therm Biol 28, 251-259</t>
  </si>
  <si>
    <t>Shelby Co, Alabama, USA</t>
  </si>
  <si>
    <t>Marvin 2003 J Therm Biol 28, 251-260</t>
  </si>
  <si>
    <t>Cyprinus</t>
  </si>
  <si>
    <t>carpio</t>
  </si>
  <si>
    <t>Cyprinus carpio</t>
  </si>
  <si>
    <t>http://www.jstor.org/stable/pdf/1540.pdf?_=1464906334481</t>
  </si>
  <si>
    <t>Wakeling et al 2000 Am J Physiol 279, R657-R665</t>
  </si>
  <si>
    <t>Gasterosteiformes</t>
  </si>
  <si>
    <t>Gasterosteidae</t>
  </si>
  <si>
    <t>Gasterosteus</t>
  </si>
  <si>
    <t>aculeatus</t>
  </si>
  <si>
    <t>Gasterosteus aculeatus</t>
  </si>
  <si>
    <t>Guderley et al 2001 PBZ 74, 66-81</t>
  </si>
  <si>
    <t>:isle-Verte, Quebec, Canada</t>
  </si>
  <si>
    <t>STUDY CONFOUNDS TEMP AND WEIGHT</t>
  </si>
  <si>
    <t>Guderley et al 2001 PBZ 74, 66-74</t>
  </si>
  <si>
    <t xml:space="preserve">Danio </t>
  </si>
  <si>
    <t>rerio</t>
  </si>
  <si>
    <t>Danio  rerio</t>
  </si>
  <si>
    <t>Condon et al. 2010 JEB 213, 3705-3709, http://jeb.biologists.org/content/203/4/813.short</t>
  </si>
  <si>
    <t>Brisbane QLD, Australia</t>
  </si>
  <si>
    <t>Condon et al. 2010 JEB 213, 3705-3709</t>
  </si>
  <si>
    <t>Danio</t>
  </si>
  <si>
    <t>McClelland et al 2006 J Physiol 577.2, 739-751</t>
  </si>
  <si>
    <t>Ancaster, ON, Canada</t>
  </si>
  <si>
    <t>McClelland et al 2006 J Physiol 577.2, 739-756</t>
  </si>
  <si>
    <t>Wilson and Franklin 1999 J Comp Physiol B 169, 445-451</t>
  </si>
  <si>
    <t>Cyprinodontiformes</t>
  </si>
  <si>
    <t>Poeciliidae</t>
  </si>
  <si>
    <t>Gambusia</t>
  </si>
  <si>
    <t>holbrooki</t>
  </si>
  <si>
    <t>Gambusia holbrooki</t>
  </si>
  <si>
    <t>Stradbroke Is, Queensland</t>
  </si>
  <si>
    <t>Wilson et al 2007 Phil Trans B 362, 2131-2140</t>
  </si>
  <si>
    <t>Wilson et al 2007 Proc Roy Soc B 362, 2131-2139</t>
  </si>
  <si>
    <t>Enithares</t>
  </si>
  <si>
    <t>sp</t>
  </si>
  <si>
    <t>Enithares sp</t>
  </si>
  <si>
    <t>Dell database</t>
  </si>
  <si>
    <t>cm/s</t>
  </si>
  <si>
    <t>Ferris and Wilson 2012 J therm Biol 37, 236-244</t>
  </si>
  <si>
    <t>l</t>
  </si>
  <si>
    <t>Xantusia</t>
  </si>
  <si>
    <t>vigilis</t>
  </si>
  <si>
    <t>Xantusia vigilis</t>
  </si>
  <si>
    <t>Kaufmann, J. S. and A. F. Bennett (1989). "THE EFFECT OF TEMPERATURE AND THERMAL-ACCLIMATION ON LOCOMOTOR PERFORMANCE IN XANTUSIA-VIGILIS, THE DESERT NIGHT LIZARD." Physiological Zoology 62(5): 1047-1058.</t>
  </si>
  <si>
    <t>t</t>
  </si>
  <si>
    <t>Victorville, California</t>
  </si>
  <si>
    <t>Sprint speed</t>
  </si>
  <si>
    <t>run</t>
  </si>
  <si>
    <t>Orthoptera</t>
  </si>
  <si>
    <t>Gryllidae</t>
  </si>
  <si>
    <t>Acheta</t>
  </si>
  <si>
    <t>domesticus</t>
  </si>
  <si>
    <t>Acheta domesticus</t>
  </si>
  <si>
    <t>http://www.sciencedirect.com/science/article/pii/S0003347296903103</t>
  </si>
  <si>
    <t>Durban , South Africa</t>
  </si>
  <si>
    <t>mm/s</t>
  </si>
  <si>
    <t>Lachenicht et al 2010 J Insect Physiol 56, 822-830</t>
  </si>
  <si>
    <t>Isopoda</t>
  </si>
  <si>
    <t>Porcellionidae</t>
  </si>
  <si>
    <t>Porcellio</t>
  </si>
  <si>
    <t>scaber</t>
  </si>
  <si>
    <t>Porcellio scaber</t>
  </si>
  <si>
    <t>http://onlinelibrary.wiley.com/doi/10.1002/etc.5620170817/full</t>
  </si>
  <si>
    <t>Terre Haute, IN, USA</t>
  </si>
  <si>
    <t>Schuler et al 2011 PLoS ONE 6, e20905</t>
  </si>
  <si>
    <t>Formicidae</t>
  </si>
  <si>
    <t>Messor</t>
  </si>
  <si>
    <t>capensis</t>
  </si>
  <si>
    <t>Messor capensis</t>
  </si>
  <si>
    <t>Clusella-Trullas et al. 2010 PBZ 83, 519-530</t>
  </si>
  <si>
    <t>Bartholomeus Klip Farm, W Cape Province, South Africa</t>
  </si>
  <si>
    <t>Clusella-Trullas et al. 2010 PBZ 83, 519-531</t>
  </si>
  <si>
    <t>Arachnida</t>
  </si>
  <si>
    <t>Acarina</t>
  </si>
  <si>
    <t>Podacaridae</t>
  </si>
  <si>
    <t>Podacarus</t>
  </si>
  <si>
    <t>auberti</t>
  </si>
  <si>
    <t>Podacarus auberti</t>
  </si>
  <si>
    <t>http://www.sciencedirect.com/science/article/pii/S0022191006000576</t>
  </si>
  <si>
    <t>Marion Island</t>
  </si>
  <si>
    <t>units in leg strokes/20 s</t>
  </si>
  <si>
    <t>Deere and Chown 2006 Am Nat 168, 630-647</t>
  </si>
  <si>
    <t>Halozetes</t>
  </si>
  <si>
    <t>Halozetes marinus</t>
  </si>
  <si>
    <t>Deere and Chown 2006 Am Nat 168, 630-644</t>
  </si>
  <si>
    <t>belgicae</t>
  </si>
  <si>
    <t>Halozetes belgicae</t>
  </si>
  <si>
    <t>Deere and Chown 2006 Am Nat 168, 630-648</t>
  </si>
  <si>
    <t>fulvus</t>
  </si>
  <si>
    <t>Halozetes fulvus</t>
  </si>
  <si>
    <t>Deere and Chown 2006 Am Nat 168, 630-645</t>
  </si>
  <si>
    <t>Tardigrada</t>
  </si>
  <si>
    <t>Eutardigrada</t>
  </si>
  <si>
    <t>Parachela</t>
  </si>
  <si>
    <t>Macrobiotidae</t>
  </si>
  <si>
    <t>Macrobiotus</t>
  </si>
  <si>
    <t>harmsworthi</t>
  </si>
  <si>
    <t>Macrobiotus harmsworthi</t>
  </si>
  <si>
    <t>http://bmcecol.biomedcentral.com/articles/10.1186/1472-6785-9-15</t>
  </si>
  <si>
    <t>Qinling Mountains, China</t>
  </si>
  <si>
    <t>mm/min</t>
  </si>
  <si>
    <t>Li adn Wang 2005 J Therm Biol 30, 588-594</t>
  </si>
  <si>
    <t>Decapoda</t>
  </si>
  <si>
    <t>Parastacidae</t>
  </si>
  <si>
    <t xml:space="preserve">Cherax </t>
  </si>
  <si>
    <t>destructor</t>
  </si>
  <si>
    <t>Cherax  destructor</t>
  </si>
  <si>
    <t>PK</t>
  </si>
  <si>
    <t>Seebacher and Wilson 2006  Funct Ecol 20, 1045-1053</t>
  </si>
  <si>
    <t>Newcastle, Australia</t>
  </si>
  <si>
    <t>muscle, claw</t>
  </si>
  <si>
    <t>Seebacher and Wilson 2006  Funct Ecol 20, 1045-1054</t>
  </si>
  <si>
    <t>muscle, tail</t>
  </si>
  <si>
    <t>Franklin et al 2007 JEB 210, 3068-3077</t>
  </si>
  <si>
    <t>PFK</t>
  </si>
  <si>
    <t>muscle, pectoral</t>
  </si>
  <si>
    <t>Seebacher et al. 2005 Biol Lett 1, 151-157</t>
  </si>
  <si>
    <t>Malacostraca</t>
  </si>
  <si>
    <t>Cambaridae</t>
  </si>
  <si>
    <t>Orconectes</t>
  </si>
  <si>
    <t>virilis</t>
  </si>
  <si>
    <t>Orconectes virilis</t>
  </si>
  <si>
    <t>Powell and Watts 2006 Comp Biochem Physiol A 144, 211-218</t>
  </si>
  <si>
    <t>umole/min/mg</t>
  </si>
  <si>
    <t>Freed, J. M. and C. R. Kirk (1976). "PHOSPHOFRUCTOKINASE ACTIVITY OF TEMPERATURE-ACCLIMATED CRAYFISH." Comparative Biochemistry and Physiology B-Biochemistry &amp; Molecular Biology 54(4): 515-517.</t>
  </si>
  <si>
    <t>Powell and Watts 2006 Comp Biochem Physiol A 144, 211-219</t>
  </si>
  <si>
    <t>Powell and Watts 2006 Comp Biochem Physiol A 144, 211-220</t>
  </si>
  <si>
    <t>muscle, axial</t>
  </si>
  <si>
    <t>Guderley et al 2001 PBZ 74, 66-77</t>
  </si>
  <si>
    <t>Crockford, T. and I. A. Johnston (1990). "TEMPERATURE-ACCLIMATION AND THE EXPRESSION OF CONTRACTILE PROTEIN ISOFORMS IN THE SKELETAL-MUSCLES OF THE COMMON CARP (CYPRINUS-CARPIO L)." Journal of Comparative Physiology B-Biochemical Systemic and Environmental Physiology 160(1): 23-30.</t>
  </si>
  <si>
    <t>Wageningen, Netherlands</t>
  </si>
  <si>
    <t>NA-K-ATPase</t>
  </si>
  <si>
    <t>gill</t>
  </si>
  <si>
    <t>ATPase</t>
  </si>
  <si>
    <t>umol Pi/h.mg protein</t>
  </si>
  <si>
    <t>Metz et al 2003 JEB 206, 2273-2280</t>
  </si>
  <si>
    <t>Onchorhynchus</t>
  </si>
  <si>
    <t>mykiss</t>
  </si>
  <si>
    <t>Onchorhynchus mykiss</t>
  </si>
  <si>
    <t>Aho and Vornanen 2001 J Comp Physiol B 171, 173-179</t>
  </si>
  <si>
    <t>Joensuu, Finland</t>
  </si>
  <si>
    <t>myofibrillar ATPase</t>
  </si>
  <si>
    <t>ventricle</t>
  </si>
  <si>
    <t>in umol/mg protein x min</t>
  </si>
  <si>
    <t>Aho and Vornanen 1999 JEB 202, 2663-2678</t>
  </si>
  <si>
    <t>atrium</t>
  </si>
  <si>
    <t>Aho and Vornanen 1999 JEB 202, 2663-2677</t>
  </si>
  <si>
    <t>Carassius</t>
  </si>
  <si>
    <t>Carassius auratus</t>
  </si>
  <si>
    <t>http://www.jstor.org/stable/pdf/1540.pdf?_=1464889653980</t>
  </si>
  <si>
    <t>Ontario,CA, USA</t>
  </si>
  <si>
    <t>Myofib ATPase</t>
  </si>
  <si>
    <t>umolP/mg/min</t>
  </si>
  <si>
    <t>Johnson, T. P. and A. F. Bennett (1995). "THE THERMAL-ACCLIMATION OF BURST ESCAPE PERFORMANCE IN FISH - AN INTEGRATED STUDY OF MOLECULAR AND CELLULAR PHYSIOLOGY AND ORGANISMAL PERFORMANCE." Journal of Experimental Biology 198(10): 2165-2175.</t>
  </si>
  <si>
    <t>Cyprinodontidae</t>
  </si>
  <si>
    <t>Fundulus</t>
  </si>
  <si>
    <t>heteroclitus</t>
  </si>
  <si>
    <t>Fundulus heteroclitus</t>
  </si>
  <si>
    <t>Woods Hole, MA USA</t>
  </si>
  <si>
    <t>Seebacher and James 2008 Am J Physiol 294, R1024-R1032</t>
  </si>
  <si>
    <t>MyoATPase</t>
  </si>
  <si>
    <t>muscle, caudofemoralis</t>
  </si>
  <si>
    <t>Seebacher and James 2008 Am J Physiol 294, R1024-R1034</t>
  </si>
  <si>
    <t>Franklin et al 2007 JEB 210, 3068-3075</t>
  </si>
  <si>
    <t>Seebacher et al. 2005 Biol Lett 1, 151-155</t>
  </si>
  <si>
    <t>Muscle Wmax</t>
  </si>
  <si>
    <t>W kg-1</t>
  </si>
  <si>
    <t>Beddow, T. A. and I. A. Johnston (1995). "PLASTICITY OF MUSCLE CONTRACTILE PROPERTIES FOLLOWING TEMPERATURE-ACCLIMATION IN THE MARINE FISH MYOXOCEPHALUS-SCORPIUS." Journal of Experimental Biology 198(1): 193-201.</t>
  </si>
  <si>
    <t>Pimephales</t>
  </si>
  <si>
    <t>promelas</t>
  </si>
  <si>
    <t>Pimephales promelas</t>
  </si>
  <si>
    <t>Tatakis, T. A. and R. G. Hart (1985). "THERMAL-ACCLIMATION IN SELECTED TISSUES OF THE FATHEAD MINNOW, PIMEPHALES-PROMELAS RAFINESQUE." Journal of Fish Biology 26(4): 465-473.</t>
  </si>
  <si>
    <t>Pennsylvania</t>
  </si>
  <si>
    <t>Muscle MR</t>
  </si>
  <si>
    <t>ul/mg/h</t>
  </si>
  <si>
    <t>Muscle force - twitch</t>
  </si>
  <si>
    <t>kNm-2</t>
  </si>
  <si>
    <t>Muscle force - tetani</t>
  </si>
  <si>
    <t>Ambystoma tigrinum</t>
  </si>
  <si>
    <t>Burggren, W. W. and S. C. Wood (1981). "RESPIRATION AND ACID-BASE-BALANCE IN THE SALAMANDER, AMBYSTOMA-TIGRINUM - INFLUENCE OF TEMPERATURE-ACCLIMATION AND METAMORPHOSIS." Journal of Comparative Physiology 144(2): 241-246.</t>
  </si>
  <si>
    <t>Arizona</t>
  </si>
  <si>
    <t xml:space="preserve">MR </t>
  </si>
  <si>
    <t>max</t>
  </si>
  <si>
    <t>MR</t>
  </si>
  <si>
    <t>ul STPD/g/h</t>
  </si>
  <si>
    <t>rest</t>
  </si>
  <si>
    <t>Testudinidae</t>
  </si>
  <si>
    <t>Geochelone</t>
  </si>
  <si>
    <t>carbonaria</t>
  </si>
  <si>
    <t>Geochelone carbonaria</t>
  </si>
  <si>
    <t>http://www.jstor.org/stable/3892519?seq=1#page_scan_tab_contents</t>
  </si>
  <si>
    <t>San Paulo</t>
  </si>
  <si>
    <t>ml/min</t>
  </si>
  <si>
    <t>Santospinto, F. N., et al. (1985). "THE INFLUENCE OF TEMPERATURE-ACCLIMATION ON O-2-CONSUMPTION IN THE TURTLE GEOCHELONE-CARBONARIA." Comparative Biochemistry and Physiology a-Physiology 82(4): 859-861.</t>
  </si>
  <si>
    <t>Lurman et al 2009 J Comp Physiol B 179, 623-636</t>
  </si>
  <si>
    <t>Lurman et al 2009 J Comp Physiol B 179, 623-637</t>
  </si>
  <si>
    <t>Lurman et al 2009 J Comp Physiol B 179, 623-634</t>
  </si>
  <si>
    <t>Rana catesbeiana</t>
  </si>
  <si>
    <t>Weathers, W. W. (1976). "INFLUENCE OF TEMPERATURE-ACCLIMATION ON OXYGEN-CONSUMPTION, HEMODYNAMICS AND OXYGEN-TRANSPORT IN BULLFROGS." Australian Journal of Zoology 24(3): 321-330.</t>
  </si>
  <si>
    <t>Rayne, Louisana</t>
  </si>
  <si>
    <t>ul/g/h</t>
  </si>
  <si>
    <t>Malacochersus</t>
  </si>
  <si>
    <t>Malacochersus tornieri</t>
  </si>
  <si>
    <t>Kenya</t>
  </si>
  <si>
    <t>ml/kg/h</t>
  </si>
  <si>
    <t>Wood, S. C., et al. (1978). "TEMPERATURE-ACCLIMATION IN PANCAKE TORTOISE, MALACOCHERSUS-TORNIERI - METABOLIC-RATE, BLOOD-PH, OXYGEN-AFFINITY AND RED-CELL ORGANIC-PHOSPHATES." Comparative Biochemistry and Physiology a-Physiology 59(2): 155-160.</t>
  </si>
  <si>
    <t>Ctenopharyngodon</t>
  </si>
  <si>
    <t>idellus</t>
  </si>
  <si>
    <t>Ctenopharyngodon idellus</t>
  </si>
  <si>
    <t>Zhao et al 2011 Aquaculture 322-323, 128-133</t>
  </si>
  <si>
    <t>Shandong, China</t>
  </si>
  <si>
    <t>Oncorhynchus</t>
  </si>
  <si>
    <t>Oncorhynchus mykiss</t>
  </si>
  <si>
    <t>Evans, D. O. (1990). "METABOLIC THERMAL COMPENSATION BY RAINBOW-TROUT - EFFECTS ON STANDARD METABOLIC-RATE AND POTENTIAL USABLE POWER." Transactions of the American Fisheries Society 119(4): 585-600.</t>
  </si>
  <si>
    <t>standard</t>
  </si>
  <si>
    <t>routine</t>
  </si>
  <si>
    <t>mg/h per 200 g fish</t>
  </si>
  <si>
    <t>Prochilodontidae</t>
  </si>
  <si>
    <t>Prochilodus</t>
  </si>
  <si>
    <t>scrofa</t>
  </si>
  <si>
    <t>Prochilodus scrofa</t>
  </si>
  <si>
    <t>Barrionuevo and Fernandes 1998 J. Appl. Ichthyol. 14, 37-41</t>
  </si>
  <si>
    <t>Pirassununga, Brazil</t>
  </si>
  <si>
    <t>Barrionuevo and Fernandes 1998 J. Appl. Ichthyol. 14, 37-42</t>
  </si>
  <si>
    <t>Bufo marinus</t>
  </si>
  <si>
    <t>Feder, M. E. (1982). "ENVIRONMENTAL VARIABILITY AND THERMAL-ACCLIMATION OF METABOLISM IN TROPICAL ANURANS." Journal of Thermal Biology 7(1): 23-28.</t>
  </si>
  <si>
    <t>w??</t>
  </si>
  <si>
    <t>Dumaguete, Phillipines</t>
  </si>
  <si>
    <t>ml/g-0.8/h</t>
  </si>
  <si>
    <t>sealevel</t>
  </si>
  <si>
    <t>Emydidae</t>
  </si>
  <si>
    <t>Trachemys</t>
  </si>
  <si>
    <t>scripta</t>
  </si>
  <si>
    <t>Trachemys scripta</t>
  </si>
  <si>
    <t>Ligon et al. 2012 J Exp Zool 317, 227-235.</t>
  </si>
  <si>
    <t>Sequoyah National Wilfile Refuge, OH, USA</t>
  </si>
  <si>
    <t>Confounded temp with body mass</t>
  </si>
  <si>
    <t>Robinson and Davidson 2008 Polar Biol 31, 317-327</t>
  </si>
  <si>
    <t>Siluriformes</t>
  </si>
  <si>
    <t>Siluridae</t>
  </si>
  <si>
    <t>Silurus</t>
  </si>
  <si>
    <t>Silurus meridionalis</t>
  </si>
  <si>
    <t>Yan and Xie 2011 Current Zool. 57, 109-115</t>
  </si>
  <si>
    <t>Chongqing, China</t>
  </si>
  <si>
    <t>Zoarcidae</t>
  </si>
  <si>
    <t>Zoarces</t>
  </si>
  <si>
    <t>viviparous</t>
  </si>
  <si>
    <t>Zoarces viviparous</t>
  </si>
  <si>
    <t>VanDijk et al 1999 JEB 202, 3611-3621</t>
  </si>
  <si>
    <t>Bufo woodhousii</t>
  </si>
  <si>
    <t>Fitzpatr.Lc and M. Y. Atebara (1974). "EFFECTS OF ACCLIMATION TO SEASONAL TEMPERATURES ON ENERGY METABOLISM IN TOAD BUFO-WOODHOUSEI." Physiological Zoology 47(2): 119-129.</t>
  </si>
  <si>
    <t>Denton, Texas</t>
  </si>
  <si>
    <t>Desmognathus fuscus</t>
  </si>
  <si>
    <t>Fitzpatr.Lc, et al. (1972). "THERMAL ACCLIMATION AND METABOLIC RATES IN DUSKY SALAMANDER DESMOGNATHUS-FUSCUS." Comparative Biochemistry and Physiology 41(1A): 89-&amp;.</t>
  </si>
  <si>
    <t>NE Ohio</t>
  </si>
  <si>
    <t>Viperidae</t>
  </si>
  <si>
    <t>Vipera</t>
  </si>
  <si>
    <t>berus</t>
  </si>
  <si>
    <t>Vipera berus</t>
  </si>
  <si>
    <t>Johansen, K. and G. Lykkeboe (1979). "THERMAL-ACCLIMATION OF AEROBIC METABOLISM AND O-2-HB BINDING IN THE SNAKE, VIPERA-BERUS." Journal of Comparative Physiology 130(4): 293-300.</t>
  </si>
  <si>
    <t>Jutland, Denmark</t>
  </si>
  <si>
    <t>Rana pipiens</t>
  </si>
  <si>
    <t>Bentley and Shield 1981</t>
  </si>
  <si>
    <t>Oshkosh, Wisconsin</t>
  </si>
  <si>
    <t>liver slices</t>
  </si>
  <si>
    <t>Shertzer, R. H., et al. (1975). "THERMAL ACCLIMATION IN SELECTED TISSUES OF LEOPARD FROG RANA-PIPIENS." Comparative Biochemistry and Physiology a-Physiology 51(NA2): 327-334.</t>
  </si>
  <si>
    <t>Bentley and Shield 1977</t>
  </si>
  <si>
    <t>Muscle slices</t>
  </si>
  <si>
    <t>Bentley and Shield 1974</t>
  </si>
  <si>
    <t>heart slices</t>
  </si>
  <si>
    <t>Bentley and Shield 1980</t>
  </si>
  <si>
    <t>Bentley and Shield 1973</t>
  </si>
  <si>
    <t>Bentley and Shield 1976</t>
  </si>
  <si>
    <t>Bentley and Shield 1978</t>
  </si>
  <si>
    <t>Bentley and Shield 1979</t>
  </si>
  <si>
    <t>Bentley and Shield 1975</t>
  </si>
  <si>
    <t>Zakhartsev et al 2003 J Comp Physiol B 173, 365-378</t>
  </si>
  <si>
    <t>Stavanger, Norway</t>
  </si>
  <si>
    <t>Zakhartsev et al 2003 J Comp Physiol B 173, 365-379</t>
  </si>
  <si>
    <t>Kieler Bight, Germany</t>
  </si>
  <si>
    <t>Echinodermata</t>
  </si>
  <si>
    <t>Echinoidea</t>
  </si>
  <si>
    <t>Echinoida</t>
  </si>
  <si>
    <t>Echinidae</t>
  </si>
  <si>
    <t>Sterechinus</t>
  </si>
  <si>
    <t>neumayeri</t>
  </si>
  <si>
    <t>Sterechinus neumayeri</t>
  </si>
  <si>
    <t>http://www.biolbull.org/content/130/3/387.short</t>
  </si>
  <si>
    <t>Andelaide Is, Antarctica</t>
  </si>
  <si>
    <t>Peck et al 2010 Mar Biol 157, 2051-2059</t>
  </si>
  <si>
    <t>Desmognathus ochrophaeus</t>
  </si>
  <si>
    <t>Fitzpatr.Lc, et al. (1971). "THERMAL ACCLIMATION AND METABOLISM IN ALLEGHENY MOUNTAIN SALAMANDER DESMOGNATHUS-OCHROPHAEUS." Comparative Biochemistry and Physiology 40(3A): 681-&amp;.</t>
  </si>
  <si>
    <t>niloticus</t>
  </si>
  <si>
    <t>Oreochromis niloticus</t>
  </si>
  <si>
    <t>Mwangangi, D. M. and G. Mutungi (1994). "THE EFFECTS OF TEMPERATURE-ACCLIMATION ON THE OXYGEN-CONSUMPTION AND ENZYME-ACTIVITY OF RED AND WHITE MUSCLE-FIBERS ISOLATED FROM THE TROPICAL FRESH-WATER FISH OREOCHROMIS-NILOTICUS." Journal of Fish Biology 44(6): 1033-1043.</t>
  </si>
  <si>
    <t>mg/kg/h</t>
  </si>
  <si>
    <t>Palaemonidae</t>
  </si>
  <si>
    <t>Macrobrachium</t>
  </si>
  <si>
    <t>rosenbergii</t>
  </si>
  <si>
    <t>Macrobrachium rosenbergii</t>
  </si>
  <si>
    <t>Manush et al 2004 J Therm Biol 29, 15-19</t>
  </si>
  <si>
    <t>Mumbai, India</t>
  </si>
  <si>
    <t>magna</t>
  </si>
  <si>
    <t>Rana magna</t>
  </si>
  <si>
    <t>Palimpinan, Phillipines</t>
  </si>
  <si>
    <t>150 m elevation</t>
  </si>
  <si>
    <t>Scincidae</t>
  </si>
  <si>
    <t>Chalcides</t>
  </si>
  <si>
    <t>Chalcides ocellatus</t>
  </si>
  <si>
    <t>http://www.jstor.org/stable/1564898?seq=1#page_scan_tab_contents</t>
  </si>
  <si>
    <t>Egypt</t>
  </si>
  <si>
    <t>ml/g/h</t>
  </si>
  <si>
    <t>Alsadoon, M. K. and I. F. Spellerberg (1985). "COMPARISON OF THERMAL-ACCLIMATION EFFECTS ON THE METABOLISM OF CHALCIDES-OCELLATUS (DESERT LIZARD) AND LACERTA-VIVIPARA (COOL-TEMPERATE LIZARD)." Comparative Biochemistry and Physiology a-Physiology 81(4): 939-943.</t>
  </si>
  <si>
    <t>Labeo</t>
  </si>
  <si>
    <t>rohita</t>
  </si>
  <si>
    <t>Labeo rohita</t>
  </si>
  <si>
    <t>Das et al 2004 J Therm Biol 29, 157-163</t>
  </si>
  <si>
    <t>Saphale, India</t>
  </si>
  <si>
    <t>Das et al 2004 J Therm Biol 29, 157-164</t>
  </si>
  <si>
    <t>Rana perezi</t>
  </si>
  <si>
    <t>http://www.sciencedirect.com/science/article/pii/S0166445X0800132X</t>
  </si>
  <si>
    <t>Galicia, Spain</t>
  </si>
  <si>
    <t>Perezcampo, R., et al. (1990). "THERMAL-ACCLIMATION, HYDROPEROXIDE DETOXIFYING ENZYMES AND OXIDATIVE STRESS IN THE LUNG AND LIVER OF RANA-PEREZI." Journal of Thermal Biology 15(3-4): 193-199.</t>
  </si>
  <si>
    <t>Echinioidea</t>
  </si>
  <si>
    <t>Strongylocentrotidae</t>
  </si>
  <si>
    <t>Strongylocentrotus</t>
  </si>
  <si>
    <t>droebachiensis</t>
  </si>
  <si>
    <t>Strongylocentrotus droebachiensis</t>
  </si>
  <si>
    <t>Percy, J. A. (1974). "THERMAL ADAPTATION IN BOREO-ARCTIC ECHINOID, STRONGYLOCENTROTUS DROEBACHIENSIS (MULLER,OF 1776) .4. ACCLIMATION IN LABORATORY." Physiological Zoology 47(3): 163-171.</t>
  </si>
  <si>
    <t>Conception Bay, Newfoundland</t>
  </si>
  <si>
    <t>Catla</t>
  </si>
  <si>
    <t>catla</t>
  </si>
  <si>
    <t>Catla catla</t>
  </si>
  <si>
    <t>Cirrhinus</t>
  </si>
  <si>
    <t>mrigala</t>
  </si>
  <si>
    <t>Cirrhinus mrigala</t>
  </si>
  <si>
    <t>Das et al 2004 J Therm Biol 29, 157-165</t>
  </si>
  <si>
    <t>Cnidaria</t>
  </si>
  <si>
    <t>Anthozoa</t>
  </si>
  <si>
    <t>Actiniaria</t>
  </si>
  <si>
    <t>Actiniidae</t>
  </si>
  <si>
    <t>Actinia</t>
  </si>
  <si>
    <t>equina</t>
  </si>
  <si>
    <t>Actinia equina</t>
  </si>
  <si>
    <t>http://www.sciencedirect.com/science/article/pii/S0022098104004599</t>
  </si>
  <si>
    <t>Biscay</t>
  </si>
  <si>
    <t>Ortega, M. M., et al. (1984). "ACCLIMATION TO TEMPERATURE IN ACTINIA-EQUINA L - EFFECTS OF SEASON AND SHORE LEVEL ON AQUATIC OXYGEN-CONSUMPTION." Journal of Experimental Marine Biology and Ecology 76(1): 79-87.</t>
  </si>
  <si>
    <t>Rana cancrivora</t>
  </si>
  <si>
    <t>Procambarus</t>
  </si>
  <si>
    <t>clarkii</t>
  </si>
  <si>
    <t>Procambarus clarkii</t>
  </si>
  <si>
    <t>Powell and Watts 2006 Comp Biochem Physiol A 144, 211-217</t>
  </si>
  <si>
    <t>Baton Rouge LA, USA</t>
  </si>
  <si>
    <t>zonangulus</t>
  </si>
  <si>
    <t>Procambarus zonangulus</t>
  </si>
  <si>
    <t>http://jeb.biologists.org/content/jexbio/203/12/1937.full.pdf</t>
  </si>
  <si>
    <t>Rogers et al 2007 JEB 210, 2932-2938</t>
  </si>
  <si>
    <t>Rana erythraea</t>
  </si>
  <si>
    <t>Pomacentridae</t>
  </si>
  <si>
    <t>Acanthochromis</t>
  </si>
  <si>
    <t>polyacanthus</t>
  </si>
  <si>
    <t>Acanthochromis polyacanthus</t>
  </si>
  <si>
    <t>Donelson et al 2011 Global Change Biol 17, 1712-1719</t>
  </si>
  <si>
    <t>Palm Is QLD, Australia</t>
  </si>
  <si>
    <t>Donelson et al 2011 Global Change Biol 17, 1712-1720</t>
  </si>
  <si>
    <t>Blenniidae</t>
  </si>
  <si>
    <t>Blennius</t>
  </si>
  <si>
    <t>pholis</t>
  </si>
  <si>
    <t>Blennius pholis</t>
  </si>
  <si>
    <t>http://www.sciencedirect.com/science/article/pii/0022098184900558</t>
  </si>
  <si>
    <t>Port Erin, Is of Man</t>
  </si>
  <si>
    <t>Campbell, C. M. and P. S. Davies (1975). "THERMAL ACCLIMATION IN TELEOST, BLENNIUS-PHOLIS (L)." Comparative Biochemistry and Physiology a-Physiology 52(1): 147-151.</t>
  </si>
  <si>
    <t>latouchii</t>
  </si>
  <si>
    <t>Rana latouchii</t>
  </si>
  <si>
    <t>Chang and Hou 2005 PBZ 78, 947-955</t>
  </si>
  <si>
    <t>Nanjenshan Nature Reserve, Taiwan</t>
  </si>
  <si>
    <t>Ooeidozyga</t>
  </si>
  <si>
    <t>Ooeidozyga laevis</t>
  </si>
  <si>
    <t>Lake Balinsusaya</t>
  </si>
  <si>
    <t>900 m elevation</t>
  </si>
  <si>
    <t>Taricha granulosa</t>
  </si>
  <si>
    <t>Feder, M. E. (1983). "METABOLIC AND BIOCHEMICAL CORRELATES OF THERMAL-ACCLIMATION IN THE ROUGH-SKINNED NEWT TARICHA-GRANULOSA." Physiological Zoology 56(4): 513-521.</t>
  </si>
  <si>
    <t>Oregon</t>
  </si>
  <si>
    <t>Schnell and Seebacher 2008 PBZ 81, 733-742</t>
  </si>
  <si>
    <t>Hoplodactylus</t>
  </si>
  <si>
    <t>maculatus</t>
  </si>
  <si>
    <t>Hoplodactylus maculatus</t>
  </si>
  <si>
    <t>Tocher, M. D. and W. Davison (1996). "Differential thermal acclimation of metabolic rate in two populations of the New Zealand common gecko Hoplodactylus maculatus (Reptilia:Gekkonidae)." Journal of Experimental Zoology 275(1): 8-14.</t>
  </si>
  <si>
    <t>Castle Hill, Craigieburn, NZ</t>
  </si>
  <si>
    <t>Banks Peninsula, NZ</t>
  </si>
  <si>
    <t>Rana vergatipes</t>
  </si>
  <si>
    <t>Holzman, N. and J. J. McManus (1973). "EFFECTS OF ACCLIMATION ON METABOLIC RATE AND THERMAL TOLERANCE IN CARPENTER FROG, RANA-VERGATIPES." Comparative Biochemistry and Physiology 45(3A): 833-842.</t>
  </si>
  <si>
    <t>Burlington, New Jersey</t>
  </si>
  <si>
    <t>cm3/g/h</t>
  </si>
  <si>
    <t>Polychrotidae</t>
  </si>
  <si>
    <t xml:space="preserve">Anolis </t>
  </si>
  <si>
    <t>gundlachi</t>
  </si>
  <si>
    <t>Anolis  gundlachi</t>
  </si>
  <si>
    <t>Note from Seebacher</t>
  </si>
  <si>
    <t>Caribbean National Forest, Rio Grande, Puerto Rico</t>
  </si>
  <si>
    <t>ml/h</t>
  </si>
  <si>
    <t>body mass not give approx 7 g</t>
  </si>
  <si>
    <t>Rogowitz, G. L. (1996). "Evaluation of thermal acclimation and altitudinal variation of metabolism in a neotropical lizard, Anolis gundlachi." Copeia(3): 535-542.</t>
  </si>
  <si>
    <t>Urosaurus</t>
  </si>
  <si>
    <t>Urosaurus ornatus</t>
  </si>
  <si>
    <t>http://onlinelibrary.wiley.com/doi/10.1046/j.1365-2435.2000.00427.x/full</t>
  </si>
  <si>
    <t>Maricopa Country, AZ</t>
  </si>
  <si>
    <t>Payne, J. C. and R. E. Gatten (1988). "THERMAL-ACCLIMATION OF ACTIVITY METABOLISM IN DESERT LIZARDS (UROSAURUS-GRACIOSUS AND UROSAURUS-ORNATUS)." Journal of Thermal Biology 13(1): 37-42.</t>
  </si>
  <si>
    <t>Teiidae</t>
  </si>
  <si>
    <t>Cnemidophorus</t>
  </si>
  <si>
    <t>sexlineatus</t>
  </si>
  <si>
    <t>Cnemidophorus sexlineatus</t>
  </si>
  <si>
    <t>http://www.jstor.org/stable/3892279?seq=1#page_scan_tab_contents</t>
  </si>
  <si>
    <t>Alabama</t>
  </si>
  <si>
    <t>ml/g.8/h</t>
  </si>
  <si>
    <t>Ragland, I. M., et al. (1981). "TEMPERATURE-ACCLIMATION IN THE LIZARDS CNEMIDOPHORUS-SEXLINEATUS AND ANOLIS-CAROLINENSIS." Comparative Biochemistry and Physiology a-Physiology 70(1): 33-36.</t>
  </si>
  <si>
    <t xml:space="preserve">carolinensis </t>
  </si>
  <si>
    <t xml:space="preserve">Anolis  carolinensis </t>
  </si>
  <si>
    <t>http://www.jstor.org/stable/1444335?seq=1#page_scan_tab_contents</t>
  </si>
  <si>
    <t>Lacerta</t>
  </si>
  <si>
    <t>vivipara</t>
  </si>
  <si>
    <t>Lacerta vivipara</t>
  </si>
  <si>
    <t>http://www.jstor.org/stable/2389633?seq=1#page_scan_tab_contents</t>
  </si>
  <si>
    <t>New Forest, England</t>
  </si>
  <si>
    <t>Pomacentrus</t>
  </si>
  <si>
    <t>moluccensis</t>
  </si>
  <si>
    <t>Pomacentrus moluccensis</t>
  </si>
  <si>
    <t>Nilsson et al 2010 Comp Biochem Physiol A 156, 389-393</t>
  </si>
  <si>
    <t>Lizard Island QLD, Australia</t>
  </si>
  <si>
    <t>Nilsson et al 2010 Comp Biochem Physiol A 156, 389-394</t>
  </si>
  <si>
    <t>Notophthalmus viridescens</t>
  </si>
  <si>
    <t>Berner and Puckett 2010 J. Exp. Zool. 313A, 231-239</t>
  </si>
  <si>
    <t>Nashville, Te, USA</t>
  </si>
  <si>
    <t>SMR</t>
  </si>
  <si>
    <t>light conditions were also changed</t>
  </si>
  <si>
    <t>purpuratus</t>
  </si>
  <si>
    <t>Strongylocentrotus purpuratus</t>
  </si>
  <si>
    <t>http://www.jstor.org/stable/1934491?seq=1#page_scan_tab_contents</t>
  </si>
  <si>
    <t>Newport, Oregon</t>
  </si>
  <si>
    <t>dry mass</t>
  </si>
  <si>
    <t>Ulbricht, R. J. (1973). "INFLUENCE OF TEMPERATURE ACCLIMATION UPON METABOLIC RATE OF PURPLE SEA-URCHIN, STRONGYLOCENTROTUS-PURPURATUS - ALTERNATE INTERPRETATIONS." Comparative Biochemistry and Physiology 45(2A): 677-681.</t>
  </si>
  <si>
    <t>Bolitoglossa</t>
  </si>
  <si>
    <t>subpalmata</t>
  </si>
  <si>
    <t>Bolitoglossa subpalmata</t>
  </si>
  <si>
    <t>Feder, M. E. (1987). "EFFECT OF THERMAL-ACCLIMATION ON LOCOMOTOR ENERGETICS AND LOCOMOTOR PERFORMANCE IN A TROPICAL SALAMANDER, BOLITOGLOSSA-SUBPALMATA." Physiological Zoology 60(1): 18-26.</t>
  </si>
  <si>
    <t>La Georgina, Costa Rica</t>
  </si>
  <si>
    <t>umol/h</t>
  </si>
  <si>
    <t>Penaeidae</t>
  </si>
  <si>
    <t>Fenneropanaeus</t>
  </si>
  <si>
    <t>Fenneropanaeus chinensis</t>
  </si>
  <si>
    <t>Tian et al 2004 J Exp Mar Biol Ecol 310, 59-72</t>
  </si>
  <si>
    <t>Qingdao, China</t>
  </si>
  <si>
    <t>/g dry mass</t>
  </si>
  <si>
    <t>Apoginidae</t>
  </si>
  <si>
    <t>Ostorhinchus</t>
  </si>
  <si>
    <t>doederleini</t>
  </si>
  <si>
    <t>Ostorhinchus doederleini</t>
  </si>
  <si>
    <t>Pseudacris triseriata</t>
  </si>
  <si>
    <t>http://www.jstor.org/stable/30155478?seq=1#page_scan_tab_contents</t>
  </si>
  <si>
    <t>Vermillion</t>
  </si>
  <si>
    <t>Dunlap, D. G. (1980). "COMPARATIVE EFFECTS OF THERMAL-ACCLIMATION AND SEASON ON METABOLIC COMPENSATION TO TEMPERATURE IN THE HYLID FROGS, PSEUDACRIS-TRISERIATA AND ACRIS-CREPITANS." Comparative Biochemistry and Physiology a-Physiology 66(2): 243-249.</t>
  </si>
  <si>
    <t>Acris crepitans</t>
  </si>
  <si>
    <t>Amphipoda</t>
  </si>
  <si>
    <t>Maeridae</t>
  </si>
  <si>
    <t>Paraceradocus</t>
  </si>
  <si>
    <t>gibber</t>
  </si>
  <si>
    <t>Paraceradocus gibber</t>
  </si>
  <si>
    <t>Peck et al 2010 Mar Biol 157, 2051-2060</t>
  </si>
  <si>
    <t>Grabowski et al. 2009 Environ Biol Fish 86, 361-370</t>
  </si>
  <si>
    <t>Þistilfjörður, Iceland</t>
  </si>
  <si>
    <t>Selvogsbanki, Iceland</t>
  </si>
  <si>
    <t>Grabowski et al. 2009 Environ Biol Fish 86, 361-371</t>
  </si>
  <si>
    <t>multiplicata</t>
  </si>
  <si>
    <t>Eurycea multiplicata</t>
  </si>
  <si>
    <t>Brown, A. V. and L. C. Fitzpatrick (1981). "THERMAL-ACCLIMATION AND METABOLISM IN THE GRAY-BELLIED SALAMANDER, EURYCEA-MULTIPLICATA-GRISEOGASTER (PLETHODONTIDAE)." Comparative Biochemistry and Physiology a-Physiology 69(3): 505-509.</t>
  </si>
  <si>
    <t>Fayetteville, Arkansas</t>
  </si>
  <si>
    <t>confounded temp. and body mass</t>
  </si>
  <si>
    <t>Plethodon dorsalis</t>
  </si>
  <si>
    <t>Brown, A. V. and L. C. Fitzpatrick (1981). "METABOLIC ACCLIMATION TO TEMPERATURE IN THE OZARK SALAMANDER PLETHODON-DORSALIS-ANGUSTICLAVIUS." Comparative Biochemistry and Physiology a-Physiology 69(3): 499-503.</t>
  </si>
  <si>
    <t>McAllister, C. T. and L. C. Fitzpatrick (1985). "THERMAL-ACCLIMATION AND OXYGEN-CONSUMPTION RATES IN NEOTENIC GREY-BELLY SALAMANDERS, EURYCEA-MULTIPLICATA-GRISEOGASTER (PLETHODONTIDAE), FROM AN ARKANSAS CAVE." Journal of Thermal Biology 10(1): 1-4.</t>
  </si>
  <si>
    <t>aquatic or terrestrial??? Query for all salamanders</t>
  </si>
  <si>
    <t>Replicated from above??</t>
  </si>
  <si>
    <t>Cyprinodon</t>
  </si>
  <si>
    <t>salinus</t>
  </si>
  <si>
    <t>Cyprinodon salinus</t>
  </si>
  <si>
    <t>Stuenkel, E. L. and S. D. Hillyard (1981). "THE EFFECTS OF TEMPERATURE AND SALINITY ACCLIMATION ON METABOLIC-RATE AND OSMOREGULATION IN THE PUPFISH CYPRINODON-SALINUS." Copeia(2): 411-417.</t>
  </si>
  <si>
    <t>Death Valley</t>
  </si>
  <si>
    <t>neotenes</t>
  </si>
  <si>
    <t>Eurycea neotenes</t>
  </si>
  <si>
    <t>McAllister, C. T. and L. C. Fitzpatrick (1989). "THE EFFECT OF THERMAL-ACCLIMATION ON OXYGEN-CONSUMPTION IN THE SALAMANDER, EURYCEA-NEOTENES." Journal of Herpetology 23(4): 439-442.</t>
  </si>
  <si>
    <t>Leakey, Texas</t>
  </si>
  <si>
    <t>umol CO2/h</t>
  </si>
  <si>
    <t>Lachenicht et al 2010 J Insect Physiol 56, 822-832</t>
  </si>
  <si>
    <t>Polypedates</t>
  </si>
  <si>
    <t>megacephalus</t>
  </si>
  <si>
    <t>Polypedates megacephalus</t>
  </si>
  <si>
    <t>http://link.springer.com/article/10.1007/s10646-010-0589-6#page-1</t>
  </si>
  <si>
    <t>Changhua, Taiwan</t>
  </si>
  <si>
    <t>Wu et al. 2007 Comp Biochem Physiol B 146, 101-106</t>
  </si>
  <si>
    <t>Zoarces americanus</t>
  </si>
  <si>
    <t>Killen et al 2008 J Fish Biol 72, 763-772</t>
  </si>
  <si>
    <t>Logy Bay, Newfoundland, Canada</t>
  </si>
  <si>
    <t>Marshall, E. and G. C. Grigg (1980). "LACK OF METABOLIC ACCLIMATION TO DIFFERENT THERMAL HISTORIES BY TADPOLES OF LIMNODYNASTES-PERONI (ANURA, LEPTODACTYLIDAE)." Physiological Zoology 53(1): 1-7.</t>
  </si>
  <si>
    <t>Sydney</t>
  </si>
  <si>
    <t>Clitellata</t>
  </si>
  <si>
    <t>Haplotaxida</t>
  </si>
  <si>
    <t>Lumbricidae</t>
  </si>
  <si>
    <t>Eisenia</t>
  </si>
  <si>
    <t>foetida</t>
  </si>
  <si>
    <t>Eisenia foetida</t>
  </si>
  <si>
    <t>Moment, G. B. and H. M. Habermann (1979). "THERMAL-ACCLIMATION AND COMPENSATION OF RESPIRATORY OXYGEN-UPTAKE IN AN EARTHWORM, EISENIA FOETIDA." Physiological Zoology 52(4): 542-548.</t>
  </si>
  <si>
    <t>Baltimore</t>
  </si>
  <si>
    <t>ul/min/g</t>
  </si>
  <si>
    <t>Idoteidae</t>
  </si>
  <si>
    <t>Idotea</t>
  </si>
  <si>
    <t>baltica</t>
  </si>
  <si>
    <t>Idotea baltica</t>
  </si>
  <si>
    <t>http://onlinelibrary.wiley.com/doi/10.1890/0012-9658(2002)083%5b1052:NEIPOA%5d2.0.CO%3b2/abstract, http://www.jstor.org/stable/pdf/23734519.pdf</t>
  </si>
  <si>
    <t>Salomon and Buchholz 2000 Comp Biochem Physiol B 125, 71-81</t>
  </si>
  <si>
    <t>emarginata</t>
  </si>
  <si>
    <t>Idotea emarginata</t>
  </si>
  <si>
    <t>Salomon and Buchholz 2000 Comp Biochem Physiol B 125, 71-82</t>
  </si>
  <si>
    <t>Glossinidae</t>
  </si>
  <si>
    <t>Glossina</t>
  </si>
  <si>
    <t>morsitans</t>
  </si>
  <si>
    <t>Glossina morsitans</t>
  </si>
  <si>
    <t>Terblanche et al 2005 J Insect Physiol 51, 861-870</t>
  </si>
  <si>
    <t>Africa</t>
  </si>
  <si>
    <t>mlCO2/h</t>
  </si>
  <si>
    <t>active</t>
  </si>
  <si>
    <t>units in ml CO2/h</t>
  </si>
  <si>
    <t>Londos, P. L. and R. J. Brooks (1988). "EFFECT OF TEMPERATURE-ACCLIMATION ON LOCOMOTORY PERFORMANCE CURVES IN THE TOAD, BUFO-WOODHOUSII-WOODHOUSII." Copeia(1): 26-32.</t>
  </si>
  <si>
    <t>Imperial County, California</t>
  </si>
  <si>
    <t>Mean velocity</t>
  </si>
  <si>
    <t>jumping</t>
  </si>
  <si>
    <t>LDH</t>
  </si>
  <si>
    <t xml:space="preserve">liver  </t>
  </si>
  <si>
    <t>Glanville and Seebacher 2006 JEB 209, 4869-4879</t>
  </si>
  <si>
    <t>muscle, mixed</t>
  </si>
  <si>
    <t>Glanville and Seebacher 2006 JEB 209, 4869-4878</t>
  </si>
  <si>
    <t>heart</t>
  </si>
  <si>
    <t>Glanville and Seebacher 2006 JEB 209, 4869-4880</t>
  </si>
  <si>
    <t>Centrarchidae</t>
  </si>
  <si>
    <t>Pomonix</t>
  </si>
  <si>
    <t>annularis</t>
  </si>
  <si>
    <t>Pomonix annularis</t>
  </si>
  <si>
    <t>Tschantz et al 2002 PBZ 75, 544-584</t>
  </si>
  <si>
    <t>Portage Lakes</t>
  </si>
  <si>
    <t>liver</t>
  </si>
  <si>
    <t>Confounded body size with acclimation temperature</t>
  </si>
  <si>
    <t>Tschantz et al 2002 PBZ 75, 544-583</t>
  </si>
  <si>
    <t>muscle, white</t>
  </si>
  <si>
    <t>Tschantz et al 2002 PBZ 75, 544-578</t>
  </si>
  <si>
    <t>Tschantz et al 2002 PBZ 75, 544-569</t>
  </si>
  <si>
    <t>Micropterus</t>
  </si>
  <si>
    <t>salmoides</t>
  </si>
  <si>
    <t>Micropterus salmoides</t>
  </si>
  <si>
    <t>Baltic, OH, USA</t>
  </si>
  <si>
    <t>Tschantz et al 2002 PBZ 75, 544-566</t>
  </si>
  <si>
    <t>Tschantz et al 2002 PBZ 75, 544-575</t>
  </si>
  <si>
    <t>Tschantz et al 2002 PBZ 75, 544-580</t>
  </si>
  <si>
    <t>Alligatoridae</t>
  </si>
  <si>
    <t>Alligator</t>
  </si>
  <si>
    <t>mississippiensis</t>
  </si>
  <si>
    <t>Alligator mississippiensis</t>
  </si>
  <si>
    <t>Guderley and Seebacher 2011 J. Comp. Physiol. B 181, 53-65</t>
  </si>
  <si>
    <t>duodenum</t>
  </si>
  <si>
    <t>Guderley and Seebacher 2011 J. Comp. Physiol. B 181, 53-64</t>
  </si>
  <si>
    <t>Guderley and Seebacher 2011 J. Comp. Physiol. B 181, 53-67</t>
  </si>
  <si>
    <t>Guderley and Seebacher 2011 J. Comp. Physiol. B 181, 53-66</t>
  </si>
  <si>
    <t>Rhinella marina</t>
  </si>
  <si>
    <t>Brisbane, Australia</t>
  </si>
  <si>
    <t>Seebacher adn Franklin 2011 JEB 214, 1437-1449</t>
  </si>
  <si>
    <t>Guderley and Seebacher 2011 J. Comp. Physiol. B 181, 53-68</t>
  </si>
  <si>
    <t>muscle, vastis lateralis</t>
  </si>
  <si>
    <t>Seebacher adn Franklin 2011 JEB 214, 1437-1448</t>
  </si>
  <si>
    <t>nigromaculatus</t>
  </si>
  <si>
    <t>Pomonix nigromaculatus</t>
  </si>
  <si>
    <t>Tschantz et al 2002 PBZ 75, 544-579</t>
  </si>
  <si>
    <t>Franklin et al 2007 JEB 210, 3068-3076</t>
  </si>
  <si>
    <t>Seebacher et al. 2005 Biol Lett 1, 151-156</t>
  </si>
  <si>
    <t>Tschantz et al 2002 PBZ 75, 544-570</t>
  </si>
  <si>
    <t>Lepomis</t>
  </si>
  <si>
    <t>cyanellus</t>
  </si>
  <si>
    <t>Lepomis cyanellus</t>
  </si>
  <si>
    <t>Tschantz et al 2002 PBZ 75, 544-581</t>
  </si>
  <si>
    <t>Tschantz et al 2002 PBZ 75, 544-567</t>
  </si>
  <si>
    <t>Tschantz et al 2002 PBZ 75, 544-576</t>
  </si>
  <si>
    <t>macrochirus</t>
  </si>
  <si>
    <t>Lepomis macrochirus</t>
  </si>
  <si>
    <t>Bath Nature Reserve</t>
  </si>
  <si>
    <t>Tschantz et al 2002 PBZ 75, 544-582</t>
  </si>
  <si>
    <t>Tschantz et al 2002 PBZ 75, 544-568</t>
  </si>
  <si>
    <t>Tschantz et al 2002 PBZ 75, 544-577</t>
  </si>
  <si>
    <t>Seebacher and Wilson 2006  Funct Ecol 20, 1045-1055</t>
  </si>
  <si>
    <t>Seebacher and Wilson 2006  Funct Ecol 20, 1045-1056</t>
  </si>
  <si>
    <t>muscle, gastrocnemius</t>
  </si>
  <si>
    <t>Rogers et al 2007 JEB 210, 2932-2939</t>
  </si>
  <si>
    <t>muscle, external oblique, males</t>
  </si>
  <si>
    <t>Rogers et al 2007 JEB 210, 2932-2945</t>
  </si>
  <si>
    <t>Rogers et al 2007 JEB 210, 2932-2942</t>
  </si>
  <si>
    <t>Chondrichthyes</t>
  </si>
  <si>
    <t>Orectolobiformes</t>
  </si>
  <si>
    <t>Hemiscylliidae</t>
  </si>
  <si>
    <t>Chiloscyllium</t>
  </si>
  <si>
    <t>plagiosum</t>
  </si>
  <si>
    <t>Chiloscyllium plagiosum</t>
  </si>
  <si>
    <t>Tulis and Bailie 2005 J Fish Biol 67, 950-968</t>
  </si>
  <si>
    <t>SE-Asia, Africa</t>
  </si>
  <si>
    <t>Tulis and Bailie 2005 J Fish Biol 67, 950-970</t>
  </si>
  <si>
    <t>Schnell and Seebacher 2008 PBZ 81, 733-744</t>
  </si>
  <si>
    <t>Schnell and Seebacher 2008 PBZ 81, 733-745</t>
  </si>
  <si>
    <t>Berner and Puckett 2010 J. Exp. Zool. 313A, 231-242</t>
  </si>
  <si>
    <t>Osaka, Japan</t>
  </si>
  <si>
    <t>white muscle</t>
  </si>
  <si>
    <t>delta/min/mg protein</t>
  </si>
  <si>
    <t>Tsukuda, H. (1982). "EFFECT OF TEMPERATURE ON THE RED AND WHITE MUSCLE LACTATE-DEHYDROGENASE OF THERMALLY ACCLIMATED GOLDFISH." Comparative Biochemistry and Physiology B-Biochemistry &amp; Molecular Biology 73(3): 607-611.</t>
  </si>
  <si>
    <t>red muscle</t>
  </si>
  <si>
    <t>Guderley and Leroy 2001 J Comp Physiol B 171, 91-102</t>
  </si>
  <si>
    <t>Guderley and Leroy 2001 J Comp Physiol B 171, 91-101</t>
  </si>
  <si>
    <t>Guderley et al 2001 PBZ 74, 66-80</t>
  </si>
  <si>
    <t>Rogers et al 2004 Comp Biochem Physiol A 137, 731-738</t>
  </si>
  <si>
    <t>jump</t>
  </si>
  <si>
    <t>cm</t>
  </si>
  <si>
    <t>Wilson and Franklin 2000 Comp Biochem Physiol A 127, 21-29</t>
  </si>
  <si>
    <t>mm</t>
  </si>
  <si>
    <t>Lachenicht et al 2010 J Insect Physiol 56, 822-831</t>
  </si>
  <si>
    <t>Lanning et al. 2005 Polar Biol 28, 575-584</t>
  </si>
  <si>
    <t>IDH</t>
  </si>
  <si>
    <t>IDH = isocitrate dehydrogenase</t>
  </si>
  <si>
    <t>Lanning et al. 2005 Polar Biol 28, 575-585</t>
  </si>
  <si>
    <t>Seebacher adn Franklin 2011 JEB 214, 1437-1444</t>
  </si>
  <si>
    <t>Seebacher adn Franklin 2011 JEB 214, 1437-1445</t>
  </si>
  <si>
    <t>Ross Sea, Antarctica</t>
  </si>
  <si>
    <t>Elaphe</t>
  </si>
  <si>
    <t>taeniura</t>
  </si>
  <si>
    <t>Elaphe taeniura</t>
  </si>
  <si>
    <t>Du et al 2010 PLoS ONE 5 e15311</t>
  </si>
  <si>
    <t>Yantai, Shandong Province, China</t>
  </si>
  <si>
    <t>beats/min</t>
  </si>
  <si>
    <t>Chelydridae</t>
  </si>
  <si>
    <t>Chelydra</t>
  </si>
  <si>
    <t>serpentina</t>
  </si>
  <si>
    <t>Chelydra serpentina</t>
  </si>
  <si>
    <t>Thompson Il, USA</t>
  </si>
  <si>
    <t>Du et al 2010 PLoS ONE 5 e15308</t>
  </si>
  <si>
    <t>Bassiana</t>
  </si>
  <si>
    <t>duperreyi</t>
  </si>
  <si>
    <t>Bassiana duperreyi</t>
  </si>
  <si>
    <t>Brindabella Range, Australia</t>
  </si>
  <si>
    <t>Du et al 2010 PLoS ONE 5 e15310</t>
  </si>
  <si>
    <t>Sceloporus</t>
  </si>
  <si>
    <t>undulatus</t>
  </si>
  <si>
    <t>Teasdale MI, USA</t>
  </si>
  <si>
    <t>Du et al 2010 PLoS ONE 5 e15309</t>
  </si>
  <si>
    <t>HOAD</t>
  </si>
  <si>
    <t>Rogers et al 2007 JEB 210, 2932-2948</t>
  </si>
  <si>
    <t>muscle, external oblique, females</t>
  </si>
  <si>
    <t>Rogers et al 2007 JEB 210, 2932-2951</t>
  </si>
  <si>
    <t>Hexokinase</t>
  </si>
  <si>
    <t>Tschantz et al 2002 PBZ 75, 544-559</t>
  </si>
  <si>
    <t>Tschantz et al 2002 PBZ 75, 544-556</t>
  </si>
  <si>
    <t>Tschantz et al 2002 PBZ 75, 544-560</t>
  </si>
  <si>
    <t>Tschantz et al 2002 PBZ 75, 544-557</t>
  </si>
  <si>
    <t>Tschantz et al 2002 PBZ 75, 544-558</t>
  </si>
  <si>
    <t>Heart rate</t>
  </si>
  <si>
    <t>bpm</t>
  </si>
  <si>
    <t>Kontiolahti, Finland</t>
  </si>
  <si>
    <t>heart rate</t>
  </si>
  <si>
    <t>in beats/min</t>
  </si>
  <si>
    <t>isolated heart</t>
  </si>
  <si>
    <t>Tsukuda, H. (1990). "TEMPERATURE-DEPENDENCE OF THE FREQUENCY AND AMPLITUDE OF BEAT OF THE ISOLATED HEART FROM THERMALLY ACCLIMATED GOLDFISH." Journal of Thermal Biology 15(2): 171-175.</t>
  </si>
  <si>
    <t>Tsukuda, H. and T. Yonehana (1990). "EFFECTS OF EXOGENOUS LACTATE OF VARIOUS CONCENTRATION ON THE ISOLATED HEART BEAT OF THERMALLY ACCLIMATED GOLDFISH." Comparative Biochemistry and Physiology a-Physiology 96(1): 157-162.</t>
  </si>
  <si>
    <t>power output - freq x amp</t>
  </si>
  <si>
    <t>Gill MR</t>
  </si>
  <si>
    <t>gills</t>
  </si>
  <si>
    <t>Branchiopoda</t>
  </si>
  <si>
    <t>Cladocera</t>
  </si>
  <si>
    <t>Daphniidae</t>
  </si>
  <si>
    <t>Daphina</t>
  </si>
  <si>
    <t>Daphina magna</t>
  </si>
  <si>
    <t>Germany</t>
  </si>
  <si>
    <t>Filtering rates</t>
  </si>
  <si>
    <t>McKee, D. (1995). "LONG-TERM TEMPERATURE-ACCLIMATION IN DAPHNIA-MAGNA - EFFECTS ON FILTERING RATES." Journal of Plankton Research 17(5): 1095-1103.</t>
  </si>
  <si>
    <t>Fibre Vmax</t>
  </si>
  <si>
    <t>muscle length s-1</t>
  </si>
  <si>
    <t>Bouchard and Guderley 2003 JEB 206, 3455-3465</t>
  </si>
  <si>
    <t>Ile d'Orleans, Quebec, Canada</t>
  </si>
  <si>
    <t>CS</t>
  </si>
  <si>
    <t>muscle, red</t>
  </si>
  <si>
    <t>Glanville and Seebacher 2006 JEB 209, 4869-4886</t>
  </si>
  <si>
    <t>Glanville and Seebacher 2006 JEB 209, 4869-4884</t>
  </si>
  <si>
    <t>Glanville and Seebacher 2006 JEB 209, 4869-4885</t>
  </si>
  <si>
    <t>Guderley and Seebacher 2011 J. Comp. Physiol. B 181, 53-75</t>
  </si>
  <si>
    <t>Seebacher adn Franklin 2011 JEB 214, 1437-1451</t>
  </si>
  <si>
    <t>Guderley and Seebacher 2011 J. Comp. Physiol. B 181, 53-73</t>
  </si>
  <si>
    <t>Guderley and Seebacher 2011 J. Comp. Physiol. B 181, 53-72</t>
  </si>
  <si>
    <t>Guderley and Seebacher 2011 J. Comp. Physiol. B 181, 53-74</t>
  </si>
  <si>
    <t>Seebacher adn Franklin 2011 JEB 214, 1437-1450</t>
  </si>
  <si>
    <t>Franklin et al 2007 JEB 210, 3068-3078</t>
  </si>
  <si>
    <t>Seebacher et al. 2005 Biol Lett 1, 151-158</t>
  </si>
  <si>
    <t>Rogers et al 2007 JEB 210, 2932-2947</t>
  </si>
  <si>
    <t>Rogers et al 2007 JEB 210, 2932-2944</t>
  </si>
  <si>
    <t>Rogers et al 2007 JEB 210, 2932-2950</t>
  </si>
  <si>
    <t>Rogers et al 2007 JEB 210, 2932-2941</t>
  </si>
  <si>
    <t>Tulis and Bailie 2005 J Fish Biol 67, 950-969</t>
  </si>
  <si>
    <t>Berner and Puckett 2010 J. Exp. Zool. 313A, 231-241</t>
  </si>
  <si>
    <t>Capitellida</t>
  </si>
  <si>
    <t>Arenicolidae</t>
  </si>
  <si>
    <t>Arenicola</t>
  </si>
  <si>
    <t>Arenicola marina</t>
  </si>
  <si>
    <t>http://www.sciencedirect.com/science/article/pii/S0141113601001064</t>
  </si>
  <si>
    <t>Dorum, Germany</t>
  </si>
  <si>
    <t>body wall</t>
  </si>
  <si>
    <t>Sommer and Portner 2004 PBZ 77, 174-186</t>
  </si>
  <si>
    <t>Guderley and Leroy 2001 J Comp Physiol B 171, 91-103</t>
  </si>
  <si>
    <t>Guderley et al 2001 PBZ 74, 66-78</t>
  </si>
  <si>
    <t>Guderley and Leroy 2001 J Comp Physiol B 171, 91-104</t>
  </si>
  <si>
    <t>Guderley et al 2001 PBZ 74, 66-79</t>
  </si>
  <si>
    <t>whole body</t>
  </si>
  <si>
    <t>Killen et al 2008 J Fish Biol 72, 763-773</t>
  </si>
  <si>
    <t>Rogers et al 2004 Comp Biochem Physiol A 137, 731-739</t>
  </si>
  <si>
    <t>Bouchard and Guderley 2003 JEB 206, 3455-3466</t>
  </si>
  <si>
    <t>CPT1</t>
  </si>
  <si>
    <t>COX</t>
  </si>
  <si>
    <t>Seebacher and James 2008 Am J Physiol 294, R1024-R1033</t>
  </si>
  <si>
    <t>Bouchard and Guderley 2003 JEB 206, 3455-3467</t>
  </si>
  <si>
    <t>Glanville and Seebacher 2006 JEB 209, 4869-4883</t>
  </si>
  <si>
    <t>Glanville and Seebacher 2006 JEB 209, 4869-4882</t>
  </si>
  <si>
    <t>Glanville and Seebacher 2006 JEB 209, 4869-4881</t>
  </si>
  <si>
    <t>mitochondrial solution</t>
  </si>
  <si>
    <t>Kraffe et al 2007 JEB 210, 149-165</t>
  </si>
  <si>
    <t>Tschantz et al 2002 PBZ 75, 544-564</t>
  </si>
  <si>
    <t>Tschantz et al 2002 PBZ 75, 544-574</t>
  </si>
  <si>
    <t>Tschantz et al 2002 PBZ 75, 544-571</t>
  </si>
  <si>
    <t>Tschantz et al 2002 PBZ 75, 544-561</t>
  </si>
  <si>
    <t>Guderley and Seebacher 2011 J. Comp. Physiol. B 181, 53-71</t>
  </si>
  <si>
    <t>Guderley and Seebacher 2011 J. Comp. Physiol. B 181, 53-69</t>
  </si>
  <si>
    <t>Guderley and Seebacher 2011 J. Comp. Physiol. B 181, 53-70</t>
  </si>
  <si>
    <t>Seebacher adn Franklin 2011 JEB 214, 1437-1447</t>
  </si>
  <si>
    <t>Seebacher adn Franklin 2011 JEB 214, 1437-1446</t>
  </si>
  <si>
    <t>Franklin et al 2007 JEB 210, 3068-3079</t>
  </si>
  <si>
    <t>Seebacher et al. 2005 Biol Lett 1, 151-159</t>
  </si>
  <si>
    <t>Tschantz et al 2002 PBZ 75, 544-565</t>
  </si>
  <si>
    <t>Tschantz et al 2002 PBZ 75, 544-562</t>
  </si>
  <si>
    <t>Tschantz et al 2002 PBZ 75, 544-572</t>
  </si>
  <si>
    <t>Tschantz et al 2002 PBZ 75, 544-573</t>
  </si>
  <si>
    <t>Tschantz et al 2002 PBZ 75, 544-563</t>
  </si>
  <si>
    <t>Rogers et al 2007 JEB 210, 2932-2949</t>
  </si>
  <si>
    <t>Rogers et al 2007 JEB 210, 2932-2943</t>
  </si>
  <si>
    <t>Rogers et al 2007 JEB 210, 2932-2940</t>
  </si>
  <si>
    <t>Rogers et al 2007 JEB 210, 2932-2946</t>
  </si>
  <si>
    <t>Schnell and Seebacher 2008 PBZ 81, 733-746</t>
  </si>
  <si>
    <t>Berner and Puckett 2010 J. Exp. Zool. 313A, 231-240</t>
  </si>
  <si>
    <t>Guderley et al 2001 PBZ 74, 66-75</t>
  </si>
  <si>
    <t>CK</t>
  </si>
  <si>
    <t>Guderley et al 2001 PBZ 74, 66-76</t>
  </si>
  <si>
    <t>Kiel</t>
  </si>
  <si>
    <t xml:space="preserve">CCO </t>
  </si>
  <si>
    <t>nmol/mg protein/min</t>
  </si>
  <si>
    <t>Wodtke, E. (1981). "TEMPERATURE ADAPTATION OF BIOLOGICAL-MEMBRANES - COMPENSATION OF THE MOLAR ACTIVITY OF CYTOCHROME-C OXIDASE IN THE MITOCHONDRIAL ENERGY-TRANSDUCING MEMBRANE DURING THERMAL-ACCLIMATION OF THE CARP (CYPRINUS-CARPIO L)." Biochimica Et Biophysica Acta 640(3): 710-720.</t>
  </si>
  <si>
    <t>cardiac output</t>
  </si>
  <si>
    <t>mml/min kg</t>
  </si>
  <si>
    <t>Fleming, J. R., et al. (1990). "EFFECTS OF TEMPERATURE-ACCLIMATION ON MUSCLE-RELAXATION IN THE CARP - A MECHANICAL, BIOCHEMICAL, AND ULTRASTRUCTURAL-STUDY." Journal of Experimental Zoology 255(3): 286-295.</t>
  </si>
  <si>
    <t>Humberside, England</t>
  </si>
  <si>
    <t>Ca ATPase</t>
  </si>
  <si>
    <t>muscle SR</t>
  </si>
  <si>
    <t>nmol p/mg/min</t>
  </si>
  <si>
    <t>Euastacus</t>
  </si>
  <si>
    <t>sulcatus</t>
  </si>
  <si>
    <t>Euastacus sulcatus</t>
  </si>
  <si>
    <t>Lowe et al 2010 J Comp Physiol 180, 653-660</t>
  </si>
  <si>
    <t>Cave Creek, QLD, Australia</t>
  </si>
  <si>
    <t>bite force</t>
  </si>
  <si>
    <t>chelae</t>
  </si>
  <si>
    <t xml:space="preserve">muscle </t>
  </si>
  <si>
    <t>umol Pi/mg/min</t>
  </si>
  <si>
    <t>Mg EGTA activated</t>
  </si>
  <si>
    <t>Mg/Ca activated</t>
  </si>
  <si>
    <t>Harper, A. A., et al. (1990). "TEMPERATURE-ACCLIMATION EFFECTS ON CARP NERVE - A COMPARISON OF NERVE-CONDUCTION, MEMBRANE FLUIDITY AND LIPID-COMPOSITION." Journal of Experimental Biology 154: 305-320.</t>
  </si>
  <si>
    <t>Newhay, Yorkshire UK</t>
  </si>
  <si>
    <t>myofibrillar</t>
  </si>
  <si>
    <t>umol pi mg-1 min-1</t>
  </si>
  <si>
    <r>
      <t xml:space="preserve">Data used in the analysis. </t>
    </r>
    <r>
      <rPr>
        <sz val="14"/>
        <color theme="1"/>
        <rFont val="Calibri"/>
        <family val="2"/>
        <scheme val="minor"/>
      </rPr>
      <t xml:space="preserve"> Please note that blank fields indicate that data were not provided in the original publication.</t>
    </r>
  </si>
  <si>
    <t>adult</t>
  </si>
  <si>
    <t>enzymes: U/g tissue; metabolic rate = MR: umol/g/h; locomotion: BL/s</t>
  </si>
  <si>
    <t>acclimatization temps for terrestrial or large animals = mean body temperatures</t>
  </si>
  <si>
    <t>variation as s.e.</t>
  </si>
  <si>
    <t>wild</t>
  </si>
  <si>
    <t>juv</t>
  </si>
  <si>
    <t>captive</t>
  </si>
  <si>
    <t>ACCLIMATION DATA</t>
  </si>
  <si>
    <t>place</t>
  </si>
  <si>
    <t>decimal</t>
  </si>
  <si>
    <t>acclimation=1, acclimatization = 2</t>
  </si>
  <si>
    <t xml:space="preserve">length of </t>
  </si>
  <si>
    <t>acclimation and test T</t>
  </si>
  <si>
    <t>Trait values</t>
  </si>
  <si>
    <t>NOTES</t>
  </si>
  <si>
    <t>Excluded (missing data)</t>
  </si>
  <si>
    <t>nais</t>
  </si>
  <si>
    <t>Orconectes nais</t>
  </si>
  <si>
    <t>Lawrence, Kansas</t>
  </si>
  <si>
    <t>ul/hr</t>
  </si>
  <si>
    <t>Armitage, K. B. and T. J. Wall (1982). "THE EFFECTS OF BODY SIZE, STARVATION AND TEMPERATURE-ACCLIMATION ON OXYGEN-CONSUMPTION OF THE CRAYFISH ORCONECTES-NAIS." Comparative Biochemistry and Physiology a-Physiology 73(1): 63-68.</t>
  </si>
  <si>
    <t>Perca</t>
  </si>
  <si>
    <t>fluviatilis</t>
  </si>
  <si>
    <t>Perca fluviatilis</t>
  </si>
  <si>
    <t>Turku, Finland</t>
  </si>
  <si>
    <t>isolated heart, no N provided - SE difficult to estimate</t>
  </si>
  <si>
    <t>Bowler, K. and R. Tirri (1990). "TEMPERATURE-DEPENDENCE OF THE HEART ISOLATED FROM THE COLD OR WARM ACCLIMATED PERCH (PERCA-FLUVIATILIS)." Comparative Biochemistry and Physiology a-Physiology 96(1): 177-180.</t>
  </si>
  <si>
    <t>Vancouver</t>
  </si>
  <si>
    <t>max. perform</t>
  </si>
  <si>
    <t>in situ prep</t>
  </si>
  <si>
    <t>Keen, J. E. and A. P. Farrell (1994). "MAXIMUM PROLONGED SWIMMING SPEED AND MAXIMUM CARDIAC-PERFORMANCE OF RAINBOW-TROUT, ONCORHYNCHUS-MYKISS, ACCLIMATED TO 2 DIFFERENT WATER TEMPERATURES." Comparative Biochemistry and Physiology a-Physiology 108(2-3): 287-295.</t>
  </si>
  <si>
    <t>sustain</t>
  </si>
  <si>
    <t>BL/s</t>
  </si>
  <si>
    <t>Cardiac Output</t>
  </si>
  <si>
    <t>Colorado hatchery</t>
  </si>
  <si>
    <t>Ucrit</t>
  </si>
  <si>
    <t>Kolok, A. S. (1992). "MORPHOLOGICAL AND PHYSIOLOGICAL CORRELATES WITH SWIMMING PERFORMANCE IN JUVENILE LARGEMOUTH BASS." American Journal of Physiology 263(5): R1042-R1048.</t>
  </si>
  <si>
    <t>Acanthodactylus</t>
  </si>
  <si>
    <t>boskianus</t>
  </si>
  <si>
    <t>Acanthodactylus boskianus</t>
  </si>
  <si>
    <t>Zari, T. A. (1996). "Seasonal metabolic compensation in the fringe-toed lizard, Acanthodactylus boskianus (Reptilia: Lacertidae)." Journal of Thermal Biology 21(2): 145-150.</t>
  </si>
  <si>
    <t>Jeddah, Saudi Arabia</t>
  </si>
  <si>
    <t>ml g-1 h-1</t>
  </si>
  <si>
    <t>Acclimation period</t>
  </si>
  <si>
    <t>Ptyodactylus</t>
  </si>
  <si>
    <t>hasselquistii</t>
  </si>
  <si>
    <t>Ptyodactylus hasselquistii</t>
  </si>
  <si>
    <t>Zari 1999 J Therm Biol 24, 137-142</t>
  </si>
  <si>
    <t>Seebacher et al 2003 JEB 206, 1193-1200</t>
  </si>
  <si>
    <t>Rockefeller Wildlife Refuge, Louisiana, USA</t>
  </si>
  <si>
    <t>Seebacher et al 2003 JEB 206, 1193-1201</t>
  </si>
  <si>
    <t>Seebacher et al 2003 JEB 206, 1193-1202</t>
  </si>
  <si>
    <t>Chelodina</t>
  </si>
  <si>
    <t>longicollis</t>
  </si>
  <si>
    <t>Chelodina longicollis</t>
  </si>
  <si>
    <t>Seebacher et al 2004 J Comp Physiol B 174, 205-210</t>
  </si>
  <si>
    <t>Seebacher et al 2004 J Comp Physiol B 174, 205-211</t>
  </si>
  <si>
    <t>Seebacher et al 2004 J Comp Physiol B 174, 205-212</t>
  </si>
  <si>
    <t>Seebacher et al 2004 J Comp Physiol B 174, 205-213</t>
  </si>
  <si>
    <t>Spionida</t>
  </si>
  <si>
    <t>Spionidae</t>
  </si>
  <si>
    <t xml:space="preserve">Marenzelleria </t>
  </si>
  <si>
    <t>viridis</t>
  </si>
  <si>
    <t>Marenzelleria  viridis</t>
  </si>
  <si>
    <t>Hubley et al 2001 Invert Biol 120, 372-377</t>
  </si>
  <si>
    <t>Chester River MD, USA</t>
  </si>
  <si>
    <t>Moronidae</t>
  </si>
  <si>
    <t xml:space="preserve">Dicentrarchus </t>
  </si>
  <si>
    <t xml:space="preserve">labrax </t>
  </si>
  <si>
    <t xml:space="preserve">Dicentrarchus  labrax </t>
  </si>
  <si>
    <t>Nathanailides et al 2010 Italian J Zool 77, 23-30</t>
  </si>
  <si>
    <t>Ioannina Lake, Greece</t>
  </si>
  <si>
    <t>OCX</t>
  </si>
  <si>
    <t>Nathanailides et al 2010 Italian J Zool 77, 23-28</t>
  </si>
  <si>
    <t>Nathanailides et al 2010 Italian J Zool 77, 23-29</t>
  </si>
  <si>
    <t>Chrysemys</t>
  </si>
  <si>
    <t>picta</t>
  </si>
  <si>
    <t>Chrysemys picta</t>
  </si>
  <si>
    <t>http://www.bioone.org/doi/pdf/10.1670/07-070R1.1</t>
  </si>
  <si>
    <t>Hiland Lake, Michigan</t>
  </si>
  <si>
    <t>GFR</t>
  </si>
  <si>
    <t>Crawford, K. M. (1991). "THE EFFECT OF TEMPERATURE AND SEASONAL ACCLIMATIZATION ON RENAL-FUNCTION OF PAINTED TURTLES, CHRYSEMYS-PICTA." Comparative Biochemistry and Physiology a-Physiology 99(3): 375-380.</t>
  </si>
  <si>
    <t>Urine prod</t>
  </si>
  <si>
    <t>flavescens</t>
  </si>
  <si>
    <t>Anchor Bay MI, USA</t>
  </si>
  <si>
    <t>Packer and Garvin 1998 Comp Biochem Physiol B 120, 777-783</t>
  </si>
  <si>
    <t>Montpellier, France</t>
  </si>
  <si>
    <t>Hammill et al. 2004 J. Therm. Biol. 29, 251-257</t>
  </si>
  <si>
    <t>St Pierre et al 1998</t>
  </si>
  <si>
    <t>confounded body size with temp.</t>
  </si>
  <si>
    <t>captive bred animals in outdoor ponds</t>
  </si>
  <si>
    <t>CPT</t>
  </si>
  <si>
    <t>Cheloniidae</t>
  </si>
  <si>
    <t>Caretta</t>
  </si>
  <si>
    <t>caretta</t>
  </si>
  <si>
    <t>Caretta caretta</t>
  </si>
  <si>
    <t>Hochscheid et al 2004</t>
  </si>
  <si>
    <t>Tyrhennian Sea, Italy</t>
  </si>
  <si>
    <t>Ligiidae</t>
  </si>
  <si>
    <t>Ligia</t>
  </si>
  <si>
    <t>oceanica</t>
  </si>
  <si>
    <t>Ligia oceanica</t>
  </si>
  <si>
    <t>Whiteley and Faulkner 2005 PBZ 78, 227-238</t>
  </si>
  <si>
    <t>Rhosneigr, Anglesey, UK</t>
  </si>
  <si>
    <t>umol/animal*h</t>
  </si>
  <si>
    <t>carassius</t>
  </si>
  <si>
    <t>Carassius carassius</t>
  </si>
  <si>
    <t>http://onlinelibrary.wiley.com/doi/10.1111/j.1095-8649.1980.tb02746.x/full</t>
  </si>
  <si>
    <t>SERCA</t>
  </si>
  <si>
    <t>umol/mg/min</t>
  </si>
  <si>
    <t>Vornanen et al 1999 J Exp Zool 284, 241-251</t>
  </si>
  <si>
    <t>Rothera Point Antarctica</t>
  </si>
  <si>
    <t>units are in umol/h</t>
  </si>
  <si>
    <t>Brockington and Clarke 2001 J Exp MAr Biol Ecol 258, 87-99</t>
  </si>
  <si>
    <t>Coeloptera</t>
  </si>
  <si>
    <t>Tenebrionidae</t>
  </si>
  <si>
    <t>Tenebrio</t>
  </si>
  <si>
    <t>molitor</t>
  </si>
  <si>
    <t>Tenebrio molitor</t>
  </si>
  <si>
    <t xml:space="preserve"> </t>
  </si>
  <si>
    <t>thorax</t>
  </si>
  <si>
    <t>ug P/mg insect/min</t>
  </si>
  <si>
    <t>no N values to calculate SE from SD</t>
  </si>
  <si>
    <t>Punzo, F. and G. Huff (1989). "COMPARATIVE TEMPERATURE AND WATER RELATIONS AND THE EFFECTS OF THERMAL-ACCLIMATION ON TENEBRIO-MOLITOR AND TENEBRIO-OBSCURUS (COLEOPTERA, TENEBRIONIDAE)." Comparative Biochemistry and Physiology a-Physiology 93(3): 527-533.</t>
  </si>
  <si>
    <t>Cordylidae</t>
  </si>
  <si>
    <t>Cordylus</t>
  </si>
  <si>
    <t>jonesi</t>
  </si>
  <si>
    <t>Cordylus jonesi</t>
  </si>
  <si>
    <t>http://link.springer.com/article/10.1007/s10682-006-9124-x#page-1</t>
  </si>
  <si>
    <t>Wheeler, P. E. (1986). "THERMAL-ACCLIMATION OF METABOLISM AND PREFERRED BODY-TEMPERATURE IN LIZARDS." Journal of Thermal Biology 11(3): 161-166.</t>
  </si>
  <si>
    <t>tigrina</t>
  </si>
  <si>
    <t>Rana tigrina</t>
  </si>
  <si>
    <t>http://onlinelibrary.wiley.com/doi/10.1002/(SICI)1097-010X(20000401)286:5%3C487::AID-JEZ6%3E3.0.CO;2-Z/abstract</t>
  </si>
  <si>
    <t>India</t>
  </si>
  <si>
    <t>Chiu, K. W. and W. C. M. Tong (1979). "EFFECTS OF TEMPERATURE-ACCLIMATION AND THYROXINE INJECTION ON GLYCOGEN-STORAGE AND OXYGEN-CONSUMPTION IN THE FROG, RANA-TIGRINA." Comparative Biochemistry and Physiology a-Physiology 63(4): 551-553.</t>
  </si>
  <si>
    <t>Nematoda</t>
  </si>
  <si>
    <t>Secernentea</t>
  </si>
  <si>
    <t>Rhabditida</t>
  </si>
  <si>
    <t>Rhabditidae</t>
  </si>
  <si>
    <t>Caenorhabditis</t>
  </si>
  <si>
    <t>elegans</t>
  </si>
  <si>
    <t>Caenorhabditis elegans</t>
  </si>
  <si>
    <t>http://bmcecol.biomedcentral.com/articles/10.1186/1472-6785-9-14</t>
  </si>
  <si>
    <t>ul/mg.h</t>
  </si>
  <si>
    <t>Dusenbery, D. B., et al. (1978). "THERMAL ACCLIMATION MORE EXTENSIVE FOR BEHAVIORAL PARAMETERS THAN FOR OXYGEN-CONSUMPTION IN NEMATODE CAENORHABDITIS-ELEGANS." Journal of Experimental Zoology 206(2): 191-197.</t>
  </si>
  <si>
    <t>ambigua</t>
  </si>
  <si>
    <t>Daphina ambigua</t>
  </si>
  <si>
    <t>ug/mg dry/hr</t>
  </si>
  <si>
    <t>Armitage, K. B. and C. H. Lei (1979). "TEMPERATURE ACCLIMATIZATION IN THE FILTERING RATES AND OXYGEN-CONSUMPTION OF DAPHNIA-AMBIGUA SCOURFIELD." Comparative Biochemistry and Physiology a-Physiology 62(4): 807-812.</t>
  </si>
  <si>
    <t>Curculionidae</t>
  </si>
  <si>
    <t>Sitophilus</t>
  </si>
  <si>
    <t>granarius</t>
  </si>
  <si>
    <t>Sitophilus granarius</t>
  </si>
  <si>
    <t>http://www.sciencedirect.com/science/article/pii/S0022191098000559</t>
  </si>
  <si>
    <t>Evans, D. E. (1977). "SOME ASPECTS OF ACCLIMATION TO LOW-TEMPERATURES IN GRAIN WEEVILS SITOPHILUS-ORYZAE (L) AND SITOPHILUS-GRANARIUS (L)." Australian Journal of Ecology 2(3): 309-318.</t>
  </si>
  <si>
    <t>oryzae</t>
  </si>
  <si>
    <t>Sitophilus oryzae</t>
  </si>
  <si>
    <t>Evans, D. E. (1980). "FURTHER-STUDIES ON ACCLIMATIZATION TO LOW-TEMPERATURES IN THE GRAIN WEEVILS SITOPHILUS-ORYZAE (L) AND SITOPHILUS-GRANARIUS (L)." Australian Journal of Ecology 5(4): 371-378.</t>
  </si>
  <si>
    <t>obscurus</t>
  </si>
  <si>
    <t>Tenebrio obscurus</t>
  </si>
  <si>
    <t>Morita, A. and H. Tsukuda (1994). "THE EFFECT OF THERMAL-ACCLIMATION ON THE ELECTROCARDIOGRAM OF GOLDFISH." Journal of Thermal Biology 19(5): 343-348.</t>
  </si>
  <si>
    <t>Mito respir</t>
  </si>
  <si>
    <t>Vandenthillart, G. and J. Modderkolk (1978). "EFFECT OF ACCLIMATION TEMPERATURE ON ACTIVATION-ENERGIES OF STATE III RESPIRATION AND ON UNSATURATION OF MEMBRANE LIPIDS OF GOLDFISH MITOCHONDRIA." Biochimica Et Biophysica Acta 510(1): 38-51.</t>
  </si>
  <si>
    <t>lilfordi</t>
  </si>
  <si>
    <t>Lacerta lilfordi</t>
  </si>
  <si>
    <t>http://www.jstor.org/stable/2390065?seq=1#page_scan_tab_contents</t>
  </si>
  <si>
    <t>Acrochordidae</t>
  </si>
  <si>
    <t>Acrochordus</t>
  </si>
  <si>
    <t>arafurae</t>
  </si>
  <si>
    <t>Acrochordus arafurae</t>
  </si>
  <si>
    <t>Bruton et al 2012 JCPB 182, 541-553</t>
  </si>
  <si>
    <t>Queensland</t>
  </si>
  <si>
    <t>Ushio, H. and S. Watabe (1993). "EFFECTS OF TEMPERATURE-ACCLIMATION ON CA-2+-ATPASE OF THE CARP SARCOPLASMIC-RETICULUM." Journal of Experimental Zoology 265(1): 9-17.</t>
  </si>
  <si>
    <t>Muscle Ca2+ activity</t>
  </si>
  <si>
    <t>Muscle Ca uptake activity</t>
  </si>
  <si>
    <t>umol Ca/min/mg</t>
  </si>
  <si>
    <t>with oxalate</t>
  </si>
  <si>
    <t>Aigues-Mortes, France</t>
  </si>
  <si>
    <t>sperm</t>
  </si>
  <si>
    <t>Adriaenssens et al. 2012 Global Change Biol 18, 1797-1803</t>
  </si>
  <si>
    <t>Body mass</t>
  </si>
  <si>
    <t>Pleuronectiformes</t>
  </si>
  <si>
    <t>pleuronectidae</t>
  </si>
  <si>
    <t>Pseudopleuronectes</t>
  </si>
  <si>
    <t>Pseudopleuronectes americanus</t>
  </si>
  <si>
    <t>Longerich, L. L. and L. A. W. Feltham (1978). "CHANGES IN MUSCLE PHOSPHOFRUCTOKINASE IN TEMPERATURE ACCLIMATED WINTER FLOUNDER (PSEUDOPLEURONECTUS-AMERICANUS." Journal of Thermal Biology 3(2): 61-67.</t>
  </si>
  <si>
    <t>Puntius</t>
  </si>
  <si>
    <t>schwanenfeldii</t>
  </si>
  <si>
    <t>Puntius schwanenfeldii</t>
  </si>
  <si>
    <t>O'Steen and Bennett 2003 PBZ 76, 484-496</t>
  </si>
  <si>
    <t>O'Steen and Bennett 2003 PBZ 76, 484-497</t>
  </si>
  <si>
    <t>Barbus</t>
  </si>
  <si>
    <t>barbus</t>
  </si>
  <si>
    <t>Barbus barbus</t>
  </si>
  <si>
    <t>UK</t>
  </si>
  <si>
    <t>O'Steen and Bennett 2003 PBZ 76, 484-498</t>
  </si>
  <si>
    <t>O'Steen and Bennett 2003 PBZ 76, 484-499</t>
  </si>
  <si>
    <t xml:space="preserve">Rutilus </t>
  </si>
  <si>
    <t>rutilus</t>
  </si>
  <si>
    <t>Rutilus  rutilus</t>
  </si>
  <si>
    <t>Austria</t>
  </si>
  <si>
    <t>Na/K ATPase</t>
  </si>
  <si>
    <t>kidney</t>
  </si>
  <si>
    <t>umol pi/mg/h</t>
  </si>
  <si>
    <t>Schwarzbaum, P. J., et al. (1991). "CONTRASTING EFFECTS OF TEMPERATURE-ACCLIMATION ON MECHANISMS OF IONIC REGULATION IN A EURYTHERMIC AND A STENOTHERMIC SPECIES OF FRESH-WATER FISH (RUTILUS-RUTILUS AND SALVELINUS-ALPINUS)." Comparative Biochemistry and Physiology a-Physiology 98(3-4): 483-489.</t>
  </si>
  <si>
    <t>dolomieui</t>
  </si>
  <si>
    <t>Micropterus dolomieui</t>
  </si>
  <si>
    <t>New Brunswick, Canada</t>
  </si>
  <si>
    <t>confounded heart mass with temp.</t>
  </si>
  <si>
    <t>umol/g/min</t>
  </si>
  <si>
    <t>Sephton, D. H. and W. R. Driedzic (1991). "EFFECT OF ACUTE AND CHRONIC TEMPERATURE TRANSITION ON ENZYMES OF CARDIAC METABOLISM IN WHITE PERCH (MORONE-AMERICANA), YELLOW PERCH (PERCA-FLAVESCENS), AND SMALLMOUTH BASS (MICROPTERUS-DOLOMIEUI)." Canadian Journal of Zoology-Revue Canadienne De Zoologie 69(1): 258-262.</t>
  </si>
  <si>
    <t>Morone</t>
  </si>
  <si>
    <t>americana</t>
  </si>
  <si>
    <t>Morone americana</t>
  </si>
  <si>
    <t>saxatilis</t>
  </si>
  <si>
    <t>Morone saxatilis</t>
  </si>
  <si>
    <t>http://fisheries.tamu.edu/files/2013/09/SRAC-Publication-No.-3000-Comparison-of-Costs-of-Different-Hybrid-Striped-Bass-Production-Systems-in-Ponds.pdf</t>
  </si>
  <si>
    <t>Croton, on Hudson</t>
  </si>
  <si>
    <t>could be anywhere from 1-145 g</t>
  </si>
  <si>
    <t>Stone, B. B. and B. D. Sidell (1981). "METABOLIC RESPONSES OF STRIPED BASS (MORONE-SAXATILIS) TO TEMPERATURE-ACCLIMATION .1. ALTERATIONS IN CARBON-SOURCES FOR HEPATIC ENERGY-METABOLISM." Journal of Experimental Zoology 218(3): 371-379.</t>
  </si>
  <si>
    <t>Soleidae</t>
  </si>
  <si>
    <t>Solea</t>
  </si>
  <si>
    <t>vulgaris</t>
  </si>
  <si>
    <t>Solea vulgaris</t>
  </si>
  <si>
    <t>Nieul-sur-Mer, France</t>
  </si>
  <si>
    <t>Sureau, D., et al. (1989). "HEART-RATE AND ITS CHOLINERGIC CONTROL IN THE SOLE (SOLEA-VULGARIS), ACCLIMATIZED TO DIFFERENT TEMPERATURES." Comparative Biochemistry and Physiology a-Physiology 92(1): 49-51.</t>
  </si>
  <si>
    <t>atropinised</t>
  </si>
  <si>
    <t>Discoglossus pictus</t>
  </si>
  <si>
    <t xml:space="preserve">Madrid, Spain </t>
  </si>
  <si>
    <t>ul/mg/min</t>
  </si>
  <si>
    <t>Gil, P. and G. B. Dequiroga (1988). "EFFECT OF TEMPERATURE-ACCLIMATION ON ENZYMATIC-ACTIVITIES AND THERMAL SENSITIVITY OF CATALASE, OXYGEN-CONSUMPTION AND CONCENTRATION OF TISSUE PEROXIDATION PRODUCTS IN DISCOGLOSSUS-PICTUS TADPOLES." Comparative Biochemistry and Physiology B-Biochemistry &amp; Molecular Biology 89(2): 363-373.</t>
  </si>
  <si>
    <t>Scorpiones</t>
  </si>
  <si>
    <t>Scorpionidae</t>
  </si>
  <si>
    <t>Heterometrus</t>
  </si>
  <si>
    <t>fulvipes</t>
  </si>
  <si>
    <t>Heterometrus fulvipes</t>
  </si>
  <si>
    <t>Tirupati, India</t>
  </si>
  <si>
    <t>umol/mg/h</t>
  </si>
  <si>
    <t>Kalarani, V., et al. (1991). "ACCLIMATORY RESPONSES IN ENZYMATIC-ACTIVITY AND METABOLITE CONCENTRATIONS IN THE TROPICAL SCORPION HETEROMETRUS-FULVIPES." Journal of Thermal Biology 16(6): 327-332.</t>
  </si>
  <si>
    <t>SDH</t>
  </si>
  <si>
    <t>CCO</t>
  </si>
  <si>
    <t>Kalarani, V., et al. (1991). "TIME-COURSE OF THERMAL-ACCLIMATION IN THE TROPICAL SCORPION, HETEROMETRUS-FULVIPES." Journal of Thermal Biology 16(3): 135-139.</t>
  </si>
  <si>
    <t>Tissue MR</t>
  </si>
  <si>
    <t>Kalarani, V., et al. (1992). "THERMAL-ACCLIMATION AND METABOLISM OF THE HEPATOPANCREAS IN THE TROPICAL SCORPION, HETEROMETRUS-FULVIPES." Journal of Thermal Biology 17(3): 141-146.</t>
  </si>
  <si>
    <t>Atyidae</t>
  </si>
  <si>
    <t>Paratya</t>
  </si>
  <si>
    <t>australiensis</t>
  </si>
  <si>
    <t>Paratya australiensis</t>
  </si>
  <si>
    <t>Ferris and Wilson 2012 J therm Biol 37, 236-243</t>
  </si>
  <si>
    <t>Uta</t>
  </si>
  <si>
    <t>mearnsi</t>
  </si>
  <si>
    <t>Uta mearnsi</t>
  </si>
  <si>
    <t>white water, california</t>
  </si>
  <si>
    <t>Murrish, D. E. and V. J. Vance (1968). "PHYSIOLOGICAL RESPONSES TO TEMPERATURE ACCLIMATION IN LIZARD UTA MEARNSI." Comparative Biochemistry and Physiology 27(1): 329-&amp;.</t>
  </si>
  <si>
    <t>Dreissena</t>
  </si>
  <si>
    <t>polymorpha</t>
  </si>
  <si>
    <t>http://link.springer.com/article/10.1007/BF01685540#page-1</t>
  </si>
  <si>
    <t>Lake Erie, Buffalo, New York</t>
  </si>
  <si>
    <t>ug/mg/h</t>
  </si>
  <si>
    <t>Aldridge, D. W., B. S. Payne, et al. (1995). "OXYGEN-CONSUMPTION, NITROGENOUS EXCRETION, AND FILTRATION-RATES OF DREISSENA-POLYMORPHA AT ACCLIMATION TEMPERATURES BETWEEN 20 AND 32-DEGREES-C." Canadian Journal of Fisheries and Aquatic Sciences 52(8): 1761-1767.</t>
  </si>
  <si>
    <t>Monroe, Michigan, USA</t>
  </si>
  <si>
    <t>Alexander and McMahon 2004 CBP A 137, 425-434</t>
  </si>
  <si>
    <t xml:space="preserve">Mya </t>
  </si>
  <si>
    <t>arenaria</t>
  </si>
  <si>
    <t>Blue Hill Falls</t>
  </si>
  <si>
    <t>high intertidal</t>
  </si>
  <si>
    <t>Anderson, G. (1978). "METABOLIC-RATE, TEMPERATURE-ACCLIMATION AND RESISTANCE TO HIGH-TEMPERATURE OF SOFT-SHELL CLAMS, MYA-ARENARIA, AS AFFECTED BY SHORE LEVEL." Comparative Biochemistry and Physiology a-Physiology 61(3): 433-438.</t>
  </si>
  <si>
    <t>mid intertidal</t>
  </si>
  <si>
    <t>low intertidal</t>
  </si>
  <si>
    <t>subtidal</t>
  </si>
  <si>
    <t>Ostreoida</t>
  </si>
  <si>
    <t>Pectinidae</t>
  </si>
  <si>
    <t>Aequipecten</t>
  </si>
  <si>
    <t>opercularis</t>
  </si>
  <si>
    <t>Ardtoe, Scotland</t>
  </si>
  <si>
    <t>Bailey and Johnston 2005 Mar Fresh Beh Physiol 38, 1-19</t>
  </si>
  <si>
    <t>Ostreidae</t>
  </si>
  <si>
    <t>Ostrea</t>
  </si>
  <si>
    <t>edulis</t>
  </si>
  <si>
    <t>Coruna, Spain</t>
  </si>
  <si>
    <t>ul/mg/h-1</t>
  </si>
  <si>
    <t>Beiras, R., A. P. Camacho, et al. (1995). "SHORT-TERM AND LONG-TERM ALTERATIONS IN THE ENERGY BUDGET OF YOUNG OYSTER OSTREA-EDULIS L IN RESPONSE TO TEMPERATURE-CHANGE." Journal of Experimental Marine Biology and Ecology 186(2): 221-236.</t>
  </si>
  <si>
    <t>Knysna</t>
  </si>
  <si>
    <t>Buxton, C. D., et al. (1981). "RESPONSE-SURFACE ANALYSIS OF THE COMBINED EFFECTS OF EXPOSURE AND ACCLIMATION TEMPERATURES ON FILTRATION, OXYGEN-CONSUMPTION AND SCOPE FOR GROWTH IN THE OYSTER OSTREA-EDULIS." Marine Ecology-Progress Series 6(1): 73-82.</t>
  </si>
  <si>
    <t>Filtration rate</t>
  </si>
  <si>
    <t>Mytiidae</t>
  </si>
  <si>
    <t>Mytilus</t>
  </si>
  <si>
    <t>spp</t>
  </si>
  <si>
    <t>Asko</t>
  </si>
  <si>
    <t>Jansen et al. 2007 Oecologia 154, 23-34</t>
  </si>
  <si>
    <t>Gulf of Gdansk, Poland</t>
  </si>
  <si>
    <t>Jansen et al. 2007 Oecologia 154, 23-35</t>
  </si>
  <si>
    <t>Mecklenburg Bight, Germany</t>
  </si>
  <si>
    <t>Jansen et al. 2007 Oecologia 154, 23-36</t>
  </si>
  <si>
    <t>Grevelingenmeer</t>
  </si>
  <si>
    <t>Jansen et al. 2007 Oecologia 154, 23-37</t>
  </si>
  <si>
    <t>Westerschelde estuary</t>
  </si>
  <si>
    <t>Jansen et al. 2007 Oecologia 154, 23-38</t>
  </si>
  <si>
    <t>Pointe d'Aiguillon</t>
  </si>
  <si>
    <t>Jansen et al. 2007 Oecologia 154, 23-39</t>
  </si>
  <si>
    <t>Bidasoa estuary</t>
  </si>
  <si>
    <t>Jansen et al. 2007 Oecologia 154, 23-40</t>
  </si>
  <si>
    <t>Marseille</t>
  </si>
  <si>
    <t>Jansen et al. 2007 Oecologia 154, 23-41</t>
  </si>
  <si>
    <t>Golfo di Oristano</t>
  </si>
  <si>
    <t>Jansen et al. 2007 Oecologia 154, 23-42</t>
  </si>
  <si>
    <t>Santa Giusta lagoon</t>
  </si>
  <si>
    <t>Jansen et al. 2007 Oecologia 154, 23-43</t>
  </si>
  <si>
    <t>Tellinidae</t>
  </si>
  <si>
    <t>Macoma</t>
  </si>
  <si>
    <t>balthica</t>
  </si>
  <si>
    <t>Umea</t>
  </si>
  <si>
    <t>Jansen et al. 2007 Oecologia 154, 23-44</t>
  </si>
  <si>
    <t>Jansen et al. 2007 Oecologia 154, 23-45</t>
  </si>
  <si>
    <t>Jansen et al. 2007 Oecologia 154, 23-46</t>
  </si>
  <si>
    <t>Jansen et al. 2007 Oecologia 154, 23-47</t>
  </si>
  <si>
    <t>Jansen et al. 2007 Oecologia 154, 23-48</t>
  </si>
  <si>
    <t>Jansen et al. 2007 Oecologia 154, 23-49</t>
  </si>
  <si>
    <t>Modiolus</t>
  </si>
  <si>
    <t>modiolus</t>
  </si>
  <si>
    <t>Star Is, Isles of Shoal, NH, USA</t>
  </si>
  <si>
    <t>HK</t>
  </si>
  <si>
    <t>muscle, adductor</t>
  </si>
  <si>
    <t xml:space="preserve"> /mg protein</t>
  </si>
  <si>
    <t>Lesser and Kruse 2004 Comp Biochem Physiol A 137, 495-504</t>
  </si>
  <si>
    <t>Lesser and Kruse 2004 Comp Biochem Physiol A 137, 495-505</t>
  </si>
  <si>
    <t>Lesser and Kruse 2004 Comp Biochem Physiol A 137, 495-506</t>
  </si>
  <si>
    <t>Lesser and Kruse 2004 Comp Biochem Physiol A 137, 495-507</t>
  </si>
  <si>
    <t>Lesser and Kruse 2004 Comp Biochem Physiol A 137, 495-508</t>
  </si>
  <si>
    <t>Lesser and Kruse 2004 Comp Biochem Physiol A 137, 495-509</t>
  </si>
  <si>
    <t>Lesser and Kruse 2004 Comp Biochem Physiol A 137, 495-510</t>
  </si>
  <si>
    <t>SOD</t>
  </si>
  <si>
    <t>Lesser and Kruse 2004 Comp Biochem Physiol A 137, 495-511</t>
  </si>
  <si>
    <t>Osteroida</t>
  </si>
  <si>
    <t>Crassostrea</t>
  </si>
  <si>
    <t>virginica</t>
  </si>
  <si>
    <t>Gulf of St Laurence, Canada</t>
  </si>
  <si>
    <t>Pernet et al 2007 JEB 210, 2999-3014</t>
  </si>
  <si>
    <t>Pernet et al 2007 JEB 210, 2999-3015</t>
  </si>
  <si>
    <t>Unionidae</t>
  </si>
  <si>
    <t>Pyganodon</t>
  </si>
  <si>
    <t>cataracta</t>
  </si>
  <si>
    <t xml:space="preserve">Winston-Salem, Forsyth County, North Carolina </t>
  </si>
  <si>
    <t>Polhill, J. B., V. Dimock, et al. (1996). "Effects of temperature and pO(2) on the heart rate of juvenile and adult freshwater mussels (Bivalvia: Unionidae)." Comparative Biochemistry and Physiology a-Physiology 114(2): 135-141.</t>
  </si>
  <si>
    <t>Utterbackia</t>
  </si>
  <si>
    <t>imbecillis</t>
  </si>
  <si>
    <t>Mecklenberg County, North Carolina</t>
  </si>
  <si>
    <t>Pterioida</t>
  </si>
  <si>
    <t>Pteriidae</t>
  </si>
  <si>
    <t>Pinctata</t>
  </si>
  <si>
    <t>mazatlantica</t>
  </si>
  <si>
    <t>Bahia de la Paz, Mexico</t>
  </si>
  <si>
    <t>Saucedo et al 2004 Aquaclture 229, 377-387</t>
  </si>
  <si>
    <t>Pulmonata</t>
  </si>
  <si>
    <t>Polygyridae</t>
  </si>
  <si>
    <t>Stenotrema</t>
  </si>
  <si>
    <t>leai</t>
  </si>
  <si>
    <t>Muscotah, Kansas</t>
  </si>
  <si>
    <t>ml/min/g</t>
  </si>
  <si>
    <t>Armitage, K. B. and D. Stinson (1980). "METABOLIC ACCLIMATION TO TEMPERATURE IN A TERRESTRIAL SNAIL." Comparative Biochemistry and Physiology a-Physiology 67(1): 135-139.</t>
  </si>
  <si>
    <t>Helicidae</t>
  </si>
  <si>
    <t>Helix</t>
  </si>
  <si>
    <t>aspersa</t>
  </si>
  <si>
    <t>Crete</t>
  </si>
  <si>
    <t>Bailey, S. E. R. and M. Lazaridoudimitriadou (1991). "INVERSE TEMPERATURE-ACCLIMATION OF HEART-RATE IN HIBERNATING LAND SNAILS." Journal of Comparative Physiology B-Biochemical Systemic and Environmental Physiology 160(6): 677-681.</t>
  </si>
  <si>
    <t>lucorum</t>
  </si>
  <si>
    <t>Edessa, Greece</t>
  </si>
  <si>
    <t>Littorinimorpha</t>
  </si>
  <si>
    <t>Bithyniidae</t>
  </si>
  <si>
    <t>Bithynia</t>
  </si>
  <si>
    <t>tentaculata</t>
  </si>
  <si>
    <t>Hannover, Germany</t>
  </si>
  <si>
    <t>Hahn 2005 J Mollusc. Studies 71, 127-131.</t>
  </si>
  <si>
    <t>Littorinidae</t>
  </si>
  <si>
    <t>Littorina</t>
  </si>
  <si>
    <t>obtusata</t>
  </si>
  <si>
    <t>Nobska Point, Cape Cod, USA</t>
  </si>
  <si>
    <t>ul mg-1 h-2</t>
  </si>
  <si>
    <t>lower eulittoral</t>
  </si>
  <si>
    <t>McMahon, R. F., W. D. Russellhunter, et al. (1995). "LACK OF METABOLIC TEMPERATURE COMPENSATION IN THE INTERTIDAL GASTROPODS, LITTORINA-SAXATILIS (OLIVI) AND LITTORINA-OBTUSATA (L)." Hydrobiologia 309(1-3): 89-100.</t>
  </si>
  <si>
    <t>ul mg-1 h-1</t>
  </si>
  <si>
    <t>upper eulittoral</t>
  </si>
  <si>
    <t>Patellogastropoda</t>
  </si>
  <si>
    <t>Nacellidae</t>
  </si>
  <si>
    <t>Nacella</t>
  </si>
  <si>
    <t>concinna</t>
  </si>
  <si>
    <t>Adelaide Is, Antarctic Peninsula</t>
  </si>
  <si>
    <t>tenacity</t>
  </si>
  <si>
    <t>Morley et al 2011 J Exp Mar Biol Ecol 399, 39-42</t>
  </si>
  <si>
    <t>Calyptraeoidea</t>
  </si>
  <si>
    <t>Calyptraeidae</t>
  </si>
  <si>
    <t>Crepidula</t>
  </si>
  <si>
    <t>fornicata</t>
  </si>
  <si>
    <t>Limfjord, Denmark</t>
  </si>
  <si>
    <t>rest -aerial</t>
  </si>
  <si>
    <t>Newell, R. C. and L. H. Kofoed (1977). "ADJUSTMENT OF COMPONENTS OF ENERGY-BALANCE IN GASTROPOD CREPIDULA-FORNICATA IN RESPONSE TO THERMAL ACCLIMATION." Marine Biology 44(3): 275-286.</t>
  </si>
  <si>
    <t>aquatic routine</t>
  </si>
  <si>
    <t>Limacidae</t>
  </si>
  <si>
    <t>Limax</t>
  </si>
  <si>
    <t>maximus</t>
  </si>
  <si>
    <t>introduced species</t>
  </si>
  <si>
    <t>Rising, T. L. and K. B. Armitage (1969). "ACCLIMATION TO TEMPERATURE BY TERRESTRIAL GASTROPODS, LIMAX MAXIMUS AND PHILOMYCUS CAROLINIANUS - OXYGEN CONSUMPTION AND TEMPERATURE PREFEERENCE." Comparative Biochemistry and Physiology 30(6): 1091-&amp;.</t>
  </si>
  <si>
    <t>Philomycidae</t>
  </si>
  <si>
    <t xml:space="preserve">Philomycus </t>
  </si>
  <si>
    <t>carolinianus</t>
  </si>
  <si>
    <t>Patellogatropoda</t>
  </si>
  <si>
    <t>Cellana</t>
  </si>
  <si>
    <t>tramoserica</t>
  </si>
  <si>
    <t>Peral Beach, Australia</t>
  </si>
  <si>
    <t>dry mass, open habitat</t>
  </si>
  <si>
    <t>Sinclair et al 2006 J Exp Mar Biol Ecol 335, 131-141</t>
  </si>
  <si>
    <t>dry mass, sheltered habitat</t>
  </si>
  <si>
    <t>Sinclair et al 2006 J Exp Mar Biol Ecol 335, 131-142</t>
  </si>
  <si>
    <t>open habitat</t>
  </si>
  <si>
    <t>Sinclair et al 2006 J Exp Mar Biol Ecol 335, 131-143</t>
  </si>
  <si>
    <t>sheltered habitat</t>
  </si>
  <si>
    <t>Sinclair et al 2006 J Exp Mar Biol Ecol 335, 131-144</t>
  </si>
  <si>
    <t>open habitat, includes ADH and TDH</t>
  </si>
  <si>
    <t>Sinclair et al 2006 J Exp Mar Biol Ecol 335, 131-145</t>
  </si>
  <si>
    <t>sheltered habitat, includes ADH and TDH</t>
  </si>
  <si>
    <t>Sinclair et al 2006 J Exp Mar Biol Ecol 335, 131-146</t>
  </si>
  <si>
    <t>Kandalaksha Bay, White Sea, Russia</t>
  </si>
  <si>
    <t>Sokolova and Portner 2003 JEB 206, 195-207</t>
  </si>
  <si>
    <t>Sokolova and Portner 2003 JEB 206, 195-208</t>
  </si>
  <si>
    <t>Vetigastropoda</t>
  </si>
  <si>
    <t>Haliotidae</t>
  </si>
  <si>
    <t>Haliotis</t>
  </si>
  <si>
    <t>midae</t>
  </si>
  <si>
    <t>Gaansbai, South Africa</t>
  </si>
  <si>
    <t>Vosloo adn Vosloo 2010 J Therm Biol 35, 317-323</t>
  </si>
  <si>
    <t xml:space="preserve">Mollusca </t>
  </si>
  <si>
    <t>Lake Erie, Ohio river</t>
  </si>
  <si>
    <t>Alexander, J. E., et al. (1994). "TURBIDITY AND TEMPERATURE EFFECTS ON OXYGEN-CONSUMPTION IN THE ZEBRA MUSSEL (DREISSENA-POLYMORPHA)." Canadian Journal of Fisheries and Aquatic Sciences 51(1): 179-184.</t>
  </si>
  <si>
    <t>megalotis</t>
  </si>
  <si>
    <t>Lepomis megalotis</t>
  </si>
  <si>
    <t>Dent and Lutterschmidt 2003 J Therm Biol 28, 67-75</t>
  </si>
  <si>
    <t>Texas, USA</t>
  </si>
  <si>
    <t>Dent and Lutterschmidt 2003 J Therm Biol 28, 67-74</t>
  </si>
  <si>
    <t>Scombridae</t>
  </si>
  <si>
    <t>Scomber</t>
  </si>
  <si>
    <t>japonicus</t>
  </si>
  <si>
    <t>Scomber japonicus</t>
  </si>
  <si>
    <t>Dickson et al 2002 JEB 205, 969-980</t>
  </si>
  <si>
    <t>Fullerton CA, USA</t>
  </si>
  <si>
    <t>Dickson et al 2002 JEB 205, 969-981</t>
  </si>
  <si>
    <t>Clinostomus</t>
  </si>
  <si>
    <t>elongatus</t>
  </si>
  <si>
    <t>Clinostomus elongatus</t>
  </si>
  <si>
    <t>Novinger and Coon 2000 Env Biol Fish 57, 315-326</t>
  </si>
  <si>
    <t>Cattaraugus Co, NY USA</t>
  </si>
  <si>
    <t>Dicentrarchus</t>
  </si>
  <si>
    <t>labrax</t>
  </si>
  <si>
    <t>Dicentrarchus labrax</t>
  </si>
  <si>
    <t>Claireaux et al 2006 JEB 209, 3420-3428</t>
  </si>
  <si>
    <t>Ile de Re, France</t>
  </si>
  <si>
    <t>Claireaux et al 2006 JEB 209, 3420-3429</t>
  </si>
  <si>
    <t>Claireaux et al 2006 JEB 209, 3420-3430</t>
  </si>
  <si>
    <t>Chromis</t>
  </si>
  <si>
    <t>atripectoralis</t>
  </si>
  <si>
    <t>Chromis atripectoralis</t>
  </si>
  <si>
    <t>Johansen and Jones 2011 Global Change Biol 17, 2971-2979</t>
  </si>
  <si>
    <t>tematensis</t>
  </si>
  <si>
    <t>Chromis tematensis</t>
  </si>
  <si>
    <t>Johansen and Jones 2011 Global Change Biol 17, 2971-2980</t>
  </si>
  <si>
    <t>Dascyllus</t>
  </si>
  <si>
    <t>aruanus</t>
  </si>
  <si>
    <t>Dascyllus aruanus</t>
  </si>
  <si>
    <t>Johansen and Jones 2011 Global Change Biol 17, 2971-2981</t>
  </si>
  <si>
    <t>reticulatus</t>
  </si>
  <si>
    <t>Dascyllus reticulatus</t>
  </si>
  <si>
    <t>Johansen and Jones 2011 Global Change Biol 17, 2971-2982</t>
  </si>
  <si>
    <t>Neopomacentrus</t>
  </si>
  <si>
    <t>azysron</t>
  </si>
  <si>
    <t>Neopomacentrus azysron</t>
  </si>
  <si>
    <t>Johansen and Jones 2011 Global Change Biol 17, 2971-2983</t>
  </si>
  <si>
    <t>bankieri</t>
  </si>
  <si>
    <t>Neopomacentrus bankieri</t>
  </si>
  <si>
    <t>Johansen and Jones 2011 Global Change Biol 17, 2971-2984</t>
  </si>
  <si>
    <t>cyanomos</t>
  </si>
  <si>
    <t>Neopomacentrus cyanomos</t>
  </si>
  <si>
    <t>Johansen and Jones 2011 Global Change Biol 17, 2971-2985</t>
  </si>
  <si>
    <t>coelestis</t>
  </si>
  <si>
    <t>Pomacentrus coelestis</t>
  </si>
  <si>
    <t>Johansen and Jones 2011 Global Change Biol 17, 2971-2986</t>
  </si>
  <si>
    <t>lepidogenys</t>
  </si>
  <si>
    <t>Pomacentrus lepidogenys</t>
  </si>
  <si>
    <t>Johansen and Jones 2011 Global Change Biol 17, 2971-2987</t>
  </si>
  <si>
    <t>Johansen and Jones 2011 Global Change Biol 17, 2971-2988</t>
  </si>
  <si>
    <t>Johansen and Jones 2011 Global Change Biol 17, 2971-2989</t>
  </si>
  <si>
    <t>Johansen and Jones 2011 Global Change Biol 17, 2971-2990</t>
  </si>
  <si>
    <t>Johansen and Jones 2011 Global Change Biol 17, 2971-2991</t>
  </si>
  <si>
    <t>Johansen and Jones 2011 Global Change Biol 17, 2971-2992</t>
  </si>
  <si>
    <t>Johansen and Jones 2011 Global Change Biol 17, 2971-2993</t>
  </si>
  <si>
    <t>Johansen and Jones 2011 Global Change Biol 17, 2971-2994</t>
  </si>
  <si>
    <t>Johansen and Jones 2011 Global Change Biol 17, 2971-2995</t>
  </si>
  <si>
    <t>Johansen and Jones 2011 Global Change Biol 17, 2971-2996</t>
  </si>
  <si>
    <t>Johansen and Jones 2011 Global Change Biol 17, 2971-2997</t>
  </si>
  <si>
    <t>Johansen and Jones 2011 Global Change Biol 17, 2971-2998</t>
  </si>
  <si>
    <t>Fundulidae</t>
  </si>
  <si>
    <t>heteroclitus heteroclitus</t>
  </si>
  <si>
    <t>Fundulus heteroclitus heteroclitus</t>
  </si>
  <si>
    <t>Fangue et al. 2008 PBZ 81, 389-401</t>
  </si>
  <si>
    <t>Brunswick, GA, USA</t>
  </si>
  <si>
    <t>Fangue et al. 2008 PBZ 81, 389-402</t>
  </si>
  <si>
    <t>Dhillon and Schulte 2011 JEB 214, 3639-3648</t>
  </si>
  <si>
    <t>Morehead City, NC, USA</t>
  </si>
  <si>
    <t>Dhillon and Schulte 2011 JEB 214, 3639-3651</t>
  </si>
  <si>
    <t>Dhillon and Schulte 2011 JEB 214, 3639-3652</t>
  </si>
  <si>
    <t>Dhillon and Schulte 2011 JEB 214, 3639-3653</t>
  </si>
  <si>
    <t>senegalensis</t>
  </si>
  <si>
    <t>Solea senegalensis</t>
  </si>
  <si>
    <t>Na-K-ATPase</t>
  </si>
  <si>
    <t>Arjona et al 2010 Mar Biol 157, 1325-1335</t>
  </si>
  <si>
    <t>Cadiz, Spain</t>
  </si>
  <si>
    <t>Arjona et al 2010 Mar Biol 157, 1325-1336</t>
  </si>
  <si>
    <t>Sparidae</t>
  </si>
  <si>
    <t>Sparus</t>
  </si>
  <si>
    <t>aurata</t>
  </si>
  <si>
    <t>Sparus aurata</t>
  </si>
  <si>
    <t>http://link.springer.com/article/10.1023/B:FISH.0000035904.16686.b6#page-1</t>
  </si>
  <si>
    <t>Atmella de MAr, Tarragone, Spain</t>
  </si>
  <si>
    <t>Ibarz et al 2004 Fish Physiol Biochem 29, 313-321</t>
  </si>
  <si>
    <t>heteroclitus macrolepidotus</t>
  </si>
  <si>
    <t>Fundulus heteroclitus macrolepidotus</t>
  </si>
  <si>
    <t>Hampton, NH, USA</t>
  </si>
  <si>
    <t>Dhillon and Schulte 2011 JEB 214, 3639-3649</t>
  </si>
  <si>
    <t>Dhillon and Schulte 2011 JEB 214, 3639-3650</t>
  </si>
  <si>
    <t>McClelland et al 2006 J Physiol 577.2, 739-752</t>
  </si>
  <si>
    <t>McClelland et al 2006 J Physiol 577.2, 739-753</t>
  </si>
  <si>
    <t>McClelland et al 2006 J Physiol 577.2, 739-754</t>
  </si>
  <si>
    <t>McClelland et al 2006 J Physiol 577.2, 739-755</t>
  </si>
  <si>
    <t>Ptychocheilus</t>
  </si>
  <si>
    <t>oregonensis</t>
  </si>
  <si>
    <t>Ptychocheilus oregonensis</t>
  </si>
  <si>
    <t>Cech, J. J., et al. (1994). "NORTHERN SQUAWFISH, PTYCHOCHEILUS-OREGONENSIS, O-2 CONSUMPTION RATE AND RESPIRATION MODEL - EFFECTS OF TEMPERATURE AND BODY-SIZE." Canadian Journal of Fisheries and Aquatic Sciences 51(1): 8-12.</t>
  </si>
  <si>
    <t>Bonneville Dam, Columbia river</t>
  </si>
  <si>
    <t>mg kg-.67 h-1</t>
  </si>
  <si>
    <t>mg kg-.67 h-2</t>
  </si>
  <si>
    <t>mg kg-.67 h-3</t>
  </si>
  <si>
    <t>clarki</t>
  </si>
  <si>
    <t>Onchorhynchus clarki</t>
  </si>
  <si>
    <t>MacNutt et al 2004 J Fish Biol 65, 342-353</t>
  </si>
  <si>
    <t>Abbotsford, BC, Canada</t>
  </si>
  <si>
    <t>Healy and Schulte 2012 PBZ 85. 107-122</t>
  </si>
  <si>
    <t>Healy and Schulte 2012 PBZ 85. 107-121</t>
  </si>
  <si>
    <t>Healy and Schulte 2012 PBZ 85. 107-119</t>
  </si>
  <si>
    <t>Healy and Schulte 2012 PBZ 85. 107-120</t>
  </si>
  <si>
    <t>Lucassen et al 2003 Am J Physiol 285, R1410-1420</t>
  </si>
  <si>
    <t>Lucassen et al 2003 Am J Physiol 285, R1410-1422</t>
  </si>
  <si>
    <t>Lucassen et al 2003 Am J Physiol 285, R1410-1423</t>
  </si>
  <si>
    <t>Robinson and Davidson 2008 Polar Biol 31, 317-326</t>
  </si>
  <si>
    <t>Mymensingh, Bangladesh</t>
  </si>
  <si>
    <t>dev T = 22</t>
  </si>
  <si>
    <t>Scott and Johnston 2012 PNAS 109, 14247-14252</t>
  </si>
  <si>
    <t>dev T = 27</t>
  </si>
  <si>
    <t>Scott and Johnston 2012 PNAS 109, 14247-14253</t>
  </si>
  <si>
    <t>Scott and Johnston 2012 PNAS 109, 14247-14254</t>
  </si>
  <si>
    <t>Das et al 2005 J Therm Biol 30, 378-383</t>
  </si>
  <si>
    <t>Khopoli, India</t>
  </si>
  <si>
    <t>Bagridae</t>
  </si>
  <si>
    <t>Horabagrus</t>
  </si>
  <si>
    <t>brachysoma</t>
  </si>
  <si>
    <t>Horabagrus brachysoma</t>
  </si>
  <si>
    <t>Dalvi et al 2009 Aquaculture 295, 116-119</t>
  </si>
  <si>
    <t>Litopenaeus</t>
  </si>
  <si>
    <t>vannamei</t>
  </si>
  <si>
    <t>Litopenaeus vannamei</t>
  </si>
  <si>
    <t>Gonzalez et al 2010 J Therm Biol 35, 218-224</t>
  </si>
  <si>
    <t>La Paz, Mexico</t>
  </si>
  <si>
    <t>stylirostris</t>
  </si>
  <si>
    <t>Litopenaeus stylirostris</t>
  </si>
  <si>
    <t>http://onlinelibrary.wiley.com/doi/10.1046/j.1365-2095.2003.00235.x/full</t>
  </si>
  <si>
    <t>El Camaron Dorado, Sonora, Mexico</t>
  </si>
  <si>
    <t>Re et al 2004 Ciencias Marinas 30, 443-453</t>
  </si>
  <si>
    <t>Tetradontiformes</t>
  </si>
  <si>
    <t>Tetradontidae</t>
  </si>
  <si>
    <t>Sphoeroides</t>
  </si>
  <si>
    <t>annulatus</t>
  </si>
  <si>
    <t>Sphoeroides annulatus</t>
  </si>
  <si>
    <t>Reyes et al 2011 J Therm Biol 36, 200-205</t>
  </si>
  <si>
    <t>Diaz et al 2007 Aquaculture Res 38, 1387-1394</t>
  </si>
  <si>
    <t>Sonora, Maxico</t>
  </si>
  <si>
    <t>Agnatha</t>
  </si>
  <si>
    <t>Petromyzontiformes</t>
  </si>
  <si>
    <t>Petromyzontidae</t>
  </si>
  <si>
    <t>Petromyzon</t>
  </si>
  <si>
    <t>Petromyzon marinus</t>
  </si>
  <si>
    <t>http://jgp.rupress.org/content/105/5/569.full.pdf+html</t>
  </si>
  <si>
    <t>Lake Ontario, Canada</t>
  </si>
  <si>
    <t>Holmes, J. A. and P. Lin (1994). "THERMAL NICHE OF LARVAL SEA LAMPREY, PETROMYZON-MARINUS." Canadian Journal of Fisheries and Aquatic Sciences 51(2): 253-262.</t>
  </si>
  <si>
    <t>mg/g-1/h</t>
  </si>
  <si>
    <t>Farrell 2008 J Fish Biol 72, 693-710</t>
  </si>
  <si>
    <t>Burnaby, Canada</t>
  </si>
  <si>
    <t>Trematomus</t>
  </si>
  <si>
    <t>bernacchii</t>
  </si>
  <si>
    <t>Trematomus bernacchii</t>
  </si>
  <si>
    <t>Morrison et al 2006 J Exp Mar Biol Ecol 333, 129-139</t>
  </si>
  <si>
    <t>McMurdo Sound, Antarctica</t>
  </si>
  <si>
    <t>nmol/g.h?</t>
  </si>
  <si>
    <t>Kieffer et al 1998 JEB 201, 3123-3133</t>
  </si>
  <si>
    <t>Thamesford, Ontario, Canada</t>
  </si>
  <si>
    <t>Kieffer et al 1998 JEB 201, 3123-3134</t>
  </si>
  <si>
    <t>Kieffer et al 1998 JEB 201, 3123-3135</t>
  </si>
  <si>
    <t>Salmo</t>
  </si>
  <si>
    <t>trutta</t>
  </si>
  <si>
    <t>Salmo trutta</t>
  </si>
  <si>
    <t>Day and Butler 2005 JEB 208, 2683-2692</t>
  </si>
  <si>
    <t>Hathersage, UK</t>
  </si>
  <si>
    <t>Day and Butler 2005 JEB 208, 2683-2693</t>
  </si>
  <si>
    <t>Day and Butler 2005 JEB 208, 2683-2694</t>
  </si>
  <si>
    <t>Day and Butler 2005 JEB 208, 2683-2695</t>
  </si>
  <si>
    <t>Day and Butler 2005 JEB 208, 2683-2696</t>
  </si>
  <si>
    <t>Scartichthys</t>
  </si>
  <si>
    <t>Scartichthys viridis</t>
  </si>
  <si>
    <t>Pulger et al 2007 Revista Chilena de Historia Natural 80, 439-448</t>
  </si>
  <si>
    <t>Las Cruces, Chile</t>
  </si>
  <si>
    <t>Pulger et al 2007 Revista Chilena de Historia Natural 80, 439-446</t>
  </si>
  <si>
    <t>Carrizal Bajo, Chile</t>
  </si>
  <si>
    <t>Pulger et al 2007 Revista Chilena de Historia Natural 80, 439-447</t>
  </si>
  <si>
    <t>Antofagasta, Chile</t>
  </si>
  <si>
    <t>macrocephalus</t>
  </si>
  <si>
    <t>Gadus macrocephalus</t>
  </si>
  <si>
    <t>Hanna et al 2008 J Fish Biol 72, 1068-1078</t>
  </si>
  <si>
    <t>Kodiak Is, USA</t>
  </si>
  <si>
    <t>Lucassen et al 2003 Am J Physiol 285, R1410-1421</t>
  </si>
  <si>
    <t>Jordan et al 2005 Mar Biol Res 1, 411-416</t>
  </si>
  <si>
    <t>More og Romsdal, Norway</t>
  </si>
  <si>
    <t>Eckerle et al 2008 JEB 211, 1262-1269</t>
  </si>
  <si>
    <t>German Bight, Germany</t>
  </si>
  <si>
    <t>liver cells</t>
  </si>
  <si>
    <t>U/10^6 cells</t>
  </si>
  <si>
    <t>Eckerle et al 2008 JEB 211, 1262-1270</t>
  </si>
  <si>
    <t>Kashwitna Lake, AL, USA</t>
  </si>
  <si>
    <t>KAmmer et al 2011 JEB 214, 1248-1256</t>
  </si>
  <si>
    <t>Guderley et al 2001 PBZ 74, 66-82</t>
  </si>
  <si>
    <t>KAmmer et al 2011 JEB 214, 1248-1257</t>
  </si>
  <si>
    <t>Guderley et al 2001 PBZ 74, 66-83</t>
  </si>
  <si>
    <t>KAmmer et al 2011 JEB 214, 1248-1258</t>
  </si>
  <si>
    <t>Guderley et al 2001 PBZ 74, 66-84</t>
  </si>
  <si>
    <t>G6PD</t>
  </si>
  <si>
    <t>KAmmer et al 2011 JEB 214, 1248-1259</t>
  </si>
  <si>
    <t>Guderley et al 2001 PBZ 74, 66-85</t>
  </si>
  <si>
    <t>KAmmer et al 2011 JEB 214, 1248-1260</t>
  </si>
  <si>
    <t>Guderley et al 2001 PBZ 74, 66-86</t>
  </si>
  <si>
    <t>KAmmer et al 2011 JEB 214, 1248-1261</t>
  </si>
  <si>
    <t>distribution: lat long of species: animals from breeder in US</t>
  </si>
  <si>
    <t>Zakhartsev et al 2004 JEB 207, 95-113</t>
  </si>
  <si>
    <t>Bergen, Norway</t>
  </si>
  <si>
    <t>confound body mass with temp</t>
  </si>
  <si>
    <t>Zakhartsev et al 2004 JEB 207, 95-112</t>
  </si>
  <si>
    <t>Orczewska et al 2010 Am J Physiol 299, R352-R364</t>
  </si>
  <si>
    <t>confound temp. with body mass</t>
  </si>
  <si>
    <t>Orczewska et al 2010 Am J Physiol 299, R352-R365</t>
  </si>
  <si>
    <t>Poecilia</t>
  </si>
  <si>
    <t>reticulata</t>
  </si>
  <si>
    <t>Poecilia reticulata</t>
  </si>
  <si>
    <t>Munoz et al 2012 JEB 215, 3436-3441</t>
  </si>
  <si>
    <t>Paria River, Trinidad</t>
  </si>
  <si>
    <t>Munoz et al 2012 JEB 215, 3436-3442</t>
  </si>
  <si>
    <t>Genus and species combined into a single cell</t>
  </si>
  <si>
    <t>Phylum according to paper</t>
  </si>
  <si>
    <t>Class according to paper</t>
  </si>
  <si>
    <t>Order according to paper</t>
  </si>
  <si>
    <t>Log10 body mass in g</t>
  </si>
  <si>
    <t>Wet body mass in kg</t>
  </si>
  <si>
    <t>Wet body mass in g</t>
  </si>
  <si>
    <t>Source for body mass estimate</t>
  </si>
  <si>
    <t>Species' habitat (freshwater, marine, or terretrial)</t>
  </si>
  <si>
    <t>Source of animal, wild or captively bred</t>
  </si>
  <si>
    <t>Adul, juvenile, or larva</t>
  </si>
  <si>
    <t>Location of animal collection</t>
  </si>
  <si>
    <t>Acclimation or acclimatization</t>
  </si>
  <si>
    <t>Duration of acclimation period in days</t>
  </si>
  <si>
    <t>Log10 duration of acclimation period in days</t>
  </si>
  <si>
    <t>The response variable</t>
  </si>
  <si>
    <t>Additional details on the response variable</t>
  </si>
  <si>
    <t>Acclimation temperature</t>
  </si>
  <si>
    <t>Test temperature</t>
  </si>
  <si>
    <t>Figure 1 from Seebacher et al. 2015</t>
  </si>
  <si>
    <t>See figure to the right</t>
  </si>
  <si>
    <t>Standard error of R1,1</t>
  </si>
  <si>
    <t>Sample size for R1,1</t>
  </si>
  <si>
    <t>Standard error of R1,2</t>
  </si>
  <si>
    <t>Sample size for R1,2</t>
  </si>
  <si>
    <t>Standard error of R2,1</t>
  </si>
  <si>
    <t>Sample size for R2,1</t>
  </si>
  <si>
    <t>Standard error of R2,2</t>
  </si>
  <si>
    <t>Sample size for R2,2</t>
  </si>
  <si>
    <t>Estimate of standardized acclimation strength (|R2,2-R1,2|)/R1,2</t>
  </si>
  <si>
    <t>Log10Ratio</t>
  </si>
  <si>
    <t>Mean sample size</t>
  </si>
  <si>
    <t>Mean standard error</t>
  </si>
  <si>
    <t>Notes from Seebacher et al.</t>
  </si>
  <si>
    <t>Citation for the study</t>
  </si>
  <si>
    <t>Whether the case had complete data and if not, what data were missing</t>
  </si>
  <si>
    <r>
      <rPr>
        <b/>
        <sz val="12"/>
        <rFont val="Cambria"/>
        <family val="1"/>
      </rPr>
      <t>Thermal acclimation data table</t>
    </r>
  </si>
  <si>
    <t>(d)</t>
  </si>
  <si>
    <t>(C/min)</t>
  </si>
  <si>
    <t>(C)</t>
  </si>
  <si>
    <t>(mm)</t>
  </si>
  <si>
    <t>(g)</t>
  </si>
  <si>
    <r>
      <rPr>
        <u/>
        <sz val="8"/>
        <rFont val="Calibri"/>
        <family val="2"/>
      </rPr>
      <t>genus</t>
    </r>
  </si>
  <si>
    <r>
      <rPr>
        <u/>
        <sz val="8"/>
        <rFont val="Calibri"/>
        <family val="2"/>
      </rPr>
      <t>species</t>
    </r>
  </si>
  <si>
    <t>species2</t>
  </si>
  <si>
    <r>
      <rPr>
        <u/>
        <sz val="8"/>
        <rFont val="Calibri"/>
        <family val="2"/>
      </rPr>
      <t>Acclim.</t>
    </r>
    <r>
      <rPr>
        <sz val="8"/>
        <rFont val="Calibri"/>
        <family val="2"/>
      </rPr>
      <t xml:space="preserve"> </t>
    </r>
    <r>
      <rPr>
        <u/>
        <sz val="8"/>
        <rFont val="Calibri"/>
        <family val="2"/>
      </rPr>
      <t>Time</t>
    </r>
  </si>
  <si>
    <t>LogAcclimTime</t>
  </si>
  <si>
    <r>
      <rPr>
        <u/>
        <sz val="8"/>
        <rFont val="Calibri"/>
        <family val="2"/>
      </rPr>
      <t>C</t>
    </r>
    <r>
      <rPr>
        <sz val="8"/>
        <rFont val="Calibri"/>
        <family val="2"/>
      </rPr>
      <t xml:space="preserve">ool </t>
    </r>
    <r>
      <rPr>
        <u/>
        <sz val="8"/>
        <rFont val="Calibri"/>
        <family val="2"/>
      </rPr>
      <t>Rate</t>
    </r>
  </si>
  <si>
    <r>
      <rPr>
        <u/>
        <sz val="8"/>
        <rFont val="Calibri"/>
        <family val="2"/>
      </rPr>
      <t>Heat</t>
    </r>
    <r>
      <rPr>
        <sz val="8"/>
        <rFont val="Calibri"/>
        <family val="2"/>
      </rPr>
      <t xml:space="preserve"> </t>
    </r>
    <r>
      <rPr>
        <u/>
        <sz val="8"/>
        <rFont val="Calibri"/>
        <family val="2"/>
      </rPr>
      <t>rate</t>
    </r>
  </si>
  <si>
    <t>LogCoolRate</t>
  </si>
  <si>
    <t>LogHeatRate</t>
  </si>
  <si>
    <t>latitude</t>
  </si>
  <si>
    <t>abslatitude</t>
  </si>
  <si>
    <r>
      <rPr>
        <u/>
        <sz val="8"/>
        <rFont val="Calibri"/>
        <family val="2"/>
      </rPr>
      <t>longitude</t>
    </r>
  </si>
  <si>
    <r>
      <rPr>
        <u/>
        <sz val="8"/>
        <rFont val="Calibri"/>
        <family val="2"/>
      </rPr>
      <t>habitat</t>
    </r>
  </si>
  <si>
    <r>
      <rPr>
        <u/>
        <sz val="8"/>
        <rFont val="Calibri"/>
        <family val="2"/>
      </rPr>
      <t>Max</t>
    </r>
    <r>
      <rPr>
        <sz val="8"/>
        <rFont val="Calibri"/>
        <family val="2"/>
      </rPr>
      <t xml:space="preserve"> </t>
    </r>
    <r>
      <rPr>
        <u/>
        <sz val="8"/>
        <rFont val="Calibri"/>
        <family val="2"/>
      </rPr>
      <t>Ctmax</t>
    </r>
  </si>
  <si>
    <r>
      <rPr>
        <u/>
        <sz val="8"/>
        <rFont val="Calibri"/>
        <family val="2"/>
      </rPr>
      <t>Min</t>
    </r>
    <r>
      <rPr>
        <sz val="8"/>
        <rFont val="Calibri"/>
        <family val="2"/>
      </rPr>
      <t xml:space="preserve"> </t>
    </r>
    <r>
      <rPr>
        <u/>
        <sz val="8"/>
        <rFont val="Calibri"/>
        <family val="2"/>
      </rPr>
      <t>Ctmin</t>
    </r>
  </si>
  <si>
    <r>
      <rPr>
        <u/>
        <sz val="8"/>
        <rFont val="Calibri"/>
        <family val="2"/>
      </rPr>
      <t>CTmax</t>
    </r>
    <r>
      <rPr>
        <sz val="8"/>
        <rFont val="Calibri"/>
        <family val="2"/>
      </rPr>
      <t xml:space="preserve">  </t>
    </r>
    <r>
      <rPr>
        <u/>
        <sz val="8"/>
        <rFont val="Calibri"/>
        <family val="2"/>
      </rPr>
      <t>ARR</t>
    </r>
  </si>
  <si>
    <t>logCTmaxARR</t>
  </si>
  <si>
    <r>
      <rPr>
        <u/>
        <sz val="8"/>
        <rFont val="Calibri"/>
        <family val="2"/>
      </rPr>
      <t>CTmin</t>
    </r>
    <r>
      <rPr>
        <sz val="8"/>
        <rFont val="Calibri"/>
        <family val="2"/>
      </rPr>
      <t xml:space="preserve">  </t>
    </r>
    <r>
      <rPr>
        <u/>
        <sz val="8"/>
        <rFont val="Calibri"/>
        <family val="2"/>
      </rPr>
      <t>ARR</t>
    </r>
  </si>
  <si>
    <t>seasonality</t>
  </si>
  <si>
    <t>logSeasonality</t>
  </si>
  <si>
    <r>
      <rPr>
        <u/>
        <sz val="8"/>
        <rFont val="Calibri"/>
        <family val="2"/>
      </rPr>
      <t>ref</t>
    </r>
  </si>
  <si>
    <t>ref2</t>
  </si>
  <si>
    <t>Sample size CTMax</t>
  </si>
  <si>
    <t>Sample Size CTMin</t>
  </si>
  <si>
    <t>Length CTMax</t>
  </si>
  <si>
    <t>Mass CTMax</t>
  </si>
  <si>
    <t>LogMassCTMax</t>
  </si>
  <si>
    <t>Length CTMin</t>
  </si>
  <si>
    <t>Mass CTMin</t>
  </si>
  <si>
    <t>LogMassCTMin</t>
  </si>
  <si>
    <t>No. Acc Temps Max</t>
  </si>
  <si>
    <t>No. Acc Temps Min</t>
  </si>
  <si>
    <r>
      <rPr>
        <sz val="8"/>
        <rFont val="Calibri"/>
        <family val="2"/>
      </rPr>
      <t>Gobionotothen</t>
    </r>
  </si>
  <si>
    <r>
      <rPr>
        <sz val="8"/>
        <rFont val="Calibri"/>
        <family val="2"/>
      </rPr>
      <t>gibberifrons</t>
    </r>
  </si>
  <si>
    <t>Gobionotothen_gibberifrons</t>
  </si>
  <si>
    <r>
      <rPr>
        <sz val="8"/>
        <rFont val="Calibri"/>
        <family val="2"/>
      </rPr>
      <t>NA</t>
    </r>
  </si>
  <si>
    <r>
      <rPr>
        <sz val="8"/>
        <rFont val="Calibri"/>
        <family val="2"/>
      </rPr>
      <t>sw</t>
    </r>
  </si>
  <si>
    <r>
      <rPr>
        <sz val="8"/>
        <rFont val="Calibri"/>
        <family val="2"/>
      </rPr>
      <t>[41]</t>
    </r>
  </si>
  <si>
    <t>Froese, R., J. Thorson and R.B. Reyes Jr., 2013. A Bayesian approach for estimating lengthweight relationships in fishes. J. Appl. Ichthyol. (2013):17.</t>
  </si>
  <si>
    <t>Bothrometopus_gracilipes</t>
  </si>
  <si>
    <t>Palirhoeus_eatoni</t>
  </si>
  <si>
    <t>Lycodichthys</t>
  </si>
  <si>
    <r>
      <rPr>
        <sz val="8"/>
        <rFont val="Calibri"/>
        <family val="2"/>
      </rPr>
      <t>dearbornii</t>
    </r>
  </si>
  <si>
    <t>Lycodichthys_dearbornii</t>
  </si>
  <si>
    <t>Canonopsis_sericeus</t>
  </si>
  <si>
    <r>
      <rPr>
        <sz val="8"/>
        <rFont val="Calibri"/>
        <family val="2"/>
      </rPr>
      <t>Notothenia</t>
    </r>
  </si>
  <si>
    <r>
      <rPr>
        <sz val="8"/>
        <rFont val="Calibri"/>
        <family val="2"/>
      </rPr>
      <t>coriiceps</t>
    </r>
  </si>
  <si>
    <t>Notothenia_coriiceps</t>
  </si>
  <si>
    <r>
      <rPr>
        <sz val="8"/>
        <rFont val="Calibri"/>
        <family val="2"/>
      </rPr>
      <t>Pachycara</t>
    </r>
  </si>
  <si>
    <r>
      <rPr>
        <sz val="8"/>
        <rFont val="Calibri"/>
        <family val="2"/>
      </rPr>
      <t>branchycephalum</t>
    </r>
  </si>
  <si>
    <t>Pachycara_branchycephalum</t>
  </si>
  <si>
    <t>Bothrometopus_brevis</t>
  </si>
  <si>
    <r>
      <rPr>
        <sz val="8"/>
        <rFont val="Calibri"/>
        <family val="2"/>
      </rPr>
      <t>Pagothenia</t>
    </r>
  </si>
  <si>
    <r>
      <rPr>
        <sz val="8"/>
        <rFont val="Calibri"/>
        <family val="2"/>
      </rPr>
      <t>borchgrevinki</t>
    </r>
  </si>
  <si>
    <t>Pagothenia_borchgrevinki</t>
  </si>
  <si>
    <t>Rhinichthys_osculus</t>
  </si>
  <si>
    <r>
      <rPr>
        <sz val="8"/>
        <rFont val="Calibri"/>
        <family val="2"/>
      </rPr>
      <t>Trematomus</t>
    </r>
  </si>
  <si>
    <r>
      <rPr>
        <sz val="8"/>
        <rFont val="Calibri"/>
        <family val="2"/>
      </rPr>
      <t>bernacchii</t>
    </r>
  </si>
  <si>
    <t>Trematomus_bernacchii</t>
  </si>
  <si>
    <t>Triturus_dobrogicus</t>
  </si>
  <si>
    <r>
      <rPr>
        <sz val="8"/>
        <rFont val="Calibri"/>
        <family val="2"/>
      </rPr>
      <t>hansoni</t>
    </r>
  </si>
  <si>
    <t>Trematomus_hansoni</t>
  </si>
  <si>
    <t>Saduria_entomon</t>
  </si>
  <si>
    <r>
      <rPr>
        <sz val="8"/>
        <rFont val="Calibri"/>
        <family val="2"/>
      </rPr>
      <t>pennelii</t>
    </r>
  </si>
  <si>
    <t>Trematomus_pennelii</t>
  </si>
  <si>
    <t>Salmo_salar</t>
  </si>
  <si>
    <r>
      <rPr>
        <sz val="8"/>
        <rFont val="Calibri"/>
        <family val="2"/>
      </rPr>
      <t>Rana</t>
    </r>
  </si>
  <si>
    <r>
      <rPr>
        <sz val="8"/>
        <rFont val="Calibri"/>
        <family val="2"/>
      </rPr>
      <t>pipiens</t>
    </r>
  </si>
  <si>
    <t>Rana_pipiens</t>
  </si>
  <si>
    <r>
      <rPr>
        <sz val="8"/>
        <rFont val="Calibri"/>
        <family val="2"/>
      </rPr>
      <t>t</t>
    </r>
  </si>
  <si>
    <r>
      <rPr>
        <sz val="8"/>
        <rFont val="Calibri"/>
        <family val="2"/>
      </rPr>
      <t>[2]</t>
    </r>
  </si>
  <si>
    <t>Sohi et al. 2008. Measuring the Meltdown: Drivers of Global Amphibian Extinction and Decline. PLoS One</t>
  </si>
  <si>
    <t>Buergeria_japonica</t>
  </si>
  <si>
    <r>
      <rPr>
        <sz val="8"/>
        <rFont val="Calibri"/>
        <family val="2"/>
      </rPr>
      <t>Bufo</t>
    </r>
  </si>
  <si>
    <r>
      <rPr>
        <sz val="8"/>
        <rFont val="Calibri"/>
        <family val="2"/>
      </rPr>
      <t>haematiticus</t>
    </r>
  </si>
  <si>
    <t>Bufo_haematiticus</t>
  </si>
  <si>
    <t>Paramelita_nigroculus</t>
  </si>
  <si>
    <r>
      <rPr>
        <sz val="8"/>
        <rFont val="Calibri"/>
        <family val="2"/>
      </rPr>
      <t>palmipes</t>
    </r>
  </si>
  <si>
    <t>Rana_palmipes</t>
  </si>
  <si>
    <t>Chirodica_chalcoptera</t>
  </si>
  <si>
    <r>
      <rPr>
        <sz val="8"/>
        <rFont val="Calibri"/>
        <family val="2"/>
      </rPr>
      <t>marinus</t>
    </r>
  </si>
  <si>
    <t>Bufo_marinus</t>
  </si>
  <si>
    <t>Feder, M. E. (1982). "ENVIRONMENTAL VARIABILITY AND THERMALACCLIMATION OF METABOLISM IN TROPICAL ANURANS." Journal of Thermal Biology 7(1): 2328.</t>
  </si>
  <si>
    <t>Carcinus_maenas</t>
  </si>
  <si>
    <r>
      <rPr>
        <sz val="8"/>
        <rFont val="Calibri"/>
        <family val="2"/>
      </rPr>
      <t>Glossina</t>
    </r>
  </si>
  <si>
    <r>
      <rPr>
        <sz val="8"/>
        <rFont val="Calibri"/>
        <family val="2"/>
      </rPr>
      <t>pallidipes</t>
    </r>
  </si>
  <si>
    <t>Glossina_pallidipes</t>
  </si>
  <si>
    <r>
      <rPr>
        <sz val="8"/>
        <rFont val="Calibri"/>
        <family val="2"/>
      </rPr>
      <t>[82]</t>
    </r>
  </si>
  <si>
    <t>[82]</t>
  </si>
  <si>
    <t>Crinia_signifera</t>
  </si>
  <si>
    <r>
      <rPr>
        <sz val="8"/>
        <rFont val="Calibri"/>
        <family val="2"/>
      </rPr>
      <t>Limia</t>
    </r>
  </si>
  <si>
    <r>
      <rPr>
        <sz val="8"/>
        <rFont val="Calibri"/>
        <family val="2"/>
      </rPr>
      <t>melanonotata</t>
    </r>
  </si>
  <si>
    <t>Limia_melanonotata</t>
  </si>
  <si>
    <r>
      <rPr>
        <sz val="8"/>
        <rFont val="Calibri"/>
        <family val="2"/>
      </rPr>
      <t>fw</t>
    </r>
  </si>
  <si>
    <r>
      <rPr>
        <sz val="8"/>
        <rFont val="Calibri"/>
        <family val="2"/>
      </rPr>
      <t>[53]</t>
    </r>
  </si>
  <si>
    <t>[53]</t>
  </si>
  <si>
    <t>Necturus_maculosus</t>
  </si>
  <si>
    <r>
      <rPr>
        <sz val="8"/>
        <rFont val="Calibri"/>
        <family val="2"/>
      </rPr>
      <t>Apogon</t>
    </r>
  </si>
  <si>
    <r>
      <rPr>
        <sz val="8"/>
        <rFont val="Calibri"/>
        <family val="2"/>
      </rPr>
      <t>novemfasciatus</t>
    </r>
  </si>
  <si>
    <t>Apogon_novemfasciatus</t>
  </si>
  <si>
    <r>
      <rPr>
        <sz val="8"/>
        <rFont val="Calibri"/>
        <family val="2"/>
      </rPr>
      <t>[38]</t>
    </r>
  </si>
  <si>
    <t>[38]</t>
  </si>
  <si>
    <t>Litoria_fallax</t>
  </si>
  <si>
    <r>
      <rPr>
        <sz val="8"/>
        <rFont val="Calibri"/>
        <family val="2"/>
      </rPr>
      <t>Bathygobuis</t>
    </r>
  </si>
  <si>
    <r>
      <rPr>
        <sz val="8"/>
        <rFont val="Calibri"/>
        <family val="2"/>
      </rPr>
      <t>fuscus</t>
    </r>
  </si>
  <si>
    <t>Bathygobuis_fuscus</t>
  </si>
  <si>
    <t>Salmo_trutta</t>
  </si>
  <si>
    <r>
      <rPr>
        <sz val="8"/>
        <rFont val="Calibri"/>
        <family val="2"/>
      </rPr>
      <t>spp</t>
    </r>
  </si>
  <si>
    <t>Bathygobuis_spp</t>
  </si>
  <si>
    <r>
      <rPr>
        <sz val="8"/>
        <rFont val="Calibri"/>
        <family val="2"/>
      </rPr>
      <t>Dascyllus</t>
    </r>
  </si>
  <si>
    <r>
      <rPr>
        <sz val="8"/>
        <rFont val="Calibri"/>
        <family val="2"/>
      </rPr>
      <t>aruanus</t>
    </r>
  </si>
  <si>
    <t>Dascyllus_aruanus</t>
  </si>
  <si>
    <t>Oncorhynchus_apache</t>
  </si>
  <si>
    <r>
      <rPr>
        <sz val="8"/>
        <rFont val="Calibri"/>
        <family val="2"/>
      </rPr>
      <t>Liza</t>
    </r>
  </si>
  <si>
    <r>
      <rPr>
        <sz val="8"/>
        <rFont val="Calibri"/>
        <family val="2"/>
      </rPr>
      <t>viagiensis</t>
    </r>
  </si>
  <si>
    <t>Liza_viagiensis</t>
  </si>
  <si>
    <t>Salmo_gairdne</t>
  </si>
  <si>
    <r>
      <rPr>
        <sz val="8"/>
        <rFont val="Calibri"/>
        <family val="2"/>
      </rPr>
      <t>Hyla</t>
    </r>
  </si>
  <si>
    <r>
      <rPr>
        <sz val="8"/>
        <rFont val="Calibri"/>
        <family val="2"/>
      </rPr>
      <t>walkeri</t>
    </r>
  </si>
  <si>
    <t>Hyla_walkeri</t>
  </si>
  <si>
    <r>
      <rPr>
        <sz val="8"/>
        <rFont val="Calibri"/>
        <family val="2"/>
      </rPr>
      <t>Eleutherodactylus</t>
    </r>
  </si>
  <si>
    <r>
      <rPr>
        <sz val="8"/>
        <rFont val="Calibri"/>
        <family val="2"/>
      </rPr>
      <t>coqui</t>
    </r>
  </si>
  <si>
    <t>Eleutherodactylus_coqui</t>
  </si>
  <si>
    <r>
      <rPr>
        <sz val="8"/>
        <rFont val="Calibri"/>
        <family val="2"/>
      </rPr>
      <t>[3]</t>
    </r>
  </si>
  <si>
    <t>Salvelinus_fontinalis</t>
  </si>
  <si>
    <r>
      <rPr>
        <sz val="8"/>
        <rFont val="Calibri"/>
        <family val="2"/>
      </rPr>
      <t>marmoreus</t>
    </r>
  </si>
  <si>
    <t>Bufo_marmoreus</t>
  </si>
  <si>
    <t>Oronectes_virilis</t>
  </si>
  <si>
    <r>
      <rPr>
        <sz val="8"/>
        <rFont val="Calibri"/>
        <family val="2"/>
      </rPr>
      <t>Poecilia</t>
    </r>
  </si>
  <si>
    <r>
      <rPr>
        <sz val="8"/>
        <rFont val="Calibri"/>
        <family val="2"/>
      </rPr>
      <t>sphenops</t>
    </r>
  </si>
  <si>
    <t>Poecilia_sphenops</t>
  </si>
  <si>
    <r>
      <rPr>
        <sz val="8"/>
        <rFont val="Calibri"/>
        <family val="2"/>
      </rPr>
      <t>[51]</t>
    </r>
  </si>
  <si>
    <t>[51]</t>
  </si>
  <si>
    <t>Bufo_nelsoni</t>
  </si>
  <si>
    <r>
      <rPr>
        <sz val="8"/>
        <rFont val="Calibri"/>
        <family val="2"/>
      </rPr>
      <t>Bothrometopus</t>
    </r>
  </si>
  <si>
    <r>
      <rPr>
        <sz val="8"/>
        <rFont val="Calibri"/>
        <family val="2"/>
      </rPr>
      <t>elongatus</t>
    </r>
  </si>
  <si>
    <t>Bothrometopus_elongatus</t>
  </si>
  <si>
    <r>
      <rPr>
        <sz val="8"/>
        <rFont val="Calibri"/>
        <family val="2"/>
      </rPr>
      <t>[77]</t>
    </r>
  </si>
  <si>
    <t>Mercer et al. 2001. Invertebrate body sizes from Marion island. Antarctic Science. 13:135-143.</t>
  </si>
  <si>
    <t>Cyprinodon_nevadensis</t>
  </si>
  <si>
    <t>Crangon_crangon</t>
  </si>
  <si>
    <t>Litoria_rothii</t>
  </si>
  <si>
    <r>
      <rPr>
        <sz val="8"/>
        <rFont val="Calibri"/>
        <family val="2"/>
      </rPr>
      <t>parvulus</t>
    </r>
  </si>
  <si>
    <t>Bothrometopus_parvulus</t>
  </si>
  <si>
    <t>Oncorhynchus_gilae</t>
  </si>
  <si>
    <t>Ectemnorhinus_viridis</t>
  </si>
  <si>
    <t>Lestagella_penicillata</t>
  </si>
  <si>
    <t>Limnodynastes_dorsalis</t>
  </si>
  <si>
    <t>Bufo_exsul</t>
  </si>
  <si>
    <r>
      <rPr>
        <sz val="8"/>
        <rFont val="Calibri"/>
        <family val="2"/>
      </rPr>
      <t>randi</t>
    </r>
  </si>
  <si>
    <t>Bothrometopus_randi</t>
  </si>
  <si>
    <t>Litoria_aurea</t>
  </si>
  <si>
    <r>
      <rPr>
        <sz val="8"/>
        <rFont val="Calibri"/>
        <family val="2"/>
      </rPr>
      <t>Ectemnorhinus</t>
    </r>
  </si>
  <si>
    <r>
      <rPr>
        <sz val="8"/>
        <rFont val="Calibri"/>
        <family val="2"/>
      </rPr>
      <t>marioni</t>
    </r>
  </si>
  <si>
    <t>Ectemnorhinus_marioni</t>
  </si>
  <si>
    <t>Litoria_lesueri</t>
  </si>
  <si>
    <t>Rana_palustris</t>
  </si>
  <si>
    <r>
      <rPr>
        <sz val="8"/>
        <rFont val="Calibri"/>
        <family val="2"/>
      </rPr>
      <t>similis</t>
    </r>
  </si>
  <si>
    <t>Ectemnorhinus_similis</t>
  </si>
  <si>
    <t>Cyprinodon_spp</t>
  </si>
  <si>
    <t>Ladona_deplanata</t>
  </si>
  <si>
    <t>Shenomorphus_taiwanensis</t>
  </si>
  <si>
    <r>
      <rPr>
        <sz val="8"/>
        <rFont val="Calibri"/>
        <family val="2"/>
      </rPr>
      <t>Palirhoeus</t>
    </r>
  </si>
  <si>
    <r>
      <rPr>
        <sz val="8"/>
        <rFont val="Calibri"/>
        <family val="2"/>
      </rPr>
      <t>eatoni</t>
    </r>
  </si>
  <si>
    <t>Bufo_compactilis</t>
  </si>
  <si>
    <r>
      <rPr>
        <sz val="8"/>
        <rFont val="Calibri"/>
        <family val="2"/>
      </rPr>
      <t>Halmaeusa</t>
    </r>
  </si>
  <si>
    <r>
      <rPr>
        <sz val="8"/>
        <rFont val="Calibri"/>
        <family val="2"/>
      </rPr>
      <t>atriceps</t>
    </r>
  </si>
  <si>
    <t>Halmaeusa_atriceps</t>
  </si>
  <si>
    <r>
      <rPr>
        <sz val="8"/>
        <rFont val="Calibri"/>
        <family val="2"/>
      </rPr>
      <t>[78]</t>
    </r>
  </si>
  <si>
    <t>Bufo_boreas</t>
  </si>
  <si>
    <r>
      <rPr>
        <sz val="8"/>
        <rFont val="Calibri"/>
        <family val="2"/>
      </rPr>
      <t>Embryonopsis</t>
    </r>
  </si>
  <si>
    <r>
      <rPr>
        <sz val="8"/>
        <rFont val="Calibri"/>
        <family val="2"/>
      </rPr>
      <t>halticella</t>
    </r>
  </si>
  <si>
    <t>Embryonopsis_halticella</t>
  </si>
  <si>
    <r>
      <rPr>
        <sz val="8"/>
        <rFont val="Calibri"/>
        <family val="2"/>
      </rPr>
      <t>[88]</t>
    </r>
  </si>
  <si>
    <t>[88]</t>
  </si>
  <si>
    <t>Litoria_gracilenta</t>
  </si>
  <si>
    <r>
      <rPr>
        <sz val="8"/>
        <rFont val="Calibri"/>
        <family val="2"/>
      </rPr>
      <t>Gibbonsia</t>
    </r>
  </si>
  <si>
    <r>
      <rPr>
        <sz val="8"/>
        <rFont val="Calibri"/>
        <family val="2"/>
      </rPr>
      <t>montereyensis</t>
    </r>
  </si>
  <si>
    <t>Gibbonsia_montereyensis</t>
  </si>
  <si>
    <r>
      <rPr>
        <sz val="8"/>
        <rFont val="Calibri"/>
        <family val="2"/>
      </rPr>
      <t>[39]</t>
    </r>
  </si>
  <si>
    <t>http://onlinelibrary.wiley.com/doi/10.1111/j.1939165X.2011.00365.x/full;  Fishbase</t>
  </si>
  <si>
    <t>Palaemon_varians</t>
  </si>
  <si>
    <r>
      <rPr>
        <sz val="8"/>
        <rFont val="Calibri"/>
        <family val="2"/>
      </rPr>
      <t>elegans</t>
    </r>
  </si>
  <si>
    <t>Gibbonsia_elegans</t>
  </si>
  <si>
    <t>http://www.jstor.org/stable/1445916?seq=1#page_scan_tab_contents; Fishbase</t>
  </si>
  <si>
    <t>Litoria_chloris</t>
  </si>
  <si>
    <r>
      <rPr>
        <sz val="8"/>
        <rFont val="Calibri"/>
        <family val="2"/>
      </rPr>
      <t>Macrobrachium</t>
    </r>
  </si>
  <si>
    <r>
      <rPr>
        <sz val="8"/>
        <rFont val="Calibri"/>
        <family val="2"/>
      </rPr>
      <t>acanthurus</t>
    </r>
  </si>
  <si>
    <t>Macrobrachium_acanthurus</t>
  </si>
  <si>
    <r>
      <rPr>
        <sz val="8"/>
        <rFont val="Calibri"/>
        <family val="2"/>
      </rPr>
      <t>[28]</t>
    </r>
  </si>
  <si>
    <t>Juveniles</t>
  </si>
  <si>
    <t>[28]</t>
  </si>
  <si>
    <r>
      <rPr>
        <sz val="8"/>
        <rFont val="Calibri"/>
        <family val="2"/>
      </rPr>
      <t>Notolabrus</t>
    </r>
  </si>
  <si>
    <r>
      <rPr>
        <sz val="8"/>
        <rFont val="Calibri"/>
        <family val="2"/>
      </rPr>
      <t>celidotus</t>
    </r>
  </si>
  <si>
    <t>Notolabrus_celidotus</t>
  </si>
  <si>
    <r>
      <rPr>
        <sz val="8"/>
        <rFont val="Calibri"/>
        <family val="2"/>
      </rPr>
      <t>[40]</t>
    </r>
  </si>
  <si>
    <t>[40];  Fishbase</t>
  </si>
  <si>
    <t>Macromia_illinoiensis</t>
  </si>
  <si>
    <r>
      <rPr>
        <sz val="8"/>
        <rFont val="Calibri"/>
        <family val="2"/>
      </rPr>
      <t>brevis</t>
    </r>
  </si>
  <si>
    <r>
      <rPr>
        <sz val="8"/>
        <rFont val="Calibri"/>
        <family val="2"/>
      </rPr>
      <t>Canonopsis</t>
    </r>
  </si>
  <si>
    <r>
      <rPr>
        <sz val="8"/>
        <rFont val="Calibri"/>
        <family val="2"/>
      </rPr>
      <t>sericeus</t>
    </r>
  </si>
  <si>
    <t>Litoria_ewingi</t>
  </si>
  <si>
    <r>
      <rPr>
        <sz val="8"/>
        <rFont val="Calibri"/>
        <family val="2"/>
      </rPr>
      <t>viridis</t>
    </r>
  </si>
  <si>
    <t>Oronectes_rusticus</t>
  </si>
  <si>
    <r>
      <rPr>
        <sz val="8"/>
        <rFont val="Calibri"/>
        <family val="2"/>
      </rPr>
      <t>Litoria</t>
    </r>
  </si>
  <si>
    <r>
      <rPr>
        <sz val="8"/>
        <rFont val="Calibri"/>
        <family val="2"/>
      </rPr>
      <t>lesueri</t>
    </r>
  </si>
  <si>
    <r>
      <rPr>
        <sz val="8"/>
        <rFont val="Calibri"/>
        <family val="2"/>
      </rPr>
      <t>[4]</t>
    </r>
  </si>
  <si>
    <t>Philoria_frosti</t>
  </si>
  <si>
    <r>
      <rPr>
        <sz val="8"/>
        <rFont val="Calibri"/>
        <family val="2"/>
      </rPr>
      <t>Limnodynastes</t>
    </r>
  </si>
  <si>
    <r>
      <rPr>
        <sz val="8"/>
        <rFont val="Calibri"/>
        <family val="2"/>
      </rPr>
      <t>peronii</t>
    </r>
  </si>
  <si>
    <t>Limnodynastes_peronii</t>
  </si>
  <si>
    <t>Litoria_peroni</t>
  </si>
  <si>
    <r>
      <rPr>
        <sz val="8"/>
        <rFont val="Calibri"/>
        <family val="2"/>
      </rPr>
      <t>bicolor</t>
    </r>
  </si>
  <si>
    <t>Litoria_bicolor</t>
  </si>
  <si>
    <r>
      <rPr>
        <sz val="8"/>
        <rFont val="Calibri"/>
        <family val="2"/>
      </rPr>
      <t>fallax</t>
    </r>
  </si>
  <si>
    <t>Bufo_mazatlanensis</t>
  </si>
  <si>
    <r>
      <rPr>
        <sz val="8"/>
        <rFont val="Calibri"/>
        <family val="2"/>
      </rPr>
      <t>rothii</t>
    </r>
  </si>
  <si>
    <t>Rana_cascadae</t>
  </si>
  <si>
    <r>
      <rPr>
        <sz val="8"/>
        <rFont val="Calibri"/>
        <family val="2"/>
      </rPr>
      <t>rubella</t>
    </r>
  </si>
  <si>
    <t>Litoria_rubella</t>
  </si>
  <si>
    <r>
      <rPr>
        <sz val="8"/>
        <rFont val="Calibri"/>
        <family val="2"/>
      </rPr>
      <t>Hemigrapsus</t>
    </r>
  </si>
  <si>
    <r>
      <rPr>
        <sz val="8"/>
        <rFont val="Calibri"/>
        <family val="2"/>
      </rPr>
      <t>nudus</t>
    </r>
  </si>
  <si>
    <t>Hemigrapsus_nudus</t>
  </si>
  <si>
    <r>
      <rPr>
        <sz val="8"/>
        <rFont val="Calibri"/>
        <family val="2"/>
      </rPr>
      <t>[22]</t>
    </r>
  </si>
  <si>
    <t>[22], http://www.sealifebase.org/PopDyn/LWRelationshipList.php?GenusName=Hemigrapsus&amp;SpeciesName=penicillatus&amp;ID=20776&amp;fc=493&amp;lang=French</t>
  </si>
  <si>
    <r>
      <rPr>
        <sz val="8"/>
        <rFont val="Calibri"/>
        <family val="2"/>
      </rPr>
      <t>malcolmsonii</t>
    </r>
  </si>
  <si>
    <t>Macrobrachium_malcolmsonii</t>
  </si>
  <si>
    <r>
      <rPr>
        <sz val="8"/>
        <rFont val="Calibri"/>
        <family val="2"/>
      </rPr>
      <t>[29]</t>
    </r>
  </si>
  <si>
    <t>[29]</t>
  </si>
  <si>
    <t>Ambystoma_opacum</t>
  </si>
  <si>
    <t>Shenomorphus</t>
  </si>
  <si>
    <r>
      <rPr>
        <sz val="8"/>
        <rFont val="Calibri"/>
        <family val="2"/>
      </rPr>
      <t>incognitus</t>
    </r>
  </si>
  <si>
    <t>Shenomorphus_incognitus</t>
  </si>
  <si>
    <r>
      <rPr>
        <sz val="8"/>
        <rFont val="Calibri"/>
        <family val="2"/>
      </rPr>
      <t>[106]</t>
    </r>
  </si>
  <si>
    <t>Meiri, S. 2010. Length–weight allometries in lizards. Journal of Zoology 281: 218–226</t>
  </si>
  <si>
    <r>
      <rPr>
        <sz val="8"/>
        <rFont val="Calibri"/>
        <family val="2"/>
      </rPr>
      <t>Farfantepenaeus</t>
    </r>
  </si>
  <si>
    <r>
      <rPr>
        <sz val="8"/>
        <rFont val="Calibri"/>
        <family val="2"/>
      </rPr>
      <t>aztecus</t>
    </r>
  </si>
  <si>
    <t>Farfantepenaeus_aztecus</t>
  </si>
  <si>
    <r>
      <rPr>
        <sz val="8"/>
        <rFont val="Calibri"/>
        <family val="2"/>
      </rPr>
      <t>[21]</t>
    </r>
  </si>
  <si>
    <t>http://aquaticcommons.org/15048/</t>
  </si>
  <si>
    <t>Eremias_argus</t>
  </si>
  <si>
    <r>
      <rPr>
        <sz val="8"/>
        <rFont val="Calibri"/>
        <family val="2"/>
      </rPr>
      <t>chloris</t>
    </r>
  </si>
  <si>
    <r>
      <rPr>
        <sz val="8"/>
        <rFont val="Calibri"/>
        <family val="2"/>
      </rPr>
      <t>gracilenta</t>
    </r>
  </si>
  <si>
    <t>Palaemon_montagui</t>
  </si>
  <si>
    <r>
      <rPr>
        <sz val="8"/>
        <rFont val="Calibri"/>
        <family val="2"/>
      </rPr>
      <t>Cophixalus</t>
    </r>
  </si>
  <si>
    <r>
      <rPr>
        <sz val="8"/>
        <rFont val="Calibri"/>
        <family val="2"/>
      </rPr>
      <t>ornatus</t>
    </r>
  </si>
  <si>
    <t>Cophixalus_ornatus</t>
  </si>
  <si>
    <t>Rana_pretiosa</t>
  </si>
  <si>
    <r>
      <rPr>
        <sz val="8"/>
        <rFont val="Calibri"/>
        <family val="2"/>
      </rPr>
      <t>Palaemon</t>
    </r>
  </si>
  <si>
    <t>Palaemon_elegans</t>
  </si>
  <si>
    <r>
      <rPr>
        <sz val="8"/>
        <rFont val="Calibri"/>
        <family val="2"/>
      </rPr>
      <t>[18]</t>
    </r>
  </si>
  <si>
    <t>https://www.researchgate.net/profile/Philip_Rainbow/publication/250213606_Regulation_and_Accumulation_of_Copper_Zinc_and_Cadmium_by_the_Shrimp_Palaemon_elegans/links/004635295b46fc95ab000000.pdf</t>
  </si>
  <si>
    <t>Rana_sylvatica</t>
  </si>
  <si>
    <r>
      <rPr>
        <sz val="8"/>
        <rFont val="Calibri"/>
        <family val="2"/>
      </rPr>
      <t>serratus</t>
    </r>
  </si>
  <si>
    <t>Palaemon_serratus</t>
  </si>
  <si>
    <t>https://en.wikipedia.org/wiki/Palaemon_serratus</t>
  </si>
  <si>
    <r>
      <rPr>
        <sz val="8"/>
        <rFont val="Calibri"/>
        <family val="2"/>
      </rPr>
      <t>Crangon</t>
    </r>
  </si>
  <si>
    <r>
      <rPr>
        <sz val="8"/>
        <rFont val="Calibri"/>
        <family val="2"/>
      </rPr>
      <t>crangon</t>
    </r>
  </si>
  <si>
    <r>
      <rPr>
        <sz val="8"/>
        <rFont val="Calibri"/>
        <family val="2"/>
      </rPr>
      <t>[18, 19]</t>
    </r>
  </si>
  <si>
    <t>18, 19</t>
  </si>
  <si>
    <t>[18, 19]</t>
  </si>
  <si>
    <t>Bufo_debilis</t>
  </si>
  <si>
    <r>
      <rPr>
        <sz val="8"/>
        <rFont val="Calibri"/>
        <family val="2"/>
      </rPr>
      <t>compactilis</t>
    </r>
  </si>
  <si>
    <r>
      <rPr>
        <sz val="8"/>
        <rFont val="Calibri"/>
        <family val="2"/>
      </rPr>
      <t>Anopheles</t>
    </r>
  </si>
  <si>
    <r>
      <rPr>
        <sz val="8"/>
        <rFont val="Calibri"/>
        <family val="2"/>
      </rPr>
      <t>funestus</t>
    </r>
  </si>
  <si>
    <t>Anopheles_funestus</t>
  </si>
  <si>
    <r>
      <rPr>
        <sz val="8"/>
        <rFont val="Calibri"/>
        <family val="2"/>
      </rPr>
      <t>[79]</t>
    </r>
  </si>
  <si>
    <t>Koella and Lyimo. 1996. Variability in the Relationship Between Weight and Wing
Length of Anopheles gambiae (Diptera: Culicidae). J. Med. Entomol. 33(2): 261-264</t>
  </si>
  <si>
    <t>Epitheca_cynosura</t>
  </si>
  <si>
    <r>
      <rPr>
        <sz val="8"/>
        <rFont val="Calibri"/>
        <family val="2"/>
      </rPr>
      <t>debilis</t>
    </r>
  </si>
  <si>
    <t>Rana_catesbeiana</t>
  </si>
  <si>
    <r>
      <rPr>
        <sz val="8"/>
        <rFont val="Calibri"/>
        <family val="2"/>
      </rPr>
      <t>mazatlanensis</t>
    </r>
  </si>
  <si>
    <r>
      <rPr>
        <sz val="8"/>
        <rFont val="Calibri"/>
        <family val="2"/>
      </rPr>
      <t>Pternohyla</t>
    </r>
  </si>
  <si>
    <r>
      <rPr>
        <sz val="8"/>
        <rFont val="Calibri"/>
        <family val="2"/>
      </rPr>
      <t>fodiens</t>
    </r>
  </si>
  <si>
    <t>Pternohyla_fodiens</t>
  </si>
  <si>
    <t>Bufo_canorus</t>
  </si>
  <si>
    <r>
      <rPr>
        <sz val="8"/>
        <rFont val="Calibri"/>
        <family val="2"/>
      </rPr>
      <t>Paramelita</t>
    </r>
  </si>
  <si>
    <r>
      <rPr>
        <sz val="8"/>
        <rFont val="Calibri"/>
        <family val="2"/>
      </rPr>
      <t>nigroculus</t>
    </r>
  </si>
  <si>
    <r>
      <rPr>
        <sz val="8"/>
        <rFont val="Calibri"/>
        <family val="2"/>
      </rPr>
      <t>[24]</t>
    </r>
  </si>
  <si>
    <r>
      <rPr>
        <sz val="8"/>
        <rFont val="Calibri"/>
        <family val="2"/>
      </rPr>
      <t>boreas</t>
    </r>
  </si>
  <si>
    <r>
      <rPr>
        <sz val="8"/>
        <rFont val="Calibri"/>
        <family val="2"/>
      </rPr>
      <t>dorsalis</t>
    </r>
  </si>
  <si>
    <t>Gila_bicolor</t>
  </si>
  <si>
    <r>
      <rPr>
        <sz val="8"/>
        <rFont val="Calibri"/>
        <family val="2"/>
      </rPr>
      <t>aurea</t>
    </r>
  </si>
  <si>
    <t>Thymallus_arcticus</t>
  </si>
  <si>
    <t>Ambystoma_jeffersoni</t>
  </si>
  <si>
    <r>
      <rPr>
        <sz val="8"/>
        <rFont val="Calibri"/>
        <family val="2"/>
      </rPr>
      <t>caerulea</t>
    </r>
  </si>
  <si>
    <t>Litoria_caerulea</t>
  </si>
  <si>
    <t>Trimeresurus_gracilis</t>
  </si>
  <si>
    <t>Desmognathus_fuscus</t>
  </si>
  <si>
    <r>
      <rPr>
        <sz val="8"/>
        <rFont val="Calibri"/>
        <family val="2"/>
      </rPr>
      <t>arabiensis</t>
    </r>
  </si>
  <si>
    <t>Anopheles_arabiensis</t>
  </si>
  <si>
    <t>Phrynocephalus_versicolor</t>
  </si>
  <si>
    <r>
      <rPr>
        <sz val="8"/>
        <rFont val="Calibri"/>
        <family val="2"/>
      </rPr>
      <t>Shenomorphus</t>
    </r>
  </si>
  <si>
    <r>
      <rPr>
        <sz val="8"/>
        <rFont val="Calibri"/>
        <family val="2"/>
      </rPr>
      <t>taiwanensis</t>
    </r>
  </si>
  <si>
    <t>Trimeresurus</t>
  </si>
  <si>
    <r>
      <rPr>
        <sz val="8"/>
        <rFont val="Calibri"/>
        <family val="2"/>
      </rPr>
      <t>gracilis</t>
    </r>
  </si>
  <si>
    <r>
      <rPr>
        <sz val="8"/>
        <rFont val="Calibri"/>
        <family val="2"/>
      </rPr>
      <t>[107]</t>
    </r>
  </si>
  <si>
    <t>Feldman, A. and Meiri, S. 2013. Length–mass allometry in snakes. Biological Journal of the Linnean Society. 108: 161–172</t>
  </si>
  <si>
    <t>Orchestia_gammarellus</t>
  </si>
  <si>
    <r>
      <rPr>
        <sz val="8"/>
        <rFont val="Calibri"/>
        <family val="2"/>
      </rPr>
      <t>Lestagella</t>
    </r>
  </si>
  <si>
    <r>
      <rPr>
        <sz val="8"/>
        <rFont val="Calibri"/>
        <family val="2"/>
      </rPr>
      <t>penicillata</t>
    </r>
  </si>
  <si>
    <r>
      <rPr>
        <sz val="8"/>
        <rFont val="Calibri"/>
        <family val="2"/>
      </rPr>
      <t>[83]</t>
    </r>
  </si>
  <si>
    <t>Castanophlebia_calida</t>
  </si>
  <si>
    <r>
      <rPr>
        <sz val="8"/>
        <rFont val="Calibri"/>
        <family val="2"/>
      </rPr>
      <t>Palaemonetes</t>
    </r>
  </si>
  <si>
    <r>
      <rPr>
        <sz val="8"/>
        <rFont val="Calibri"/>
        <family val="2"/>
      </rPr>
      <t>varians</t>
    </r>
  </si>
  <si>
    <t>Palaemonetes_varians</t>
  </si>
  <si>
    <r>
      <rPr>
        <sz val="8"/>
        <rFont val="Calibri"/>
        <family val="2"/>
      </rPr>
      <t>[20]</t>
    </r>
  </si>
  <si>
    <t>[20], http://www.sealifebase.org/PopDyn/LWRelationshipList.php?ID=24943&amp;GenusName=Palaemonetes&amp;SpeciesName=pugio&amp;fc=459</t>
  </si>
  <si>
    <t>Drosophila_tripunctata</t>
  </si>
  <si>
    <t>http://booksandjournals.brillonline.com/content/journals/10.1163/156854068x00845</t>
  </si>
  <si>
    <r>
      <rPr>
        <sz val="8"/>
        <rFont val="Calibri"/>
        <family val="2"/>
      </rPr>
      <t>Chirodica</t>
    </r>
  </si>
  <si>
    <r>
      <rPr>
        <sz val="8"/>
        <rFont val="Calibri"/>
        <family val="2"/>
      </rPr>
      <t>chalcoptera</t>
    </r>
  </si>
  <si>
    <r>
      <rPr>
        <sz val="8"/>
        <rFont val="Calibri"/>
        <family val="2"/>
      </rPr>
      <t>[76]</t>
    </r>
  </si>
  <si>
    <r>
      <rPr>
        <sz val="8"/>
        <rFont val="Calibri"/>
        <family val="2"/>
      </rPr>
      <t>Cancer</t>
    </r>
  </si>
  <si>
    <r>
      <rPr>
        <sz val="8"/>
        <rFont val="Calibri"/>
        <family val="2"/>
      </rPr>
      <t>pagurus</t>
    </r>
  </si>
  <si>
    <t>Cancer_pagurus</t>
  </si>
  <si>
    <r>
      <rPr>
        <sz val="8"/>
        <rFont val="Calibri"/>
        <family val="2"/>
      </rPr>
      <t>[17]</t>
    </r>
  </si>
  <si>
    <t>Drosophila_falleni</t>
  </si>
  <si>
    <r>
      <rPr>
        <sz val="8"/>
        <rFont val="Calibri"/>
        <family val="2"/>
      </rPr>
      <t>Carcinus</t>
    </r>
  </si>
  <si>
    <r>
      <rPr>
        <sz val="8"/>
        <rFont val="Calibri"/>
        <family val="2"/>
      </rPr>
      <t>maenas</t>
    </r>
  </si>
  <si>
    <t>[17], Sten MunchPetersen, Per Sparre &amp; Erik Hoffmann, 1982. Abundance of the shore crab,
Carcinus maenas (L.),
estimated from markrecapture experiments. 2: 97121</t>
  </si>
  <si>
    <r>
      <rPr>
        <sz val="8"/>
        <rFont val="Calibri"/>
        <family val="2"/>
      </rPr>
      <t>Linepithema</t>
    </r>
  </si>
  <si>
    <r>
      <rPr>
        <sz val="8"/>
        <rFont val="Calibri"/>
        <family val="2"/>
      </rPr>
      <t>humile</t>
    </r>
  </si>
  <si>
    <t>Linepithema_humile</t>
  </si>
  <si>
    <r>
      <rPr>
        <sz val="8"/>
        <rFont val="Calibri"/>
        <family val="2"/>
      </rPr>
      <t>[86]</t>
    </r>
  </si>
  <si>
    <t>[86]</t>
  </si>
  <si>
    <t>Hodotermes_mossambicus</t>
  </si>
  <si>
    <r>
      <rPr>
        <sz val="8"/>
        <rFont val="Calibri"/>
        <family val="2"/>
      </rPr>
      <t>Crinia</t>
    </r>
  </si>
  <si>
    <r>
      <rPr>
        <sz val="8"/>
        <rFont val="Calibri"/>
        <family val="2"/>
      </rPr>
      <t>signifera</t>
    </r>
  </si>
  <si>
    <t>Pseudacris_triseriata</t>
  </si>
  <si>
    <r>
      <rPr>
        <sz val="8"/>
        <rFont val="Calibri"/>
        <family val="2"/>
      </rPr>
      <t>Buergeria</t>
    </r>
  </si>
  <si>
    <r>
      <rPr>
        <sz val="8"/>
        <rFont val="Calibri"/>
        <family val="2"/>
      </rPr>
      <t>japonica</t>
    </r>
  </si>
  <si>
    <r>
      <rPr>
        <sz val="8"/>
        <rFont val="Calibri"/>
        <family val="2"/>
      </rPr>
      <t>[8]</t>
    </r>
  </si>
  <si>
    <t>[8], DOI: 10.3105/13455834</t>
  </si>
  <si>
    <t>Libellula_auripennis</t>
  </si>
  <si>
    <r>
      <rPr>
        <sz val="8"/>
        <rFont val="Calibri"/>
        <family val="2"/>
      </rPr>
      <t>montagui</t>
    </r>
  </si>
  <si>
    <t>Trimeresurus_stejnegeri</t>
  </si>
  <si>
    <r>
      <rPr>
        <sz val="8"/>
        <rFont val="Calibri"/>
        <family val="2"/>
      </rPr>
      <t>Pseudacris</t>
    </r>
  </si>
  <si>
    <r>
      <rPr>
        <sz val="8"/>
        <rFont val="Calibri"/>
        <family val="2"/>
      </rPr>
      <t>regilla</t>
    </r>
  </si>
  <si>
    <t>Pseudacris_regilla</t>
  </si>
  <si>
    <r>
      <rPr>
        <sz val="8"/>
        <rFont val="Calibri"/>
        <family val="2"/>
      </rPr>
      <t>Scaphiopus</t>
    </r>
  </si>
  <si>
    <r>
      <rPr>
        <sz val="8"/>
        <rFont val="Calibri"/>
        <family val="2"/>
      </rPr>
      <t>hammondii</t>
    </r>
  </si>
  <si>
    <t>Scaphiopus_hammondii</t>
  </si>
  <si>
    <t>Drosophila_putrida</t>
  </si>
  <si>
    <r>
      <rPr>
        <sz val="8"/>
        <rFont val="Calibri"/>
        <family val="2"/>
      </rPr>
      <t>ewingi</t>
    </r>
  </si>
  <si>
    <t>Chelydra_serpentina</t>
  </si>
  <si>
    <t>Hydropsyche_simulans</t>
  </si>
  <si>
    <r>
      <rPr>
        <sz val="8"/>
        <rFont val="Calibri"/>
        <family val="2"/>
      </rPr>
      <t>Orchestia</t>
    </r>
  </si>
  <si>
    <r>
      <rPr>
        <sz val="8"/>
        <rFont val="Calibri"/>
        <family val="2"/>
      </rPr>
      <t>gammarellus</t>
    </r>
  </si>
  <si>
    <r>
      <rPr>
        <sz val="8"/>
        <rFont val="Calibri"/>
        <family val="2"/>
      </rPr>
      <t>[25]</t>
    </r>
  </si>
  <si>
    <t>Both</t>
  </si>
  <si>
    <t>[25]</t>
  </si>
  <si>
    <r>
      <rPr>
        <sz val="8"/>
        <rFont val="Calibri"/>
        <family val="2"/>
      </rPr>
      <t>peroni</t>
    </r>
  </si>
  <si>
    <t>Bufo_fowleri</t>
  </si>
  <si>
    <r>
      <rPr>
        <sz val="8"/>
        <rFont val="Calibri"/>
        <family val="2"/>
      </rPr>
      <t>Pseudophryne</t>
    </r>
  </si>
  <si>
    <r>
      <rPr>
        <sz val="8"/>
        <rFont val="Calibri"/>
        <family val="2"/>
      </rPr>
      <t>bibronii</t>
    </r>
  </si>
  <si>
    <t>Pseudophryne_bibronii</t>
  </si>
  <si>
    <t>japonica</t>
  </si>
  <si>
    <t>Dasyatis_sabina</t>
  </si>
  <si>
    <r>
      <rPr>
        <sz val="8"/>
        <rFont val="Calibri"/>
        <family val="2"/>
      </rPr>
      <t>Fundulus</t>
    </r>
  </si>
  <si>
    <r>
      <rPr>
        <sz val="8"/>
        <rFont val="Calibri"/>
        <family val="2"/>
      </rPr>
      <t>heteroclitus</t>
    </r>
  </si>
  <si>
    <t>Fundulus_heteroclitus</t>
  </si>
  <si>
    <r>
      <rPr>
        <sz val="8"/>
        <rFont val="Calibri"/>
        <family val="2"/>
      </rPr>
      <t>[37]</t>
    </r>
  </si>
  <si>
    <t>[37]</t>
  </si>
  <si>
    <t>Cyprinodon_variegatus</t>
  </si>
  <si>
    <r>
      <rPr>
        <sz val="8"/>
        <rFont val="Calibri"/>
        <family val="2"/>
      </rPr>
      <t>Nezara</t>
    </r>
  </si>
  <si>
    <r>
      <rPr>
        <sz val="8"/>
        <rFont val="Calibri"/>
        <family val="2"/>
      </rPr>
      <t>viridula</t>
    </r>
  </si>
  <si>
    <t>Nezara_viridula</t>
  </si>
  <si>
    <r>
      <rPr>
        <sz val="8"/>
        <rFont val="Calibri"/>
        <family val="2"/>
      </rPr>
      <t>[85]</t>
    </r>
  </si>
  <si>
    <t>Fortes et al. Development of a Dry Artificial Diet for Nezara viridula (L.) and Euschistus heros (Fabricius) (Heteroptera: Pentatomidae). Neotropical Entomology 35(5):567-572 (2006)</t>
  </si>
  <si>
    <t>Acris_crepitans</t>
  </si>
  <si>
    <r>
      <rPr>
        <sz val="8"/>
        <rFont val="Calibri"/>
        <family val="2"/>
      </rPr>
      <t>Smilisca</t>
    </r>
  </si>
  <si>
    <r>
      <rPr>
        <sz val="8"/>
        <rFont val="Calibri"/>
        <family val="2"/>
      </rPr>
      <t>baudinii</t>
    </r>
  </si>
  <si>
    <t>Smilisca_baudinii</t>
  </si>
  <si>
    <t>Pachydiplax_longipennis</t>
  </si>
  <si>
    <r>
      <rPr>
        <sz val="8"/>
        <rFont val="Calibri"/>
        <family val="2"/>
      </rPr>
      <t>laevis</t>
    </r>
  </si>
  <si>
    <t>Crinia_laevis</t>
  </si>
  <si>
    <t>http://onlinefieldguide.com/Cophixalusornatus.htm</t>
  </si>
  <si>
    <t>Gambusia_affinis</t>
  </si>
  <si>
    <t>Sigara_lateralis</t>
  </si>
  <si>
    <r>
      <rPr>
        <sz val="8"/>
        <rFont val="Calibri"/>
        <family val="2"/>
      </rPr>
      <t>alpina</t>
    </r>
  </si>
  <si>
    <t>Litoria_alpina</t>
  </si>
  <si>
    <r>
      <rPr>
        <sz val="8"/>
        <rFont val="Calibri"/>
        <family val="2"/>
      </rPr>
      <t>Philoria</t>
    </r>
  </si>
  <si>
    <r>
      <rPr>
        <sz val="8"/>
        <rFont val="Calibri"/>
        <family val="2"/>
      </rPr>
      <t>frosti</t>
    </r>
  </si>
  <si>
    <r>
      <rPr>
        <sz val="8"/>
        <rFont val="Calibri"/>
        <family val="2"/>
      </rPr>
      <t>Castanophlebia</t>
    </r>
  </si>
  <si>
    <t>calida</t>
  </si>
  <si>
    <t>Trimeresurus_mucrosquamatus</t>
  </si>
  <si>
    <r>
      <rPr>
        <sz val="8"/>
        <rFont val="Calibri"/>
        <family val="2"/>
      </rPr>
      <t>Dasyatis</t>
    </r>
  </si>
  <si>
    <r>
      <rPr>
        <sz val="8"/>
        <rFont val="Calibri"/>
        <family val="2"/>
      </rPr>
      <t>sabina</t>
    </r>
  </si>
  <si>
    <r>
      <rPr>
        <sz val="8"/>
        <rFont val="Calibri"/>
        <family val="2"/>
      </rPr>
      <t>[42]</t>
    </r>
  </si>
  <si>
    <t>[42]</t>
  </si>
  <si>
    <t>Bufo_alvarius</t>
  </si>
  <si>
    <r>
      <rPr>
        <sz val="8"/>
        <rFont val="Calibri"/>
        <family val="2"/>
      </rPr>
      <t>Salmo</t>
    </r>
  </si>
  <si>
    <r>
      <rPr>
        <sz val="8"/>
        <rFont val="Calibri"/>
        <family val="2"/>
      </rPr>
      <t>salar</t>
    </r>
  </si>
  <si>
    <r>
      <rPr>
        <sz val="8"/>
        <rFont val="Calibri"/>
        <family val="2"/>
      </rPr>
      <t>[57]</t>
    </r>
  </si>
  <si>
    <t>[57]</t>
  </si>
  <si>
    <t>Bufo_cognatus</t>
  </si>
  <si>
    <r>
      <rPr>
        <sz val="8"/>
        <rFont val="Calibri"/>
        <family val="2"/>
      </rPr>
      <t>Trimeresurus</t>
    </r>
  </si>
  <si>
    <r>
      <rPr>
        <sz val="8"/>
        <rFont val="Calibri"/>
        <family val="2"/>
      </rPr>
      <t>mucrosquamatus</t>
    </r>
  </si>
  <si>
    <t>Feldman, A. and Meiri, S. 2013. Length–mass allometry in snakes. Biological Journal of the Linnean Society. 108: 161–173</t>
  </si>
  <si>
    <t>Eurycea_bislineata</t>
  </si>
  <si>
    <r>
      <rPr>
        <sz val="8"/>
        <rFont val="Calibri"/>
        <family val="2"/>
      </rPr>
      <t>stejnegeri</t>
    </r>
  </si>
  <si>
    <t>Feldman, A. and Meiri, S. 2013. Length–mass allometry in snakes. Biological Journal of the Linnean Society. 108: 161–174</t>
  </si>
  <si>
    <r>
      <rPr>
        <sz val="8"/>
        <rFont val="Calibri"/>
        <family val="2"/>
      </rPr>
      <t>corroboree</t>
    </r>
  </si>
  <si>
    <t>Pseudophryne_corroboree</t>
  </si>
  <si>
    <t>Ascaphus_truei</t>
  </si>
  <si>
    <r>
      <rPr>
        <sz val="8"/>
        <rFont val="Calibri"/>
        <family val="2"/>
      </rPr>
      <t>tasmaniensis</t>
    </r>
  </si>
  <si>
    <t>Limnodynastes_tasmaniensis</t>
  </si>
  <si>
    <t>Nuerocordulia_alabamensis</t>
  </si>
  <si>
    <t>Cyprinodon_macularis</t>
  </si>
  <si>
    <r>
      <rPr>
        <sz val="8"/>
        <rFont val="Calibri"/>
        <family val="2"/>
      </rPr>
      <t>victoriana</t>
    </r>
  </si>
  <si>
    <t>Crinia_victoriana</t>
  </si>
  <si>
    <r>
      <rPr>
        <sz val="8"/>
        <rFont val="Calibri"/>
        <family val="2"/>
      </rPr>
      <t>californiae</t>
    </r>
  </si>
  <si>
    <t>Hyla_californiae</t>
  </si>
  <si>
    <r>
      <rPr>
        <sz val="8"/>
        <rFont val="Calibri"/>
        <family val="2"/>
      </rPr>
      <t>Cyprinodon</t>
    </r>
  </si>
  <si>
    <r>
      <rPr>
        <sz val="8"/>
        <rFont val="Calibri"/>
        <family val="2"/>
      </rPr>
      <t>variegatus</t>
    </r>
  </si>
  <si>
    <r>
      <rPr>
        <sz val="8"/>
        <rFont val="Calibri"/>
        <family val="2"/>
      </rPr>
      <t>[47]</t>
    </r>
  </si>
  <si>
    <t>[47]</t>
  </si>
  <si>
    <r>
      <rPr>
        <sz val="8"/>
        <rFont val="Calibri"/>
        <family val="2"/>
      </rPr>
      <t>alvarius</t>
    </r>
  </si>
  <si>
    <r>
      <rPr>
        <sz val="8"/>
        <rFont val="Calibri"/>
        <family val="2"/>
      </rPr>
      <t>cognatus</t>
    </r>
  </si>
  <si>
    <r>
      <rPr>
        <sz val="8"/>
        <rFont val="Calibri"/>
        <family val="2"/>
      </rPr>
      <t>Sigara</t>
    </r>
  </si>
  <si>
    <r>
      <rPr>
        <sz val="8"/>
        <rFont val="Calibri"/>
        <family val="2"/>
      </rPr>
      <t>lateralis</t>
    </r>
  </si>
  <si>
    <r>
      <rPr>
        <sz val="8"/>
        <rFont val="Calibri"/>
        <family val="2"/>
      </rPr>
      <t>[84]</t>
    </r>
  </si>
  <si>
    <t>[84]</t>
  </si>
  <si>
    <r>
      <rPr>
        <sz val="8"/>
        <rFont val="Calibri"/>
        <family val="2"/>
      </rPr>
      <t>tenellum</t>
    </r>
  </si>
  <si>
    <t>Macrobrachium_tenellum</t>
  </si>
  <si>
    <r>
      <rPr>
        <sz val="8"/>
        <rFont val="Calibri"/>
        <family val="2"/>
      </rPr>
      <t>[27]</t>
    </r>
  </si>
  <si>
    <t>[27]</t>
  </si>
  <si>
    <t>Phrynocephalus_guinanensis</t>
  </si>
  <si>
    <r>
      <rPr>
        <sz val="8"/>
        <rFont val="Calibri"/>
        <family val="2"/>
      </rPr>
      <t>Hodotermes</t>
    </r>
  </si>
  <si>
    <r>
      <rPr>
        <sz val="8"/>
        <rFont val="Calibri"/>
        <family val="2"/>
      </rPr>
      <t>mossambicus</t>
    </r>
  </si>
  <si>
    <r>
      <rPr>
        <sz val="8"/>
        <rFont val="Calibri"/>
        <family val="2"/>
      </rPr>
      <t>[87]</t>
    </r>
  </si>
  <si>
    <t>[87]</t>
  </si>
  <si>
    <r>
      <rPr>
        <sz val="8"/>
        <rFont val="Calibri"/>
        <family val="2"/>
      </rPr>
      <t>canorus</t>
    </r>
  </si>
  <si>
    <t>Rana_vergatipes</t>
  </si>
  <si>
    <r>
      <rPr>
        <sz val="8"/>
        <rFont val="Calibri"/>
        <family val="2"/>
      </rPr>
      <t>Saduria</t>
    </r>
  </si>
  <si>
    <r>
      <rPr>
        <sz val="8"/>
        <rFont val="Calibri"/>
        <family val="2"/>
      </rPr>
      <t>entomon</t>
    </r>
  </si>
  <si>
    <r>
      <rPr>
        <sz val="8"/>
        <rFont val="Calibri"/>
        <family val="2"/>
      </rPr>
      <t>[23]</t>
    </r>
  </si>
  <si>
    <r>
      <rPr>
        <sz val="8"/>
        <rFont val="Calibri"/>
        <family val="2"/>
      </rPr>
      <t>trutta</t>
    </r>
  </si>
  <si>
    <r>
      <rPr>
        <sz val="8"/>
        <rFont val="Calibri"/>
        <family val="2"/>
      </rPr>
      <t>[56]</t>
    </r>
  </si>
  <si>
    <t>[56], fishbase</t>
  </si>
  <si>
    <r>
      <rPr>
        <sz val="8"/>
        <rFont val="Calibri"/>
        <family val="2"/>
      </rPr>
      <t>Salvelinus</t>
    </r>
  </si>
  <si>
    <r>
      <rPr>
        <sz val="8"/>
        <rFont val="Calibri"/>
        <family val="2"/>
      </rPr>
      <t>fontinalis</t>
    </r>
  </si>
  <si>
    <r>
      <rPr>
        <sz val="8"/>
        <rFont val="Calibri"/>
        <family val="2"/>
      </rPr>
      <t>cascadae</t>
    </r>
  </si>
  <si>
    <r>
      <rPr>
        <sz val="8"/>
        <rFont val="Calibri"/>
        <family val="2"/>
      </rPr>
      <t>Uta</t>
    </r>
  </si>
  <si>
    <r>
      <rPr>
        <sz val="8"/>
        <rFont val="Calibri"/>
        <family val="2"/>
      </rPr>
      <t>mearnsii</t>
    </r>
  </si>
  <si>
    <t>Uta_mearnsii</t>
  </si>
  <si>
    <r>
      <rPr>
        <sz val="8"/>
        <rFont val="Calibri"/>
        <family val="2"/>
      </rPr>
      <t>[104]</t>
    </r>
  </si>
  <si>
    <t>[104]</t>
  </si>
  <si>
    <r>
      <rPr>
        <sz val="8"/>
        <rFont val="Calibri"/>
        <family val="2"/>
      </rPr>
      <t>Oncorhynchus</t>
    </r>
  </si>
  <si>
    <r>
      <rPr>
        <sz val="8"/>
        <rFont val="Calibri"/>
        <family val="2"/>
      </rPr>
      <t>gilae</t>
    </r>
  </si>
  <si>
    <r>
      <rPr>
        <sz val="8"/>
        <rFont val="Calibri"/>
        <family val="2"/>
      </rPr>
      <t>apache</t>
    </r>
  </si>
  <si>
    <r>
      <rPr>
        <sz val="8"/>
        <rFont val="Calibri"/>
        <family val="2"/>
      </rPr>
      <t>Lepomis</t>
    </r>
  </si>
  <si>
    <r>
      <rPr>
        <sz val="8"/>
        <rFont val="Calibri"/>
        <family val="2"/>
      </rPr>
      <t>macrochirus</t>
    </r>
  </si>
  <si>
    <t>Lepomis_macrochirus</t>
  </si>
  <si>
    <r>
      <rPr>
        <sz val="8"/>
        <rFont val="Calibri"/>
        <family val="2"/>
      </rPr>
      <t>[55]</t>
    </r>
  </si>
  <si>
    <t>[55], fishbase</t>
  </si>
  <si>
    <r>
      <rPr>
        <sz val="8"/>
        <rFont val="Calibri"/>
        <family val="2"/>
      </rPr>
      <t>Celithemis</t>
    </r>
  </si>
  <si>
    <t>Celithemis_spp</t>
  </si>
  <si>
    <r>
      <rPr>
        <sz val="8"/>
        <rFont val="Calibri"/>
        <family val="2"/>
      </rPr>
      <t>[89]</t>
    </r>
  </si>
  <si>
    <t>Smock. 1980. Relationships between body size and biomass of aquatic insects. Freshwater Biology. 10:375-383.</t>
  </si>
  <si>
    <r>
      <rPr>
        <sz val="8"/>
        <rFont val="Calibri"/>
        <family val="2"/>
      </rPr>
      <t>Epitheca</t>
    </r>
  </si>
  <si>
    <r>
      <rPr>
        <sz val="8"/>
        <rFont val="Calibri"/>
        <family val="2"/>
      </rPr>
      <t>cynosura</t>
    </r>
  </si>
  <si>
    <r>
      <rPr>
        <sz val="8"/>
        <rFont val="Calibri"/>
        <family val="2"/>
      </rPr>
      <t>Ladona</t>
    </r>
  </si>
  <si>
    <r>
      <rPr>
        <sz val="8"/>
        <rFont val="Calibri"/>
        <family val="2"/>
      </rPr>
      <t>deplanata</t>
    </r>
  </si>
  <si>
    <t>Notophthalmus_viridescens</t>
  </si>
  <si>
    <r>
      <rPr>
        <sz val="8"/>
        <rFont val="Calibri"/>
        <family val="2"/>
      </rPr>
      <t>Libellula</t>
    </r>
  </si>
  <si>
    <r>
      <rPr>
        <sz val="8"/>
        <rFont val="Calibri"/>
        <family val="2"/>
      </rPr>
      <t>auripennis</t>
    </r>
  </si>
  <si>
    <t>Culex_pipiens</t>
  </si>
  <si>
    <r>
      <rPr>
        <sz val="8"/>
        <rFont val="Calibri"/>
        <family val="2"/>
      </rPr>
      <t>Macromia</t>
    </r>
  </si>
  <si>
    <r>
      <rPr>
        <sz val="8"/>
        <rFont val="Calibri"/>
        <family val="2"/>
      </rPr>
      <t>illinoiensis</t>
    </r>
  </si>
  <si>
    <t>Phrynocephalus_vlangalii</t>
  </si>
  <si>
    <r>
      <rPr>
        <sz val="8"/>
        <rFont val="Calibri"/>
        <family val="2"/>
      </rPr>
      <t>Nuerocordulia</t>
    </r>
  </si>
  <si>
    <r>
      <rPr>
        <sz val="8"/>
        <rFont val="Calibri"/>
        <family val="2"/>
      </rPr>
      <t>alabamensis</t>
    </r>
  </si>
  <si>
    <r>
      <rPr>
        <sz val="8"/>
        <rFont val="Calibri"/>
        <family val="2"/>
      </rPr>
      <t>Pachydiplax</t>
    </r>
  </si>
  <si>
    <r>
      <rPr>
        <sz val="8"/>
        <rFont val="Calibri"/>
        <family val="2"/>
      </rPr>
      <t>longipennis</t>
    </r>
  </si>
  <si>
    <r>
      <rPr>
        <sz val="8"/>
        <rFont val="Calibri"/>
        <family val="2"/>
      </rPr>
      <t>macularis</t>
    </r>
  </si>
  <si>
    <r>
      <rPr>
        <sz val="8"/>
        <rFont val="Calibri"/>
        <family val="2"/>
      </rPr>
      <t>[49]</t>
    </r>
  </si>
  <si>
    <t>[48], fishbase</t>
  </si>
  <si>
    <t>gairdne</t>
  </si>
  <si>
    <r>
      <rPr>
        <sz val="8"/>
        <rFont val="Calibri"/>
        <family val="2"/>
      </rPr>
      <t>Urosaurus</t>
    </r>
  </si>
  <si>
    <t>Urosaurus_ornatus</t>
  </si>
  <si>
    <r>
      <rPr>
        <sz val="8"/>
        <rFont val="Calibri"/>
        <family val="2"/>
      </rPr>
      <t>[105]</t>
    </r>
  </si>
  <si>
    <t>Mix</t>
  </si>
  <si>
    <t>[105]</t>
  </si>
  <si>
    <t>Campostoma_anomalum</t>
  </si>
  <si>
    <r>
      <rPr>
        <sz val="8"/>
        <rFont val="Calibri"/>
        <family val="2"/>
      </rPr>
      <t>Drosophila</t>
    </r>
  </si>
  <si>
    <r>
      <rPr>
        <sz val="8"/>
        <rFont val="Calibri"/>
        <family val="2"/>
      </rPr>
      <t>falleni</t>
    </r>
  </si>
  <si>
    <r>
      <rPr>
        <sz val="8"/>
        <rFont val="Calibri"/>
        <family val="2"/>
      </rPr>
      <t>[81]</t>
    </r>
  </si>
  <si>
    <t>Takydromus_septentrionalis</t>
  </si>
  <si>
    <r>
      <rPr>
        <sz val="8"/>
        <rFont val="Calibri"/>
        <family val="2"/>
      </rPr>
      <t>putrida</t>
    </r>
  </si>
  <si>
    <r>
      <rPr>
        <sz val="8"/>
        <rFont val="Calibri"/>
        <family val="2"/>
      </rPr>
      <t>tripunctata</t>
    </r>
  </si>
  <si>
    <t>Oncorhynchus_kisutch</t>
  </si>
  <si>
    <r>
      <rPr>
        <sz val="8"/>
        <rFont val="Calibri"/>
        <family val="2"/>
      </rPr>
      <t>Notophthalmus</t>
    </r>
  </si>
  <si>
    <r>
      <rPr>
        <sz val="8"/>
        <rFont val="Calibri"/>
        <family val="2"/>
      </rPr>
      <t>viridescens</t>
    </r>
  </si>
  <si>
    <r>
      <rPr>
        <sz val="8"/>
        <rFont val="Calibri"/>
        <family val="2"/>
      </rPr>
      <t>[10]</t>
    </r>
  </si>
  <si>
    <t>http://www.jstor.org/stable/1936616?seq=1#page_scan_tab_contents</t>
  </si>
  <si>
    <r>
      <rPr>
        <sz val="8"/>
        <rFont val="Calibri"/>
        <family val="2"/>
      </rPr>
      <t>Ambystoma</t>
    </r>
  </si>
  <si>
    <t>Petranka Salamanders of US an Canada, http://www.jstor.org/stable/1565740?seq=1#page_scan_tab_contents</t>
  </si>
  <si>
    <r>
      <rPr>
        <sz val="8"/>
        <rFont val="Calibri"/>
        <family val="2"/>
      </rPr>
      <t>Gambusia</t>
    </r>
  </si>
  <si>
    <r>
      <rPr>
        <sz val="8"/>
        <rFont val="Calibri"/>
        <family val="2"/>
      </rPr>
      <t>affinis</t>
    </r>
  </si>
  <si>
    <r>
      <rPr>
        <sz val="8"/>
        <rFont val="Calibri"/>
        <family val="2"/>
      </rPr>
      <t>[52]</t>
    </r>
  </si>
  <si>
    <t>http://www.jstor.org/stable/1437546?seq=1#page_scan_tab_contents, , fishbase</t>
  </si>
  <si>
    <r>
      <rPr>
        <sz val="8"/>
        <rFont val="Calibri"/>
        <family val="2"/>
      </rPr>
      <t>gibbosus</t>
    </r>
  </si>
  <si>
    <t>Lepomis_gibbosus</t>
  </si>
  <si>
    <r>
      <rPr>
        <sz val="8"/>
        <rFont val="Calibri"/>
        <family val="2"/>
      </rPr>
      <t>[54]</t>
    </r>
  </si>
  <si>
    <t>[54]</t>
  </si>
  <si>
    <r>
      <rPr>
        <sz val="8"/>
        <rFont val="Calibri"/>
        <family val="2"/>
      </rPr>
      <t>kisutch</t>
    </r>
  </si>
  <si>
    <r>
      <rPr>
        <sz val="8"/>
        <rFont val="Calibri"/>
        <family val="2"/>
      </rPr>
      <t>Thymallus</t>
    </r>
  </si>
  <si>
    <r>
      <rPr>
        <sz val="8"/>
        <rFont val="Calibri"/>
        <family val="2"/>
      </rPr>
      <t>arcticus</t>
    </r>
  </si>
  <si>
    <r>
      <rPr>
        <sz val="8"/>
        <rFont val="Calibri"/>
        <family val="2"/>
      </rPr>
      <t>[58]</t>
    </r>
  </si>
  <si>
    <t>[58]</t>
  </si>
  <si>
    <r>
      <rPr>
        <sz val="8"/>
        <rFont val="Calibri"/>
        <family val="2"/>
      </rPr>
      <t>exsul</t>
    </r>
  </si>
  <si>
    <t>Takydromus</t>
  </si>
  <si>
    <r>
      <rPr>
        <sz val="8"/>
        <rFont val="Calibri"/>
        <family val="2"/>
      </rPr>
      <t>septentrionalis</t>
    </r>
  </si>
  <si>
    <r>
      <rPr>
        <sz val="8"/>
        <rFont val="Calibri"/>
        <family val="2"/>
      </rPr>
      <t>[100]</t>
    </r>
  </si>
  <si>
    <t>Asellus</t>
  </si>
  <si>
    <t>aquaticus</t>
  </si>
  <si>
    <t>Asellus_aquaticus</t>
  </si>
  <si>
    <r>
      <rPr>
        <sz val="8"/>
        <rFont val="Calibri"/>
        <family val="2"/>
      </rPr>
      <t>[30]</t>
    </r>
  </si>
  <si>
    <r>
      <rPr>
        <sz val="8"/>
        <rFont val="Calibri"/>
        <family val="2"/>
      </rPr>
      <t>Pimephales</t>
    </r>
  </si>
  <si>
    <r>
      <rPr>
        <sz val="8"/>
        <rFont val="Calibri"/>
        <family val="2"/>
      </rPr>
      <t>promelas</t>
    </r>
  </si>
  <si>
    <t>Pimephales_promelas</t>
  </si>
  <si>
    <r>
      <rPr>
        <sz val="8"/>
        <rFont val="Calibri"/>
        <family val="2"/>
      </rPr>
      <t>[45]</t>
    </r>
  </si>
  <si>
    <t>[45]</t>
  </si>
  <si>
    <r>
      <rPr>
        <sz val="8"/>
        <rFont val="Calibri"/>
        <family val="2"/>
      </rPr>
      <t>Chimarra</t>
    </r>
  </si>
  <si>
    <r>
      <rPr>
        <sz val="8"/>
        <rFont val="Calibri"/>
        <family val="2"/>
      </rPr>
      <t>obscura</t>
    </r>
  </si>
  <si>
    <t>Chimarra_obscura</t>
  </si>
  <si>
    <r>
      <rPr>
        <sz val="8"/>
        <rFont val="Calibri"/>
        <family val="2"/>
      </rPr>
      <t>[90]</t>
    </r>
  </si>
  <si>
    <r>
      <rPr>
        <sz val="8"/>
        <rFont val="Calibri"/>
        <family val="2"/>
      </rPr>
      <t>Hydropsyche</t>
    </r>
  </si>
  <si>
    <r>
      <rPr>
        <sz val="8"/>
        <rFont val="Calibri"/>
        <family val="2"/>
      </rPr>
      <t>simulans</t>
    </r>
  </si>
  <si>
    <r>
      <rPr>
        <sz val="8"/>
        <rFont val="Calibri"/>
        <family val="2"/>
      </rPr>
      <t>pretiosa</t>
    </r>
  </si>
  <si>
    <r>
      <rPr>
        <sz val="8"/>
        <rFont val="Calibri"/>
        <family val="2"/>
      </rPr>
      <t>sylvatica</t>
    </r>
  </si>
  <si>
    <r>
      <rPr>
        <sz val="8"/>
        <rFont val="Calibri"/>
        <family val="2"/>
      </rPr>
      <t>Gila</t>
    </r>
  </si>
  <si>
    <r>
      <rPr>
        <sz val="8"/>
        <rFont val="Calibri"/>
        <family val="2"/>
      </rPr>
      <t>[44]</t>
    </r>
  </si>
  <si>
    <t>[44], fishbase</t>
  </si>
  <si>
    <r>
      <rPr>
        <sz val="8"/>
        <rFont val="Calibri"/>
        <family val="2"/>
      </rPr>
      <t>Culex</t>
    </r>
  </si>
  <si>
    <r>
      <rPr>
        <sz val="8"/>
        <rFont val="Calibri"/>
        <family val="2"/>
      </rPr>
      <t>[80]</t>
    </r>
  </si>
  <si>
    <t>[80]</t>
  </si>
  <si>
    <r>
      <rPr>
        <sz val="8"/>
        <rFont val="Calibri"/>
        <family val="2"/>
      </rPr>
      <t>Phrynocephalus</t>
    </r>
  </si>
  <si>
    <r>
      <rPr>
        <sz val="8"/>
        <rFont val="Calibri"/>
        <family val="2"/>
      </rPr>
      <t>guinanensis</t>
    </r>
  </si>
  <si>
    <r>
      <rPr>
        <sz val="8"/>
        <rFont val="Calibri"/>
        <family val="2"/>
      </rPr>
      <t>[98]</t>
    </r>
  </si>
  <si>
    <r>
      <rPr>
        <sz val="8"/>
        <rFont val="Calibri"/>
        <family val="2"/>
      </rPr>
      <t>Ascaphus</t>
    </r>
  </si>
  <si>
    <r>
      <rPr>
        <sz val="8"/>
        <rFont val="Calibri"/>
        <family val="2"/>
      </rPr>
      <t>[1]</t>
    </r>
  </si>
  <si>
    <t>http://www.jstor.org/stable/3892176?seq=1#page_scan_tab_contents</t>
  </si>
  <si>
    <r>
      <rPr>
        <sz val="8"/>
        <rFont val="Calibri"/>
        <family val="2"/>
      </rPr>
      <t>fowleri</t>
    </r>
  </si>
  <si>
    <r>
      <rPr>
        <sz val="8"/>
        <rFont val="Calibri"/>
        <family val="2"/>
      </rPr>
      <t>catesbeiana</t>
    </r>
  </si>
  <si>
    <r>
      <rPr>
        <sz val="8"/>
        <rFont val="Calibri"/>
        <family val="2"/>
      </rPr>
      <t>clamitans</t>
    </r>
  </si>
  <si>
    <t>Rana_clamitans</t>
  </si>
  <si>
    <r>
      <rPr>
        <sz val="8"/>
        <rFont val="Calibri"/>
        <family val="2"/>
      </rPr>
      <t>palustris</t>
    </r>
  </si>
  <si>
    <r>
      <rPr>
        <sz val="8"/>
        <rFont val="Calibri"/>
        <family val="2"/>
      </rPr>
      <t>holbrooki</t>
    </r>
  </si>
  <si>
    <t>Scaphiopus_holbrooki</t>
  </si>
  <si>
    <r>
      <rPr>
        <sz val="8"/>
        <rFont val="Calibri"/>
        <family val="2"/>
      </rPr>
      <t>[7]</t>
    </r>
  </si>
  <si>
    <r>
      <rPr>
        <sz val="8"/>
        <rFont val="Calibri"/>
        <family val="2"/>
      </rPr>
      <t>vlangalii</t>
    </r>
  </si>
  <si>
    <r>
      <rPr>
        <sz val="8"/>
        <rFont val="Calibri"/>
        <family val="2"/>
      </rPr>
      <t>nelsoni</t>
    </r>
  </si>
  <si>
    <t>Eremias_brenchleyi</t>
  </si>
  <si>
    <r>
      <rPr>
        <sz val="8"/>
        <rFont val="Calibri"/>
        <family val="2"/>
      </rPr>
      <t>Oronectes</t>
    </r>
  </si>
  <si>
    <r>
      <rPr>
        <sz val="8"/>
        <rFont val="Calibri"/>
        <family val="2"/>
      </rPr>
      <t>rusticus</t>
    </r>
  </si>
  <si>
    <r>
      <rPr>
        <sz val="8"/>
        <rFont val="Calibri"/>
        <family val="2"/>
      </rPr>
      <t>[26]</t>
    </r>
  </si>
  <si>
    <t>[26]</t>
  </si>
  <si>
    <r>
      <rPr>
        <sz val="8"/>
        <rFont val="Calibri"/>
        <family val="2"/>
      </rPr>
      <t>virilis</t>
    </r>
  </si>
  <si>
    <t>Cottus_cognatus</t>
  </si>
  <si>
    <t>jeffersoni</t>
  </si>
  <si>
    <r>
      <rPr>
        <sz val="8"/>
        <rFont val="Calibri"/>
        <family val="2"/>
      </rPr>
      <t>[9]</t>
    </r>
  </si>
  <si>
    <t>affinis</t>
  </si>
  <si>
    <r>
      <rPr>
        <sz val="8"/>
        <rFont val="Calibri"/>
        <family val="2"/>
      </rPr>
      <t>Campostoma</t>
    </r>
  </si>
  <si>
    <r>
      <rPr>
        <sz val="8"/>
        <rFont val="Calibri"/>
        <family val="2"/>
      </rPr>
      <t>anomalum</t>
    </r>
  </si>
  <si>
    <r>
      <rPr>
        <sz val="8"/>
        <rFont val="Calibri"/>
        <family val="2"/>
      </rPr>
      <t>[43]</t>
    </r>
  </si>
  <si>
    <t>[43], fishbase</t>
  </si>
  <si>
    <t>nevadensis</t>
  </si>
  <si>
    <r>
      <rPr>
        <sz val="8"/>
        <rFont val="Calibri"/>
        <family val="2"/>
      </rPr>
      <t>[50]</t>
    </r>
  </si>
  <si>
    <r>
      <rPr>
        <sz val="8"/>
        <rFont val="Calibri"/>
        <family val="2"/>
      </rPr>
      <t>Chelydra</t>
    </r>
  </si>
  <si>
    <r>
      <rPr>
        <sz val="8"/>
        <rFont val="Calibri"/>
        <family val="2"/>
      </rPr>
      <t>serpentina</t>
    </r>
  </si>
  <si>
    <r>
      <rPr>
        <sz val="8"/>
        <rFont val="Calibri"/>
        <family val="2"/>
      </rPr>
      <t>[108]</t>
    </r>
  </si>
  <si>
    <t>[108]</t>
  </si>
  <si>
    <r>
      <rPr>
        <sz val="8"/>
        <rFont val="Calibri"/>
        <family val="2"/>
      </rPr>
      <t>Desmognathus</t>
    </r>
  </si>
  <si>
    <t>­2.3</t>
  </si>
  <si>
    <r>
      <rPr>
        <sz val="8"/>
        <rFont val="Calibri"/>
        <family val="2"/>
      </rPr>
      <t>[13]</t>
    </r>
  </si>
  <si>
    <t>Petranka Salamanders of US an Canada, http://www.jstor.org/stable/30155450?seq=1#page_scan_tab_contents</t>
  </si>
  <si>
    <r>
      <rPr>
        <sz val="8"/>
        <rFont val="Calibri"/>
        <family val="2"/>
      </rPr>
      <t>Eurycea</t>
    </r>
  </si>
  <si>
    <t>­2</t>
  </si>
  <si>
    <r>
      <rPr>
        <sz val="8"/>
        <rFont val="Calibri"/>
        <family val="2"/>
      </rPr>
      <t>[14]</t>
    </r>
  </si>
  <si>
    <t>Petranka Salamanders of US an Canada, http://www.jstor.org/stable/30152230?seq=1#page_scan_tab_contents</t>
  </si>
  <si>
    <r>
      <rPr>
        <sz val="8"/>
        <rFont val="Calibri"/>
        <family val="2"/>
      </rPr>
      <t>[48]</t>
    </r>
  </si>
  <si>
    <r>
      <rPr>
        <sz val="8"/>
        <rFont val="Calibri"/>
        <family val="2"/>
      </rPr>
      <t>Eremias</t>
    </r>
  </si>
  <si>
    <r>
      <rPr>
        <sz val="8"/>
        <rFont val="Calibri"/>
        <family val="2"/>
      </rPr>
      <t>brenchleyi</t>
    </r>
  </si>
  <si>
    <r>
      <rPr>
        <sz val="8"/>
        <rFont val="Calibri"/>
        <family val="2"/>
      </rPr>
      <t>[101]</t>
    </r>
  </si>
  <si>
    <t>[101]</t>
  </si>
  <si>
    <r>
      <rPr>
        <sz val="8"/>
        <rFont val="Calibri"/>
        <family val="2"/>
      </rPr>
      <t>argus</t>
    </r>
  </si>
  <si>
    <r>
      <rPr>
        <sz val="8"/>
        <rFont val="Calibri"/>
        <family val="2"/>
      </rPr>
      <t>Cottus</t>
    </r>
  </si>
  <si>
    <r>
      <rPr>
        <sz val="8"/>
        <rFont val="Calibri"/>
        <family val="2"/>
      </rPr>
      <t>[59]</t>
    </r>
  </si>
  <si>
    <t>[59], fishbase</t>
  </si>
  <si>
    <t>Eremias_multiocellata</t>
  </si>
  <si>
    <r>
      <rPr>
        <sz val="8"/>
        <rFont val="Calibri"/>
        <family val="2"/>
      </rPr>
      <t>Necturus</t>
    </r>
  </si>
  <si>
    <r>
      <rPr>
        <sz val="8"/>
        <rFont val="Calibri"/>
        <family val="2"/>
      </rPr>
      <t>[12]</t>
    </r>
  </si>
  <si>
    <t>http://www.jstor.org/stable/30159929?seq=1#page_scan_tab_contents</t>
  </si>
  <si>
    <r>
      <rPr>
        <sz val="8"/>
        <rFont val="Calibri"/>
        <family val="2"/>
      </rPr>
      <t>Acris</t>
    </r>
  </si>
  <si>
    <r>
      <rPr>
        <sz val="8"/>
        <rFont val="Calibri"/>
        <family val="2"/>
      </rPr>
      <t>crepitans</t>
    </r>
  </si>
  <si>
    <r>
      <rPr>
        <sz val="8"/>
        <rFont val="Calibri"/>
        <family val="2"/>
      </rPr>
      <t>[5]</t>
    </r>
  </si>
  <si>
    <t>[5]</t>
  </si>
  <si>
    <r>
      <rPr>
        <sz val="8"/>
        <rFont val="Calibri"/>
        <family val="2"/>
      </rPr>
      <t>triseriata</t>
    </r>
  </si>
  <si>
    <r>
      <rPr>
        <sz val="8"/>
        <rFont val="Calibri"/>
        <family val="2"/>
      </rPr>
      <t>versicolor</t>
    </r>
  </si>
  <si>
    <r>
      <rPr>
        <sz val="8"/>
        <rFont val="Calibri"/>
        <family val="2"/>
      </rPr>
      <t>multiocellata</t>
    </r>
  </si>
  <si>
    <t>Missing seasonality</t>
  </si>
  <si>
    <r>
      <rPr>
        <sz val="8"/>
        <rFont val="Calibri"/>
        <family val="2"/>
      </rPr>
      <t>Leptodactylus</t>
    </r>
  </si>
  <si>
    <r>
      <rPr>
        <sz val="8"/>
        <rFont val="Calibri"/>
        <family val="2"/>
      </rPr>
      <t>melanotus</t>
    </r>
  </si>
  <si>
    <t>Leptodactylus_melanotus</t>
  </si>
  <si>
    <r>
      <rPr>
        <sz val="8"/>
        <rFont val="Calibri"/>
        <family val="2"/>
      </rPr>
      <t>boylei</t>
    </r>
  </si>
  <si>
    <t>Rana_boylei</t>
  </si>
  <si>
    <r>
      <rPr>
        <sz val="8"/>
        <rFont val="Calibri"/>
        <family val="2"/>
      </rPr>
      <t>macrodactylus</t>
    </r>
  </si>
  <si>
    <t>Palaemon_macrodactylus</t>
  </si>
  <si>
    <t>http://journals.cambridge.org/action/displayAbstract?fromPage=online&amp;aid=253675&amp;fileId=S0025315404010392</t>
  </si>
  <si>
    <r>
      <rPr>
        <sz val="8"/>
        <rFont val="Calibri"/>
        <family val="2"/>
      </rPr>
      <t>Homarus</t>
    </r>
  </si>
  <si>
    <r>
      <rPr>
        <sz val="8"/>
        <rFont val="Calibri"/>
        <family val="2"/>
      </rPr>
      <t>americanus</t>
    </r>
  </si>
  <si>
    <t>Homarus_americanus</t>
  </si>
  <si>
    <r>
      <rPr>
        <sz val="8"/>
        <rFont val="Calibri"/>
        <family val="2"/>
      </rPr>
      <t>[31]</t>
    </r>
  </si>
  <si>
    <t>?</t>
  </si>
  <si>
    <t>Baggio. 2011. Estimating weight–length relationships without individual
weight data: an application to the American lobster
(Homarus americanus) fishery of Long Island Sound. Rev Fish Biol Fisheries 21:771–777</t>
  </si>
  <si>
    <r>
      <rPr>
        <sz val="8"/>
        <rFont val="Calibri"/>
        <family val="2"/>
      </rPr>
      <t>rosenbergii</t>
    </r>
  </si>
  <si>
    <t>Macrobrachium_rosenbergii</t>
  </si>
  <si>
    <r>
      <rPr>
        <sz val="8"/>
        <rFont val="Calibri"/>
        <family val="2"/>
      </rPr>
      <t>[32]</t>
    </r>
  </si>
  <si>
    <t>[32]</t>
  </si>
  <si>
    <r>
      <rPr>
        <sz val="8"/>
        <rFont val="Calibri"/>
        <family val="2"/>
      </rPr>
      <t>Litopenaeus</t>
    </r>
  </si>
  <si>
    <r>
      <rPr>
        <sz val="8"/>
        <rFont val="Calibri"/>
        <family val="2"/>
      </rPr>
      <t>vannamei</t>
    </r>
  </si>
  <si>
    <t>Litopenaeus_vannamei</t>
  </si>
  <si>
    <r>
      <rPr>
        <sz val="8"/>
        <rFont val="Calibri"/>
        <family val="2"/>
      </rPr>
      <t>[33]</t>
    </r>
  </si>
  <si>
    <t>[33]</t>
  </si>
  <si>
    <r>
      <rPr>
        <sz val="8"/>
        <rFont val="Calibri"/>
        <family val="2"/>
      </rPr>
      <t>Portunus</t>
    </r>
  </si>
  <si>
    <r>
      <rPr>
        <sz val="8"/>
        <rFont val="Calibri"/>
        <family val="2"/>
      </rPr>
      <t>pelagicus</t>
    </r>
  </si>
  <si>
    <t>Portunus_pelagicus</t>
  </si>
  <si>
    <r>
      <rPr>
        <sz val="8"/>
        <rFont val="Calibri"/>
        <family val="2"/>
      </rPr>
      <t>[36]</t>
    </r>
  </si>
  <si>
    <t>Adults</t>
  </si>
  <si>
    <t>JOSILEEN, J. 2011. MORPHOMETRICS AND LENGTHWEIGHT RELATIONSHIP IN THE
BLUE SWIMMER CRAB, PORTUNUS PELAGICUS (LINNAEUS, 1758)
(DECAPODA, BRACHYURA) FROM THE MANDAPAM COAST, INDIA. Crustaceana 84 (14): 16651681</t>
  </si>
  <si>
    <r>
      <rPr>
        <sz val="8"/>
        <rFont val="Calibri"/>
        <family val="2"/>
      </rPr>
      <t>Acipenser</t>
    </r>
  </si>
  <si>
    <r>
      <rPr>
        <sz val="8"/>
        <rFont val="Calibri"/>
        <family val="2"/>
      </rPr>
      <t>brevirostrum</t>
    </r>
  </si>
  <si>
    <t>Acipenser_brevirostrum</t>
  </si>
  <si>
    <r>
      <rPr>
        <sz val="8"/>
        <rFont val="Calibri"/>
        <family val="2"/>
      </rPr>
      <t>[60]</t>
    </r>
  </si>
  <si>
    <t>[60]</t>
  </si>
  <si>
    <r>
      <rPr>
        <sz val="8"/>
        <rFont val="Calibri"/>
        <family val="2"/>
      </rPr>
      <t>Prochilodus</t>
    </r>
  </si>
  <si>
    <r>
      <rPr>
        <sz val="8"/>
        <rFont val="Calibri"/>
        <family val="2"/>
      </rPr>
      <t>scrofa</t>
    </r>
  </si>
  <si>
    <t>Prochilodus_scrofa</t>
  </si>
  <si>
    <r>
      <rPr>
        <sz val="8"/>
        <rFont val="Calibri"/>
        <family val="2"/>
      </rPr>
      <t>[61]</t>
    </r>
  </si>
  <si>
    <t>Froese, R., J. Thorson and R.B. Reyes Jr., 2013. A Bayesian approach for estimating length-weight relationships in fishes. J. Appl. Ichthyol. (2013):1-7.</t>
  </si>
  <si>
    <r>
      <rPr>
        <sz val="8"/>
        <rFont val="Calibri"/>
        <family val="2"/>
      </rPr>
      <t>Catla</t>
    </r>
  </si>
  <si>
    <t>Catla_catla</t>
  </si>
  <si>
    <r>
      <rPr>
        <sz val="8"/>
        <rFont val="Calibri"/>
        <family val="2"/>
      </rPr>
      <t>[62]</t>
    </r>
  </si>
  <si>
    <t>http://www.scientific-journals.co.uk/web_documents/2020105_indian_carps.pdf</t>
  </si>
  <si>
    <r>
      <rPr>
        <sz val="8"/>
        <rFont val="Calibri"/>
        <family val="2"/>
      </rPr>
      <t>Cirrhinus</t>
    </r>
  </si>
  <si>
    <r>
      <rPr>
        <sz val="8"/>
        <rFont val="Calibri"/>
        <family val="2"/>
      </rPr>
      <t>mrigala</t>
    </r>
  </si>
  <si>
    <t>Cirrhinus_mrigala</t>
  </si>
  <si>
    <r>
      <rPr>
        <sz val="8"/>
        <rFont val="Calibri"/>
        <family val="2"/>
      </rPr>
      <t>Labeo</t>
    </r>
  </si>
  <si>
    <r>
      <rPr>
        <sz val="8"/>
        <rFont val="Calibri"/>
        <family val="2"/>
      </rPr>
      <t>rohita</t>
    </r>
  </si>
  <si>
    <t>Labeo_rohita</t>
  </si>
  <si>
    <r>
      <rPr>
        <sz val="8"/>
        <rFont val="Calibri"/>
        <family val="2"/>
      </rPr>
      <t>Carassius</t>
    </r>
  </si>
  <si>
    <t>Carassius_auratus</t>
  </si>
  <si>
    <r>
      <rPr>
        <sz val="8"/>
        <rFont val="Calibri"/>
        <family val="2"/>
      </rPr>
      <t>[63]</t>
    </r>
  </si>
  <si>
    <t>Johnson, T. P. and A. F. Bennett (1995). "THE THERMAL-ACCLIMATION OF BURST ESCAPE PERFORMANCE IN FISH - AN INTEGRATED STUDY OF MOLECULAR AND CELLULAR PHYSIOLOGY AND ORGANISMAL PERFORMANCE." Journal of Experimental Biology 198(10): 2165-2175., fishbase</t>
  </si>
  <si>
    <r>
      <rPr>
        <sz val="8"/>
        <rFont val="Calibri"/>
        <family val="2"/>
      </rPr>
      <t>Danio</t>
    </r>
  </si>
  <si>
    <r>
      <rPr>
        <sz val="8"/>
        <rFont val="Calibri"/>
        <family val="2"/>
      </rPr>
      <t>rerio</t>
    </r>
  </si>
  <si>
    <t>Danio_rerio</t>
  </si>
  <si>
    <r>
      <rPr>
        <sz val="8"/>
        <rFont val="Calibri"/>
        <family val="2"/>
      </rPr>
      <t>[64]</t>
    </r>
  </si>
  <si>
    <t>[64]</t>
  </si>
  <si>
    <r>
      <rPr>
        <sz val="8"/>
        <rFont val="Calibri"/>
        <family val="2"/>
      </rPr>
      <t>Tor</t>
    </r>
  </si>
  <si>
    <r>
      <rPr>
        <sz val="8"/>
        <rFont val="Calibri"/>
        <family val="2"/>
      </rPr>
      <t>putitora</t>
    </r>
  </si>
  <si>
    <t>Tor_putitora</t>
  </si>
  <si>
    <r>
      <rPr>
        <sz val="8"/>
        <rFont val="Calibri"/>
        <family val="2"/>
      </rPr>
      <t>[65]</t>
    </r>
  </si>
  <si>
    <t>http://onlinelibrary.wiley.com/doi/10.1111/j.1365-2109.2004.01149.x/full</t>
  </si>
  <si>
    <r>
      <rPr>
        <sz val="8"/>
        <rFont val="Calibri"/>
        <family val="2"/>
      </rPr>
      <t>Xiphophorus</t>
    </r>
  </si>
  <si>
    <r>
      <rPr>
        <sz val="8"/>
        <rFont val="Calibri"/>
        <family val="2"/>
      </rPr>
      <t>maculatus</t>
    </r>
  </si>
  <si>
    <t>Xiphophorus_maculatus</t>
  </si>
  <si>
    <r>
      <rPr>
        <sz val="8"/>
        <rFont val="Calibri"/>
        <family val="2"/>
      </rPr>
      <t>[66]</t>
    </r>
  </si>
  <si>
    <t>[66], fishbase</t>
  </si>
  <si>
    <r>
      <rPr>
        <sz val="8"/>
        <rFont val="Calibri"/>
        <family val="2"/>
      </rPr>
      <t>Anabas</t>
    </r>
  </si>
  <si>
    <r>
      <rPr>
        <sz val="8"/>
        <rFont val="Calibri"/>
        <family val="2"/>
      </rPr>
      <t>testudineus</t>
    </r>
  </si>
  <si>
    <t>Anabas_testudineus</t>
  </si>
  <si>
    <r>
      <rPr>
        <sz val="8"/>
        <rFont val="Calibri"/>
        <family val="2"/>
      </rPr>
      <t>[68]</t>
    </r>
  </si>
  <si>
    <t>http://link.springer.com/article/10.1007/BF00001728#page-1</t>
  </si>
  <si>
    <r>
      <rPr>
        <sz val="8"/>
        <rFont val="Calibri"/>
        <family val="2"/>
      </rPr>
      <t>Ictalurus</t>
    </r>
  </si>
  <si>
    <r>
      <rPr>
        <sz val="8"/>
        <rFont val="Calibri"/>
        <family val="2"/>
      </rPr>
      <t>punctatus</t>
    </r>
  </si>
  <si>
    <t>Ictalurus_punctatus</t>
  </si>
  <si>
    <r>
      <rPr>
        <sz val="8"/>
        <rFont val="Calibri"/>
        <family val="2"/>
      </rPr>
      <t>[69]</t>
    </r>
  </si>
  <si>
    <t>[69]</t>
  </si>
  <si>
    <r>
      <rPr>
        <sz val="8"/>
        <rFont val="Calibri"/>
        <family val="2"/>
      </rPr>
      <t>Micropterus</t>
    </r>
  </si>
  <si>
    <r>
      <rPr>
        <sz val="8"/>
        <rFont val="Calibri"/>
        <family val="2"/>
      </rPr>
      <t>salmoides</t>
    </r>
  </si>
  <si>
    <t>Micropterus_salmoides</t>
  </si>
  <si>
    <r>
      <rPr>
        <sz val="8"/>
        <rFont val="Calibri"/>
        <family val="2"/>
      </rPr>
      <t>mykiss</t>
    </r>
  </si>
  <si>
    <t>Oncorhynchus_mykiss</t>
  </si>
  <si>
    <r>
      <rPr>
        <sz val="8"/>
        <rFont val="Calibri"/>
        <family val="2"/>
      </rPr>
      <t>Pterophyllum</t>
    </r>
  </si>
  <si>
    <r>
      <rPr>
        <sz val="8"/>
        <rFont val="Calibri"/>
        <family val="2"/>
      </rPr>
      <t>scalare</t>
    </r>
  </si>
  <si>
    <t>Pterophyllum_scalare</t>
  </si>
  <si>
    <r>
      <rPr>
        <sz val="8"/>
        <rFont val="Calibri"/>
        <family val="2"/>
      </rPr>
      <t>[70]</t>
    </r>
  </si>
  <si>
    <t>http://www.tandfonline.com/doi/abs/10.1577/H05-023.1</t>
  </si>
  <si>
    <r>
      <rPr>
        <sz val="8"/>
        <rFont val="Calibri"/>
        <family val="2"/>
      </rPr>
      <t>Dicentrarchus</t>
    </r>
  </si>
  <si>
    <r>
      <rPr>
        <sz val="8"/>
        <rFont val="Calibri"/>
        <family val="2"/>
      </rPr>
      <t>labrax</t>
    </r>
  </si>
  <si>
    <t>Dicentrarchus_labrax</t>
  </si>
  <si>
    <r>
      <rPr>
        <sz val="8"/>
        <rFont val="Calibri"/>
        <family val="2"/>
      </rPr>
      <t>[71]</t>
    </r>
  </si>
  <si>
    <t>http://onlinelibrary.wiley.com/doi/10.1111/j.1365-2095.2004.00320.x/full, http://www.sciencedirect.com/science/article/pii/S1096495906002405</t>
  </si>
  <si>
    <r>
      <rPr>
        <sz val="8"/>
        <rFont val="Calibri"/>
        <family val="2"/>
      </rPr>
      <t>Sebastiscus</t>
    </r>
  </si>
  <si>
    <r>
      <rPr>
        <sz val="8"/>
        <rFont val="Calibri"/>
        <family val="2"/>
      </rPr>
      <t>marmoratus</t>
    </r>
  </si>
  <si>
    <t>Sebastiscus_marmoratus</t>
  </si>
  <si>
    <r>
      <rPr>
        <sz val="8"/>
        <rFont val="Calibri"/>
        <family val="2"/>
      </rPr>
      <t>[73]</t>
    </r>
  </si>
  <si>
    <t>http://www.sciencedirect.com/science/article/pii/S0044848600003665</t>
  </si>
  <si>
    <r>
      <rPr>
        <sz val="8"/>
        <rFont val="Calibri"/>
        <family val="2"/>
      </rPr>
      <t>Horabagrus</t>
    </r>
  </si>
  <si>
    <r>
      <rPr>
        <sz val="8"/>
        <rFont val="Calibri"/>
        <family val="2"/>
      </rPr>
      <t>brachysoma</t>
    </r>
  </si>
  <si>
    <t>Horabagrus_brachysoma</t>
  </si>
  <si>
    <r>
      <rPr>
        <sz val="8"/>
        <rFont val="Calibri"/>
        <family val="2"/>
      </rPr>
      <t>[74]</t>
    </r>
  </si>
  <si>
    <t>Kumar, S., Mercey, T.V.A., John, K.C., 1999. Length–weight relationship in the catfish Horabagrus brachysoma (Günther). Indian J. Fish. 46, 191–193</t>
  </si>
  <si>
    <r>
      <rPr>
        <sz val="8"/>
        <rFont val="Calibri"/>
        <family val="2"/>
      </rPr>
      <t>Pangasius</t>
    </r>
  </si>
  <si>
    <r>
      <rPr>
        <sz val="8"/>
        <rFont val="Calibri"/>
        <family val="2"/>
      </rPr>
      <t>pangasius</t>
    </r>
  </si>
  <si>
    <t>Pangasius_pangasius</t>
  </si>
  <si>
    <r>
      <rPr>
        <sz val="8"/>
        <rFont val="Calibri"/>
        <family val="2"/>
      </rPr>
      <t>[75]</t>
    </r>
  </si>
  <si>
    <r>
      <rPr>
        <sz val="8"/>
        <rFont val="Calibri"/>
        <family val="2"/>
      </rPr>
      <t>Trichocorixa</t>
    </r>
  </si>
  <si>
    <r>
      <rPr>
        <sz val="8"/>
        <rFont val="Calibri"/>
        <family val="2"/>
      </rPr>
      <t>verticalis</t>
    </r>
  </si>
  <si>
    <t>Trichocorixa_verticalis</t>
  </si>
  <si>
    <r>
      <rPr>
        <sz val="8"/>
        <rFont val="Calibri"/>
        <family val="2"/>
      </rPr>
      <t>Blaberus</t>
    </r>
  </si>
  <si>
    <r>
      <rPr>
        <sz val="8"/>
        <rFont val="Calibri"/>
        <family val="2"/>
      </rPr>
      <t>discoidalis</t>
    </r>
  </si>
  <si>
    <t>Blaberus_discoidalis</t>
  </si>
  <si>
    <r>
      <rPr>
        <sz val="8"/>
        <rFont val="Calibri"/>
        <family val="2"/>
      </rPr>
      <t>[91]</t>
    </r>
  </si>
  <si>
    <t>http://www.openbugfarm.com/forum.html#/discussion/186/calculations-on-blaptica-dubia-mass-rearing</t>
  </si>
  <si>
    <r>
      <rPr>
        <sz val="8"/>
        <rFont val="Calibri"/>
        <family val="2"/>
      </rPr>
      <t>Blaptica</t>
    </r>
  </si>
  <si>
    <t>dubia</t>
  </si>
  <si>
    <t>Blaptica_dubia</t>
  </si>
  <si>
    <r>
      <rPr>
        <sz val="8"/>
        <rFont val="Calibri"/>
        <family val="2"/>
      </rPr>
      <t>Eublaberus</t>
    </r>
  </si>
  <si>
    <t>posticus</t>
  </si>
  <si>
    <t>Eublaberus_posticus</t>
  </si>
  <si>
    <t>http://www.annualreviews.org/doi/abs/10.1146/annurev.mi.41.100187.003153?journalCode=micro</t>
  </si>
  <si>
    <r>
      <rPr>
        <sz val="8"/>
        <rFont val="Calibri"/>
        <family val="2"/>
      </rPr>
      <t>Merizodus</t>
    </r>
  </si>
  <si>
    <r>
      <rPr>
        <sz val="8"/>
        <rFont val="Calibri"/>
        <family val="2"/>
      </rPr>
      <t>soledadinus</t>
    </r>
  </si>
  <si>
    <t>Merizodus_soledadinus</t>
  </si>
  <si>
    <r>
      <rPr>
        <sz val="8"/>
        <rFont val="Calibri"/>
        <family val="2"/>
      </rPr>
      <t>[92]</t>
    </r>
  </si>
  <si>
    <t>[92]</t>
  </si>
  <si>
    <t>Cyrtobagous</t>
  </si>
  <si>
    <t>salvineae</t>
  </si>
  <si>
    <t>Cyrtobagous_salvineae</t>
  </si>
  <si>
    <r>
      <rPr>
        <sz val="8"/>
        <rFont val="Calibri"/>
        <family val="2"/>
      </rPr>
      <t>[93]</t>
    </r>
  </si>
  <si>
    <r>
      <rPr>
        <sz val="8"/>
        <rFont val="Calibri"/>
        <family val="2"/>
      </rPr>
      <t>Tenebrio</t>
    </r>
  </si>
  <si>
    <r>
      <rPr>
        <sz val="8"/>
        <rFont val="Calibri"/>
        <family val="2"/>
      </rPr>
      <t>molitor</t>
    </r>
  </si>
  <si>
    <t>Tenebrio_molitor</t>
  </si>
  <si>
    <r>
      <rPr>
        <sz val="8"/>
        <rFont val="Calibri"/>
        <family val="2"/>
      </rPr>
      <t>Ceratitis</t>
    </r>
  </si>
  <si>
    <r>
      <rPr>
        <sz val="8"/>
        <rFont val="Calibri"/>
        <family val="2"/>
      </rPr>
      <t>capitata</t>
    </r>
  </si>
  <si>
    <t>Ceratitis_capitata</t>
  </si>
  <si>
    <r>
      <rPr>
        <sz val="8"/>
        <rFont val="Calibri"/>
        <family val="2"/>
      </rPr>
      <t>[94]</t>
    </r>
  </si>
  <si>
    <t>[94]</t>
  </si>
  <si>
    <r>
      <rPr>
        <sz val="8"/>
        <rFont val="Calibri"/>
        <family val="2"/>
      </rPr>
      <t>Nilaparvata</t>
    </r>
  </si>
  <si>
    <r>
      <rPr>
        <sz val="8"/>
        <rFont val="Calibri"/>
        <family val="2"/>
      </rPr>
      <t>lugens</t>
    </r>
  </si>
  <si>
    <t>Nilaparvata_lugens</t>
  </si>
  <si>
    <r>
      <rPr>
        <sz val="8"/>
        <rFont val="Calibri"/>
        <family val="2"/>
      </rPr>
      <t>[95]</t>
    </r>
  </si>
  <si>
    <t>Senthil-Nathan et al. 2007. The toxic effects of neem extract and azadirachtin on the brown planthopper, Nilaparvata lugens (Stål) (BPH) (Homoptera: Delphacidae). Chemosphere. 67: 80–88.</t>
  </si>
  <si>
    <r>
      <rPr>
        <sz val="8"/>
        <rFont val="Calibri"/>
        <family val="2"/>
      </rPr>
      <t>Solenopsis</t>
    </r>
  </si>
  <si>
    <r>
      <rPr>
        <sz val="8"/>
        <rFont val="Calibri"/>
        <family val="2"/>
      </rPr>
      <t>invicta</t>
    </r>
  </si>
  <si>
    <t>Solenopsis_invicta</t>
  </si>
  <si>
    <r>
      <rPr>
        <sz val="8"/>
        <rFont val="Calibri"/>
        <family val="2"/>
      </rPr>
      <t>[96]</t>
    </r>
  </si>
  <si>
    <t>Calabi and Porter. 1989. WORKER LONGEVITY IN THE FIRE ANT SOLENOPSIS INVICTA : ERGONOMIC CONSIDERATIONS OF CORRELATIONS BETWEEN TEMPERATURE, SIZE AND METABOLIC RATES. J. Insect Physiol. 35: 643-649.</t>
  </si>
  <si>
    <r>
      <rPr>
        <sz val="8"/>
        <rFont val="Calibri"/>
        <family val="2"/>
      </rPr>
      <t>Cydia</t>
    </r>
  </si>
  <si>
    <r>
      <rPr>
        <sz val="8"/>
        <rFont val="Calibri"/>
        <family val="2"/>
      </rPr>
      <t>pomonella</t>
    </r>
  </si>
  <si>
    <t>Cydia_pomonella</t>
  </si>
  <si>
    <r>
      <rPr>
        <sz val="8"/>
        <rFont val="Calibri"/>
        <family val="2"/>
      </rPr>
      <t>[97]</t>
    </r>
  </si>
  <si>
    <t>[97]</t>
  </si>
  <si>
    <r>
      <rPr>
        <sz val="8"/>
        <rFont val="Calibri"/>
        <family val="2"/>
      </rPr>
      <t>Anolis</t>
    </r>
  </si>
  <si>
    <r>
      <rPr>
        <sz val="8"/>
        <rFont val="Calibri"/>
        <family val="2"/>
      </rPr>
      <t>carolinensis</t>
    </r>
  </si>
  <si>
    <t>Anolis_carolinensis</t>
  </si>
  <si>
    <r>
      <rPr>
        <sz val="8"/>
        <rFont val="Calibri"/>
        <family val="2"/>
      </rPr>
      <t>[110]</t>
    </r>
  </si>
  <si>
    <t>[110]</t>
  </si>
  <si>
    <r>
      <rPr>
        <sz val="8"/>
        <rFont val="Calibri"/>
        <family val="2"/>
      </rPr>
      <t>Phrynosoma</t>
    </r>
  </si>
  <si>
    <r>
      <rPr>
        <sz val="8"/>
        <rFont val="Calibri"/>
        <family val="2"/>
      </rPr>
      <t>cornutum</t>
    </r>
  </si>
  <si>
    <t>Phrynosoma_cornutum</t>
  </si>
  <si>
    <r>
      <rPr>
        <sz val="8"/>
        <rFont val="Calibri"/>
        <family val="2"/>
      </rPr>
      <t>Sceloporus</t>
    </r>
  </si>
  <si>
    <r>
      <rPr>
        <sz val="8"/>
        <rFont val="Calibri"/>
        <family val="2"/>
      </rPr>
      <t>occidentalis</t>
    </r>
  </si>
  <si>
    <t>Sceloporus_occidentalis</t>
  </si>
  <si>
    <r>
      <rPr>
        <sz val="8"/>
        <rFont val="Calibri"/>
        <family val="2"/>
      </rPr>
      <t>Xantusia</t>
    </r>
  </si>
  <si>
    <r>
      <rPr>
        <sz val="8"/>
        <rFont val="Calibri"/>
        <family val="2"/>
      </rPr>
      <t>vigilis</t>
    </r>
  </si>
  <si>
    <t>Xantusia_vigilis</t>
  </si>
  <si>
    <r>
      <rPr>
        <sz val="8"/>
        <rFont val="Calibri"/>
        <family val="2"/>
      </rPr>
      <t>Pelodiscus</t>
    </r>
  </si>
  <si>
    <r>
      <rPr>
        <sz val="8"/>
        <rFont val="Calibri"/>
        <family val="2"/>
      </rPr>
      <t>sinensis</t>
    </r>
  </si>
  <si>
    <t>Pelodiscus_sinensis</t>
  </si>
  <si>
    <r>
      <rPr>
        <sz val="8"/>
        <rFont val="Calibri"/>
        <family val="2"/>
      </rPr>
      <t>[112]</t>
    </r>
  </si>
  <si>
    <t>http://www.sciencedirect.com/science/article/pii/S0306456503000032</t>
  </si>
  <si>
    <t>ARR&lt;-0.15</t>
  </si>
  <si>
    <r>
      <rPr>
        <sz val="8"/>
        <rFont val="Calibri"/>
        <family val="2"/>
      </rPr>
      <t>gracilipes</t>
    </r>
  </si>
  <si>
    <r>
      <rPr>
        <sz val="8"/>
        <rFont val="Calibri"/>
        <family val="2"/>
      </rPr>
      <t>Triturus</t>
    </r>
  </si>
  <si>
    <r>
      <rPr>
        <sz val="8"/>
        <rFont val="Calibri"/>
        <family val="2"/>
      </rPr>
      <t>[16]</t>
    </r>
  </si>
  <si>
    <t>Missing good size data</t>
  </si>
  <si>
    <t>Rhinichthys</t>
  </si>
  <si>
    <r>
      <rPr>
        <sz val="8"/>
        <rFont val="Calibri"/>
        <family val="2"/>
      </rPr>
      <t>osculus</t>
    </r>
  </si>
  <si>
    <r>
      <rPr>
        <sz val="8"/>
        <rFont val="Calibri"/>
        <family val="2"/>
      </rPr>
      <t>[46]</t>
    </r>
  </si>
  <si>
    <r>
      <rPr>
        <sz val="8"/>
        <rFont val="Calibri"/>
        <family val="2"/>
      </rPr>
      <t>Rhinichthys</t>
    </r>
  </si>
  <si>
    <r>
      <rPr>
        <sz val="8"/>
        <rFont val="Calibri"/>
        <family val="2"/>
      </rPr>
      <t>Cryptobranchus</t>
    </r>
  </si>
  <si>
    <t>Cryptobranchus_alleganiensis</t>
  </si>
  <si>
    <r>
      <rPr>
        <sz val="8"/>
        <rFont val="Calibri"/>
        <family val="2"/>
      </rPr>
      <t>[11]</t>
    </r>
  </si>
  <si>
    <t>[11]</t>
  </si>
  <si>
    <t>Missing heat rate</t>
  </si>
  <si>
    <r>
      <rPr>
        <sz val="8"/>
        <rFont val="Calibri"/>
        <family val="2"/>
      </rPr>
      <t>distichus</t>
    </r>
  </si>
  <si>
    <t>Anolis_distichus</t>
  </si>
  <si>
    <r>
      <rPr>
        <sz val="8"/>
        <rFont val="Calibri"/>
        <family val="2"/>
      </rPr>
      <t>[99]</t>
    </r>
  </si>
  <si>
    <r>
      <rPr>
        <sz val="8"/>
        <rFont val="Calibri"/>
        <family val="2"/>
      </rPr>
      <t>sagrei</t>
    </r>
  </si>
  <si>
    <t>Anolis_sagrei</t>
  </si>
  <si>
    <r>
      <rPr>
        <sz val="8"/>
        <rFont val="Calibri"/>
        <family val="2"/>
      </rPr>
      <t>Thamnophis</t>
    </r>
  </si>
  <si>
    <t>Thamnophis_elegans</t>
  </si>
  <si>
    <r>
      <rPr>
        <sz val="8"/>
        <rFont val="Calibri"/>
        <family val="2"/>
      </rPr>
      <t>[103]</t>
    </r>
  </si>
  <si>
    <r>
      <rPr>
        <sz val="8"/>
        <rFont val="Calibri"/>
        <family val="2"/>
      </rPr>
      <t>Chrysemys</t>
    </r>
  </si>
  <si>
    <r>
      <rPr>
        <sz val="8"/>
        <rFont val="Calibri"/>
        <family val="2"/>
      </rPr>
      <t>picta</t>
    </r>
  </si>
  <si>
    <t>Chrysemys_picta</t>
  </si>
  <si>
    <r>
      <rPr>
        <sz val="8"/>
        <rFont val="Calibri"/>
        <family val="2"/>
      </rPr>
      <t>[109]</t>
    </r>
  </si>
  <si>
    <t xml:space="preserve">Ernst, C.H. 1972. Temperature-Activity Relationship in the Painted Turtle, Chrysemys picta. Copeia, 1972: 217-222.
</t>
  </si>
  <si>
    <r>
      <rPr>
        <sz val="8"/>
        <rFont val="Calibri"/>
        <family val="2"/>
      </rPr>
      <t>Nerodia</t>
    </r>
  </si>
  <si>
    <r>
      <rPr>
        <sz val="8"/>
        <rFont val="Calibri"/>
        <family val="2"/>
      </rPr>
      <t>rhombifera</t>
    </r>
  </si>
  <si>
    <t>Nerodia_rhombifera</t>
  </si>
  <si>
    <r>
      <rPr>
        <sz val="8"/>
        <rFont val="Calibri"/>
        <family val="2"/>
      </rPr>
      <t>[111]</t>
    </r>
  </si>
  <si>
    <t>[111]</t>
  </si>
  <si>
    <t>Missing heat rate and seasonality</t>
  </si>
  <si>
    <r>
      <rPr>
        <sz val="8"/>
        <rFont val="Calibri"/>
        <family val="2"/>
      </rPr>
      <t>proximus</t>
    </r>
  </si>
  <si>
    <t>Thamnophis_proximus</t>
  </si>
  <si>
    <t>Desmognathus_monticola</t>
  </si>
  <si>
    <t>­‐1.4</t>
  </si>
  <si>
    <r>
      <rPr>
        <sz val="8"/>
        <rFont val="Calibri"/>
        <family val="2"/>
      </rPr>
      <t>[15]</t>
    </r>
  </si>
  <si>
    <t>Did not quantify CTMax</t>
  </si>
  <si>
    <t>Desmognathus_ochrophaeus</t>
  </si>
  <si>
    <t>­‐1.8</t>
  </si>
  <si>
    <t>Petranka Salamanders of US an Canada, http://www.jstor.org/stable/1942158?seq=1#page_scan_tab_contents</t>
  </si>
  <si>
    <t>Desmognathus_quadramaculatus</t>
  </si>
  <si>
    <t>­‐2.5</t>
  </si>
  <si>
    <t>Petranka Salamanders of US an Canada, http://www.jstor.org/stable/30155659?seq=1#page_scan_tab_contents</t>
  </si>
  <si>
    <r>
      <rPr>
        <sz val="8"/>
        <rFont val="Calibri"/>
        <family val="2"/>
      </rPr>
      <t>Plethodon</t>
    </r>
  </si>
  <si>
    <t>Plethodon_jordani</t>
  </si>
  <si>
    <t>­‐2</t>
  </si>
  <si>
    <r>
      <rPr>
        <sz val="8"/>
        <rFont val="Calibri"/>
        <family val="2"/>
      </rPr>
      <t>Takydromus</t>
    </r>
  </si>
  <si>
    <r>
      <rPr>
        <sz val="8"/>
        <rFont val="Calibri"/>
        <family val="2"/>
      </rPr>
      <t>formosanus</t>
    </r>
  </si>
  <si>
    <t>Takydromus_formosanus</t>
  </si>
  <si>
    <r>
      <rPr>
        <sz val="8"/>
        <rFont val="Calibri"/>
        <family val="2"/>
      </rPr>
      <t>[102]</t>
    </r>
  </si>
  <si>
    <t>[102]</t>
  </si>
  <si>
    <r>
      <rPr>
        <sz val="8"/>
        <rFont val="Calibri"/>
        <family val="2"/>
      </rPr>
      <t>hsuehshanensis</t>
    </r>
  </si>
  <si>
    <t>Takydromus_hsuehshanensis</t>
  </si>
  <si>
    <t>Takydromus_stejnegeri</t>
  </si>
  <si>
    <r>
      <rPr>
        <sz val="8"/>
        <rFont val="Calibri"/>
        <family val="2"/>
      </rPr>
      <t>Penaeus</t>
    </r>
  </si>
  <si>
    <r>
      <rPr>
        <sz val="8"/>
        <rFont val="Calibri"/>
        <family val="2"/>
      </rPr>
      <t>merguiensis</t>
    </r>
  </si>
  <si>
    <t>Penaeus_merguiensis</t>
  </si>
  <si>
    <r>
      <rPr>
        <sz val="8"/>
        <rFont val="Calibri"/>
        <family val="2"/>
      </rPr>
      <t>[34]</t>
    </r>
  </si>
  <si>
    <t>[34]</t>
  </si>
  <si>
    <r>
      <rPr>
        <sz val="8"/>
        <rFont val="Calibri"/>
        <family val="2"/>
      </rPr>
      <t>semisulcatus</t>
    </r>
  </si>
  <si>
    <t>Penaeus_semisulcatus</t>
  </si>
  <si>
    <r>
      <rPr>
        <sz val="8"/>
        <rFont val="Calibri"/>
        <family val="2"/>
      </rPr>
      <t>[35]</t>
    </r>
  </si>
  <si>
    <t>[35]</t>
  </si>
  <si>
    <r>
      <rPr>
        <sz val="8"/>
        <rFont val="Calibri"/>
        <family val="2"/>
      </rPr>
      <t>Gasterosteus</t>
    </r>
  </si>
  <si>
    <r>
      <rPr>
        <sz val="8"/>
        <rFont val="Calibri"/>
        <family val="2"/>
      </rPr>
      <t>aculeatus</t>
    </r>
  </si>
  <si>
    <t>Gasterosteus_aculeatus</t>
  </si>
  <si>
    <r>
      <rPr>
        <sz val="8"/>
        <rFont val="Calibri"/>
        <family val="2"/>
      </rPr>
      <t>[67]</t>
    </r>
  </si>
  <si>
    <t>[67], fishbase</t>
  </si>
  <si>
    <t>Missing acclimation time and seasonality</t>
  </si>
  <si>
    <r>
      <rPr>
        <sz val="8"/>
        <rFont val="Calibri"/>
        <family val="2"/>
      </rPr>
      <t>clarkii</t>
    </r>
  </si>
  <si>
    <t>Oncorhynchus_clarkii</t>
  </si>
  <si>
    <r>
      <rPr>
        <sz val="8"/>
        <rFont val="Calibri"/>
        <family val="2"/>
      </rPr>
      <t>[72]</t>
    </r>
  </si>
  <si>
    <t>http://www.nrcresearchpress.com/doi/abs/10.1139/f00-010#.V13ydLsrJdh, fishbase</t>
  </si>
  <si>
    <r>
      <rPr>
        <sz val="12"/>
        <rFont val="Cambria"/>
        <family val="1"/>
      </rPr>
      <t xml:space="preserve">1.         Claussen D.L. 1973 The thermal relations of the tailed frog, </t>
    </r>
    <r>
      <rPr>
        <i/>
        <sz val="12"/>
        <rFont val="Cambria"/>
        <family val="1"/>
      </rPr>
      <t>Ascaphus truei</t>
    </r>
    <r>
      <rPr>
        <sz val="12"/>
        <rFont val="Cambria"/>
        <family val="1"/>
      </rPr>
      <t xml:space="preserve">, and the pacific treefrog, </t>
    </r>
    <r>
      <rPr>
        <i/>
        <sz val="12"/>
        <rFont val="Cambria"/>
        <family val="1"/>
      </rPr>
      <t>Hyla regilla</t>
    </r>
    <r>
      <rPr>
        <sz val="12"/>
        <rFont val="Cambria"/>
        <family val="1"/>
      </rPr>
      <t>.</t>
    </r>
  </si>
  <si>
    <r>
      <rPr>
        <i/>
        <sz val="12"/>
        <rFont val="Cambria"/>
        <family val="1"/>
      </rPr>
      <t xml:space="preserve">Comparative Biochemistry and Physiology Part A: Physiology </t>
    </r>
    <r>
      <rPr>
        <b/>
        <sz val="12"/>
        <rFont val="Cambria"/>
        <family val="1"/>
      </rPr>
      <t>44</t>
    </r>
    <r>
      <rPr>
        <sz val="12"/>
        <rFont val="Cambria"/>
        <family val="1"/>
      </rPr>
      <t>(1), 137-­‐153.</t>
    </r>
  </si>
  <si>
    <r>
      <rPr>
        <sz val="12"/>
        <rFont val="Cambria"/>
        <family val="1"/>
      </rPr>
      <t xml:space="preserve">2.         Brattstrom B.H. 1968 Thermal acclimation in anuran amphibians as a function of latitude and altitude. </t>
    </r>
    <r>
      <rPr>
        <i/>
        <sz val="12"/>
        <rFont val="Cambria"/>
        <family val="1"/>
      </rPr>
      <t xml:space="preserve">Comparative Biochemistry and Physiology </t>
    </r>
    <r>
      <rPr>
        <b/>
        <sz val="12"/>
        <rFont val="Cambria"/>
        <family val="1"/>
      </rPr>
      <t>24</t>
    </r>
    <r>
      <rPr>
        <sz val="12"/>
        <rFont val="Cambria"/>
        <family val="1"/>
      </rPr>
      <t>(1), 93-­‐111.</t>
    </r>
  </si>
  <si>
    <t>3.         Christian K.A., Nunez F., Clos L., Diaz L. 1988 Thermal relations of some tropical frogs along an altitudinal gradient.</t>
  </si>
  <si>
    <r>
      <rPr>
        <i/>
        <sz val="12"/>
        <rFont val="Cambria"/>
        <family val="1"/>
      </rPr>
      <t xml:space="preserve">Biotropica </t>
    </r>
    <r>
      <rPr>
        <b/>
        <sz val="12"/>
        <rFont val="Cambria"/>
        <family val="1"/>
      </rPr>
      <t>20</t>
    </r>
    <r>
      <rPr>
        <sz val="12"/>
        <rFont val="Cambria"/>
        <family val="1"/>
      </rPr>
      <t>, 236-­‐239.</t>
    </r>
  </si>
  <si>
    <r>
      <rPr>
        <sz val="12"/>
        <rFont val="Cambria"/>
        <family val="1"/>
      </rPr>
      <t xml:space="preserve">4.         Brattstrom B.H. 1970 Thermal acclimation in Australian amphibians. </t>
    </r>
    <r>
      <rPr>
        <i/>
        <sz val="12"/>
        <rFont val="Cambria"/>
        <family val="1"/>
      </rPr>
      <t xml:space="preserve">Comparative Biochemistry and Physiology </t>
    </r>
    <r>
      <rPr>
        <b/>
        <sz val="12"/>
        <rFont val="Cambria"/>
        <family val="1"/>
      </rPr>
      <t>35</t>
    </r>
    <r>
      <rPr>
        <sz val="12"/>
        <rFont val="Cambria"/>
        <family val="1"/>
      </rPr>
      <t>(1), 69-­‐103.</t>
    </r>
  </si>
  <si>
    <r>
      <rPr>
        <sz val="12"/>
        <rFont val="Cambria"/>
        <family val="1"/>
      </rPr>
      <t>5.         Dunlap D.G. 1968 Critical thermal maximum as a function of temperature of acclimation in two species of hylid frogs.</t>
    </r>
  </si>
  <si>
    <r>
      <rPr>
        <i/>
        <sz val="12"/>
        <rFont val="Cambria"/>
        <family val="1"/>
      </rPr>
      <t xml:space="preserve">Physiological Zoology </t>
    </r>
    <r>
      <rPr>
        <b/>
        <sz val="12"/>
        <rFont val="Cambria"/>
        <family val="1"/>
      </rPr>
      <t>41</t>
    </r>
    <r>
      <rPr>
        <sz val="12"/>
        <rFont val="Cambria"/>
        <family val="1"/>
      </rPr>
      <t>, 432-­‐439.</t>
    </r>
  </si>
  <si>
    <r>
      <rPr>
        <sz val="12"/>
        <rFont val="Cambria"/>
        <family val="1"/>
      </rPr>
      <t xml:space="preserve">6.        Brattstrom B.H., Regal P. 1965 Rate of thermal acclimation in the Mexican salamander </t>
    </r>
    <r>
      <rPr>
        <i/>
        <sz val="12"/>
        <rFont val="Cambria"/>
        <family val="1"/>
      </rPr>
      <t>Chiropterotriton</t>
    </r>
    <r>
      <rPr>
        <sz val="12"/>
        <rFont val="Cambria"/>
        <family val="1"/>
      </rPr>
      <t xml:space="preserve">. </t>
    </r>
    <r>
      <rPr>
        <i/>
        <sz val="12"/>
        <rFont val="Cambria"/>
        <family val="1"/>
      </rPr>
      <t>Copeia</t>
    </r>
    <r>
      <rPr>
        <sz val="12"/>
        <rFont val="Cambria"/>
        <family val="1"/>
      </rPr>
      <t>, 514-­‐ 515.</t>
    </r>
  </si>
  <si>
    <r>
      <rPr>
        <sz val="12"/>
        <rFont val="Cambria"/>
        <family val="1"/>
      </rPr>
      <t>7.         Holzman N., McManus J.J. 1973 Effects of acclimation on metabolic rate and thermal tolerance in the carpenter frog,</t>
    </r>
  </si>
  <si>
    <r>
      <rPr>
        <i/>
        <sz val="12"/>
        <rFont val="Cambria"/>
        <family val="1"/>
      </rPr>
      <t>Rana vergatipes</t>
    </r>
    <r>
      <rPr>
        <sz val="12"/>
        <rFont val="Cambria"/>
        <family val="1"/>
      </rPr>
      <t xml:space="preserve">. </t>
    </r>
    <r>
      <rPr>
        <i/>
        <sz val="12"/>
        <rFont val="Cambria"/>
        <family val="1"/>
      </rPr>
      <t xml:space="preserve">Comparative Biochemistry and Physiology Part A: Physiology </t>
    </r>
    <r>
      <rPr>
        <b/>
        <sz val="12"/>
        <rFont val="Cambria"/>
        <family val="1"/>
      </rPr>
      <t>45</t>
    </r>
    <r>
      <rPr>
        <sz val="12"/>
        <rFont val="Cambria"/>
        <family val="1"/>
      </rPr>
      <t>(3), 833-­‐842.</t>
    </r>
  </si>
  <si>
    <r>
      <rPr>
        <sz val="12"/>
        <rFont val="Cambria"/>
        <family val="1"/>
      </rPr>
      <t xml:space="preserve">8.     Chen T.-­‐C., Kam Y.-­‐C., Lin Y.-­‐S. 2001 Thermal physiology and reproductive phenology of </t>
    </r>
    <r>
      <rPr>
        <i/>
        <sz val="12"/>
        <rFont val="Cambria"/>
        <family val="1"/>
      </rPr>
      <t>Buergeria japonica</t>
    </r>
  </si>
  <si>
    <r>
      <rPr>
        <sz val="12"/>
        <rFont val="Cambria"/>
        <family val="1"/>
      </rPr>
      <t xml:space="preserve">(Rhacophoridae) breeding in a stream and a geothermal hotspring in Taiwan. </t>
    </r>
    <r>
      <rPr>
        <i/>
        <sz val="12"/>
        <rFont val="Cambria"/>
        <family val="1"/>
      </rPr>
      <t xml:space="preserve">Zoological Science </t>
    </r>
    <r>
      <rPr>
        <b/>
        <sz val="12"/>
        <rFont val="Cambria"/>
        <family val="1"/>
      </rPr>
      <t>18</t>
    </r>
    <r>
      <rPr>
        <sz val="12"/>
        <rFont val="Cambria"/>
        <family val="1"/>
      </rPr>
      <t>(4), 591-­‐596.</t>
    </r>
  </si>
  <si>
    <r>
      <rPr>
        <sz val="12"/>
        <rFont val="Cambria"/>
        <family val="1"/>
      </rPr>
      <t xml:space="preserve">9.      Claussen D.L. 1977 Thermal acclimation in ambystomatid salamanders. </t>
    </r>
    <r>
      <rPr>
        <i/>
        <sz val="12"/>
        <rFont val="Cambria"/>
        <family val="1"/>
      </rPr>
      <t xml:space="preserve">Comparative Biochemistry and Physiology-­‐-­‐Part A: Physiology </t>
    </r>
    <r>
      <rPr>
        <b/>
        <sz val="12"/>
        <rFont val="Cambria"/>
        <family val="1"/>
      </rPr>
      <t>58</t>
    </r>
    <r>
      <rPr>
        <sz val="12"/>
        <rFont val="Cambria"/>
        <family val="1"/>
      </rPr>
      <t>(4), 333-­‐340.</t>
    </r>
  </si>
  <si>
    <r>
      <rPr>
        <sz val="12"/>
        <rFont val="Cambria"/>
        <family val="1"/>
      </rPr>
      <t xml:space="preserve">10.      Hutchison V.H. 1961 Critical thermal maxima in salamanders. </t>
    </r>
    <r>
      <rPr>
        <i/>
        <sz val="12"/>
        <rFont val="Cambria"/>
        <family val="1"/>
      </rPr>
      <t xml:space="preserve">Physiological Zoology </t>
    </r>
    <r>
      <rPr>
        <b/>
        <sz val="12"/>
        <rFont val="Cambria"/>
        <family val="1"/>
      </rPr>
      <t>34</t>
    </r>
    <r>
      <rPr>
        <sz val="12"/>
        <rFont val="Cambria"/>
        <family val="1"/>
      </rPr>
      <t>, 92-­‐125.</t>
    </r>
  </si>
  <si>
    <r>
      <rPr>
        <sz val="12"/>
        <rFont val="Cambria"/>
        <family val="1"/>
      </rPr>
      <t xml:space="preserve">11.       Hutchison V.H., Engbretson G., Turney D. 1973 Thermal acclimation and tolerance in the hellbender, </t>
    </r>
    <r>
      <rPr>
        <i/>
        <sz val="12"/>
        <rFont val="Cambria"/>
        <family val="1"/>
      </rPr>
      <t>Cryptobranchus alleganiensis</t>
    </r>
    <r>
      <rPr>
        <sz val="12"/>
        <rFont val="Cambria"/>
        <family val="1"/>
      </rPr>
      <t xml:space="preserve">. </t>
    </r>
    <r>
      <rPr>
        <i/>
        <sz val="12"/>
        <rFont val="Cambria"/>
        <family val="1"/>
      </rPr>
      <t>Copeia</t>
    </r>
    <r>
      <rPr>
        <sz val="12"/>
        <rFont val="Cambria"/>
        <family val="1"/>
      </rPr>
      <t>, 805-­‐807.</t>
    </r>
  </si>
  <si>
    <r>
      <rPr>
        <sz val="12"/>
        <rFont val="Cambria"/>
        <family val="1"/>
      </rPr>
      <t xml:space="preserve">12.       Hutchison V.H., Rowlan S.D. 1975 Thermal acclimation and tolerance in the mudpuppy, </t>
    </r>
    <r>
      <rPr>
        <i/>
        <sz val="12"/>
        <rFont val="Cambria"/>
        <family val="1"/>
      </rPr>
      <t>Necturus maculosus</t>
    </r>
    <r>
      <rPr>
        <sz val="12"/>
        <rFont val="Cambria"/>
        <family val="1"/>
      </rPr>
      <t xml:space="preserve">. </t>
    </r>
    <r>
      <rPr>
        <i/>
        <sz val="12"/>
        <rFont val="Cambria"/>
        <family val="1"/>
      </rPr>
      <t xml:space="preserve">Journal of Herpetology </t>
    </r>
    <r>
      <rPr>
        <b/>
        <sz val="12"/>
        <rFont val="Cambria"/>
        <family val="1"/>
      </rPr>
      <t>9</t>
    </r>
    <r>
      <rPr>
        <sz val="12"/>
        <rFont val="Cambria"/>
        <family val="1"/>
      </rPr>
      <t>(4), 367-­‐368.</t>
    </r>
  </si>
  <si>
    <r>
      <rPr>
        <sz val="12"/>
        <rFont val="Cambria"/>
        <family val="1"/>
      </rPr>
      <t xml:space="preserve">13.       Layne J.R., Claussen D.L. 1982 The time courses of CTMax and CTMin acclimation in the salamander </t>
    </r>
    <r>
      <rPr>
        <i/>
        <sz val="12"/>
        <rFont val="Cambria"/>
        <family val="1"/>
      </rPr>
      <t>Desmognathus fuscus</t>
    </r>
    <r>
      <rPr>
        <sz val="12"/>
        <rFont val="Cambria"/>
        <family val="1"/>
      </rPr>
      <t xml:space="preserve">. </t>
    </r>
    <r>
      <rPr>
        <i/>
        <sz val="12"/>
        <rFont val="Cambria"/>
        <family val="1"/>
      </rPr>
      <t xml:space="preserve">Journal of Thermal Biology </t>
    </r>
    <r>
      <rPr>
        <b/>
        <sz val="12"/>
        <rFont val="Cambria"/>
        <family val="1"/>
      </rPr>
      <t>7</t>
    </r>
    <r>
      <rPr>
        <sz val="12"/>
        <rFont val="Cambria"/>
        <family val="1"/>
      </rPr>
      <t>(3), 139-­‐141.</t>
    </r>
  </si>
  <si>
    <r>
      <rPr>
        <sz val="12"/>
        <rFont val="Cambria"/>
        <family val="1"/>
      </rPr>
      <t xml:space="preserve">14.       Layne Jr J.R., Claussen D.L. 1982 Seasonal variation in the thermal acclimation of critical thermal maxima (CTMax) and minima (CTMin) in the salamander </t>
    </r>
    <r>
      <rPr>
        <i/>
        <sz val="12"/>
        <rFont val="Cambria"/>
        <family val="1"/>
      </rPr>
      <t>Eurycea bislineata</t>
    </r>
    <r>
      <rPr>
        <sz val="12"/>
        <rFont val="Cambria"/>
        <family val="1"/>
      </rPr>
      <t xml:space="preserve">. </t>
    </r>
    <r>
      <rPr>
        <i/>
        <sz val="12"/>
        <rFont val="Cambria"/>
        <family val="1"/>
      </rPr>
      <t xml:space="preserve">Journal of Thermal Biology </t>
    </r>
    <r>
      <rPr>
        <b/>
        <sz val="12"/>
        <rFont val="Cambria"/>
        <family val="1"/>
      </rPr>
      <t>7</t>
    </r>
    <r>
      <rPr>
        <sz val="12"/>
        <rFont val="Cambria"/>
        <family val="1"/>
      </rPr>
      <t>(1), 29-­‐33.</t>
    </r>
  </si>
  <si>
    <r>
      <rPr>
        <sz val="12"/>
        <rFont val="Cambria"/>
        <family val="1"/>
      </rPr>
      <t xml:space="preserve">15. Layne Jr J.R., Claussen D.L. 1987 Time courses of thermal acclimation for critical thermal minima in the salamanders </t>
    </r>
    <r>
      <rPr>
        <i/>
        <sz val="12"/>
        <rFont val="Cambria"/>
        <family val="1"/>
      </rPr>
      <t>Desmognathus quadramaculatus</t>
    </r>
    <r>
      <rPr>
        <sz val="12"/>
        <rFont val="Cambria"/>
        <family val="1"/>
      </rPr>
      <t xml:space="preserve">, </t>
    </r>
    <r>
      <rPr>
        <i/>
        <sz val="12"/>
        <rFont val="Cambria"/>
        <family val="1"/>
      </rPr>
      <t>Desmognathus monticola</t>
    </r>
    <r>
      <rPr>
        <sz val="12"/>
        <rFont val="Cambria"/>
        <family val="1"/>
      </rPr>
      <t xml:space="preserve">, </t>
    </r>
    <r>
      <rPr>
        <i/>
        <sz val="12"/>
        <rFont val="Cambria"/>
        <family val="1"/>
      </rPr>
      <t>Desmognathus ochrophaeus</t>
    </r>
    <r>
      <rPr>
        <sz val="12"/>
        <rFont val="Cambria"/>
        <family val="1"/>
      </rPr>
      <t xml:space="preserve">, and </t>
    </r>
    <r>
      <rPr>
        <i/>
        <sz val="12"/>
        <rFont val="Cambria"/>
        <family val="1"/>
      </rPr>
      <t>Plethodon jordani</t>
    </r>
    <r>
      <rPr>
        <sz val="12"/>
        <rFont val="Cambria"/>
        <family val="1"/>
      </rPr>
      <t xml:space="preserve">. </t>
    </r>
    <r>
      <rPr>
        <i/>
        <sz val="12"/>
        <rFont val="Cambria"/>
        <family val="1"/>
      </rPr>
      <t xml:space="preserve">Comparative Biochemistry and Physiology Part A: Physiology </t>
    </r>
    <r>
      <rPr>
        <b/>
        <sz val="12"/>
        <rFont val="Cambria"/>
        <family val="1"/>
      </rPr>
      <t>87</t>
    </r>
    <r>
      <rPr>
        <sz val="12"/>
        <rFont val="Cambria"/>
        <family val="1"/>
      </rPr>
      <t>(4), 895-­‐898.</t>
    </r>
  </si>
  <si>
    <r>
      <rPr>
        <sz val="12"/>
        <rFont val="Cambria"/>
        <family val="1"/>
      </rPr>
      <t xml:space="preserve">16.       Gvozdík L., Puky M., Šugerková M. 2007 Acclimation is beneficial at extreme test temperatures in the Danube crested newt, </t>
    </r>
    <r>
      <rPr>
        <i/>
        <sz val="12"/>
        <rFont val="Cambria"/>
        <family val="1"/>
      </rPr>
      <t xml:space="preserve">Triturus dobrogicus </t>
    </r>
    <r>
      <rPr>
        <sz val="12"/>
        <rFont val="Cambria"/>
        <family val="1"/>
      </rPr>
      <t xml:space="preserve">(Caudata, Salamandridae). </t>
    </r>
    <r>
      <rPr>
        <i/>
        <sz val="12"/>
        <rFont val="Cambria"/>
        <family val="1"/>
      </rPr>
      <t xml:space="preserve">Biological Journal of the Linnean Society </t>
    </r>
    <r>
      <rPr>
        <b/>
        <sz val="12"/>
        <rFont val="Cambria"/>
        <family val="1"/>
      </rPr>
      <t>90</t>
    </r>
    <r>
      <rPr>
        <sz val="12"/>
        <rFont val="Cambria"/>
        <family val="1"/>
      </rPr>
      <t>(4), 627-­‐636.</t>
    </r>
  </si>
  <si>
    <r>
      <t xml:space="preserve">17.       Cuculescu M., Hyde D., Bowler K. 1998 Thermal tolerance of two species of marine crab, </t>
    </r>
    <r>
      <rPr>
        <i/>
        <sz val="12"/>
        <rFont val="Cambria"/>
        <family val="1"/>
      </rPr>
      <t xml:space="preserve">Cancer pagurus </t>
    </r>
    <r>
      <rPr>
        <sz val="12"/>
        <rFont val="Cambria"/>
        <family val="1"/>
      </rPr>
      <t xml:space="preserve">and </t>
    </r>
    <r>
      <rPr>
        <i/>
        <sz val="12"/>
        <rFont val="Cambria"/>
        <family val="1"/>
      </rPr>
      <t>Carcinus maenas</t>
    </r>
    <r>
      <rPr>
        <sz val="12"/>
        <rFont val="Cambria"/>
        <family val="1"/>
      </rPr>
      <t xml:space="preserve">. </t>
    </r>
    <r>
      <rPr>
        <i/>
        <sz val="12"/>
        <rFont val="Cambria"/>
        <family val="1"/>
      </rPr>
      <t xml:space="preserve">Journal of Thermal Biology </t>
    </r>
    <r>
      <rPr>
        <b/>
        <sz val="12"/>
        <rFont val="Cambria"/>
        <family val="1"/>
      </rPr>
      <t>23</t>
    </r>
    <r>
      <rPr>
        <sz val="12"/>
        <rFont val="Cambria"/>
        <family val="1"/>
      </rPr>
      <t>(2), 107-­‐110.</t>
    </r>
  </si>
  <si>
    <r>
      <rPr>
        <sz val="12"/>
        <rFont val="Cambria"/>
        <family val="1"/>
      </rPr>
      <t xml:space="preserve">18.       Magozzi S., Calosi P. 2015 Integrating metabolic performance, thermal tolerance, and plasticity enables for more accurate predictions on species vulnerability to acute and chronic effects of global warming. </t>
    </r>
    <r>
      <rPr>
        <i/>
        <sz val="12"/>
        <rFont val="Cambria"/>
        <family val="1"/>
      </rPr>
      <t xml:space="preserve">Global Change Biology </t>
    </r>
    <r>
      <rPr>
        <b/>
        <sz val="12"/>
        <rFont val="Cambria"/>
        <family val="1"/>
      </rPr>
      <t>21</t>
    </r>
    <r>
      <rPr>
        <sz val="12"/>
        <rFont val="Cambria"/>
        <family val="1"/>
      </rPr>
      <t>(1), 181-­‐ 194.</t>
    </r>
  </si>
  <si>
    <r>
      <rPr>
        <sz val="12"/>
        <rFont val="Cambria"/>
        <family val="1"/>
      </rPr>
      <t>19.       Reiser S. 2013 Coping with extreme temperatures: Thermal preference and critical lower thermal limits of the common brown shrimp (</t>
    </r>
    <r>
      <rPr>
        <i/>
        <sz val="12"/>
        <rFont val="Cambria"/>
        <family val="1"/>
      </rPr>
      <t>Crangon crangon</t>
    </r>
    <r>
      <rPr>
        <sz val="12"/>
        <rFont val="Cambria"/>
        <family val="1"/>
      </rPr>
      <t>, L.), Hamburg, Universität Hamburg, Dissertation, 2013.</t>
    </r>
  </si>
  <si>
    <r>
      <t xml:space="preserve">20.       Ravaux J., Léger N., Rabet N., Morini M., Zbinden M., Thatje S., Shillito B. 2012 Adaptation to thermally variable environments: capacity for acclimation of thermal limit and heat shock response in the shrimp </t>
    </r>
    <r>
      <rPr>
        <i/>
        <sz val="12"/>
        <rFont val="Cambria"/>
        <family val="1"/>
      </rPr>
      <t>Palaemonetes varians</t>
    </r>
    <r>
      <rPr>
        <sz val="12"/>
        <rFont val="Cambria"/>
        <family val="1"/>
      </rPr>
      <t xml:space="preserve">. </t>
    </r>
    <r>
      <rPr>
        <i/>
        <sz val="12"/>
        <rFont val="Cambria"/>
        <family val="1"/>
      </rPr>
      <t xml:space="preserve">Journal of Comparative Physiology B </t>
    </r>
    <r>
      <rPr>
        <b/>
        <sz val="12"/>
        <rFont val="Cambria"/>
        <family val="1"/>
      </rPr>
      <t>182</t>
    </r>
    <r>
      <rPr>
        <sz val="12"/>
        <rFont val="Cambria"/>
        <family val="1"/>
      </rPr>
      <t>(7), 899-­‐907.</t>
    </r>
  </si>
  <si>
    <r>
      <t xml:space="preserve">21.       Re A.D., Diaz F., Sierra E., Rodríguez J., Perez E. 2005 Effect of salinity and temperature on thermal tolerance of brown shrimp </t>
    </r>
    <r>
      <rPr>
        <i/>
        <sz val="12"/>
        <rFont val="Cambria"/>
        <family val="1"/>
      </rPr>
      <t xml:space="preserve">Farfantepenaeus aztecus </t>
    </r>
    <r>
      <rPr>
        <sz val="12"/>
        <rFont val="Cambria"/>
        <family val="1"/>
      </rPr>
      <t xml:space="preserve">(Ives)(Crustacea, Penaeidae). </t>
    </r>
    <r>
      <rPr>
        <i/>
        <sz val="12"/>
        <rFont val="Cambria"/>
        <family val="1"/>
      </rPr>
      <t xml:space="preserve">Journal of Thermal Biology </t>
    </r>
    <r>
      <rPr>
        <b/>
        <sz val="12"/>
        <rFont val="Cambria"/>
        <family val="1"/>
      </rPr>
      <t>30</t>
    </r>
    <r>
      <rPr>
        <sz val="12"/>
        <rFont val="Cambria"/>
        <family val="1"/>
      </rPr>
      <t>(8), 618-­‐622.</t>
    </r>
  </si>
  <si>
    <r>
      <t xml:space="preserve">22.       McGaw I. 2003 Behavioral thermoregulation in </t>
    </r>
    <r>
      <rPr>
        <i/>
        <sz val="12"/>
        <rFont val="Cambria"/>
        <family val="1"/>
      </rPr>
      <t>Hemigrapsus nudus</t>
    </r>
    <r>
      <rPr>
        <sz val="12"/>
        <rFont val="Cambria"/>
        <family val="1"/>
      </rPr>
      <t xml:space="preserve">, the amphibious purple shore crab. </t>
    </r>
    <r>
      <rPr>
        <i/>
        <sz val="12"/>
        <rFont val="Cambria"/>
        <family val="1"/>
      </rPr>
      <t>The Biological</t>
    </r>
  </si>
  <si>
    <r>
      <rPr>
        <i/>
        <sz val="12"/>
        <rFont val="Cambria"/>
        <family val="1"/>
      </rPr>
      <t xml:space="preserve">Bulletin </t>
    </r>
    <r>
      <rPr>
        <b/>
        <sz val="12"/>
        <rFont val="Cambria"/>
        <family val="1"/>
      </rPr>
      <t>204</t>
    </r>
    <r>
      <rPr>
        <sz val="12"/>
        <rFont val="Cambria"/>
        <family val="1"/>
      </rPr>
      <t>(1), 38-­‐49.</t>
    </r>
  </si>
  <si>
    <r>
      <t xml:space="preserve">23.       Kivivuori L., Lagerspetz K.Y. 1990 Thermal resistance and behaviour of the isopod Saduria entomon (L.). </t>
    </r>
    <r>
      <rPr>
        <i/>
        <sz val="12"/>
        <rFont val="Cambria"/>
        <family val="1"/>
      </rPr>
      <t xml:space="preserve">Ann Zool Fennici </t>
    </r>
    <r>
      <rPr>
        <b/>
        <sz val="12"/>
        <rFont val="Cambria"/>
        <family val="1"/>
      </rPr>
      <t>27</t>
    </r>
    <r>
      <rPr>
        <sz val="12"/>
        <rFont val="Cambria"/>
        <family val="1"/>
      </rPr>
      <t>, 287-­‐290.</t>
    </r>
  </si>
  <si>
    <r>
      <rPr>
        <sz val="12"/>
        <rFont val="Cambria"/>
        <family val="1"/>
      </rPr>
      <t xml:space="preserve">24.       Buchanan J.A., Stewart B.A., Davies B.R. 1988 Thermal acclimation and tolerance to lethal high temperature in the mountain stream amphipod </t>
    </r>
    <r>
      <rPr>
        <i/>
        <sz val="12"/>
        <rFont val="Cambria"/>
        <family val="1"/>
      </rPr>
      <t xml:space="preserve">Paramelita nigroculus </t>
    </r>
    <r>
      <rPr>
        <sz val="12"/>
        <rFont val="Cambria"/>
        <family val="1"/>
      </rPr>
      <t xml:space="preserve">(Barnard). </t>
    </r>
    <r>
      <rPr>
        <i/>
        <sz val="12"/>
        <rFont val="Cambria"/>
        <family val="1"/>
      </rPr>
      <t xml:space="preserve">Comparative Biochemistry and Physiology Part A: Physiology </t>
    </r>
    <r>
      <rPr>
        <b/>
        <sz val="12"/>
        <rFont val="Cambria"/>
        <family val="1"/>
      </rPr>
      <t>89</t>
    </r>
    <r>
      <rPr>
        <sz val="12"/>
        <rFont val="Cambria"/>
        <family val="1"/>
      </rPr>
      <t>(3), 425-­‐431.</t>
    </r>
  </si>
  <si>
    <r>
      <rPr>
        <sz val="12"/>
        <rFont val="Cambria"/>
        <family val="1"/>
      </rPr>
      <t xml:space="preserve">25. Morritt D., Ingólfsson A. 2000 Upper thermal tolerances of the beachflea </t>
    </r>
    <r>
      <rPr>
        <i/>
        <sz val="12"/>
        <rFont val="Cambria"/>
        <family val="1"/>
      </rPr>
      <t xml:space="preserve">Orchestia gammarellus </t>
    </r>
    <r>
      <rPr>
        <sz val="12"/>
        <rFont val="Cambria"/>
        <family val="1"/>
      </rPr>
      <t xml:space="preserve">(Pallas)(Crustacea: Amphipoda: Talitridae) associated with hot springs in Iceland. </t>
    </r>
    <r>
      <rPr>
        <i/>
        <sz val="12"/>
        <rFont val="Cambria"/>
        <family val="1"/>
      </rPr>
      <t xml:space="preserve">Journal of Experimental Marine Biology and Ecology </t>
    </r>
    <r>
      <rPr>
        <b/>
        <sz val="12"/>
        <rFont val="Cambria"/>
        <family val="1"/>
      </rPr>
      <t>255</t>
    </r>
    <r>
      <rPr>
        <sz val="12"/>
        <rFont val="Cambria"/>
        <family val="1"/>
      </rPr>
      <t>(2), 215-­‐227.</t>
    </r>
  </si>
  <si>
    <r>
      <rPr>
        <sz val="12"/>
        <rFont val="Cambria"/>
        <family val="1"/>
      </rPr>
      <t xml:space="preserve">26.       Claussen D.L. 1980 Thermal acclimation in the crayfish, </t>
    </r>
    <r>
      <rPr>
        <i/>
        <sz val="12"/>
        <rFont val="Cambria"/>
        <family val="1"/>
      </rPr>
      <t xml:space="preserve">Orconectes rusticus </t>
    </r>
    <r>
      <rPr>
        <sz val="12"/>
        <rFont val="Cambria"/>
        <family val="1"/>
      </rPr>
      <t xml:space="preserve">and </t>
    </r>
    <r>
      <rPr>
        <i/>
        <sz val="12"/>
        <rFont val="Cambria"/>
        <family val="1"/>
      </rPr>
      <t>O. virilis</t>
    </r>
    <r>
      <rPr>
        <sz val="12"/>
        <rFont val="Cambria"/>
        <family val="1"/>
      </rPr>
      <t xml:space="preserve">. </t>
    </r>
    <r>
      <rPr>
        <i/>
        <sz val="12"/>
        <rFont val="Cambria"/>
        <family val="1"/>
      </rPr>
      <t xml:space="preserve">Comparative Biochemistry and Physiology Part A: Physiology </t>
    </r>
    <r>
      <rPr>
        <b/>
        <sz val="12"/>
        <rFont val="Cambria"/>
        <family val="1"/>
      </rPr>
      <t>66</t>
    </r>
    <r>
      <rPr>
        <sz val="12"/>
        <rFont val="Cambria"/>
        <family val="1"/>
      </rPr>
      <t>(3), 377-­‐384.</t>
    </r>
  </si>
  <si>
    <r>
      <rPr>
        <sz val="12"/>
        <rFont val="Cambria"/>
        <family val="1"/>
      </rPr>
      <t xml:space="preserve">27.       Rodríguez M.H., Bückle Ramirez L.F., Díaz Herrera F. 1996 Critical thermal maximum of </t>
    </r>
    <r>
      <rPr>
        <i/>
        <sz val="12"/>
        <rFont val="Cambria"/>
        <family val="1"/>
      </rPr>
      <t>Macrobrachium tenellum</t>
    </r>
    <r>
      <rPr>
        <sz val="12"/>
        <rFont val="Cambria"/>
        <family val="1"/>
      </rPr>
      <t>.</t>
    </r>
  </si>
  <si>
    <r>
      <rPr>
        <i/>
        <sz val="12"/>
        <rFont val="Cambria"/>
        <family val="1"/>
      </rPr>
      <t xml:space="preserve">Journal of Thermal Biology </t>
    </r>
    <r>
      <rPr>
        <b/>
        <sz val="12"/>
        <rFont val="Cambria"/>
        <family val="1"/>
      </rPr>
      <t>21</t>
    </r>
    <r>
      <rPr>
        <sz val="12"/>
        <rFont val="Cambria"/>
        <family val="1"/>
      </rPr>
      <t>(2), 139-­‐143.</t>
    </r>
  </si>
  <si>
    <r>
      <rPr>
        <sz val="12"/>
        <rFont val="Cambria"/>
        <family val="1"/>
      </rPr>
      <t>28.       Dıá</t>
    </r>
  </si>
  <si>
    <r>
      <rPr>
        <sz val="12"/>
        <rFont val="Cambria"/>
        <family val="1"/>
      </rPr>
      <t>z F., Sierra E., Denisse Re A., Rodrıǵ</t>
    </r>
  </si>
  <si>
    <t>uez L. 2002 Behavioural thermoregulation and critical thermal limits of</t>
  </si>
  <si>
    <r>
      <rPr>
        <i/>
        <sz val="12"/>
        <rFont val="Cambria"/>
        <family val="1"/>
      </rPr>
      <t xml:space="preserve">Macrobrachium acanthurus </t>
    </r>
    <r>
      <rPr>
        <sz val="12"/>
        <rFont val="Cambria"/>
        <family val="1"/>
      </rPr>
      <t xml:space="preserve">(Wiegman). </t>
    </r>
    <r>
      <rPr>
        <i/>
        <sz val="12"/>
        <rFont val="Cambria"/>
        <family val="1"/>
      </rPr>
      <t xml:space="preserve">Journal of Thermal Biology </t>
    </r>
    <r>
      <rPr>
        <b/>
        <sz val="12"/>
        <rFont val="Cambria"/>
        <family val="1"/>
      </rPr>
      <t>27</t>
    </r>
    <r>
      <rPr>
        <sz val="12"/>
        <rFont val="Cambria"/>
        <family val="1"/>
      </rPr>
      <t>(5), 423-­‐428.</t>
    </r>
  </si>
  <si>
    <r>
      <rPr>
        <sz val="12"/>
        <rFont val="Cambria"/>
        <family val="1"/>
      </rPr>
      <t xml:space="preserve">29. Selvakumar S., Geraldine P. 2005 Heat shock protein induction in the freshwater prawn </t>
    </r>
    <r>
      <rPr>
        <i/>
        <sz val="12"/>
        <rFont val="Cambria"/>
        <family val="1"/>
      </rPr>
      <t>Macrobrachium malcolmsonii</t>
    </r>
    <r>
      <rPr>
        <sz val="12"/>
        <rFont val="Cambria"/>
        <family val="1"/>
      </rPr>
      <t xml:space="preserve">: Acclimation-­‐influenced variations in the induction temperatures for Hsp70. </t>
    </r>
    <r>
      <rPr>
        <i/>
        <sz val="12"/>
        <rFont val="Cambria"/>
        <family val="1"/>
      </rPr>
      <t xml:space="preserve">Comparative Biochemistry and Physiology Part A: Molecular &amp; Integrative Physiology </t>
    </r>
    <r>
      <rPr>
        <b/>
        <sz val="12"/>
        <rFont val="Cambria"/>
        <family val="1"/>
      </rPr>
      <t>140</t>
    </r>
    <r>
      <rPr>
        <sz val="12"/>
        <rFont val="Cambria"/>
        <family val="1"/>
      </rPr>
      <t>(2), 209-­‐215.</t>
    </r>
  </si>
  <si>
    <r>
      <rPr>
        <sz val="12"/>
        <rFont val="Cambria"/>
        <family val="1"/>
      </rPr>
      <t xml:space="preserve">30.       Lagerspetz K., Bowler K. 1993 Variation in heat tolerance in individual </t>
    </r>
    <r>
      <rPr>
        <i/>
        <sz val="12"/>
        <rFont val="Cambria"/>
        <family val="1"/>
      </rPr>
      <t xml:space="preserve">Asellus aquaticus </t>
    </r>
    <r>
      <rPr>
        <sz val="12"/>
        <rFont val="Cambria"/>
        <family val="1"/>
      </rPr>
      <t>during thermal acclimation.</t>
    </r>
  </si>
  <si>
    <r>
      <rPr>
        <i/>
        <sz val="12"/>
        <rFont val="Cambria"/>
        <family val="1"/>
      </rPr>
      <t xml:space="preserve">Journal of Thermal Biology </t>
    </r>
    <r>
      <rPr>
        <b/>
        <sz val="12"/>
        <rFont val="Cambria"/>
        <family val="1"/>
      </rPr>
      <t>18</t>
    </r>
    <r>
      <rPr>
        <sz val="12"/>
        <rFont val="Cambria"/>
        <family val="1"/>
      </rPr>
      <t>(3), 137-­‐143.</t>
    </r>
  </si>
  <si>
    <t>31.       Camacho J., Qadri S.A., Wang H., Worden M.K. 2006 Temperature acclimation alters cardiac performance in the lobster</t>
  </si>
  <si>
    <r>
      <rPr>
        <i/>
        <sz val="12"/>
        <rFont val="Cambria"/>
        <family val="1"/>
      </rPr>
      <t>Homarus americanus</t>
    </r>
    <r>
      <rPr>
        <sz val="12"/>
        <rFont val="Cambria"/>
        <family val="1"/>
      </rPr>
      <t xml:space="preserve">. </t>
    </r>
    <r>
      <rPr>
        <i/>
        <sz val="12"/>
        <rFont val="Cambria"/>
        <family val="1"/>
      </rPr>
      <t xml:space="preserve">Journal of Comparative Physiology A </t>
    </r>
    <r>
      <rPr>
        <b/>
        <sz val="12"/>
        <rFont val="Cambria"/>
        <family val="1"/>
      </rPr>
      <t>192</t>
    </r>
    <r>
      <rPr>
        <sz val="12"/>
        <rFont val="Cambria"/>
        <family val="1"/>
      </rPr>
      <t>(12), 1327-­‐1334.</t>
    </r>
  </si>
  <si>
    <r>
      <rPr>
        <sz val="12"/>
        <rFont val="Cambria"/>
        <family val="1"/>
      </rPr>
      <t xml:space="preserve">32.       Herrera F.D.a., Sierra Uribe E., Fernando Bückle Ramirez L., Garrido Mora A. 1998 Critical thermal maxima and minima of </t>
    </r>
    <r>
      <rPr>
        <i/>
        <sz val="12"/>
        <rFont val="Cambria"/>
        <family val="1"/>
      </rPr>
      <t xml:space="preserve">Macrobrachium rosenbergii </t>
    </r>
    <r>
      <rPr>
        <sz val="12"/>
        <rFont val="Cambria"/>
        <family val="1"/>
      </rPr>
      <t xml:space="preserve">(Decapoda: Palaemonidae). </t>
    </r>
    <r>
      <rPr>
        <i/>
        <sz val="12"/>
        <rFont val="Cambria"/>
        <family val="1"/>
      </rPr>
      <t xml:space="preserve">Journal of Thermal Biology </t>
    </r>
    <r>
      <rPr>
        <b/>
        <sz val="12"/>
        <rFont val="Cambria"/>
        <family val="1"/>
      </rPr>
      <t>23</t>
    </r>
    <r>
      <rPr>
        <sz val="12"/>
        <rFont val="Cambria"/>
        <family val="1"/>
      </rPr>
      <t>(6), 381-­‐385.</t>
    </r>
  </si>
  <si>
    <r>
      <rPr>
        <sz val="12"/>
        <rFont val="Cambria"/>
        <family val="1"/>
      </rPr>
      <t xml:space="preserve">33.       Kumlu M., Türkmen S., Kumlu M. 2010 Thermal tolerance of </t>
    </r>
    <r>
      <rPr>
        <i/>
        <sz val="12"/>
        <rFont val="Cambria"/>
        <family val="1"/>
      </rPr>
      <t xml:space="preserve">Litopenaeus vannamei </t>
    </r>
    <r>
      <rPr>
        <sz val="12"/>
        <rFont val="Cambria"/>
        <family val="1"/>
      </rPr>
      <t xml:space="preserve">(Crustacea: Penaeidae) acclimated to four temperatures. </t>
    </r>
    <r>
      <rPr>
        <i/>
        <sz val="12"/>
        <rFont val="Cambria"/>
        <family val="1"/>
      </rPr>
      <t xml:space="preserve">Journal of Thermal Biology </t>
    </r>
    <r>
      <rPr>
        <b/>
        <sz val="12"/>
        <rFont val="Cambria"/>
        <family val="1"/>
      </rPr>
      <t>35</t>
    </r>
    <r>
      <rPr>
        <sz val="12"/>
        <rFont val="Cambria"/>
        <family val="1"/>
      </rPr>
      <t>(6), 305-­‐308.</t>
    </r>
  </si>
  <si>
    <r>
      <rPr>
        <sz val="12"/>
        <rFont val="Cambria"/>
        <family val="1"/>
      </rPr>
      <t xml:space="preserve">34.       Hoang T., Lee S.Y., Keenan C.P., Marsden G.E. 2002 Cold tolerance of the banana prawn </t>
    </r>
    <r>
      <rPr>
        <i/>
        <sz val="12"/>
        <rFont val="Cambria"/>
        <family val="1"/>
      </rPr>
      <t xml:space="preserve">Penaeus merguiensis </t>
    </r>
    <r>
      <rPr>
        <sz val="12"/>
        <rFont val="Cambria"/>
        <family val="1"/>
      </rPr>
      <t xml:space="preserve">de Man and its growth at different temperatures. </t>
    </r>
    <r>
      <rPr>
        <i/>
        <sz val="12"/>
        <rFont val="Cambria"/>
        <family val="1"/>
      </rPr>
      <t xml:space="preserve">Aquaculture Research </t>
    </r>
    <r>
      <rPr>
        <b/>
        <sz val="12"/>
        <rFont val="Cambria"/>
        <family val="1"/>
      </rPr>
      <t>33</t>
    </r>
    <r>
      <rPr>
        <sz val="12"/>
        <rFont val="Cambria"/>
        <family val="1"/>
      </rPr>
      <t>(1), 21-­‐26.</t>
    </r>
  </si>
  <si>
    <r>
      <rPr>
        <sz val="12"/>
        <rFont val="Cambria"/>
        <family val="1"/>
      </rPr>
      <t xml:space="preserve">35.       Kιr M., Kumlu M. 2008 Effect of temperature and salinity on low thermal tolerance of </t>
    </r>
    <r>
      <rPr>
        <i/>
        <sz val="12"/>
        <rFont val="Cambria"/>
        <family val="1"/>
      </rPr>
      <t xml:space="preserve">Penaeus semisulcatus </t>
    </r>
    <r>
      <rPr>
        <sz val="12"/>
        <rFont val="Cambria"/>
        <family val="1"/>
      </rPr>
      <t>(Decapoda:</t>
    </r>
  </si>
  <si>
    <r>
      <rPr>
        <sz val="12"/>
        <rFont val="Cambria"/>
        <family val="1"/>
      </rPr>
      <t xml:space="preserve">Penaeidae). </t>
    </r>
    <r>
      <rPr>
        <i/>
        <sz val="12"/>
        <rFont val="Cambria"/>
        <family val="1"/>
      </rPr>
      <t xml:space="preserve">Aquaculture Research </t>
    </r>
    <r>
      <rPr>
        <b/>
        <sz val="12"/>
        <rFont val="Cambria"/>
        <family val="1"/>
      </rPr>
      <t>39</t>
    </r>
    <r>
      <rPr>
        <sz val="12"/>
        <rFont val="Cambria"/>
        <family val="1"/>
      </rPr>
      <t>(10), 1101-­‐1106.</t>
    </r>
  </si>
  <si>
    <t>36.       Qari S., Aljarari R. 2014 The effect of season and acclimation on the heat and cold tolerance of the Red Sea crab,</t>
  </si>
  <si>
    <r>
      <rPr>
        <i/>
        <sz val="12"/>
        <rFont val="Cambria"/>
        <family val="1"/>
      </rPr>
      <t>Portunus pelagricus</t>
    </r>
    <r>
      <rPr>
        <sz val="12"/>
        <rFont val="Cambria"/>
        <family val="1"/>
      </rPr>
      <t xml:space="preserve">. </t>
    </r>
    <r>
      <rPr>
        <i/>
        <sz val="12"/>
        <rFont val="Cambria"/>
        <family val="1"/>
      </rPr>
      <t xml:space="preserve">Life Science Journal </t>
    </r>
    <r>
      <rPr>
        <b/>
        <sz val="12"/>
        <rFont val="Cambria"/>
        <family val="1"/>
      </rPr>
      <t>11</t>
    </r>
    <r>
      <rPr>
        <sz val="12"/>
        <rFont val="Cambria"/>
        <family val="1"/>
      </rPr>
      <t>(4), 145-­‐148.</t>
    </r>
  </si>
  <si>
    <r>
      <t xml:space="preserve">37.       Fangue N.A., Hofmeister M., Schulte P.M. 2006 Intraspecific variation in thermal tolerance and heat shock protein gene expression in common killifish, </t>
    </r>
    <r>
      <rPr>
        <i/>
        <sz val="12"/>
        <rFont val="Cambria"/>
        <family val="1"/>
      </rPr>
      <t>Fundulus heteroclitus</t>
    </r>
    <r>
      <rPr>
        <sz val="12"/>
        <rFont val="Cambria"/>
        <family val="1"/>
      </rPr>
      <t xml:space="preserve">. </t>
    </r>
    <r>
      <rPr>
        <i/>
        <sz val="12"/>
        <rFont val="Cambria"/>
        <family val="1"/>
      </rPr>
      <t xml:space="preserve">Journal of Experimental Biology </t>
    </r>
    <r>
      <rPr>
        <b/>
        <sz val="12"/>
        <rFont val="Cambria"/>
        <family val="1"/>
      </rPr>
      <t>209</t>
    </r>
    <r>
      <rPr>
        <sz val="12"/>
        <rFont val="Cambria"/>
        <family val="1"/>
      </rPr>
      <t>(15), 2859-­‐2872.</t>
    </r>
  </si>
  <si>
    <r>
      <rPr>
        <sz val="12"/>
        <rFont val="Cambria"/>
        <family val="1"/>
      </rPr>
      <t>38.       Eme J., Bennett W.A. 2009 Critical thermal tolerance polygons of tropical marine fishes from Sulawesi, Indonesia.</t>
    </r>
  </si>
  <si>
    <r>
      <rPr>
        <i/>
        <sz val="12"/>
        <rFont val="Cambria"/>
        <family val="1"/>
      </rPr>
      <t xml:space="preserve">Journal of Thermal Biology </t>
    </r>
    <r>
      <rPr>
        <b/>
        <sz val="12"/>
        <rFont val="Cambria"/>
        <family val="1"/>
      </rPr>
      <t>34</t>
    </r>
    <r>
      <rPr>
        <sz val="12"/>
        <rFont val="Cambria"/>
        <family val="1"/>
      </rPr>
      <t>(5), 220-­‐225.</t>
    </r>
  </si>
  <si>
    <r>
      <rPr>
        <sz val="12"/>
        <rFont val="Cambria"/>
        <family val="1"/>
      </rPr>
      <t xml:space="preserve">39.      Davis B. 1977 Distribution and temperature adaptation in the teleost fish genus </t>
    </r>
    <r>
      <rPr>
        <i/>
        <sz val="12"/>
        <rFont val="Cambria"/>
        <family val="1"/>
      </rPr>
      <t>Gibbonsia</t>
    </r>
    <r>
      <rPr>
        <sz val="12"/>
        <rFont val="Cambria"/>
        <family val="1"/>
      </rPr>
      <t xml:space="preserve">. </t>
    </r>
    <r>
      <rPr>
        <i/>
        <sz val="12"/>
        <rFont val="Cambria"/>
        <family val="1"/>
      </rPr>
      <t xml:space="preserve">Marine Biology </t>
    </r>
    <r>
      <rPr>
        <b/>
        <sz val="12"/>
        <rFont val="Cambria"/>
        <family val="1"/>
      </rPr>
      <t>42</t>
    </r>
    <r>
      <rPr>
        <sz val="12"/>
        <rFont val="Cambria"/>
        <family val="1"/>
      </rPr>
      <t>(4), 315-­‐ 320.</t>
    </r>
  </si>
  <si>
    <r>
      <rPr>
        <sz val="12"/>
        <rFont val="Cambria"/>
        <family val="1"/>
      </rPr>
      <t xml:space="preserve">40.       Hooper J.K. 2008 The effect of temperature change on the New Zealand marine fish, </t>
    </r>
    <r>
      <rPr>
        <i/>
        <sz val="12"/>
        <rFont val="Cambria"/>
        <family val="1"/>
      </rPr>
      <t>Notolabrus celidotus</t>
    </r>
    <r>
      <rPr>
        <sz val="12"/>
        <rFont val="Cambria"/>
        <family val="1"/>
      </rPr>
      <t>.</t>
    </r>
  </si>
  <si>
    <r>
      <rPr>
        <sz val="12"/>
        <rFont val="Cambria"/>
        <family val="1"/>
      </rPr>
      <t xml:space="preserve">41.       Bilyk K.T., DeVries A.L. 2011 Heat tolerance and its plasticity in Antarctic fishes. </t>
    </r>
    <r>
      <rPr>
        <i/>
        <sz val="12"/>
        <rFont val="Cambria"/>
        <family val="1"/>
      </rPr>
      <t xml:space="preserve">Comparative Biochemistry and Physiology Part A: Molecular &amp; Integrative Physiology </t>
    </r>
    <r>
      <rPr>
        <b/>
        <sz val="12"/>
        <rFont val="Cambria"/>
        <family val="1"/>
      </rPr>
      <t>158</t>
    </r>
    <r>
      <rPr>
        <sz val="12"/>
        <rFont val="Cambria"/>
        <family val="1"/>
      </rPr>
      <t>(4), 382-­‐390.</t>
    </r>
  </si>
  <si>
    <r>
      <rPr>
        <sz val="12"/>
        <rFont val="Cambria"/>
        <family val="1"/>
      </rPr>
      <t xml:space="preserve">42.      Fangue N.A., Bennett W.A., Douglas M. 2003 Thermal tolerance responses of laboratory-­‐acclimated and seasonally acclimatized Atlantic stingray, </t>
    </r>
    <r>
      <rPr>
        <i/>
        <sz val="12"/>
        <rFont val="Cambria"/>
        <family val="1"/>
      </rPr>
      <t>Dasyatis sabina</t>
    </r>
    <r>
      <rPr>
        <sz val="12"/>
        <rFont val="Cambria"/>
        <family val="1"/>
      </rPr>
      <t xml:space="preserve">. </t>
    </r>
    <r>
      <rPr>
        <i/>
        <sz val="12"/>
        <rFont val="Cambria"/>
        <family val="1"/>
      </rPr>
      <t xml:space="preserve">Copeia </t>
    </r>
    <r>
      <rPr>
        <b/>
        <sz val="12"/>
        <rFont val="Cambria"/>
        <family val="1"/>
      </rPr>
      <t>2003</t>
    </r>
    <r>
      <rPr>
        <sz val="12"/>
        <rFont val="Cambria"/>
        <family val="1"/>
      </rPr>
      <t>(2), 315-­‐325.</t>
    </r>
  </si>
  <si>
    <r>
      <rPr>
        <sz val="12"/>
        <rFont val="Cambria"/>
        <family val="1"/>
      </rPr>
      <t xml:space="preserve">43.       Chagnon N., Hlohowskyj I. 1989 Effects of phenol exposure on the thermal tolerance ability of the central stoneroller minnow. </t>
    </r>
    <r>
      <rPr>
        <i/>
        <sz val="12"/>
        <rFont val="Cambria"/>
        <family val="1"/>
      </rPr>
      <t xml:space="preserve">Bulletin of Environmental Contamination and Toxicology </t>
    </r>
    <r>
      <rPr>
        <b/>
        <sz val="12"/>
        <rFont val="Cambria"/>
        <family val="1"/>
      </rPr>
      <t>42</t>
    </r>
    <r>
      <rPr>
        <sz val="12"/>
        <rFont val="Cambria"/>
        <family val="1"/>
      </rPr>
      <t>(4), 614-­‐619.</t>
    </r>
  </si>
  <si>
    <r>
      <rPr>
        <sz val="12"/>
        <rFont val="Cambria"/>
        <family val="1"/>
      </rPr>
      <t xml:space="preserve">44.       McClanahan L.L., Feldmeth C.R., Jones J., Soltz D.L. 1986 Energetics, salinity and temperature tolerance in the Mohave tui chub, </t>
    </r>
    <r>
      <rPr>
        <i/>
        <sz val="12"/>
        <rFont val="Cambria"/>
        <family val="1"/>
      </rPr>
      <t>Gila bicolor mohavensis</t>
    </r>
    <r>
      <rPr>
        <sz val="12"/>
        <rFont val="Cambria"/>
        <family val="1"/>
      </rPr>
      <t xml:space="preserve">. </t>
    </r>
    <r>
      <rPr>
        <i/>
        <sz val="12"/>
        <rFont val="Cambria"/>
        <family val="1"/>
      </rPr>
      <t>Copeia</t>
    </r>
    <r>
      <rPr>
        <sz val="12"/>
        <rFont val="Cambria"/>
        <family val="1"/>
      </rPr>
      <t>, 45-­‐52.</t>
    </r>
  </si>
  <si>
    <r>
      <rPr>
        <sz val="12"/>
        <rFont val="Cambria"/>
        <family val="1"/>
      </rPr>
      <t>45.       Richards V., Beitinger T. 1995 Reciprocal influences of temperature and copper on survival of fathead minnows,</t>
    </r>
  </si>
  <si>
    <r>
      <rPr>
        <i/>
        <sz val="12"/>
        <rFont val="Cambria"/>
        <family val="1"/>
      </rPr>
      <t>Pimephales promelas</t>
    </r>
    <r>
      <rPr>
        <sz val="12"/>
        <rFont val="Cambria"/>
        <family val="1"/>
      </rPr>
      <t xml:space="preserve">. </t>
    </r>
    <r>
      <rPr>
        <i/>
        <sz val="12"/>
        <rFont val="Cambria"/>
        <family val="1"/>
      </rPr>
      <t xml:space="preserve">Bulletin of Environmental Contamination and Toxicology </t>
    </r>
    <r>
      <rPr>
        <b/>
        <sz val="12"/>
        <rFont val="Cambria"/>
        <family val="1"/>
      </rPr>
      <t>55</t>
    </r>
    <r>
      <rPr>
        <sz val="12"/>
        <rFont val="Cambria"/>
        <family val="1"/>
      </rPr>
      <t>(2), 230-­‐236.</t>
    </r>
  </si>
  <si>
    <r>
      <rPr>
        <sz val="12"/>
        <rFont val="Cambria"/>
        <family val="1"/>
      </rPr>
      <t>46.       Kaya C.M., Brussard P.F., Cameron D.G., Vyse E.R. 1992 Biochemical genetics and thermal tolerances of Kendall Warm Springs dace (</t>
    </r>
    <r>
      <rPr>
        <i/>
        <sz val="12"/>
        <rFont val="Cambria"/>
        <family val="1"/>
      </rPr>
      <t>Rhinichthys osculus thermalis</t>
    </r>
    <r>
      <rPr>
        <sz val="12"/>
        <rFont val="Cambria"/>
        <family val="1"/>
      </rPr>
      <t>) and Green River speckled dace (</t>
    </r>
    <r>
      <rPr>
        <i/>
        <sz val="12"/>
        <rFont val="Cambria"/>
        <family val="1"/>
      </rPr>
      <t>R. o. yarrowi)</t>
    </r>
    <r>
      <rPr>
        <sz val="12"/>
        <rFont val="Cambria"/>
        <family val="1"/>
      </rPr>
      <t xml:space="preserve">. </t>
    </r>
    <r>
      <rPr>
        <i/>
        <sz val="12"/>
        <rFont val="Cambria"/>
        <family val="1"/>
      </rPr>
      <t>Copeia</t>
    </r>
    <r>
      <rPr>
        <sz val="12"/>
        <rFont val="Cambria"/>
        <family val="1"/>
      </rPr>
      <t>, 528-­‐535.</t>
    </r>
  </si>
  <si>
    <r>
      <rPr>
        <sz val="12"/>
        <rFont val="Cambria"/>
        <family val="1"/>
      </rPr>
      <t xml:space="preserve">47.      Bennett W.A., Beitinger T.L. 1997 Temperature tolerance of the sheepshead minnow, </t>
    </r>
    <r>
      <rPr>
        <i/>
        <sz val="12"/>
        <rFont val="Cambria"/>
        <family val="1"/>
      </rPr>
      <t>Cyprinodon variegatus</t>
    </r>
    <r>
      <rPr>
        <sz val="12"/>
        <rFont val="Cambria"/>
        <family val="1"/>
      </rPr>
      <t xml:space="preserve">. </t>
    </r>
    <r>
      <rPr>
        <i/>
        <sz val="12"/>
        <rFont val="Cambria"/>
        <family val="1"/>
      </rPr>
      <t>Copeia</t>
    </r>
    <r>
      <rPr>
        <sz val="12"/>
        <rFont val="Cambria"/>
        <family val="1"/>
      </rPr>
      <t>, 77-­‐ 87.</t>
    </r>
  </si>
  <si>
    <r>
      <rPr>
        <sz val="12"/>
        <rFont val="Cambria"/>
        <family val="1"/>
      </rPr>
      <t xml:space="preserve">48.      Otto R.G., Gerking S.D. 1973 Heat tolerance of a Death Valley pupfish (genus </t>
    </r>
    <r>
      <rPr>
        <i/>
        <sz val="12"/>
        <rFont val="Cambria"/>
        <family val="1"/>
      </rPr>
      <t>Cyprinodon</t>
    </r>
    <r>
      <rPr>
        <sz val="12"/>
        <rFont val="Cambria"/>
        <family val="1"/>
      </rPr>
      <t xml:space="preserve">). </t>
    </r>
    <r>
      <rPr>
        <i/>
        <sz val="12"/>
        <rFont val="Cambria"/>
        <family val="1"/>
      </rPr>
      <t xml:space="preserve">Physiological Zoology </t>
    </r>
    <r>
      <rPr>
        <b/>
        <sz val="12"/>
        <rFont val="Cambria"/>
        <family val="1"/>
      </rPr>
      <t>46</t>
    </r>
    <r>
      <rPr>
        <sz val="12"/>
        <rFont val="Cambria"/>
        <family val="1"/>
      </rPr>
      <t>, 43-­‐ 49.</t>
    </r>
  </si>
  <si>
    <r>
      <rPr>
        <sz val="12"/>
        <rFont val="Cambria"/>
        <family val="1"/>
      </rPr>
      <t xml:space="preserve">49.       Lowe C.H., Heath W.G. 1969 Behavioral and physiological responses to temperature in the desert pupfish </t>
    </r>
    <r>
      <rPr>
        <i/>
        <sz val="12"/>
        <rFont val="Cambria"/>
        <family val="1"/>
      </rPr>
      <t>Cyprinodon macularius</t>
    </r>
    <r>
      <rPr>
        <sz val="12"/>
        <rFont val="Cambria"/>
        <family val="1"/>
      </rPr>
      <t xml:space="preserve">. </t>
    </r>
    <r>
      <rPr>
        <i/>
        <sz val="12"/>
        <rFont val="Cambria"/>
        <family val="1"/>
      </rPr>
      <t xml:space="preserve">Physiological Zoology </t>
    </r>
    <r>
      <rPr>
        <b/>
        <sz val="12"/>
        <rFont val="Cambria"/>
        <family val="1"/>
      </rPr>
      <t>42</t>
    </r>
    <r>
      <rPr>
        <sz val="12"/>
        <rFont val="Cambria"/>
        <family val="1"/>
      </rPr>
      <t>, 53-­‐59.</t>
    </r>
  </si>
  <si>
    <r>
      <rPr>
        <sz val="12"/>
        <rFont val="Cambria"/>
        <family val="1"/>
      </rPr>
      <t>50.       Feldmeth C.R., Stone E.A., Brown J.H. 1974 An increased scope for thermal tolerance upon acclimating pupfish</t>
    </r>
  </si>
  <si>
    <r>
      <rPr>
        <sz val="12"/>
        <rFont val="Cambria"/>
        <family val="1"/>
      </rPr>
      <t>(</t>
    </r>
    <r>
      <rPr>
        <i/>
        <sz val="12"/>
        <rFont val="Cambria"/>
        <family val="1"/>
      </rPr>
      <t>Cyprinodon</t>
    </r>
    <r>
      <rPr>
        <sz val="12"/>
        <rFont val="Cambria"/>
        <family val="1"/>
      </rPr>
      <t xml:space="preserve">) to cycling temperatures. </t>
    </r>
    <r>
      <rPr>
        <i/>
        <sz val="12"/>
        <rFont val="Cambria"/>
        <family val="1"/>
      </rPr>
      <t xml:space="preserve">Journal of Comparative Physiology </t>
    </r>
    <r>
      <rPr>
        <b/>
        <sz val="12"/>
        <rFont val="Cambria"/>
        <family val="1"/>
      </rPr>
      <t>89</t>
    </r>
    <r>
      <rPr>
        <sz val="12"/>
        <rFont val="Cambria"/>
        <family val="1"/>
      </rPr>
      <t>(1), 39-­‐44.</t>
    </r>
  </si>
  <si>
    <r>
      <rPr>
        <sz val="12"/>
        <rFont val="Cambria"/>
        <family val="1"/>
      </rPr>
      <t xml:space="preserve">51.       Hernández M.R., Bückle R.F. 2002 Temperature tolerance polygon of </t>
    </r>
    <r>
      <rPr>
        <i/>
        <sz val="12"/>
        <rFont val="Cambria"/>
        <family val="1"/>
      </rPr>
      <t xml:space="preserve">Poecilia sphenops </t>
    </r>
    <r>
      <rPr>
        <sz val="12"/>
        <rFont val="Cambria"/>
        <family val="1"/>
      </rPr>
      <t xml:space="preserve">Valenciennes (Pisces: Poeciliidae). </t>
    </r>
    <r>
      <rPr>
        <i/>
        <sz val="12"/>
        <rFont val="Cambria"/>
        <family val="1"/>
      </rPr>
      <t xml:space="preserve">Journal of Thermal Biology </t>
    </r>
    <r>
      <rPr>
        <b/>
        <sz val="12"/>
        <rFont val="Cambria"/>
        <family val="1"/>
      </rPr>
      <t>27</t>
    </r>
    <r>
      <rPr>
        <sz val="12"/>
        <rFont val="Cambria"/>
        <family val="1"/>
      </rPr>
      <t>(1), 1-­‐5.</t>
    </r>
  </si>
  <si>
    <r>
      <rPr>
        <sz val="12"/>
        <rFont val="Cambria"/>
        <family val="1"/>
      </rPr>
      <t xml:space="preserve">52.       Otto R.G. 1973 Temperature tolerance of the mosquitofish, </t>
    </r>
    <r>
      <rPr>
        <i/>
        <sz val="12"/>
        <rFont val="Cambria"/>
        <family val="1"/>
      </rPr>
      <t xml:space="preserve">Gambmia affinis </t>
    </r>
    <r>
      <rPr>
        <sz val="12"/>
        <rFont val="Cambria"/>
        <family val="1"/>
      </rPr>
      <t xml:space="preserve">(Baird and Girard). </t>
    </r>
    <r>
      <rPr>
        <i/>
        <sz val="12"/>
        <rFont val="Cambria"/>
        <family val="1"/>
      </rPr>
      <t>Journal of Fish Biology</t>
    </r>
  </si>
  <si>
    <r>
      <rPr>
        <b/>
        <sz val="12"/>
        <rFont val="Cambria"/>
        <family val="1"/>
      </rPr>
      <t>5</t>
    </r>
    <r>
      <rPr>
        <sz val="12"/>
        <rFont val="Cambria"/>
        <family val="1"/>
      </rPr>
      <t>(5), 575-­‐585.</t>
    </r>
  </si>
  <si>
    <r>
      <rPr>
        <sz val="12"/>
        <rFont val="Cambria"/>
        <family val="1"/>
      </rPr>
      <t xml:space="preserve">53.       Haney D.C., Walsh S.J. 2003 Influence of salinity and temperature on the physiology of </t>
    </r>
    <r>
      <rPr>
        <i/>
        <sz val="12"/>
        <rFont val="Cambria"/>
        <family val="1"/>
      </rPr>
      <t xml:space="preserve">Limia melanonotata </t>
    </r>
    <r>
      <rPr>
        <sz val="12"/>
        <rFont val="Cambria"/>
        <family val="1"/>
      </rPr>
      <t xml:space="preserve">(Cyprinodontiforme: Poeciliidae): a search for abiotic factors limiting insular distribution in Hispaniola. </t>
    </r>
    <r>
      <rPr>
        <i/>
        <sz val="12"/>
        <rFont val="Cambria"/>
        <family val="1"/>
      </rPr>
      <t xml:space="preserve">Caribbean Journal of Science </t>
    </r>
    <r>
      <rPr>
        <b/>
        <sz val="12"/>
        <rFont val="Cambria"/>
        <family val="1"/>
      </rPr>
      <t>39</t>
    </r>
    <r>
      <rPr>
        <sz val="12"/>
        <rFont val="Cambria"/>
        <family val="1"/>
      </rPr>
      <t>(3), 327-­‐337.</t>
    </r>
  </si>
  <si>
    <r>
      <rPr>
        <sz val="12"/>
        <rFont val="Cambria"/>
        <family val="1"/>
      </rPr>
      <t xml:space="preserve">54.       Becker C.D., Genoway R.G. 1979 Evaluation of the critical thermal maximum for determining thermal tolerance of freshwater fish. </t>
    </r>
    <r>
      <rPr>
        <i/>
        <sz val="12"/>
        <rFont val="Cambria"/>
        <family val="1"/>
      </rPr>
      <t xml:space="preserve">Environmental Biology of Fishes </t>
    </r>
    <r>
      <rPr>
        <b/>
        <sz val="12"/>
        <rFont val="Cambria"/>
        <family val="1"/>
      </rPr>
      <t>4</t>
    </r>
    <r>
      <rPr>
        <sz val="12"/>
        <rFont val="Cambria"/>
        <family val="1"/>
      </rPr>
      <t>(3), 245-­‐256.</t>
    </r>
  </si>
  <si>
    <r>
      <rPr>
        <sz val="12"/>
        <rFont val="Cambria"/>
        <family val="1"/>
      </rPr>
      <t xml:space="preserve">55.       Holland W.E., Smith M.H., Gibbons J.W., Brown D.H. 1974 Thermal tolerances of fish from a reservoir receiving heated effluent from a nuclear reactor. </t>
    </r>
    <r>
      <rPr>
        <i/>
        <sz val="12"/>
        <rFont val="Cambria"/>
        <family val="1"/>
      </rPr>
      <t xml:space="preserve">Physiological Zoology </t>
    </r>
    <r>
      <rPr>
        <b/>
        <sz val="12"/>
        <rFont val="Cambria"/>
        <family val="1"/>
      </rPr>
      <t>47</t>
    </r>
    <r>
      <rPr>
        <sz val="12"/>
        <rFont val="Cambria"/>
        <family val="1"/>
      </rPr>
      <t>, 110-­‐118.</t>
    </r>
  </si>
  <si>
    <r>
      <rPr>
        <sz val="12"/>
        <rFont val="Cambria"/>
        <family val="1"/>
      </rPr>
      <t xml:space="preserve">56.       Lee R.M., Rinne J.N. 1980 Critical thermal maxima of five trout species in the southwestern United States. </t>
    </r>
    <r>
      <rPr>
        <i/>
        <sz val="12"/>
        <rFont val="Cambria"/>
        <family val="1"/>
      </rPr>
      <t xml:space="preserve">Transactions of the American Fisheries Society </t>
    </r>
    <r>
      <rPr>
        <b/>
        <sz val="12"/>
        <rFont val="Cambria"/>
        <family val="1"/>
      </rPr>
      <t>109</t>
    </r>
    <r>
      <rPr>
        <sz val="12"/>
        <rFont val="Cambria"/>
        <family val="1"/>
      </rPr>
      <t>(6), 632-­‐635.</t>
    </r>
  </si>
  <si>
    <r>
      <rPr>
        <sz val="12"/>
        <rFont val="Cambria"/>
        <family val="1"/>
      </rPr>
      <t xml:space="preserve">57.       Elliott J., Elliott J. 1995 The effect of the rate of temperature increase on the critical thermal maximum for parr of Atlantic salmon and brown trout. </t>
    </r>
    <r>
      <rPr>
        <i/>
        <sz val="12"/>
        <rFont val="Cambria"/>
        <family val="1"/>
      </rPr>
      <t xml:space="preserve">Journal of Fish Biology </t>
    </r>
    <r>
      <rPr>
        <b/>
        <sz val="12"/>
        <rFont val="Cambria"/>
        <family val="1"/>
      </rPr>
      <t>47</t>
    </r>
    <r>
      <rPr>
        <sz val="12"/>
        <rFont val="Cambria"/>
        <family val="1"/>
      </rPr>
      <t>(5), 917-­‐919.</t>
    </r>
  </si>
  <si>
    <r>
      <rPr>
        <sz val="12"/>
        <rFont val="Cambria"/>
        <family val="1"/>
      </rPr>
      <t xml:space="preserve">58.      Lohr S., Byorth P.A., Kaya C., Dwyer W. 1996 High-­‐temperature tolerances of fluvial Arctic grayling and comparisons with summer river temperatures of the Big Hole River, Montana. </t>
    </r>
    <r>
      <rPr>
        <i/>
        <sz val="12"/>
        <rFont val="Cambria"/>
        <family val="1"/>
      </rPr>
      <t xml:space="preserve">Transactions of the American Fisheries Society </t>
    </r>
    <r>
      <rPr>
        <b/>
        <sz val="12"/>
        <rFont val="Cambria"/>
        <family val="1"/>
      </rPr>
      <t>125</t>
    </r>
    <r>
      <rPr>
        <sz val="12"/>
        <rFont val="Cambria"/>
        <family val="1"/>
      </rPr>
      <t>(6), 933-­‐ 939.</t>
    </r>
  </si>
  <si>
    <r>
      <rPr>
        <sz val="12"/>
        <rFont val="Cambria"/>
        <family val="1"/>
      </rPr>
      <t>59.       Otto R.G., Rice J.O.H. 1977 Responses of a freshwater sculpin (</t>
    </r>
    <r>
      <rPr>
        <i/>
        <sz val="12"/>
        <rFont val="Cambria"/>
        <family val="1"/>
      </rPr>
      <t>Cottus cognatus gracilis</t>
    </r>
    <r>
      <rPr>
        <sz val="12"/>
        <rFont val="Cambria"/>
        <family val="1"/>
      </rPr>
      <t xml:space="preserve">) to temperature. </t>
    </r>
    <r>
      <rPr>
        <i/>
        <sz val="12"/>
        <rFont val="Cambria"/>
        <family val="1"/>
      </rPr>
      <t xml:space="preserve">Transactions of the American Fisheries Society </t>
    </r>
    <r>
      <rPr>
        <b/>
        <sz val="12"/>
        <rFont val="Cambria"/>
        <family val="1"/>
      </rPr>
      <t>106</t>
    </r>
    <r>
      <rPr>
        <sz val="12"/>
        <rFont val="Cambria"/>
        <family val="1"/>
      </rPr>
      <t>(1), 89-­‐94.</t>
    </r>
  </si>
  <si>
    <r>
      <rPr>
        <sz val="12"/>
        <rFont val="Cambria"/>
        <family val="1"/>
      </rPr>
      <t xml:space="preserve">60.       Ziegeweid J.R., Jennings C.A., Peterson D.L. 2008 Thermal maxima for juvenile shortnose sturgeon acclimated to different temperatures. </t>
    </r>
    <r>
      <rPr>
        <i/>
        <sz val="12"/>
        <rFont val="Cambria"/>
        <family val="1"/>
      </rPr>
      <t xml:space="preserve">Environmental Biology of Fishes </t>
    </r>
    <r>
      <rPr>
        <b/>
        <sz val="12"/>
        <rFont val="Cambria"/>
        <family val="1"/>
      </rPr>
      <t>82</t>
    </r>
    <r>
      <rPr>
        <sz val="12"/>
        <rFont val="Cambria"/>
        <family val="1"/>
      </rPr>
      <t>(3), 299-­‐307.</t>
    </r>
  </si>
  <si>
    <r>
      <rPr>
        <sz val="12"/>
        <rFont val="Cambria"/>
        <family val="1"/>
      </rPr>
      <t xml:space="preserve">61.       Barrionuevo W., Femandes M. 1995 Critical thermal maxima and minima for curimbatá, </t>
    </r>
    <r>
      <rPr>
        <i/>
        <sz val="12"/>
        <rFont val="Cambria"/>
        <family val="1"/>
      </rPr>
      <t xml:space="preserve">Prochilodus scrofa </t>
    </r>
    <r>
      <rPr>
        <sz val="12"/>
        <rFont val="Cambria"/>
        <family val="1"/>
      </rPr>
      <t xml:space="preserve">Steindachner, of two different sizes. </t>
    </r>
    <r>
      <rPr>
        <i/>
        <sz val="12"/>
        <rFont val="Cambria"/>
        <family val="1"/>
      </rPr>
      <t xml:space="preserve">Aquaculture Research </t>
    </r>
    <r>
      <rPr>
        <b/>
        <sz val="12"/>
        <rFont val="Cambria"/>
        <family val="1"/>
      </rPr>
      <t>26</t>
    </r>
    <r>
      <rPr>
        <sz val="12"/>
        <rFont val="Cambria"/>
        <family val="1"/>
      </rPr>
      <t>(6), 447-­‐450.</t>
    </r>
  </si>
  <si>
    <r>
      <rPr>
        <sz val="12"/>
        <rFont val="Cambria"/>
        <family val="1"/>
      </rPr>
      <t xml:space="preserve">62.       Das T., Pal A., Chakraborty S., Manush S., Chatterjee N., Mukherjee S. 2004 Thermal tolerance and oxygen consumption of Indian Major Carps acclimated to four temperatures. </t>
    </r>
    <r>
      <rPr>
        <i/>
        <sz val="12"/>
        <rFont val="Cambria"/>
        <family val="1"/>
      </rPr>
      <t xml:space="preserve">Journal of Thermal Biology </t>
    </r>
    <r>
      <rPr>
        <b/>
        <sz val="12"/>
        <rFont val="Cambria"/>
        <family val="1"/>
      </rPr>
      <t>29</t>
    </r>
    <r>
      <rPr>
        <sz val="12"/>
        <rFont val="Cambria"/>
        <family val="1"/>
      </rPr>
      <t>(3), 157-­‐163.</t>
    </r>
  </si>
  <si>
    <r>
      <rPr>
        <sz val="12"/>
        <rFont val="Cambria"/>
        <family val="1"/>
      </rPr>
      <t xml:space="preserve">63.       Ford T., Beitinger T.L. 2005 Temperature tolerance in the goldfish, </t>
    </r>
    <r>
      <rPr>
        <i/>
        <sz val="12"/>
        <rFont val="Cambria"/>
        <family val="1"/>
      </rPr>
      <t>Carassius auratus</t>
    </r>
    <r>
      <rPr>
        <sz val="12"/>
        <rFont val="Cambria"/>
        <family val="1"/>
      </rPr>
      <t xml:space="preserve">. </t>
    </r>
    <r>
      <rPr>
        <i/>
        <sz val="12"/>
        <rFont val="Cambria"/>
        <family val="1"/>
      </rPr>
      <t xml:space="preserve">Journal of Thermal Biology </t>
    </r>
    <r>
      <rPr>
        <b/>
        <sz val="12"/>
        <rFont val="Cambria"/>
        <family val="1"/>
      </rPr>
      <t>30</t>
    </r>
    <r>
      <rPr>
        <sz val="12"/>
        <rFont val="Cambria"/>
        <family val="1"/>
      </rPr>
      <t>(2), 147-­‐152.</t>
    </r>
  </si>
  <si>
    <r>
      <rPr>
        <sz val="12"/>
        <rFont val="Cambria"/>
        <family val="1"/>
      </rPr>
      <t xml:space="preserve">64.      Cortemeglia C., Beitinger T.L. 2005 Temperature tolerances of wild-­‐type and red transgenic zebra danios. </t>
    </r>
    <r>
      <rPr>
        <i/>
        <sz val="12"/>
        <rFont val="Cambria"/>
        <family val="1"/>
      </rPr>
      <t>Transactions</t>
    </r>
  </si>
  <si>
    <r>
      <rPr>
        <i/>
        <sz val="12"/>
        <rFont val="Cambria"/>
        <family val="1"/>
      </rPr>
      <t xml:space="preserve">of the American Fisheries Society </t>
    </r>
    <r>
      <rPr>
        <b/>
        <sz val="12"/>
        <rFont val="Cambria"/>
        <family val="1"/>
      </rPr>
      <t>134</t>
    </r>
    <r>
      <rPr>
        <sz val="12"/>
        <rFont val="Cambria"/>
        <family val="1"/>
      </rPr>
      <t>(6), 1431-­‐1437.</t>
    </r>
  </si>
  <si>
    <r>
      <rPr>
        <sz val="12"/>
        <rFont val="Cambria"/>
        <family val="1"/>
      </rPr>
      <t xml:space="preserve">65.      Akhtar M., Pal A., Sahu N., Ciji A., Mahanta P. 2013 Thermal tolerance, oxygen consumption and haemato-­‐biochemical variables of </t>
    </r>
    <r>
      <rPr>
        <i/>
        <sz val="12"/>
        <rFont val="Cambria"/>
        <family val="1"/>
      </rPr>
      <t xml:space="preserve">Tor putitora </t>
    </r>
    <r>
      <rPr>
        <sz val="12"/>
        <rFont val="Cambria"/>
        <family val="1"/>
      </rPr>
      <t xml:space="preserve">juveniles acclimated to five temperatures. </t>
    </r>
    <r>
      <rPr>
        <i/>
        <sz val="12"/>
        <rFont val="Cambria"/>
        <family val="1"/>
      </rPr>
      <t xml:space="preserve">Fish Physiology and Biochemistry </t>
    </r>
    <r>
      <rPr>
        <b/>
        <sz val="12"/>
        <rFont val="Cambria"/>
        <family val="1"/>
      </rPr>
      <t>39</t>
    </r>
    <r>
      <rPr>
        <sz val="12"/>
        <rFont val="Cambria"/>
        <family val="1"/>
      </rPr>
      <t>(6), 1387-­‐1398.</t>
    </r>
  </si>
  <si>
    <r>
      <rPr>
        <sz val="12"/>
        <rFont val="Cambria"/>
        <family val="1"/>
      </rPr>
      <t xml:space="preserve">66.       Prodocimo V., Freire C.A. 2001 Critical thermal maxima and minima of the platyfish </t>
    </r>
    <r>
      <rPr>
        <i/>
        <sz val="12"/>
        <rFont val="Cambria"/>
        <family val="1"/>
      </rPr>
      <t xml:space="preserve">Xiphophorus maculatus </t>
    </r>
    <r>
      <rPr>
        <sz val="12"/>
        <rFont val="Cambria"/>
        <family val="1"/>
      </rPr>
      <t xml:space="preserve">Günther (Poecillidae, Cyprinodontiformes)–a tropical species of ornamental freshwater fish. </t>
    </r>
    <r>
      <rPr>
        <i/>
        <sz val="12"/>
        <rFont val="Cambria"/>
        <family val="1"/>
      </rPr>
      <t xml:space="preserve">Revista Brasileira de Zoologia </t>
    </r>
    <r>
      <rPr>
        <b/>
        <sz val="12"/>
        <rFont val="Cambria"/>
        <family val="1"/>
      </rPr>
      <t>18</t>
    </r>
    <r>
      <rPr>
        <sz val="12"/>
        <rFont val="Cambria"/>
        <family val="1"/>
      </rPr>
      <t>(Supl 1), 97-­‐106.</t>
    </r>
  </si>
  <si>
    <r>
      <rPr>
        <sz val="12"/>
        <rFont val="Cambria"/>
        <family val="1"/>
      </rPr>
      <t xml:space="preserve">67.       Feldmeth C.R., Baskin J.N. 1976 Thermal and respiratory studies with reference to temperature and oxygen tolerance for the unarmored stickleback </t>
    </r>
    <r>
      <rPr>
        <i/>
        <sz val="12"/>
        <rFont val="Cambria"/>
        <family val="1"/>
      </rPr>
      <t xml:space="preserve">Gasterosteus aculeatus williamsoni </t>
    </r>
    <r>
      <rPr>
        <sz val="12"/>
        <rFont val="Cambria"/>
        <family val="1"/>
      </rPr>
      <t xml:space="preserve">Hubbs. </t>
    </r>
    <r>
      <rPr>
        <i/>
        <sz val="12"/>
        <rFont val="Cambria"/>
        <family val="1"/>
      </rPr>
      <t xml:space="preserve">Bulletin of the Southern California Academy of Sciences </t>
    </r>
    <r>
      <rPr>
        <b/>
        <sz val="12"/>
        <rFont val="Cambria"/>
        <family val="1"/>
      </rPr>
      <t>75</t>
    </r>
    <r>
      <rPr>
        <sz val="12"/>
        <rFont val="Cambria"/>
        <family val="1"/>
      </rPr>
      <t>(2), 127-­‐131.</t>
    </r>
  </si>
  <si>
    <r>
      <rPr>
        <sz val="12"/>
        <rFont val="Cambria"/>
        <family val="1"/>
      </rPr>
      <t xml:space="preserve">68.     Sarma K., Pal A., Ayyappan S., Das T., Manush S., Debnath D., Baruah K. 2010 Acclimation of Anabas testudineus (Bloch) to three test temperatures influences thermal tolerance and oxygen consumption. </t>
    </r>
    <r>
      <rPr>
        <i/>
        <sz val="12"/>
        <rFont val="Cambria"/>
        <family val="1"/>
      </rPr>
      <t xml:space="preserve">Fish physiology and biochemistry </t>
    </r>
    <r>
      <rPr>
        <b/>
        <sz val="12"/>
        <rFont val="Cambria"/>
        <family val="1"/>
      </rPr>
      <t>36</t>
    </r>
    <r>
      <rPr>
        <sz val="12"/>
        <rFont val="Cambria"/>
        <family val="1"/>
      </rPr>
      <t>(1), 85-­‐ 90.</t>
    </r>
  </si>
  <si>
    <r>
      <rPr>
        <sz val="12"/>
        <rFont val="Cambria"/>
        <family val="1"/>
      </rPr>
      <t xml:space="preserve">69.      Currie R.J., Bennett W.A., Beitinger T.L. 1998 Critical thermal minima and maxima of three freshwater game-­‐fish species acclimated to constant temperatures. </t>
    </r>
    <r>
      <rPr>
        <i/>
        <sz val="12"/>
        <rFont val="Cambria"/>
        <family val="1"/>
      </rPr>
      <t xml:space="preserve">Environmental Biology of Fishes </t>
    </r>
    <r>
      <rPr>
        <b/>
        <sz val="12"/>
        <rFont val="Cambria"/>
        <family val="1"/>
      </rPr>
      <t>51</t>
    </r>
    <r>
      <rPr>
        <sz val="12"/>
        <rFont val="Cambria"/>
        <family val="1"/>
      </rPr>
      <t>(2), 187-­‐200.</t>
    </r>
  </si>
  <si>
    <r>
      <rPr>
        <sz val="12"/>
        <rFont val="Cambria"/>
        <family val="1"/>
      </rPr>
      <t>70.       Pérez E., Dıá</t>
    </r>
  </si>
  <si>
    <r>
      <rPr>
        <sz val="12"/>
        <rFont val="Cambria"/>
        <family val="1"/>
      </rPr>
      <t xml:space="preserve">z F., Espina S. 2003 Thermoregulatory behavior and critical thermal limits of the angelfish </t>
    </r>
    <r>
      <rPr>
        <i/>
        <sz val="12"/>
        <rFont val="Cambria"/>
        <family val="1"/>
      </rPr>
      <t>Pterophyllum</t>
    </r>
  </si>
  <si>
    <r>
      <rPr>
        <i/>
        <sz val="12"/>
        <rFont val="Cambria"/>
        <family val="1"/>
      </rPr>
      <t xml:space="preserve">scalare </t>
    </r>
    <r>
      <rPr>
        <sz val="12"/>
        <rFont val="Cambria"/>
        <family val="1"/>
      </rPr>
      <t xml:space="preserve">(Lichtenstein)(Pisces: Cichlidae). </t>
    </r>
    <r>
      <rPr>
        <i/>
        <sz val="12"/>
        <rFont val="Cambria"/>
        <family val="1"/>
      </rPr>
      <t xml:space="preserve">Journal of Thermal Biology </t>
    </r>
    <r>
      <rPr>
        <b/>
        <sz val="12"/>
        <rFont val="Cambria"/>
        <family val="1"/>
      </rPr>
      <t>28</t>
    </r>
    <r>
      <rPr>
        <sz val="12"/>
        <rFont val="Cambria"/>
        <family val="1"/>
      </rPr>
      <t>(8), 531-­‐537.</t>
    </r>
  </si>
  <si>
    <r>
      <rPr>
        <sz val="12"/>
        <rFont val="Cambria"/>
        <family val="1"/>
      </rPr>
      <t>71.       Dülger N., Kumlu M., Türkmen S., Ölçülü A., Tufan Eroldoğan O., Asuman Yılmaz H., Öçal N. 2012 Thermal tolerance of European Sea Bass (</t>
    </r>
    <r>
      <rPr>
        <i/>
        <sz val="12"/>
        <rFont val="Cambria"/>
        <family val="1"/>
      </rPr>
      <t>Dicentrarchus labrax</t>
    </r>
    <r>
      <rPr>
        <sz val="12"/>
        <rFont val="Cambria"/>
        <family val="1"/>
      </rPr>
      <t xml:space="preserve">) juveniles acclimated to three temperature levels. </t>
    </r>
    <r>
      <rPr>
        <i/>
        <sz val="12"/>
        <rFont val="Cambria"/>
        <family val="1"/>
      </rPr>
      <t xml:space="preserve">Journal of Thermal Biology </t>
    </r>
    <r>
      <rPr>
        <b/>
        <sz val="12"/>
        <rFont val="Cambria"/>
        <family val="1"/>
      </rPr>
      <t>37</t>
    </r>
    <r>
      <rPr>
        <sz val="12"/>
        <rFont val="Cambria"/>
        <family val="1"/>
      </rPr>
      <t>(1), 79-­‐82.</t>
    </r>
  </si>
  <si>
    <r>
      <rPr>
        <sz val="12"/>
        <rFont val="Cambria"/>
        <family val="1"/>
      </rPr>
      <t>72.    Heath W.G. 1963 Thermoperiodism in sea-­‐run cutthroat trout (</t>
    </r>
    <r>
      <rPr>
        <i/>
        <sz val="12"/>
        <rFont val="Cambria"/>
        <family val="1"/>
      </rPr>
      <t>Salmo clarki clarki</t>
    </r>
    <r>
      <rPr>
        <sz val="12"/>
        <rFont val="Cambria"/>
        <family val="1"/>
      </rPr>
      <t xml:space="preserve">). </t>
    </r>
    <r>
      <rPr>
        <i/>
        <sz val="12"/>
        <rFont val="Cambria"/>
        <family val="1"/>
      </rPr>
      <t xml:space="preserve">Science </t>
    </r>
    <r>
      <rPr>
        <b/>
        <sz val="12"/>
        <rFont val="Cambria"/>
        <family val="1"/>
      </rPr>
      <t>142</t>
    </r>
    <r>
      <rPr>
        <sz val="12"/>
        <rFont val="Cambria"/>
        <family val="1"/>
      </rPr>
      <t>(3591), 486-­‐488.</t>
    </r>
  </si>
  <si>
    <r>
      <rPr>
        <sz val="12"/>
        <rFont val="Cambria"/>
        <family val="1"/>
      </rPr>
      <t xml:space="preserve">73.       Kita J., Tsuchida S., Setoguma T. 1996 Temperature preference and tolerance, and oxygen consumption of the marbled rockfish, </t>
    </r>
    <r>
      <rPr>
        <i/>
        <sz val="12"/>
        <rFont val="Cambria"/>
        <family val="1"/>
      </rPr>
      <t>Sebastiscus marmoratus</t>
    </r>
    <r>
      <rPr>
        <sz val="12"/>
        <rFont val="Cambria"/>
        <family val="1"/>
      </rPr>
      <t xml:space="preserve">. </t>
    </r>
    <r>
      <rPr>
        <i/>
        <sz val="12"/>
        <rFont val="Cambria"/>
        <family val="1"/>
      </rPr>
      <t xml:space="preserve">Marine Biology </t>
    </r>
    <r>
      <rPr>
        <b/>
        <sz val="12"/>
        <rFont val="Cambria"/>
        <family val="1"/>
      </rPr>
      <t>125</t>
    </r>
    <r>
      <rPr>
        <sz val="12"/>
        <rFont val="Cambria"/>
        <family val="1"/>
      </rPr>
      <t>(3), 467-­‐471.</t>
    </r>
  </si>
  <si>
    <r>
      <rPr>
        <sz val="12"/>
        <rFont val="Cambria"/>
        <family val="1"/>
      </rPr>
      <t>74.       Dalvi R.S., Pal A.K., Tiwari L.R., Das T., Baruah K. 2009 Thermal tolerance and oxygen consumption rates of the catfish</t>
    </r>
  </si>
  <si>
    <r>
      <rPr>
        <i/>
        <sz val="12"/>
        <rFont val="Cambria"/>
        <family val="1"/>
      </rPr>
      <t xml:space="preserve">Horabagrus brachysoma </t>
    </r>
    <r>
      <rPr>
        <sz val="12"/>
        <rFont val="Cambria"/>
        <family val="1"/>
      </rPr>
      <t xml:space="preserve">(Günther) acclimated to different temperatures. </t>
    </r>
    <r>
      <rPr>
        <i/>
        <sz val="12"/>
        <rFont val="Cambria"/>
        <family val="1"/>
      </rPr>
      <t xml:space="preserve">Aquaculture </t>
    </r>
    <r>
      <rPr>
        <b/>
        <sz val="12"/>
        <rFont val="Cambria"/>
        <family val="1"/>
      </rPr>
      <t>295</t>
    </r>
    <r>
      <rPr>
        <sz val="12"/>
        <rFont val="Cambria"/>
        <family val="1"/>
      </rPr>
      <t>(1), 116-­‐119.</t>
    </r>
  </si>
  <si>
    <r>
      <rPr>
        <sz val="12"/>
        <rFont val="Cambria"/>
        <family val="1"/>
      </rPr>
      <t xml:space="preserve">75.       Debnath D., Pal A., Sahu N., Baruah K., Yengkokpam S., Das T., Manush S. 2006 Thermal tolerance and metabolic activity of yellowtail catfish </t>
    </r>
    <r>
      <rPr>
        <i/>
        <sz val="12"/>
        <rFont val="Cambria"/>
        <family val="1"/>
      </rPr>
      <t xml:space="preserve">Pangasius pangasius </t>
    </r>
    <r>
      <rPr>
        <sz val="12"/>
        <rFont val="Cambria"/>
        <family val="1"/>
      </rPr>
      <t xml:space="preserve">(Hamilton) advanced fingerlings with emphasis on their culture potential. </t>
    </r>
    <r>
      <rPr>
        <i/>
        <sz val="12"/>
        <rFont val="Cambria"/>
        <family val="1"/>
      </rPr>
      <t xml:space="preserve">Aquaculture </t>
    </r>
    <r>
      <rPr>
        <b/>
        <sz val="12"/>
        <rFont val="Cambria"/>
        <family val="1"/>
      </rPr>
      <t>258</t>
    </r>
    <r>
      <rPr>
        <sz val="12"/>
        <rFont val="Cambria"/>
        <family val="1"/>
      </rPr>
      <t>(1), 606-­‐610.</t>
    </r>
  </si>
  <si>
    <r>
      <rPr>
        <sz val="12"/>
        <rFont val="Cambria"/>
        <family val="1"/>
      </rPr>
      <t>76.       Terblanche J.S., Sinclair B.J., Jaco Klok C., McFarlane M.L., Chown S.L. 2005 The effects of acclimation on thermal</t>
    </r>
  </si>
  <si>
    <r>
      <rPr>
        <sz val="12"/>
        <rFont val="Cambria"/>
        <family val="1"/>
      </rPr>
      <t xml:space="preserve">tolerance, desiccation resistance and metabolic rate in </t>
    </r>
    <r>
      <rPr>
        <i/>
        <sz val="12"/>
        <rFont val="Cambria"/>
        <family val="1"/>
      </rPr>
      <t xml:space="preserve">Chirodica chalcoptera </t>
    </r>
    <r>
      <rPr>
        <sz val="12"/>
        <rFont val="Cambria"/>
        <family val="1"/>
      </rPr>
      <t xml:space="preserve">(Coleoptera: Chrysomelidae). </t>
    </r>
    <r>
      <rPr>
        <i/>
        <sz val="12"/>
        <rFont val="Cambria"/>
        <family val="1"/>
      </rPr>
      <t xml:space="preserve">Journal of Insect Physiology </t>
    </r>
    <r>
      <rPr>
        <b/>
        <sz val="12"/>
        <rFont val="Cambria"/>
        <family val="1"/>
      </rPr>
      <t>51</t>
    </r>
    <r>
      <rPr>
        <sz val="12"/>
        <rFont val="Cambria"/>
        <family val="1"/>
      </rPr>
      <t>(9), 1013-­‐1023.</t>
    </r>
  </si>
  <si>
    <r>
      <rPr>
        <sz val="12"/>
        <rFont val="Cambria"/>
        <family val="1"/>
      </rPr>
      <t>77.       Klok C., Chown S.L. 2003 Resistance to temperature extremes in sub</t>
    </r>
    <r>
      <rPr>
        <sz val="12"/>
        <rFont val="MS Mincho"/>
        <family val="3"/>
      </rPr>
      <t>‐</t>
    </r>
    <r>
      <rPr>
        <sz val="12"/>
        <rFont val="Cambria"/>
        <family val="1"/>
      </rPr>
      <t>Antarctic weevils: interspecific variation,</t>
    </r>
  </si>
  <si>
    <r>
      <rPr>
        <sz val="12"/>
        <rFont val="Cambria"/>
        <family val="1"/>
      </rPr>
      <t xml:space="preserve">population differentiation and acclimation. </t>
    </r>
    <r>
      <rPr>
        <i/>
        <sz val="12"/>
        <rFont val="Cambria"/>
        <family val="1"/>
      </rPr>
      <t xml:space="preserve">Biological Journal of the Linnean Society </t>
    </r>
    <r>
      <rPr>
        <b/>
        <sz val="12"/>
        <rFont val="Cambria"/>
        <family val="1"/>
      </rPr>
      <t>78</t>
    </r>
    <r>
      <rPr>
        <sz val="12"/>
        <rFont val="Cambria"/>
        <family val="1"/>
      </rPr>
      <t>(3), 401-­‐414.</t>
    </r>
  </si>
  <si>
    <r>
      <rPr>
        <sz val="12"/>
        <rFont val="Cambria"/>
        <family val="1"/>
      </rPr>
      <t>78.       Slabber S., Chown S.L. 2005 Differential responses of thermal tolerance to acclimation in the sub</t>
    </r>
    <r>
      <rPr>
        <sz val="12"/>
        <rFont val="MS Mincho"/>
        <family val="3"/>
      </rPr>
      <t>‐</t>
    </r>
    <r>
      <rPr>
        <sz val="12"/>
        <rFont val="Cambria"/>
        <family val="1"/>
      </rPr>
      <t>Antarctic rove beetle</t>
    </r>
  </si>
  <si>
    <r>
      <rPr>
        <i/>
        <sz val="12"/>
        <rFont val="Cambria"/>
        <family val="1"/>
      </rPr>
      <t>Halmaeusa atriceps</t>
    </r>
    <r>
      <rPr>
        <sz val="12"/>
        <rFont val="Cambria"/>
        <family val="1"/>
      </rPr>
      <t xml:space="preserve">. </t>
    </r>
    <r>
      <rPr>
        <i/>
        <sz val="12"/>
        <rFont val="Cambria"/>
        <family val="1"/>
      </rPr>
      <t xml:space="preserve">Physiological Entomology </t>
    </r>
    <r>
      <rPr>
        <b/>
        <sz val="12"/>
        <rFont val="Cambria"/>
        <family val="1"/>
      </rPr>
      <t>30</t>
    </r>
    <r>
      <rPr>
        <sz val="12"/>
        <rFont val="Cambria"/>
        <family val="1"/>
      </rPr>
      <t>(2), 195-­‐204.</t>
    </r>
  </si>
  <si>
    <r>
      <rPr>
        <sz val="12"/>
        <rFont val="Cambria"/>
        <family val="1"/>
      </rPr>
      <t xml:space="preserve">79.       Lyons C.L., Coetzee M., Terblanche J.S., Chown S.L. 2012 Thermal limits of wild and laboratory strains of two African malaria vector species, </t>
    </r>
    <r>
      <rPr>
        <i/>
        <sz val="12"/>
        <rFont val="Cambria"/>
        <family val="1"/>
      </rPr>
      <t xml:space="preserve">Anopheles arabiensis </t>
    </r>
    <r>
      <rPr>
        <sz val="12"/>
        <rFont val="Cambria"/>
        <family val="1"/>
      </rPr>
      <t xml:space="preserve">and </t>
    </r>
    <r>
      <rPr>
        <i/>
        <sz val="12"/>
        <rFont val="Cambria"/>
        <family val="1"/>
      </rPr>
      <t>Anopheles funestus</t>
    </r>
    <r>
      <rPr>
        <sz val="12"/>
        <rFont val="Cambria"/>
        <family val="1"/>
      </rPr>
      <t xml:space="preserve">. </t>
    </r>
    <r>
      <rPr>
        <i/>
        <sz val="12"/>
        <rFont val="Cambria"/>
        <family val="1"/>
      </rPr>
      <t xml:space="preserve">Malaria Journal </t>
    </r>
    <r>
      <rPr>
        <b/>
        <sz val="12"/>
        <rFont val="Cambria"/>
        <family val="1"/>
      </rPr>
      <t>11</t>
    </r>
    <r>
      <rPr>
        <sz val="12"/>
        <rFont val="Cambria"/>
        <family val="1"/>
      </rPr>
      <t>(226), 10.1186.</t>
    </r>
  </si>
  <si>
    <r>
      <rPr>
        <sz val="12"/>
        <rFont val="Cambria"/>
        <family val="1"/>
      </rPr>
      <t xml:space="preserve">80.       Gray E.M. 2013 Thermal acclimation in a complex life cycle: The effects of larval and adult thermal conditions on metabolic rate and heat resistance in </t>
    </r>
    <r>
      <rPr>
        <i/>
        <sz val="12"/>
        <rFont val="Cambria"/>
        <family val="1"/>
      </rPr>
      <t xml:space="preserve">Culex pipiens </t>
    </r>
    <r>
      <rPr>
        <sz val="12"/>
        <rFont val="Cambria"/>
        <family val="1"/>
      </rPr>
      <t xml:space="preserve">(Diptera: Culicidae). </t>
    </r>
    <r>
      <rPr>
        <i/>
        <sz val="12"/>
        <rFont val="Cambria"/>
        <family val="1"/>
      </rPr>
      <t xml:space="preserve">Journal of Insect Physiology </t>
    </r>
    <r>
      <rPr>
        <b/>
        <sz val="12"/>
        <rFont val="Cambria"/>
        <family val="1"/>
      </rPr>
      <t>59</t>
    </r>
    <r>
      <rPr>
        <sz val="12"/>
        <rFont val="Cambria"/>
        <family val="1"/>
      </rPr>
      <t>(10), 1001-­‐1007.</t>
    </r>
  </si>
  <si>
    <r>
      <rPr>
        <sz val="12"/>
        <rFont val="Cambria"/>
        <family val="1"/>
      </rPr>
      <t xml:space="preserve">81.       Worthen W.B., Haney D.C. 1999 Temperature tolerance in three mycophagous </t>
    </r>
    <r>
      <rPr>
        <i/>
        <sz val="12"/>
        <rFont val="Cambria"/>
        <family val="1"/>
      </rPr>
      <t xml:space="preserve">Drosophila </t>
    </r>
    <r>
      <rPr>
        <sz val="12"/>
        <rFont val="Cambria"/>
        <family val="1"/>
      </rPr>
      <t xml:space="preserve">species: relationships with community structure. </t>
    </r>
    <r>
      <rPr>
        <i/>
        <sz val="12"/>
        <rFont val="Cambria"/>
        <family val="1"/>
      </rPr>
      <t xml:space="preserve">Oikos </t>
    </r>
    <r>
      <rPr>
        <b/>
        <sz val="12"/>
        <rFont val="Cambria"/>
        <family val="1"/>
      </rPr>
      <t>86</t>
    </r>
    <r>
      <rPr>
        <sz val="12"/>
        <rFont val="Cambria"/>
        <family val="1"/>
      </rPr>
      <t>, 113-­‐118.</t>
    </r>
  </si>
  <si>
    <r>
      <rPr>
        <sz val="12"/>
        <rFont val="Cambria"/>
        <family val="1"/>
      </rPr>
      <t xml:space="preserve">82.       Terblanche J.S., Klok C.J., Krafsur E.S., Chown S.L. 2006 Phenotypic plasticity and geographic variation in thermal tolerance and water loss of the tsetse </t>
    </r>
    <r>
      <rPr>
        <i/>
        <sz val="12"/>
        <rFont val="Cambria"/>
        <family val="1"/>
      </rPr>
      <t xml:space="preserve">Glossina pallidipes </t>
    </r>
    <r>
      <rPr>
        <sz val="12"/>
        <rFont val="Cambria"/>
        <family val="1"/>
      </rPr>
      <t xml:space="preserve">(Diptera: Glossinidae): implications for distribution modelling. </t>
    </r>
    <r>
      <rPr>
        <i/>
        <sz val="12"/>
        <rFont val="Cambria"/>
        <family val="1"/>
      </rPr>
      <t xml:space="preserve">The American Journal of Tropical Medicine and Hygiene </t>
    </r>
    <r>
      <rPr>
        <b/>
        <sz val="12"/>
        <rFont val="Cambria"/>
        <family val="1"/>
      </rPr>
      <t>74</t>
    </r>
    <r>
      <rPr>
        <sz val="12"/>
        <rFont val="Cambria"/>
        <family val="1"/>
      </rPr>
      <t>(5), 786-­‐794.</t>
    </r>
  </si>
  <si>
    <r>
      <rPr>
        <sz val="12"/>
        <rFont val="Cambria"/>
        <family val="1"/>
      </rPr>
      <t xml:space="preserve">83.      Dallas H.F., Rivers-­‐Moore N.A. 2012 Critical thermal maxima of aquatic macroinvertebrates: towards identifying bioindicators of thermal alteration. </t>
    </r>
    <r>
      <rPr>
        <i/>
        <sz val="12"/>
        <rFont val="Cambria"/>
        <family val="1"/>
      </rPr>
      <t xml:space="preserve">Hydrobiologia </t>
    </r>
    <r>
      <rPr>
        <b/>
        <sz val="12"/>
        <rFont val="Cambria"/>
        <family val="1"/>
      </rPr>
      <t>679</t>
    </r>
    <r>
      <rPr>
        <sz val="12"/>
        <rFont val="Cambria"/>
        <family val="1"/>
      </rPr>
      <t>(1), 61-­‐76.</t>
    </r>
  </si>
  <si>
    <r>
      <rPr>
        <sz val="12"/>
        <rFont val="Cambria"/>
        <family val="1"/>
      </rPr>
      <t xml:space="preserve">84.       Coccia C., Calosi P., Boyero L., Green A.J., Bilton D.T. 2013 Does ecophysiology determine invasion success? A comparison between the invasive boatman </t>
    </r>
    <r>
      <rPr>
        <i/>
        <sz val="12"/>
        <rFont val="Cambria"/>
        <family val="1"/>
      </rPr>
      <t xml:space="preserve">Trichocorixa verticalis </t>
    </r>
    <r>
      <rPr>
        <sz val="12"/>
        <rFont val="Cambria"/>
        <family val="1"/>
      </rPr>
      <t xml:space="preserve">verticalis and the native </t>
    </r>
    <r>
      <rPr>
        <i/>
        <sz val="12"/>
        <rFont val="Cambria"/>
        <family val="1"/>
      </rPr>
      <t xml:space="preserve">Sigara lateralis </t>
    </r>
    <r>
      <rPr>
        <sz val="12"/>
        <rFont val="Cambria"/>
        <family val="1"/>
      </rPr>
      <t xml:space="preserve">(Hemiptera, Corixidae) in South-­‐West Spain. </t>
    </r>
    <r>
      <rPr>
        <i/>
        <sz val="12"/>
        <rFont val="Cambria"/>
        <family val="1"/>
      </rPr>
      <t xml:space="preserve">PloS One </t>
    </r>
    <r>
      <rPr>
        <b/>
        <sz val="12"/>
        <rFont val="Cambria"/>
        <family val="1"/>
      </rPr>
      <t>8</t>
    </r>
    <r>
      <rPr>
        <sz val="12"/>
        <rFont val="Cambria"/>
        <family val="1"/>
      </rPr>
      <t>(5), e63105.</t>
    </r>
  </si>
  <si>
    <r>
      <rPr>
        <sz val="12"/>
        <rFont val="Cambria"/>
        <family val="1"/>
      </rPr>
      <t xml:space="preserve">85.       Chanthy P., Martin R.J., Gunning R.V., Andrew N.R. 2012 The effects of thermal acclimation on lethal temperatures and critical thermal limits in the green vegetable bug, </t>
    </r>
    <r>
      <rPr>
        <i/>
        <sz val="12"/>
        <rFont val="Cambria"/>
        <family val="1"/>
      </rPr>
      <t xml:space="preserve">Nezara viridula </t>
    </r>
    <r>
      <rPr>
        <sz val="12"/>
        <rFont val="Cambria"/>
        <family val="1"/>
      </rPr>
      <t xml:space="preserve">(L.)(Hemiptera: Pentatomidae). </t>
    </r>
    <r>
      <rPr>
        <i/>
        <sz val="12"/>
        <rFont val="Cambria"/>
        <family val="1"/>
      </rPr>
      <t xml:space="preserve">Frontiers in Physiology </t>
    </r>
    <r>
      <rPr>
        <b/>
        <sz val="12"/>
        <rFont val="Cambria"/>
        <family val="1"/>
      </rPr>
      <t>3</t>
    </r>
    <r>
      <rPr>
        <sz val="12"/>
        <rFont val="Cambria"/>
        <family val="1"/>
      </rPr>
      <t>, doi: 10.3389/fphys.2012.00465.</t>
    </r>
  </si>
  <si>
    <r>
      <rPr>
        <sz val="12"/>
        <rFont val="Cambria"/>
        <family val="1"/>
      </rPr>
      <t xml:space="preserve">86.       Jumbam K.R., Jackson S., Terblanche J.S., McGeoch M.A., Chown S.L. 2008 Acclimation effects on critical and lethal thermal limits of workers of the Argentine ant, </t>
    </r>
    <r>
      <rPr>
        <i/>
        <sz val="12"/>
        <rFont val="Cambria"/>
        <family val="1"/>
      </rPr>
      <t>Linepithema humile</t>
    </r>
    <r>
      <rPr>
        <sz val="12"/>
        <rFont val="Cambria"/>
        <family val="1"/>
      </rPr>
      <t xml:space="preserve">. </t>
    </r>
    <r>
      <rPr>
        <i/>
        <sz val="12"/>
        <rFont val="Cambria"/>
        <family val="1"/>
      </rPr>
      <t xml:space="preserve">Journal of Insect Physiology </t>
    </r>
    <r>
      <rPr>
        <b/>
        <sz val="12"/>
        <rFont val="Cambria"/>
        <family val="1"/>
      </rPr>
      <t>54</t>
    </r>
    <r>
      <rPr>
        <sz val="12"/>
        <rFont val="Cambria"/>
        <family val="1"/>
      </rPr>
      <t>(6), 1008-­‐1014.</t>
    </r>
  </si>
  <si>
    <r>
      <rPr>
        <sz val="12"/>
        <rFont val="Cambria"/>
        <family val="1"/>
      </rPr>
      <t xml:space="preserve">87.       Mitchell J.D., Hewitt P., Van Der Linde T.D.K. 1993 Critical thermal limits and temperature tolerance in the harvester termite </t>
    </r>
    <r>
      <rPr>
        <i/>
        <sz val="12"/>
        <rFont val="Cambria"/>
        <family val="1"/>
      </rPr>
      <t xml:space="preserve">Hodotermes mossambicus </t>
    </r>
    <r>
      <rPr>
        <sz val="12"/>
        <rFont val="Cambria"/>
        <family val="1"/>
      </rPr>
      <t xml:space="preserve">(Hagen). </t>
    </r>
    <r>
      <rPr>
        <i/>
        <sz val="12"/>
        <rFont val="Cambria"/>
        <family val="1"/>
      </rPr>
      <t xml:space="preserve">Journal of Insect Physiology </t>
    </r>
    <r>
      <rPr>
        <b/>
        <sz val="12"/>
        <rFont val="Cambria"/>
        <family val="1"/>
      </rPr>
      <t>39</t>
    </r>
    <r>
      <rPr>
        <sz val="12"/>
        <rFont val="Cambria"/>
        <family val="1"/>
      </rPr>
      <t>(6), 523-­‐528.</t>
    </r>
  </si>
  <si>
    <t>88.      Klok C.J., Chown S.L. 1998 Interactions between desiccation resistance, host-­‐plant contact and the thermal biology of a</t>
  </si>
  <si>
    <r>
      <rPr>
        <sz val="12"/>
        <rFont val="Cambria"/>
        <family val="1"/>
      </rPr>
      <t xml:space="preserve">leaf-­‐dwelling sub-­‐antarctic caterpillar, Embryonopsis halticella (Lepidoptera: Yponomeutidae). </t>
    </r>
    <r>
      <rPr>
        <i/>
        <sz val="12"/>
        <rFont val="Cambria"/>
        <family val="1"/>
      </rPr>
      <t>Journal of Insect Physiology</t>
    </r>
  </si>
  <si>
    <r>
      <rPr>
        <b/>
        <sz val="12"/>
        <rFont val="Cambria"/>
        <family val="1"/>
      </rPr>
      <t>44</t>
    </r>
    <r>
      <rPr>
        <sz val="12"/>
        <rFont val="Cambria"/>
        <family val="1"/>
      </rPr>
      <t>(7), 615-­‐628.</t>
    </r>
  </si>
  <si>
    <r>
      <rPr>
        <sz val="12"/>
        <rFont val="Cambria"/>
        <family val="1"/>
      </rPr>
      <t xml:space="preserve">89.       Garten C., Gentry J. 1976 Thermal tolerance of dragonfly nymphs. II. Comparison of nymphs from control and thermally altered environments. </t>
    </r>
    <r>
      <rPr>
        <i/>
        <sz val="12"/>
        <rFont val="Cambria"/>
        <family val="1"/>
      </rPr>
      <t xml:space="preserve">Physiological Zoology </t>
    </r>
    <r>
      <rPr>
        <b/>
        <sz val="12"/>
        <rFont val="Cambria"/>
        <family val="1"/>
      </rPr>
      <t>49</t>
    </r>
    <r>
      <rPr>
        <sz val="12"/>
        <rFont val="Cambria"/>
        <family val="1"/>
      </rPr>
      <t>, 206-­‐213.</t>
    </r>
  </si>
  <si>
    <r>
      <rPr>
        <sz val="12"/>
        <rFont val="Cambria"/>
        <family val="1"/>
      </rPr>
      <t xml:space="preserve">90.       Moulton S.R., Beitinger T.L., Stewart K.W., Currie R.J. 1993 Upper temperature tolerance of four species of caddisflies (Insecta: Trichoptera). </t>
    </r>
    <r>
      <rPr>
        <i/>
        <sz val="12"/>
        <rFont val="Cambria"/>
        <family val="1"/>
      </rPr>
      <t xml:space="preserve">Journal of Freshwater Ecology </t>
    </r>
    <r>
      <rPr>
        <b/>
        <sz val="12"/>
        <rFont val="Cambria"/>
        <family val="1"/>
      </rPr>
      <t>8</t>
    </r>
    <r>
      <rPr>
        <sz val="12"/>
        <rFont val="Cambria"/>
        <family val="1"/>
      </rPr>
      <t>(3), 193-­‐198.</t>
    </r>
  </si>
  <si>
    <r>
      <rPr>
        <sz val="12"/>
        <rFont val="Cambria"/>
        <family val="1"/>
      </rPr>
      <t xml:space="preserve">91.       Goode L.M. 2013 Effects of thermal acclimation on the critical thermal maxima of the tropical cockroaches: </t>
    </r>
    <r>
      <rPr>
        <i/>
        <sz val="12"/>
        <rFont val="Cambria"/>
        <family val="1"/>
      </rPr>
      <t>Blaptica dubia</t>
    </r>
    <r>
      <rPr>
        <sz val="12"/>
        <rFont val="Cambria"/>
        <family val="1"/>
      </rPr>
      <t xml:space="preserve">, </t>
    </r>
    <r>
      <rPr>
        <i/>
        <sz val="12"/>
        <rFont val="Cambria"/>
        <family val="1"/>
      </rPr>
      <t xml:space="preserve">Eublaberus posticus </t>
    </r>
    <r>
      <rPr>
        <sz val="12"/>
        <rFont val="Cambria"/>
        <family val="1"/>
      </rPr>
      <t xml:space="preserve">and </t>
    </r>
    <r>
      <rPr>
        <i/>
        <sz val="12"/>
        <rFont val="Cambria"/>
        <family val="1"/>
      </rPr>
      <t xml:space="preserve">Blaberus discoidalis </t>
    </r>
    <r>
      <rPr>
        <sz val="12"/>
        <rFont val="Cambria"/>
        <family val="1"/>
      </rPr>
      <t>(Blaberidae), Eastern Kentucky University.</t>
    </r>
  </si>
  <si>
    <r>
      <rPr>
        <sz val="12"/>
        <rFont val="Cambria"/>
        <family val="1"/>
      </rPr>
      <t xml:space="preserve">92.       Lalouette L., Williams C., Cottin M., Sinclair B.J., Renault D. 2012 Thermal biology of the alien ground beetle </t>
    </r>
    <r>
      <rPr>
        <i/>
        <sz val="12"/>
        <rFont val="Cambria"/>
        <family val="1"/>
      </rPr>
      <t xml:space="preserve">Merizodus soledadinus </t>
    </r>
    <r>
      <rPr>
        <sz val="12"/>
        <rFont val="Cambria"/>
        <family val="1"/>
      </rPr>
      <t xml:space="preserve">introduced to the Kerguelen Islands. </t>
    </r>
    <r>
      <rPr>
        <i/>
        <sz val="12"/>
        <rFont val="Cambria"/>
        <family val="1"/>
      </rPr>
      <t xml:space="preserve">Polar Biology </t>
    </r>
    <r>
      <rPr>
        <b/>
        <sz val="12"/>
        <rFont val="Cambria"/>
        <family val="1"/>
      </rPr>
      <t>35</t>
    </r>
    <r>
      <rPr>
        <sz val="12"/>
        <rFont val="Cambria"/>
        <family val="1"/>
      </rPr>
      <t>(4), 509-­‐517.</t>
    </r>
  </si>
  <si>
    <r>
      <rPr>
        <sz val="12"/>
        <rFont val="Cambria"/>
        <family val="1"/>
      </rPr>
      <t xml:space="preserve">93. Allen J.L., Clusella-­‐Trullas S., Chown S.L. 2012 The effects of acclimation and rates of temperature change on critical thermal limits in </t>
    </r>
    <r>
      <rPr>
        <i/>
        <sz val="12"/>
        <rFont val="Cambria"/>
        <family val="1"/>
      </rPr>
      <t xml:space="preserve">Tenebrio molitor </t>
    </r>
    <r>
      <rPr>
        <sz val="12"/>
        <rFont val="Cambria"/>
        <family val="1"/>
      </rPr>
      <t xml:space="preserve">(Tenebrionidae) and </t>
    </r>
    <r>
      <rPr>
        <i/>
        <sz val="12"/>
        <rFont val="Cambria"/>
        <family val="1"/>
      </rPr>
      <t xml:space="preserve">Cyrtobagous salviniae </t>
    </r>
    <r>
      <rPr>
        <sz val="12"/>
        <rFont val="Cambria"/>
        <family val="1"/>
      </rPr>
      <t xml:space="preserve">(Curculionidae). </t>
    </r>
    <r>
      <rPr>
        <i/>
        <sz val="12"/>
        <rFont val="Cambria"/>
        <family val="1"/>
      </rPr>
      <t xml:space="preserve">Journal of Insect Physiology </t>
    </r>
    <r>
      <rPr>
        <b/>
        <sz val="12"/>
        <rFont val="Cambria"/>
        <family val="1"/>
      </rPr>
      <t>58</t>
    </r>
    <r>
      <rPr>
        <sz val="12"/>
        <rFont val="Cambria"/>
        <family val="1"/>
      </rPr>
      <t>(5), 669-­‐678.</t>
    </r>
  </si>
  <si>
    <r>
      <rPr>
        <sz val="12"/>
        <rFont val="Cambria"/>
        <family val="1"/>
      </rPr>
      <t>94.       Terblanche J.S., Nyamukondiwa C., Kleynhans E. 2010 Thermal variability alters climatic stress resistance and plastic responses in a globally invasive pest, the Mediterranean fruit fly (</t>
    </r>
    <r>
      <rPr>
        <i/>
        <sz val="12"/>
        <rFont val="Cambria"/>
        <family val="1"/>
      </rPr>
      <t>Ceratitis capitata</t>
    </r>
    <r>
      <rPr>
        <sz val="12"/>
        <rFont val="Cambria"/>
        <family val="1"/>
      </rPr>
      <t xml:space="preserve">). </t>
    </r>
    <r>
      <rPr>
        <i/>
        <sz val="12"/>
        <rFont val="Cambria"/>
        <family val="1"/>
      </rPr>
      <t xml:space="preserve">Entomologia Experimentalis et Applicata </t>
    </r>
    <r>
      <rPr>
        <b/>
        <sz val="12"/>
        <rFont val="Cambria"/>
        <family val="1"/>
      </rPr>
      <t>137</t>
    </r>
    <r>
      <rPr>
        <sz val="12"/>
        <rFont val="Cambria"/>
        <family val="1"/>
      </rPr>
      <t>(3), 304-­‐315.</t>
    </r>
  </si>
  <si>
    <t>95.       Piyaphongkul J., Pritchard J., Bale J. 2014 Effects of acclimation on the thermal tolerance of the brown planthopper</t>
  </si>
  <si>
    <r>
      <rPr>
        <i/>
        <sz val="12"/>
        <rFont val="Cambria"/>
        <family val="1"/>
      </rPr>
      <t xml:space="preserve">Nilaparvata lugens </t>
    </r>
    <r>
      <rPr>
        <sz val="12"/>
        <rFont val="Cambria"/>
        <family val="1"/>
      </rPr>
      <t xml:space="preserve">(Stål). </t>
    </r>
    <r>
      <rPr>
        <i/>
        <sz val="12"/>
        <rFont val="Cambria"/>
        <family val="1"/>
      </rPr>
      <t xml:space="preserve">Agricultural and Forest Entomology </t>
    </r>
    <r>
      <rPr>
        <b/>
        <sz val="12"/>
        <rFont val="Cambria"/>
        <family val="1"/>
      </rPr>
      <t>16</t>
    </r>
    <r>
      <rPr>
        <sz val="12"/>
        <rFont val="Cambria"/>
        <family val="1"/>
      </rPr>
      <t>(2), 174-­‐183.</t>
    </r>
  </si>
  <si>
    <r>
      <rPr>
        <sz val="12"/>
        <rFont val="Cambria"/>
        <family val="1"/>
      </rPr>
      <t xml:space="preserve">96.       Cokendolpher J.C., Phillips S.A. 1990 Critical thermal limits and locomotor activity of the red imported fire ant (Hymenoptera: Formicidae). </t>
    </r>
    <r>
      <rPr>
        <i/>
        <sz val="12"/>
        <rFont val="Cambria"/>
        <family val="1"/>
      </rPr>
      <t xml:space="preserve">Environmental Entomology </t>
    </r>
    <r>
      <rPr>
        <b/>
        <sz val="12"/>
        <rFont val="Cambria"/>
        <family val="1"/>
      </rPr>
      <t>19</t>
    </r>
    <r>
      <rPr>
        <sz val="12"/>
        <rFont val="Cambria"/>
        <family val="1"/>
      </rPr>
      <t>(4), 878-­‐881.</t>
    </r>
  </si>
  <si>
    <r>
      <rPr>
        <sz val="12"/>
        <rFont val="Cambria"/>
        <family val="1"/>
      </rPr>
      <t xml:space="preserve">97.       Chidawanyika F., Terblanche J.S. 2011 Costs and benefits of thermal acclimation for codling moth, </t>
    </r>
    <r>
      <rPr>
        <i/>
        <sz val="12"/>
        <rFont val="Cambria"/>
        <family val="1"/>
      </rPr>
      <t xml:space="preserve">Cydia pomonella </t>
    </r>
    <r>
      <rPr>
        <sz val="12"/>
        <rFont val="Cambria"/>
        <family val="1"/>
      </rPr>
      <t xml:space="preserve">(Lepidoptera: Tortricidae): implications for pest control and the sterile insect release programme. </t>
    </r>
    <r>
      <rPr>
        <i/>
        <sz val="12"/>
        <rFont val="Cambria"/>
        <family val="1"/>
      </rPr>
      <t xml:space="preserve">Evolutionary Applications </t>
    </r>
    <r>
      <rPr>
        <b/>
        <sz val="12"/>
        <rFont val="Cambria"/>
        <family val="1"/>
      </rPr>
      <t>4</t>
    </r>
    <r>
      <rPr>
        <sz val="12"/>
        <rFont val="Cambria"/>
        <family val="1"/>
      </rPr>
      <t>(4), 534-­‐544.</t>
    </r>
  </si>
  <si>
    <t>98.       Zheng W., Hongliang L., Li M., Xiang J. 2013 Differences in thermal preference and tolerance among three</t>
  </si>
  <si>
    <r>
      <rPr>
        <i/>
        <sz val="12"/>
        <rFont val="Cambria"/>
        <family val="1"/>
      </rPr>
      <t xml:space="preserve">Phrynocephalus </t>
    </r>
    <r>
      <rPr>
        <sz val="12"/>
        <rFont val="Cambria"/>
        <family val="1"/>
      </rPr>
      <t xml:space="preserve">lizards (Agamidae) with different body sizes and habitat use. </t>
    </r>
    <r>
      <rPr>
        <i/>
        <sz val="12"/>
        <rFont val="Cambria"/>
        <family val="1"/>
      </rPr>
      <t xml:space="preserve">Asian Herpetological Research </t>
    </r>
    <r>
      <rPr>
        <b/>
        <sz val="12"/>
        <rFont val="Cambria"/>
        <family val="1"/>
      </rPr>
      <t>4</t>
    </r>
    <r>
      <rPr>
        <sz val="12"/>
        <rFont val="Cambria"/>
        <family val="1"/>
      </rPr>
      <t>(3), 214-­‐220.</t>
    </r>
  </si>
  <si>
    <r>
      <rPr>
        <sz val="12"/>
        <rFont val="Cambria"/>
        <family val="1"/>
      </rPr>
      <t xml:space="preserve">99.       Corn M.J. 1971 Upper thermal limits and thermal preferenda for three sympatric species of </t>
    </r>
    <r>
      <rPr>
        <i/>
        <sz val="12"/>
        <rFont val="Cambria"/>
        <family val="1"/>
      </rPr>
      <t>Anolis</t>
    </r>
    <r>
      <rPr>
        <sz val="12"/>
        <rFont val="Cambria"/>
        <family val="1"/>
      </rPr>
      <t xml:space="preserve">. </t>
    </r>
    <r>
      <rPr>
        <i/>
        <sz val="12"/>
        <rFont val="Cambria"/>
        <family val="1"/>
      </rPr>
      <t xml:space="preserve">Journal of Herpetology </t>
    </r>
    <r>
      <rPr>
        <b/>
        <sz val="12"/>
        <rFont val="Cambria"/>
        <family val="1"/>
      </rPr>
      <t>5</t>
    </r>
    <r>
      <rPr>
        <sz val="12"/>
        <rFont val="Cambria"/>
        <family val="1"/>
      </rPr>
      <t>, 17-­‐21.</t>
    </r>
  </si>
  <si>
    <r>
      <rPr>
        <sz val="12"/>
        <rFont val="Cambria"/>
        <family val="1"/>
      </rPr>
      <t>100.    Yang J., Sun Y.-­‐Y., An H., Ji X. 2008 Northern grass lizards (</t>
    </r>
    <r>
      <rPr>
        <i/>
        <sz val="12"/>
        <rFont val="Cambria"/>
        <family val="1"/>
      </rPr>
      <t>Takydromus septentrionalis</t>
    </r>
    <r>
      <rPr>
        <sz val="12"/>
        <rFont val="Cambria"/>
        <family val="1"/>
      </rPr>
      <t>) from different populations do</t>
    </r>
  </si>
  <si>
    <r>
      <rPr>
        <sz val="12"/>
        <rFont val="Cambria"/>
        <family val="1"/>
      </rPr>
      <t xml:space="preserve">not differ in thermal preference and thermal tolerance when acclimated under identical thermal conditions. </t>
    </r>
    <r>
      <rPr>
        <i/>
        <sz val="12"/>
        <rFont val="Cambria"/>
        <family val="1"/>
      </rPr>
      <t xml:space="preserve">Journal of Comparative Physiology B </t>
    </r>
    <r>
      <rPr>
        <b/>
        <sz val="12"/>
        <rFont val="Cambria"/>
        <family val="1"/>
      </rPr>
      <t>178</t>
    </r>
    <r>
      <rPr>
        <sz val="12"/>
        <rFont val="Cambria"/>
        <family val="1"/>
      </rPr>
      <t>(3), 343-­‐349.</t>
    </r>
  </si>
  <si>
    <r>
      <rPr>
        <sz val="12"/>
        <rFont val="Cambria"/>
        <family val="1"/>
      </rPr>
      <t xml:space="preserve">101.    Li H., Wang Z., Mei W., Ji X. 2009 Temperature acclimation affects thermal preference and tolerance in three </t>
    </r>
    <r>
      <rPr>
        <i/>
        <sz val="12"/>
        <rFont val="Cambria"/>
        <family val="1"/>
      </rPr>
      <t xml:space="preserve">Eremias </t>
    </r>
    <r>
      <rPr>
        <sz val="12"/>
        <rFont val="Cambria"/>
        <family val="1"/>
      </rPr>
      <t xml:space="preserve">lizards (Lacertidae). </t>
    </r>
    <r>
      <rPr>
        <i/>
        <sz val="12"/>
        <rFont val="Cambria"/>
        <family val="1"/>
      </rPr>
      <t xml:space="preserve">Current Zoology </t>
    </r>
    <r>
      <rPr>
        <b/>
        <sz val="12"/>
        <rFont val="Cambria"/>
        <family val="1"/>
      </rPr>
      <t>55</t>
    </r>
    <r>
      <rPr>
        <sz val="12"/>
        <rFont val="Cambria"/>
        <family val="1"/>
      </rPr>
      <t>, 258-­‐265.</t>
    </r>
  </si>
  <si>
    <r>
      <rPr>
        <sz val="12"/>
        <rFont val="Cambria"/>
        <family val="1"/>
      </rPr>
      <t xml:space="preserve">102.   Huang S.-­‐P., Tu M.-­‐C. 2008 Cold tolerance and altitudinal distribution of </t>
    </r>
    <r>
      <rPr>
        <i/>
        <sz val="12"/>
        <rFont val="Cambria"/>
        <family val="1"/>
      </rPr>
      <t xml:space="preserve">Takydromus </t>
    </r>
    <r>
      <rPr>
        <sz val="12"/>
        <rFont val="Cambria"/>
        <family val="1"/>
      </rPr>
      <t xml:space="preserve">lizards in Taiwan. </t>
    </r>
    <r>
      <rPr>
        <i/>
        <sz val="12"/>
        <rFont val="Cambria"/>
        <family val="1"/>
      </rPr>
      <t xml:space="preserve">Zoological Studies </t>
    </r>
    <r>
      <rPr>
        <b/>
        <sz val="12"/>
        <rFont val="Cambria"/>
        <family val="1"/>
      </rPr>
      <t>47</t>
    </r>
    <r>
      <rPr>
        <sz val="12"/>
        <rFont val="Cambria"/>
        <family val="1"/>
      </rPr>
      <t>(4), 438-­‐444.</t>
    </r>
  </si>
  <si>
    <r>
      <rPr>
        <sz val="12"/>
        <rFont val="Cambria"/>
        <family val="1"/>
      </rPr>
      <t xml:space="preserve">103.    Scott J.R., Tracy C.R., Pettus D. 1982 A biophysical analysis of daily and seasonal utilization of climate space by a montane snake. </t>
    </r>
    <r>
      <rPr>
        <i/>
        <sz val="12"/>
        <rFont val="Cambria"/>
        <family val="1"/>
      </rPr>
      <t xml:space="preserve">Ecology </t>
    </r>
    <r>
      <rPr>
        <b/>
        <sz val="12"/>
        <rFont val="Cambria"/>
        <family val="1"/>
      </rPr>
      <t>63</t>
    </r>
    <r>
      <rPr>
        <sz val="12"/>
        <rFont val="Cambria"/>
        <family val="1"/>
      </rPr>
      <t>, 482-­‐493.</t>
    </r>
  </si>
  <si>
    <r>
      <rPr>
        <sz val="12"/>
        <rFont val="Cambria"/>
        <family val="1"/>
      </rPr>
      <t xml:space="preserve">104.    Murrish D.E., Vance V.J. 1968 Physiological responses to temperature acclimation in the lizard </t>
    </r>
    <r>
      <rPr>
        <i/>
        <sz val="12"/>
        <rFont val="Cambria"/>
        <family val="1"/>
      </rPr>
      <t>Uta mearnsi</t>
    </r>
    <r>
      <rPr>
        <sz val="12"/>
        <rFont val="Cambria"/>
        <family val="1"/>
      </rPr>
      <t>.</t>
    </r>
  </si>
  <si>
    <r>
      <rPr>
        <i/>
        <sz val="12"/>
        <rFont val="Cambria"/>
        <family val="1"/>
      </rPr>
      <t xml:space="preserve">Comparative Biochemistry and Physiology </t>
    </r>
    <r>
      <rPr>
        <b/>
        <sz val="12"/>
        <rFont val="Cambria"/>
        <family val="1"/>
      </rPr>
      <t>27</t>
    </r>
    <r>
      <rPr>
        <sz val="12"/>
        <rFont val="Cambria"/>
        <family val="1"/>
      </rPr>
      <t>(1), 329-­‐337.</t>
    </r>
  </si>
  <si>
    <r>
      <rPr>
        <sz val="12"/>
        <rFont val="Cambria"/>
        <family val="1"/>
      </rPr>
      <t xml:space="preserve">105.    Lowe C.H., Vance V.J. 1955 Acclimation of the critical thermal maximum of the reptile </t>
    </r>
    <r>
      <rPr>
        <i/>
        <sz val="12"/>
        <rFont val="Cambria"/>
        <family val="1"/>
      </rPr>
      <t>Urosaurus ornatus</t>
    </r>
    <r>
      <rPr>
        <sz val="12"/>
        <rFont val="Cambria"/>
        <family val="1"/>
      </rPr>
      <t xml:space="preserve">. </t>
    </r>
    <r>
      <rPr>
        <i/>
        <sz val="12"/>
        <rFont val="Cambria"/>
        <family val="1"/>
      </rPr>
      <t>Science</t>
    </r>
  </si>
  <si>
    <r>
      <rPr>
        <b/>
        <sz val="12"/>
        <rFont val="Cambria"/>
        <family val="1"/>
      </rPr>
      <t>122</t>
    </r>
    <r>
      <rPr>
        <sz val="12"/>
        <rFont val="Cambria"/>
        <family val="1"/>
      </rPr>
      <t>(3158), 73-­‐74.</t>
    </r>
  </si>
  <si>
    <r>
      <rPr>
        <sz val="12"/>
        <rFont val="Cambria"/>
        <family val="1"/>
      </rPr>
      <t xml:space="preserve">106.   Huang S.-­‐P., Hsu Y., Tu M.-­‐C. 2006 Thermal tolerance and altitudinal distribution of two </t>
    </r>
    <r>
      <rPr>
        <i/>
        <sz val="12"/>
        <rFont val="Cambria"/>
        <family val="1"/>
      </rPr>
      <t xml:space="preserve">Sphenomorphus </t>
    </r>
    <r>
      <rPr>
        <sz val="12"/>
        <rFont val="Cambria"/>
        <family val="1"/>
      </rPr>
      <t xml:space="preserve">lizards in Taiwan. </t>
    </r>
    <r>
      <rPr>
        <i/>
        <sz val="12"/>
        <rFont val="Cambria"/>
        <family val="1"/>
      </rPr>
      <t xml:space="preserve">Journal of Thermal Biology </t>
    </r>
    <r>
      <rPr>
        <b/>
        <sz val="12"/>
        <rFont val="Cambria"/>
        <family val="1"/>
      </rPr>
      <t>31</t>
    </r>
    <r>
      <rPr>
        <sz val="12"/>
        <rFont val="Cambria"/>
        <family val="1"/>
      </rPr>
      <t>(5), 378-­‐385.</t>
    </r>
  </si>
  <si>
    <t>107. Huang S.-­‐M., Huang S.-­‐P., Chen Y.-­‐H., Tu M.-­‐C. 2007 Thermal Tolerance and Altitudinal Distribution of Three</t>
  </si>
  <si>
    <r>
      <rPr>
        <i/>
        <sz val="12"/>
        <rFont val="Cambria"/>
        <family val="1"/>
      </rPr>
      <t xml:space="preserve">Trimeresurus </t>
    </r>
    <r>
      <rPr>
        <sz val="12"/>
        <rFont val="Cambria"/>
        <family val="1"/>
      </rPr>
      <t xml:space="preserve">Snakes (Viperidae: Crotalinae) in Taiwan. </t>
    </r>
    <r>
      <rPr>
        <i/>
        <sz val="12"/>
        <rFont val="Cambria"/>
        <family val="1"/>
      </rPr>
      <t xml:space="preserve">Zoological Studies </t>
    </r>
    <r>
      <rPr>
        <b/>
        <sz val="12"/>
        <rFont val="Cambria"/>
        <family val="1"/>
      </rPr>
      <t>46</t>
    </r>
    <r>
      <rPr>
        <sz val="12"/>
        <rFont val="Cambria"/>
        <family val="1"/>
      </rPr>
      <t>(5), 592-­‐599.</t>
    </r>
  </si>
  <si>
    <t>108.    Williamson L.U., Spotila J.R., Standora E.A. 1989 Growth selected temperature and CTM of young snapping turtles,</t>
  </si>
  <si>
    <r>
      <rPr>
        <i/>
        <sz val="12"/>
        <rFont val="Cambria"/>
        <family val="1"/>
      </rPr>
      <t>Chelydra serpentina</t>
    </r>
    <r>
      <rPr>
        <sz val="12"/>
        <rFont val="Cambria"/>
        <family val="1"/>
      </rPr>
      <t xml:space="preserve">. </t>
    </r>
    <r>
      <rPr>
        <i/>
        <sz val="12"/>
        <rFont val="Cambria"/>
        <family val="1"/>
      </rPr>
      <t xml:space="preserve">Journal of Thermal Biology </t>
    </r>
    <r>
      <rPr>
        <b/>
        <sz val="12"/>
        <rFont val="Cambria"/>
        <family val="1"/>
      </rPr>
      <t>14</t>
    </r>
    <r>
      <rPr>
        <sz val="12"/>
        <rFont val="Cambria"/>
        <family val="1"/>
      </rPr>
      <t>(1), 33-­‐39.</t>
    </r>
  </si>
  <si>
    <r>
      <t xml:space="preserve">109.    Kosh R.J., Hutchison V.H. 1968 Daily rhythmicity of temperature tolerance in eastern painted turtles, </t>
    </r>
    <r>
      <rPr>
        <i/>
        <sz val="12"/>
        <rFont val="Cambria"/>
        <family val="1"/>
      </rPr>
      <t>Chrysemys picta</t>
    </r>
    <r>
      <rPr>
        <sz val="12"/>
        <rFont val="Cambria"/>
        <family val="1"/>
      </rPr>
      <t>.</t>
    </r>
  </si>
  <si>
    <r>
      <rPr>
        <i/>
        <sz val="12"/>
        <rFont val="Cambria"/>
        <family val="1"/>
      </rPr>
      <t>Copeia</t>
    </r>
    <r>
      <rPr>
        <sz val="12"/>
        <rFont val="Cambria"/>
        <family val="1"/>
      </rPr>
      <t>, 244-­‐246.</t>
    </r>
  </si>
  <si>
    <r>
      <t xml:space="preserve">110.    Kour E.L., Hutchison V.H. 1970 Critical thermal tolerances and heating and cooling rates of lizards from diverse habitats. </t>
    </r>
    <r>
      <rPr>
        <i/>
        <sz val="12"/>
        <rFont val="Cambria"/>
        <family val="1"/>
      </rPr>
      <t>Copeia</t>
    </r>
    <r>
      <rPr>
        <sz val="12"/>
        <rFont val="Cambria"/>
        <family val="1"/>
      </rPr>
      <t>, 219-­‐229.</t>
    </r>
  </si>
  <si>
    <t>111.    Jacobson E.R., Whitford W.G. 1970 The effect of acclimation on physiological responses to temperature in the snakes,</t>
  </si>
  <si>
    <r>
      <rPr>
        <i/>
        <sz val="12"/>
        <rFont val="Cambria"/>
        <family val="1"/>
      </rPr>
      <t xml:space="preserve">Thamnophis proximus </t>
    </r>
    <r>
      <rPr>
        <sz val="12"/>
        <rFont val="Cambria"/>
        <family val="1"/>
      </rPr>
      <t xml:space="preserve">and </t>
    </r>
    <r>
      <rPr>
        <i/>
        <sz val="12"/>
        <rFont val="Cambria"/>
        <family val="1"/>
      </rPr>
      <t>Natrix rhombifera</t>
    </r>
    <r>
      <rPr>
        <sz val="12"/>
        <rFont val="Cambria"/>
        <family val="1"/>
      </rPr>
      <t xml:space="preserve">. </t>
    </r>
    <r>
      <rPr>
        <i/>
        <sz val="12"/>
        <rFont val="Cambria"/>
        <family val="1"/>
      </rPr>
      <t xml:space="preserve">Comparative Biochemistry and Physiology </t>
    </r>
    <r>
      <rPr>
        <b/>
        <sz val="12"/>
        <rFont val="Cambria"/>
        <family val="1"/>
      </rPr>
      <t>35</t>
    </r>
    <r>
      <rPr>
        <sz val="12"/>
        <rFont val="Cambria"/>
        <family val="1"/>
      </rPr>
      <t>(2), 439-­‐449.</t>
    </r>
  </si>
  <si>
    <r>
      <t xml:space="preserve">112.  Wu M.-­‐X., Hu L.-­‐J., Dang W., Lu H.-­‐L., Du W.-­‐G. 2013 Effect of thermal acclimation on thermal preference, resistance and locomotor performance of hatchling soft-­‐shelled turtle. </t>
    </r>
    <r>
      <rPr>
        <i/>
        <sz val="12"/>
        <rFont val="Cambria"/>
        <family val="1"/>
      </rPr>
      <t xml:space="preserve">Current Zoology </t>
    </r>
    <r>
      <rPr>
        <b/>
        <sz val="12"/>
        <rFont val="Cambria"/>
        <family val="1"/>
      </rPr>
      <t>59</t>
    </r>
    <r>
      <rPr>
        <sz val="12"/>
        <rFont val="Cambria"/>
        <family val="1"/>
      </rPr>
      <t>, 718-­‐724.</t>
    </r>
  </si>
  <si>
    <t>genus</t>
  </si>
  <si>
    <t>species</t>
  </si>
  <si>
    <t>group</t>
  </si>
  <si>
    <t>Acclim. Time</t>
  </si>
  <si>
    <t>Cool Rate</t>
  </si>
  <si>
    <t>Heat rate</t>
  </si>
  <si>
    <t>longitude</t>
  </si>
  <si>
    <t>habitat</t>
  </si>
  <si>
    <t>Max Ctmax</t>
  </si>
  <si>
    <t>Min Ctmin</t>
  </si>
  <si>
    <t>CTmax  ARR</t>
  </si>
  <si>
    <t>ref</t>
  </si>
  <si>
    <r>
      <rPr>
        <sz val="11"/>
        <rFont val="Calibri"/>
        <family val="2"/>
      </rPr>
      <t>CTmin  ARR</t>
    </r>
  </si>
  <si>
    <t>Major taxonomic group</t>
  </si>
  <si>
    <t>Duration of time at acclimation temperature in days</t>
  </si>
  <si>
    <t>Log10 Acclim. Time</t>
  </si>
  <si>
    <t>Rate organisms were cooled in CTmax trials (C/min)</t>
  </si>
  <si>
    <t>Rate organisms were cooled in CTmin trials (C/min)</t>
  </si>
  <si>
    <t>Log10 Cool Rate</t>
  </si>
  <si>
    <t>Log10 Heat Rate</t>
  </si>
  <si>
    <t>Species' habitat (freshwater [fw], marine [sw], or terretrial [t])</t>
  </si>
  <si>
    <t>Manimum CTmin value for the species in the study</t>
  </si>
  <si>
    <t>Maximum CTmax value for the species in the study</t>
  </si>
  <si>
    <t>Acclimation response ratio (change in CTmax/change in acclimation temp) for CTmax values</t>
  </si>
  <si>
    <t>Log10 CTmax ARR</t>
  </si>
  <si>
    <t>Acclimation response ratio (change in CTmin/change in acclimation temp) for CTmin values</t>
  </si>
  <si>
    <t>Log10 seasonality</t>
  </si>
  <si>
    <t>Reference number</t>
  </si>
  <si>
    <t>Reference number without brackets for sorting purposes</t>
  </si>
  <si>
    <t>Stage of animal</t>
  </si>
  <si>
    <t>Mean sample size for CTmax ARR</t>
  </si>
  <si>
    <t>Mean sample size for CTmin ARR</t>
  </si>
  <si>
    <t>Species body length (mm) for CTmax</t>
  </si>
  <si>
    <t>Species wet body mass (g) for CTmax</t>
  </si>
  <si>
    <t>Log10 Mass CTmax</t>
  </si>
  <si>
    <t>Species body length (mm) for CTmin</t>
  </si>
  <si>
    <t>Species wet body mass (g) for CTmin</t>
  </si>
  <si>
    <t>Log10 Mass CTmin</t>
  </si>
  <si>
    <t>Source of body size data</t>
  </si>
  <si>
    <t>Number of acclimation temperatures for CTmax</t>
  </si>
  <si>
    <t>Number of acclimation temperatures for CTmin</t>
  </si>
  <si>
    <t>data=Seebacher.et.al.</t>
  </si>
  <si>
    <t>#Top model</t>
  </si>
  <si>
    <t>Excluded mollusca due to shell</t>
  </si>
  <si>
    <t>Standard deviation of annual mean weekly air temperatures extracted from 0.25 x 0.25' Bioclim climatic layers</t>
  </si>
  <si>
    <t>data=Gunderson.and.Stillman</t>
  </si>
  <si>
    <t>ddmodel7 &lt;- dredge(model7)</t>
  </si>
  <si>
    <t>subset(ddmodel7, delta &lt; 4)</t>
  </si>
  <si>
    <t>summary(model.avg(ddmodel7, subset = delta &lt; 4))</t>
  </si>
  <si>
    <t>Anova(model7)</t>
  </si>
  <si>
    <t>summary(model7)</t>
  </si>
  <si>
    <t>Anova(model8)</t>
  </si>
  <si>
    <t>subset(ddmodel9, delta &lt; 4)</t>
  </si>
  <si>
    <t>summary(model.avg(ddmodel9, subset = delta &lt; 4))</t>
  </si>
  <si>
    <t>ddmodel9 &lt;- dredge(model9)</t>
  </si>
  <si>
    <t>Anova(model9)</t>
  </si>
  <si>
    <t>summary(model9)</t>
  </si>
  <si>
    <t>Missing something other than seasonality</t>
  </si>
  <si>
    <t>Missing good size data for tadpoles and only larval amphibian</t>
  </si>
  <si>
    <t>Bothrometopus</t>
  </si>
  <si>
    <t>Outlier</t>
  </si>
  <si>
    <t>LogPA2</t>
  </si>
  <si>
    <t>NegLogPA2</t>
  </si>
  <si>
    <t>Abs(PostAcclimation-1)</t>
  </si>
  <si>
    <t>Log(previous col. +0.001)</t>
  </si>
  <si>
    <t>LogPA2*-1</t>
  </si>
  <si>
    <t>model7&lt;-lme(NegLogPA2~Habitat*LogMass*absLatitude*LogAcclPeriod,data=data, random = ~ 1 | Species2, weights = varFixed(~ 1/MeanN), method="ML")</t>
  </si>
  <si>
    <t>model7&lt;-lme(NegLogPA2~absLatitude+Habitat+LogAcclPeriod+LogMass+absLatitude:Habitat+absLatitude:LogAcclPeriod+absLatitude:LogMass+LogAcclPeriod:LogMass+absLatitude:LogAcclPeriod:LogMass,data=data, random = ~ 1 | Species2, weights = varFixed(~ 1/MeanN), method="ML")</t>
  </si>
  <si>
    <t>LogARR</t>
  </si>
  <si>
    <t>Anova(model6a)</t>
  </si>
  <si>
    <t>summary(model6a)</t>
  </si>
  <si>
    <t>Anova(model6b)</t>
  </si>
  <si>
    <t>summary(model6b)</t>
  </si>
  <si>
    <t>model1.3&lt;-lme(Topt~LogAccTime+AccTemp+LogMass+absLatitude+Habitat+ absLatitude:AccTemp+absLatitude:LogAccTime+absLatitude:LogMass+AccTemp:LogAccTime+AccTemp:LogMass,data=data, random = ~ 1 | ID, weights = varFixed(~ 1/No.Temp), method="ML")</t>
  </si>
  <si>
    <t>model8&lt;-lme(CTmax..ARR~LogAcclimTime*LogMassCTMax*LogHeatRate+habitat,data=Gunderson.and.Stillman, random = ~ 1 | species2/ref, weights = varFixed(~ 1/Sample.size.CTMax), method="ML", na.action=na.omit) #Seasonality was dropped because it was not significant</t>
  </si>
  <si>
    <t>model9&lt;-lme(CTmax..ARR~LogAcclimTime+LogMassCTMax+logSeasonality+LogHeatRate+habitat+LogAcclimTime:LogHeatRate+LogAcclimTime:LogMassCTMax+LogAcclimTime:logSeasonality+LogHeatRate:logSeasonality+LogMassCTMax:logSeasonality+LogAcclimTime:LogHeatRate:logSeasonality+LogAcclimTime:LogMassCTMax:logSeasonality,data=subset(Gunderson.and.Stillman, Missing=="Complete"), random = ~ 1 | species2/ref, weights = varFixed(~ 1/Sample.size.CTMax), method="ML")</t>
  </si>
  <si>
    <t>30-45</t>
  </si>
  <si>
    <t>45-60</t>
  </si>
  <si>
    <t>15-30</t>
  </si>
  <si>
    <t>0-15</t>
  </si>
  <si>
    <t>LatGroup</t>
  </si>
  <si>
    <t>&gt;15</t>
  </si>
  <si>
    <t>&gt;30</t>
  </si>
  <si>
    <t>&gt;45</t>
  </si>
  <si>
    <t>&gt;60</t>
  </si>
  <si>
    <t>Dendrobates</t>
  </si>
  <si>
    <t>Eleutherodactylus</t>
  </si>
  <si>
    <t>quadridigitata</t>
  </si>
  <si>
    <t>rubriventris</t>
  </si>
  <si>
    <t>Average of Safety/10</t>
  </si>
  <si>
    <t>Average of Abs lat/10</t>
  </si>
  <si>
    <t>Average of tmxslope/100</t>
  </si>
  <si>
    <t>Average of ARR</t>
  </si>
  <si>
    <t>Log(ARR+1)</t>
  </si>
  <si>
    <t>Exclude Negative ARRs</t>
  </si>
  <si>
    <t>log SVLx10</t>
  </si>
  <si>
    <t>#For Amphibian CTMax Acclimation Time analyses (Table S7, Figure S1)</t>
  </si>
  <si>
    <t>model9&lt;-lme(CTmax..ARR~LogAcclimTime*LogMassCTMax*logSeasonality*LogHeatRate+habitat, random = ~ 1 | species2/ref, weights = varFixed(~ 1/Sample.size.CTMax), data=subset(Gunderson.and.Stillman, Missing=="Complete"), method="ML")</t>
  </si>
  <si>
    <t>Taxon</t>
  </si>
  <si>
    <t>Fish</t>
  </si>
  <si>
    <t>Amph</t>
  </si>
  <si>
    <t>Insect</t>
  </si>
  <si>
    <t>Crust</t>
  </si>
  <si>
    <t>Rept</t>
  </si>
  <si>
    <t>Arthro</t>
  </si>
  <si>
    <t>Other</t>
  </si>
  <si>
    <t>model7a&lt;-lme(NegLogPA2~Taxon+LogMass*absLatitude*LogAcclPeriod,data=data, random = ~ 1 | Species2, weights = varFixed(~ 1/MeanN), method="ML")</t>
  </si>
  <si>
    <t>ddmodel7a &lt;- dredge(model7a)</t>
  </si>
  <si>
    <t>subset(ddmodel7a, delta &lt; 4)</t>
  </si>
  <si>
    <t>summary(model.avg(ddmodel7a, subset = delta &lt; 4))</t>
  </si>
  <si>
    <t>Anova(model7a)</t>
  </si>
  <si>
    <t>summary(model7a)</t>
  </si>
  <si>
    <t>model9a&lt;-lme(CTmax..ARR~LogAcclimTime*LogMassCTMax*logSeasonality*LogHeatRate+Taxon, random = ~ 1 | species2/ref, weights = varFixed(~ 1/Sample.size.CTMax), data=subset(Gunderson.and.Stillman, Missing=="Complete"), method="ML")</t>
  </si>
  <si>
    <t>ddmodel9a &lt;- dredge(model9a)</t>
  </si>
  <si>
    <t>subset(ddmodel9a, delta &lt; 4)</t>
  </si>
  <si>
    <t>summary(model.avg(ddmodel9a, subset = delta &lt; 4))</t>
  </si>
  <si>
    <t>Anova(model9a)</t>
  </si>
  <si>
    <t>summary(model9a)</t>
  </si>
  <si>
    <t>Phylum2</t>
  </si>
  <si>
    <t>Asco</t>
  </si>
  <si>
    <t>Moll</t>
  </si>
  <si>
    <t>Chord</t>
  </si>
  <si>
    <t>#For Amphibian CTMax Acclimation analyses (Table S11, Figure S4)</t>
  </si>
  <si>
    <t>#For Gunderson and Stillman analyses (Table S12, Figure S5)</t>
  </si>
  <si>
    <t>Data for CTMax analyses (Table S11 and S16, Fig. S1 and S3)</t>
  </si>
  <si>
    <t>visreg(model1.1, "AccTemp", "LogMass",  type = "conditional", cond = list(LogAccTime=5.0, absLatitude=45), points=list(col="black", cex=.5), line.par=list(lty=2, col="black", lwd=0.5), scales=list(alternating=FALSE, tck=c(1,0)), strip=F, par.strip.text = list(col = "transparent"), breaks=c(0.00000000000000974,0.006), xlab="Acclimation temperature (degrees C)", ylab="Optimal performance temperature (degrees C)")</t>
  </si>
  <si>
    <t>visreg(model1.1, "AccTemp", "LogMass",  type = "conditional", cond = list(LogAccTime=7.5, absLatitude=45), points=list(col="black", cex=.5), line.par=list(lty=2, col="black", lwd=0.5), scales=list(alternating=FALSE, tck=c(1,0)), strip=F, par.strip.text = list(col = "transparent"), breaks=c(0.00000000000000974,0.006), xlab="Acclimation temperature (degrees C)", ylab="Optimal performance temperature (degrees C)")</t>
  </si>
  <si>
    <t>visreg(model2, "AccTemp", "LogMass",  type = "conditional", cond = list(absLatitude=45), points=list(col="black", cex=.5), line.par=list(lty=2, col="black", lwd=0.5), scales=list(alternating=FALSE, tck=c(1,0)), strip=F, par.strip.text = list(col = "transparent"), breaks=2, xlab="Acclimation temperature (degrees C)", ylab="Optimal performance temperature (degrees C)")</t>
  </si>
  <si>
    <t>visreg(model2, "AccTemp", "LogMass",  type = "conditional", cond = list(absLatitude=5), points=list(col="black", cex=.5), line.par=list(lty=2, col="black", lwd=0.5), scales=list(alternating=FALSE, tck=c(1,0)), strip=F, par.strip.text = list(col = "transparent"), breaks=2, xlab="Acclimation temperature (degrees C)", ylab="Optimal performance temperature (degrees C)")</t>
  </si>
  <si>
    <t>visreg(model2, "Phylum2", points=list(col="black", cex=.5), line.par=list(lty=2, col="black", lwd=0.5), scales=list(alternating=FALSE, tck=c(1,0)), strip=F, par.strip.text = list(col = "transparent"), xlab="Taxon", ylab="Optimal performance temperature (degrees C)")</t>
  </si>
  <si>
    <t>visreg(model3.0, "absLatitude", "LogMass",  type = "conditional", cond = list(AccTemp=24), points=list(col="black", cex=.5), line.par=list(lty=2, col="black", lwd=0.5), scales=list(alternating=FALSE, tck=c(1,0)), strip=F, par.strip.text = list(col = "transparent"), breaks=3, xlab="Absolute value of latitude (degrees)", ylab="Breadth (Log10 degrees C)")</t>
  </si>
  <si>
    <t>visreg(model4, "Acclim.temp", "log.SVL",  type = "conditional", cond = list(log.Acclim.time=0.4), points=list(col="black", cex=.5), line.par=list(lty=2, col="black", lwd=0.5), scales=list(alternating=FALSE, tck=c(1,0)), strip=F, par.strip.text = list(col = "transparent"), breaks=2, ylim=c(20,45), xlab="Acclimation temperature (degrees C)", ylab="Critical thermal maximum (degrees C)")</t>
  </si>
  <si>
    <t>visreg(model4, "Acclim.temp", "log.SVL",  type = "conditional", cond = list(log.Acclim.time=2.0), points=list(col="black", cex=.5), line.par=list(lty=2, col="black", lwd=0.5), scales=list(alternating=FALSE, tck=c(1,0)), strip=F, par.strip.text = list(col = "transparent"), breaks=2, ylim=c(20,45),xlab="Acclimation temperature (degrees C)", ylab="Critical thermal maximum (degrees C)")</t>
  </si>
  <si>
    <t>visreg(model5, "Acclim.temp", "log.SVL",  type = "conditional", cond = list(log.Acclim.time=0.4, Abs.lat=45), points=list(col="black", cex=.5), line.par=list(lty=2, col="black", lwd=0.5), scales=list(alternating=FALSE, tck=c(1,0)), strip=F, par.strip.text = list(col = "transparent"), breaks=2, ylim=c(10,55), xlab="Acclimation temperature (degrees C)", ylab="Critical thermal maximum (degrees C)")</t>
  </si>
  <si>
    <t>visreg(model5, "Acclim.temp", "log.SVL",  type = "conditional", cond = list(log.Acclim.time=0.4, Abs.lat=0), points=list(col="black", cex=.5), line.par=list(lty=2, col="black", lwd=0.5), scales=list(alternating=FALSE, tck=c(1,0)), strip=F, par.strip.text = list(col = "transparent"), breaks=2, ylim=c(10,55),xlab="Acclimation temperature (degrees C)", ylab="Critical thermal maximum (degrees C)")</t>
  </si>
  <si>
    <t>visreg(model5, "Acclim.temp", "log.SVL",  type = "conditional", cond = list(log.Acclim.time=2.0, Abs.lat=45), points=list(col="black", cex=.5), line.par=list(lty=2, col="black", lwd=0.5), scales=list(alternating=FALSE, tck=c(1,0)), strip=F, par.strip.text = list(col = "transparent"), breaks=2, ylim=c(10,55), xlab="Acclimation temperature (degrees C)", ylab="Critical thermal maximum (degrees C)")</t>
  </si>
  <si>
    <t>visreg(model5, "Acclim.temp", "log.SVL",  type = "conditional", cond = list(log.Acclim.time=2.0, Abs.lat=0), points=list(col="black", cex=.5), line.par=list(lty=2, col="black", lwd=0.5), scales=list(alternating=FALSE, tck=c(1,0)), strip=F, par.strip.text = list(col = "transparent"), breaks=2, ylim=c(10,55),xlab="Acclimation temperature (degrees C)", ylab="Critical thermal maximum (degrees C)")</t>
  </si>
  <si>
    <t>visreg(model7, "LogMass", by="absLatitude", cond=list(LogAcclPeriod=1.15), points=list(col="black", cex=.5), line.par=list(lty=2, col="black", lwd=0.5), scales=list(alternating=FALSE, tck=c(1,0)), strip=F, par.strip.text = list(col = "transparent"), breaks=c(5,45), ylim=c(-1.2,2.2), xlim=c(-4.2,4.2), xlab="Log body mass",  ylab="Acclimation strength")</t>
  </si>
  <si>
    <t>visreg(model7, "LogMass", by="absLatitude", cond=list(LogAcclPeriod=1.89), points=list(col="black", cex=.5), line.par=list(lty=2, col="black", lwd=0.5), scales=list(alternating=FALSE, tck=c(1,0)), strip=F, par.strip.text = list(col = "transparent"), breaks=c(5,45), ylim=c(-1.2,2.2), xlim=c(-4.2,4.2), xlab="Log body mass",  ylab="Acclimation strength")</t>
  </si>
  <si>
    <t>visreg(model7a, "Taxon", points=list(col="black", cex=.5), line.par=list(lty=2, col="black", lwd=0.5), scales=list(alternating=FALSE, tck=c(1,0)), strip=F, par.strip.text = list(col = "transparent"),  ylab="Acclimation strength")</t>
  </si>
  <si>
    <t>visreg(model8, "LogHeatRate", "LogMassCTMax",   type = "conditional", cond = list(LogAcclimTime=1.48), points=list(col="black", cex=.5), line.par=list(lty=2, col="black", lwd=0.5), scales=list(alternating=FALSE, tck=c(1,0)), strip=F, par.strip.text = list(col = "transparent"), breaks=2, ylim=c(-0.4,.5), xlab="Heat rate (log10 C/min)", ylab=" Acclimation response ratio ")</t>
  </si>
  <si>
    <t>visreg(model8, "LogHeatRate", "LogMassCTMax",   type = "conditional", cond = list(LogAcclimTime=.5), points=list(col="black", cex=.5), line.par=list(lty=2, col="black", lwd=0.5), scales=list(alternating=FALSE, tck=c(1,0)), strip=F, par.strip.text = list(col = "transparent"), breaks=2, ylim=c(-0.4,.5), xlab="Heat rate (log10 C/min)", ylab=" Acclimation response ratio ")</t>
  </si>
  <si>
    <t>visreg(model9a, "Taxon",   points=list(col="black", cex=.5), line.par=list(lty=2, col="black", lwd=0.5), scales=list(alternating=FALSE, tck=c(1,0)), strip=F, par.strip.text = list(col = "transparent"), ylab=" Acclimation response ratio ")</t>
  </si>
  <si>
    <t>model2&lt;-lme(Topt~AccTemp*LogMass*absLatitude+Phylum2+Trophic,data=data, random = ~ 1 | ID, weights = varFixed(~ 1/No.Temp), na.action=na.omit,method="ML")</t>
  </si>
  <si>
    <t>#For Seebacher et al. analyses (Table S13, Figure S6b)</t>
  </si>
  <si>
    <t>#For Topt Acclimation Temp. analyses (Fig. S6a)</t>
  </si>
  <si>
    <t>visreg(model9, "LogMassCTMax", "logSeasonality",   type = "conditional", cond = list(LogAcclimTime=1.48), points=list(col="black", cex=.5), line.par=list(lty=2, col="black", lwd=0.5), scales=list(alternating=FALSE, tck=c(1,0)), strip=F, par.strip.text = list(col = "transparent"), breaks=2, ylim=c(-.5,.8), xlab="Body mass (log10 g)", ylab=" Acclimation response ratio ") #30 d</t>
  </si>
  <si>
    <t>model9a&lt;-lme(CTmax..ARR~LogAcclimTime+LogMassCTMax+LogHeatRate+Taxon+LogAcclimTime:LogMassCTMax+LogAcclimTime:LogHeatRate, data=subset(Gunderson.and.Stillman, Missing=="Complete"), random = ~ 1 | species2/ref, weights = varFixed(~ 1/Sample.size.CTMax), method="ML", na.action=na.omit) #Best model</t>
  </si>
  <si>
    <t>#For Gunderson and Stillman analyses (Table S14, Figure S6c)</t>
  </si>
  <si>
    <t>bio5</t>
  </si>
  <si>
    <t>Thermal safety margin</t>
  </si>
  <si>
    <t>Missing bioclim5</t>
  </si>
  <si>
    <t>Missing2</t>
  </si>
  <si>
    <t>model6a&lt;-glm(IUCN.2014risk~Log.Range*Log.Average.of.Elevation*Average.of.Safety*log.SVL*Average.of.Abs.lat+Average.of.tmxslope, data=data, family=binomial, na.action=na.omit)</t>
  </si>
  <si>
    <t>trellis.par.set(strip.background=list(col="transparent"), strip.border = c(list(col="transparent"), (col="black")))</t>
  </si>
  <si>
    <t>model6b&lt;-glm(IUCN.2014risk~Log.Average.of.Elevation+LogARR*Average.of.Safety*log.SVL*Average.of.Abs.lat, data=data, family=binomial)</t>
  </si>
  <si>
    <t>visreg(model6a, "Average.of.Safety", "Average.of.Abs.lat",  type = "conditional", cond = list(log.SVL = 1.52, Log.Range=3.8), points=list(col="black", cex=.5), line.par=list(lty=2, col="black", lwd=0.5), scales=list(alternating=FALSE, tck=c(1,0)), strip=F, par.strip.text = list(col = "transparent"), ylim=c(-30,30), breaks=c(13,41), xlab="Safety margin (degrees C)", ylab="IUCN threat status (log odds ratio)", band=FALSE)</t>
  </si>
  <si>
    <t>visreg(model6a, "Average.of.Safety", "Average.of.Abs.lat",  type = "conditional", cond = list(log.SVL = 2.16, Log.Range=3.8), points=list(col="black", cex=.5), line.par=list(lty=2, col="black", lwd=0.5), scales=list(alternating=FALSE, tck=c(1,0)), strip=F, par.strip.text = list(col = "transparent"), ylim=c(-30,30), breaks=c(13,41), xlab="Safety margin (degrees C)", ylab="IUCN threat status (log odds ratio)", band=FALSE)</t>
  </si>
  <si>
    <t>visreg(model6a, "Average.of.Safety", "Average.of.Abs.lat",  type = "conditional", cond = list(log.SVL = 1.52, Log.Range=6.5), points=list(col="black", cex=.5), line.par=list(lty=2, col="black", lwd=0.5), scales=list(alternating=FALSE, tck=c(1,0)), strip=F, par.strip.text = list(col = "transparent"), ylim=c(-75,50), breaks=c(13,41), xlab="Safety margin (degrees C)", ylab="IUCN threat status (log odds ratio)", band=FALSE)</t>
  </si>
  <si>
    <t>visreg(model6a, "Average.of.Safety", "Average.of.Abs.lat",  type = "conditional", cond = list(log.SVL = 2.16, Log.Range=6.5), points=list(col="black", cex=.5), line.par=list(lty=2, col="black", lwd=0.5), scales=list(alternating=FALSE, tck=c(1,0)), strip=F, par.strip.text = list(col = "transparent"), ylim=c(-75,50), breaks=c(13,41), xlab="Safety margin (degrees C)", ylab="IUCN threat status (log odds ratio)", band=FALSE)</t>
  </si>
  <si>
    <t xml:space="preserve">visreg(model6b, "LogARR", by="Average.of.Abs.lat", type = "conditional", cond = list(log.SVL=1.52, Average.of.Safety=9.51), points=list(col="black", cex=.5), line.par=list(lty=2, col="black", lwd=0.5), scales=list(alternating=FALSE, tck=c(1,0)), strip=F, par.strip.text = list(col = "transparent"), breaks=c(18,42),xlim=c(-1.3,-.5), ylim=c(-20,10), xlab=" Log ARR", ylab="IUCN threat status (log odds ratio)", band=FALSE) </t>
  </si>
  <si>
    <t>visreg(model6b, "LogARR", by="Average.of.Abs.lat", type = "conditional", cond = list(log.SVL=2.05, Average.of.Safety=9.51), points=list(col="black", cex=.5), line.par=list(lty=2, col="black", lwd=0.5), scales=list(alternating=FALSE, tck=c(1,0)), strip=F, par.strip.text = list(col = "transparent"), breaks=c(18,42), xlim=c(-1.3,-.5), ylim=c(-20,10), xlab=" Log ARR", ylab="IUCN threat status (log odds ratio)", band=FALSE)</t>
  </si>
  <si>
    <t>visreg(model6b, "LogARR", by="Average.of.Abs.lat", type = "conditional", cond = list(log.SVL=1.52, Average.of.Safety=5.78), points=list(col="black", cex=.5), line.par=list(lty=2, col="black", lwd=0.5), scales=list(alternating=FALSE, tck=c(1,0)), strip=F, par.strip.text = list(col = "transparent"), breaks=c(18,42), ylim=c(-20,10), xlim=c(-1.3,-.5),xlab=" Log ARR", ylab="IUCN threat status (log odds ratio)", band=FALSE)</t>
  </si>
  <si>
    <t>visreg(model6b, "LogARR", by="Average.of.Abs.lat", type = "conditional", cond = list(log.SVL=2.05, Average.of.Safety=5.78), points=list(col="black", cex=.5), line.par=list(lty=2, col="black", lwd=0.5), scales=list(alternating=FALSE, tck=c(1,0)), strip=F, par.strip.text = list(col = "transparent"), breaks=c(18,42), ylim=c(-20,10), xlim=c(-1.3,-.5),xlab="Log ARR", ylab="IUCN threat status (log odds ratio)", band=FALSE)</t>
  </si>
  <si>
    <t>#For Topt Acclimation Time analyses (Fig. 3C &amp; D, Table S6)</t>
  </si>
  <si>
    <t>#For Topt Acclimation Temp. analyses (Fig. 4D,E, Table S8)</t>
  </si>
  <si>
    <t>#For Breadth Acclimation Temp. analyses (Fig. 4F, Table S15)</t>
  </si>
  <si>
    <t>#For IUCN thermal safety margin analyses (Fig. 6, Figure S10)</t>
  </si>
  <si>
    <t>#For IUCN ARR analyses (Fig. 7, Table S16)</t>
  </si>
  <si>
    <t>#For Seebacher et al. analyses (Table S9, Fig. 3E, Figure S3)</t>
  </si>
  <si>
    <t>#For Gunderson and Stillman analyses (Fig. 3A &amp; B)</t>
  </si>
  <si>
    <t>Data for acclimation time analyses (Fig. 3, Table S6)</t>
  </si>
  <si>
    <t>Data for Topt analyses (Fig. 4D,E, Table S8)</t>
  </si>
  <si>
    <t>Data for Breadth analyses (Fig. 4F, Table S15)</t>
  </si>
  <si>
    <t>Data for CTMax analyses (Fig. 6 &amp; 7, S10, Table S16)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</si>
</sst>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164" formatCode="0.0"/>
    <numFmt numFmtId="165" formatCode="0.000"/>
    <numFmt numFmtId="166" formatCode="0.0000000E+00"/>
    <numFmt numFmtId="167" formatCode="0.000000000"/>
    <numFmt numFmtId="168" formatCode="0.0000"/>
    <numFmt numFmtId="169" formatCode="###0;###0"/>
    <numFmt numFmtId="170" formatCode="###0.0;###0.0"/>
    <numFmt numFmtId="171" formatCode="###0.000000;###0.000000"/>
    <numFmt numFmtId="172" formatCode="###0.00000;###0.00000"/>
    <numFmt numFmtId="173" formatCode="###0.00;###0.00"/>
    <numFmt numFmtId="174" formatCode="###0.000;###0.000"/>
    <numFmt numFmtId="175" formatCode="###0.0000;###0.0000"/>
    <numFmt numFmtId="176" formatCode="0.00000000000000000000"/>
  </numFmts>
  <fonts count="47">
    <font>
      <sz val="11"/>
      <color theme="1"/>
      <name val="Calibri"/>
      <family val="2"/>
      <scheme val="minor"/>
    </font>
    <font>
      <b/>
      <sz val="11"/>
      <color theme="1"/>
      <name val="Calibri"/>
      <family val="2"/>
      <scheme val="minor"/>
    </font>
    <font>
      <sz val="9"/>
      <name val="Arial"/>
      <family val="2"/>
    </font>
    <font>
      <b/>
      <sz val="9"/>
      <name val="Arial"/>
      <family val="2"/>
    </font>
    <font>
      <sz val="10"/>
      <color indexed="8"/>
      <name val="Arial"/>
      <family val="2"/>
    </font>
    <font>
      <b/>
      <sz val="9"/>
      <color indexed="8"/>
      <name val="Arial"/>
      <family val="2"/>
    </font>
    <font>
      <b/>
      <sz val="10"/>
      <name val="Arial"/>
      <family val="2"/>
    </font>
    <font>
      <sz val="9"/>
      <color indexed="8"/>
      <name val="Arial"/>
      <family val="2"/>
    </font>
    <font>
      <i/>
      <sz val="9"/>
      <name val="Arial"/>
      <family val="2"/>
    </font>
    <font>
      <sz val="10"/>
      <name val="Arial"/>
      <family val="2"/>
    </font>
    <font>
      <vertAlign val="superscript"/>
      <sz val="10"/>
      <name val="Arial"/>
      <family val="2"/>
    </font>
    <font>
      <b/>
      <sz val="10"/>
      <color theme="1"/>
      <name val="Arial"/>
      <family val="2"/>
    </font>
    <font>
      <sz val="11"/>
      <color theme="1"/>
      <name val="Calibri"/>
      <family val="2"/>
    </font>
    <font>
      <u/>
      <sz val="11"/>
      <color theme="10"/>
      <name val="Calibri"/>
      <family val="2"/>
      <scheme val="minor"/>
    </font>
    <font>
      <sz val="11"/>
      <color rgb="FF000000"/>
      <name val="Calibri"/>
      <family val="2"/>
      <scheme val="minor"/>
    </font>
    <font>
      <sz val="10"/>
      <color theme="1"/>
      <name val="Arial"/>
      <family val="2"/>
    </font>
    <font>
      <sz val="11"/>
      <color theme="1"/>
      <name val="Calibri"/>
      <family val="2"/>
      <scheme val="minor"/>
    </font>
    <font>
      <b/>
      <sz val="12"/>
      <color theme="1"/>
      <name val="Calibri"/>
      <family val="2"/>
      <scheme val="minor"/>
    </font>
    <font>
      <b/>
      <sz val="12"/>
      <name val="Calibri"/>
      <family val="2"/>
      <scheme val="minor"/>
    </font>
    <font>
      <sz val="12"/>
      <name val="Calibri"/>
      <family val="2"/>
      <scheme val="minor"/>
    </font>
    <font>
      <sz val="11"/>
      <color rgb="FF222222"/>
      <name val="Calibri"/>
      <family val="2"/>
      <scheme val="minor"/>
    </font>
    <font>
      <b/>
      <sz val="14"/>
      <color theme="1"/>
      <name val="Calibri"/>
      <family val="2"/>
      <scheme val="minor"/>
    </font>
    <font>
      <sz val="14"/>
      <color theme="1"/>
      <name val="Calibri"/>
      <family val="2"/>
      <scheme val="minor"/>
    </font>
    <font>
      <b/>
      <sz val="12"/>
      <color theme="0" tint="-0.499984740745262"/>
      <name val="Calibri"/>
      <family val="2"/>
      <scheme val="minor"/>
    </font>
    <font>
      <sz val="12"/>
      <color theme="1"/>
      <name val="Calibri"/>
      <family val="2"/>
      <scheme val="minor"/>
    </font>
    <font>
      <sz val="11"/>
      <name val="Calibri"/>
      <family val="2"/>
      <scheme val="minor"/>
    </font>
    <font>
      <sz val="11"/>
      <color rgb="FF2E2E2E"/>
      <name val="Calibri"/>
      <family val="2"/>
      <scheme val="minor"/>
    </font>
    <font>
      <b/>
      <sz val="12"/>
      <name val="Cambria"/>
      <family val="1"/>
    </font>
    <font>
      <sz val="8"/>
      <color rgb="FF000000"/>
      <name val="Calibri"/>
      <family val="2"/>
      <scheme val="minor"/>
    </font>
    <font>
      <sz val="8"/>
      <name val="Calibri"/>
      <family val="2"/>
      <scheme val="minor"/>
    </font>
    <font>
      <u/>
      <sz val="8"/>
      <name val="Calibri"/>
      <family val="2"/>
    </font>
    <font>
      <sz val="8"/>
      <name val="Calibri"/>
      <family val="2"/>
    </font>
    <font>
      <sz val="10"/>
      <color rgb="FF000000"/>
      <name val="Times New Roman"/>
      <family val="1"/>
    </font>
    <font>
      <sz val="8"/>
      <color rgb="FF000000"/>
      <name val="Calibri"/>
      <family val="2"/>
    </font>
    <font>
      <sz val="10"/>
      <color rgb="FF000000"/>
      <name val="Lucida Console"/>
      <family val="3"/>
    </font>
    <font>
      <sz val="9"/>
      <color rgb="FF000000"/>
      <name val="Arial"/>
      <family val="2"/>
    </font>
    <font>
      <sz val="8"/>
      <color indexed="8"/>
      <name val="Calibri"/>
      <family val="2"/>
      <scheme val="minor"/>
    </font>
    <font>
      <sz val="12"/>
      <name val="Cambria"/>
      <family val="1"/>
    </font>
    <font>
      <sz val="13"/>
      <color rgb="FF000000"/>
      <name val="Times New Roman"/>
      <family val="1"/>
    </font>
    <font>
      <i/>
      <sz val="12"/>
      <name val="Cambria"/>
      <family val="1"/>
    </font>
    <font>
      <sz val="12"/>
      <name val="MS Mincho"/>
      <family val="3"/>
    </font>
    <font>
      <sz val="11"/>
      <name val="Calibri"/>
      <family val="2"/>
    </font>
    <font>
      <sz val="11"/>
      <color rgb="FF0000FF"/>
      <name val="Lucida Console"/>
      <family val="3"/>
    </font>
    <font>
      <b/>
      <sz val="8"/>
      <name val="Calibri"/>
      <family val="2"/>
    </font>
    <font>
      <u/>
      <sz val="8"/>
      <name val="Calibri"/>
      <family val="2"/>
      <scheme val="minor"/>
    </font>
    <font>
      <u/>
      <sz val="8"/>
      <color rgb="FF000000"/>
      <name val="Calibri"/>
      <family val="2"/>
      <scheme val="minor"/>
    </font>
    <font>
      <b/>
      <sz val="11"/>
      <name val="Calibri"/>
      <family val="2"/>
      <scheme val="minor"/>
    </font>
  </fonts>
  <fills count="3">
    <fill>
      <patternFill patternType="none"/>
    </fill>
    <fill>
      <patternFill patternType="gray125"/>
    </fill>
    <fill>
      <patternFill patternType="solid">
        <fgColor rgb="FFFFFFFF"/>
        <bgColor indexed="64"/>
      </patternFill>
    </fill>
  </fills>
  <borders count="4">
    <border>
      <left/>
      <right/>
      <top/>
      <bottom/>
      <diagonal/>
    </border>
    <border>
      <left/>
      <right/>
      <top/>
      <bottom style="thin">
        <color theme="4" tint="0.39997558519241921"/>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s>
  <cellStyleXfs count="4">
    <xf numFmtId="0" fontId="0" fillId="0" borderId="0"/>
    <xf numFmtId="0" fontId="4" fillId="0" borderId="0"/>
    <xf numFmtId="0" fontId="13" fillId="0" borderId="0" applyNumberFormat="0" applyFill="0" applyBorder="0" applyAlignment="0" applyProtection="0"/>
    <xf numFmtId="9" fontId="16" fillId="0" borderId="0" applyFont="0" applyFill="0" applyBorder="0" applyAlignment="0" applyProtection="0"/>
  </cellStyleXfs>
  <cellXfs count="221">
    <xf numFmtId="0" fontId="0" fillId="0" borderId="0" xfId="0"/>
    <xf numFmtId="0" fontId="1" fillId="0" borderId="0" xfId="0" applyFont="1"/>
    <xf numFmtId="0" fontId="0" fillId="0" borderId="0" xfId="0" applyNumberFormat="1"/>
    <xf numFmtId="0" fontId="0" fillId="0" borderId="1" xfId="0" applyFont="1" applyBorder="1"/>
    <xf numFmtId="0" fontId="0" fillId="0" borderId="1" xfId="0" applyNumberFormat="1" applyFont="1" applyBorder="1"/>
    <xf numFmtId="0" fontId="0" fillId="0" borderId="0" xfId="0" applyFont="1"/>
    <xf numFmtId="0" fontId="0" fillId="0" borderId="0" xfId="0" applyNumberFormat="1" applyFont="1"/>
    <xf numFmtId="0" fontId="0" fillId="0" borderId="0" xfId="0" applyFont="1" applyFill="1"/>
    <xf numFmtId="0" fontId="0" fillId="0" borderId="0" xfId="0" applyNumberFormat="1" applyFont="1" applyFill="1"/>
    <xf numFmtId="0" fontId="2" fillId="0" borderId="0" xfId="0" applyFont="1" applyFill="1" applyBorder="1" applyAlignment="1">
      <alignment horizontal="center"/>
    </xf>
    <xf numFmtId="0" fontId="2" fillId="0" borderId="0" xfId="0" applyFont="1" applyFill="1" applyBorder="1" applyAlignment="1">
      <alignment horizontal="left"/>
    </xf>
    <xf numFmtId="0" fontId="3" fillId="0" borderId="0" xfId="0" applyFont="1" applyFill="1" applyBorder="1" applyAlignment="1">
      <alignment horizontal="center"/>
    </xf>
    <xf numFmtId="164" fontId="2" fillId="0" borderId="0" xfId="0" applyNumberFormat="1" applyFont="1" applyFill="1" applyBorder="1" applyAlignment="1">
      <alignment horizontal="center"/>
    </xf>
    <xf numFmtId="49" fontId="2" fillId="0" borderId="0" xfId="0" applyNumberFormat="1" applyFont="1" applyFill="1" applyBorder="1" applyAlignment="1">
      <alignment horizontal="center"/>
    </xf>
    <xf numFmtId="2" fontId="2" fillId="0" borderId="0" xfId="0" applyNumberFormat="1" applyFont="1" applyFill="1" applyBorder="1" applyAlignment="1">
      <alignment horizontal="center"/>
    </xf>
    <xf numFmtId="1" fontId="2" fillId="0" borderId="0" xfId="0" applyNumberFormat="1" applyFont="1" applyFill="1" applyBorder="1" applyAlignment="1">
      <alignment horizontal="center"/>
    </xf>
    <xf numFmtId="49" fontId="3" fillId="0" borderId="0" xfId="0" applyNumberFormat="1" applyFont="1" applyFill="1" applyBorder="1" applyAlignment="1">
      <alignment horizontal="center"/>
    </xf>
    <xf numFmtId="0" fontId="3" fillId="0" borderId="0" xfId="0" applyFont="1" applyFill="1" applyBorder="1" applyAlignment="1">
      <alignment horizontal="left"/>
    </xf>
    <xf numFmtId="165" fontId="2" fillId="0" borderId="0" xfId="0" applyNumberFormat="1" applyFont="1" applyFill="1" applyBorder="1" applyAlignment="1">
      <alignment horizontal="center"/>
    </xf>
    <xf numFmtId="1" fontId="2" fillId="0" borderId="0" xfId="0" applyNumberFormat="1" applyFont="1" applyFill="1" applyBorder="1" applyAlignment="1">
      <alignment horizontal="left"/>
    </xf>
    <xf numFmtId="0" fontId="2" fillId="0" borderId="0" xfId="0" applyFont="1" applyFill="1" applyBorder="1"/>
    <xf numFmtId="164" fontId="3" fillId="0" borderId="0" xfId="0" applyNumberFormat="1" applyFont="1" applyFill="1" applyBorder="1" applyAlignment="1">
      <alignment horizontal="center"/>
    </xf>
    <xf numFmtId="2" fontId="3" fillId="0" borderId="0" xfId="0" applyNumberFormat="1" applyFont="1" applyFill="1" applyBorder="1" applyAlignment="1">
      <alignment horizontal="center"/>
    </xf>
    <xf numFmtId="1" fontId="3" fillId="0" borderId="0" xfId="0" applyNumberFormat="1" applyFont="1" applyFill="1" applyBorder="1" applyAlignment="1">
      <alignment horizontal="center"/>
    </xf>
    <xf numFmtId="165" fontId="3" fillId="0" borderId="0" xfId="0" applyNumberFormat="1" applyFont="1" applyFill="1" applyBorder="1" applyAlignment="1">
      <alignment horizontal="center"/>
    </xf>
    <xf numFmtId="1" fontId="3" fillId="0" borderId="0" xfId="0" applyNumberFormat="1" applyFont="1" applyFill="1" applyBorder="1" applyAlignment="1">
      <alignment horizontal="left"/>
    </xf>
    <xf numFmtId="1" fontId="5" fillId="0" borderId="0" xfId="1" applyNumberFormat="1" applyFont="1" applyFill="1" applyBorder="1" applyAlignment="1">
      <alignment horizontal="center" vertical="top"/>
    </xf>
    <xf numFmtId="2" fontId="5" fillId="0" borderId="0" xfId="1" applyNumberFormat="1" applyFont="1" applyFill="1" applyBorder="1" applyAlignment="1">
      <alignment horizontal="center" vertical="top"/>
    </xf>
    <xf numFmtId="0" fontId="5" fillId="0" borderId="0" xfId="1" applyFont="1" applyFill="1" applyBorder="1" applyAlignment="1">
      <alignment horizontal="center" vertical="top"/>
    </xf>
    <xf numFmtId="1" fontId="5" fillId="0" borderId="0" xfId="0" applyNumberFormat="1" applyFont="1" applyFill="1" applyBorder="1" applyAlignment="1">
      <alignment horizontal="center"/>
    </xf>
    <xf numFmtId="0" fontId="5" fillId="0" borderId="0" xfId="0" applyFont="1" applyFill="1" applyBorder="1" applyAlignment="1">
      <alignment horizontal="center"/>
    </xf>
    <xf numFmtId="2" fontId="5" fillId="0" borderId="0" xfId="0" applyNumberFormat="1" applyFont="1" applyFill="1" applyBorder="1" applyAlignment="1">
      <alignment horizontal="center"/>
    </xf>
    <xf numFmtId="0" fontId="3" fillId="0" borderId="0" xfId="0" applyFont="1" applyFill="1" applyBorder="1"/>
    <xf numFmtId="1" fontId="6" fillId="0" borderId="0" xfId="0" applyNumberFormat="1" applyFont="1" applyFill="1" applyAlignment="1">
      <alignment horizontal="center"/>
    </xf>
    <xf numFmtId="1" fontId="7" fillId="0" borderId="0" xfId="0" applyNumberFormat="1" applyFont="1" applyFill="1" applyBorder="1" applyAlignment="1">
      <alignment horizontal="center"/>
    </xf>
    <xf numFmtId="2" fontId="7" fillId="0" borderId="0" xfId="0" applyNumberFormat="1" applyFont="1" applyFill="1" applyBorder="1" applyAlignment="1">
      <alignment horizontal="center"/>
    </xf>
    <xf numFmtId="0" fontId="7" fillId="0" borderId="0" xfId="0" applyFont="1" applyFill="1" applyBorder="1" applyAlignment="1">
      <alignment horizontal="center"/>
    </xf>
    <xf numFmtId="0" fontId="7" fillId="0" borderId="0" xfId="1" applyFont="1" applyFill="1" applyBorder="1" applyAlignment="1">
      <alignment horizontal="center" vertical="top"/>
    </xf>
    <xf numFmtId="1" fontId="0" fillId="0" borderId="0" xfId="0" applyNumberFormat="1" applyFill="1" applyAlignment="1">
      <alignment horizontal="center"/>
    </xf>
    <xf numFmtId="1" fontId="7" fillId="0" borderId="0" xfId="1" applyNumberFormat="1" applyFont="1" applyFill="1" applyBorder="1" applyAlignment="1">
      <alignment horizontal="right" vertical="top"/>
    </xf>
    <xf numFmtId="1" fontId="7" fillId="0" borderId="0" xfId="1" applyNumberFormat="1" applyFont="1" applyFill="1" applyBorder="1" applyAlignment="1">
      <alignment horizontal="center" vertical="top"/>
    </xf>
    <xf numFmtId="0" fontId="7" fillId="0" borderId="0" xfId="0" applyFont="1" applyFill="1" applyBorder="1" applyAlignment="1">
      <alignment horizontal="center" vertical="top"/>
    </xf>
    <xf numFmtId="1" fontId="7" fillId="0" borderId="0" xfId="0" applyNumberFormat="1" applyFont="1" applyFill="1" applyBorder="1" applyAlignment="1">
      <alignment horizontal="right"/>
    </xf>
    <xf numFmtId="1" fontId="2" fillId="0" borderId="0" xfId="0" applyNumberFormat="1" applyFont="1" applyFill="1" applyAlignment="1">
      <alignment horizontal="center"/>
    </xf>
    <xf numFmtId="0" fontId="7" fillId="0" borderId="0" xfId="0" applyFont="1" applyFill="1" applyAlignment="1">
      <alignment horizontal="center"/>
    </xf>
    <xf numFmtId="0" fontId="7" fillId="0" borderId="0" xfId="0" applyFont="1" applyFill="1"/>
    <xf numFmtId="0" fontId="2" fillId="0" borderId="0" xfId="0" applyNumberFormat="1" applyFont="1" applyFill="1" applyBorder="1"/>
    <xf numFmtId="0" fontId="2" fillId="0" borderId="0" xfId="0" applyFont="1" applyFill="1" applyBorder="1" applyAlignment="1">
      <alignment horizontal="left" vertical="top" wrapText="1"/>
    </xf>
    <xf numFmtId="0" fontId="7" fillId="0" borderId="0" xfId="1" applyFont="1" applyFill="1" applyBorder="1" applyAlignment="1">
      <alignment vertical="top"/>
    </xf>
    <xf numFmtId="1" fontId="7" fillId="0" borderId="0" xfId="0" applyNumberFormat="1" applyFont="1" applyFill="1" applyBorder="1" applyAlignment="1">
      <alignment horizontal="center" vertical="top"/>
    </xf>
    <xf numFmtId="0" fontId="2" fillId="0" borderId="0" xfId="0" applyNumberFormat="1" applyFont="1" applyFill="1" applyBorder="1" applyAlignment="1">
      <alignment horizontal="center"/>
    </xf>
    <xf numFmtId="1" fontId="7" fillId="0" borderId="2" xfId="1" applyNumberFormat="1" applyFont="1" applyFill="1" applyBorder="1" applyAlignment="1">
      <alignment horizontal="center" vertical="top"/>
    </xf>
    <xf numFmtId="0" fontId="7" fillId="0" borderId="2" xfId="0" applyFont="1" applyFill="1" applyBorder="1" applyAlignment="1">
      <alignment horizontal="center" vertical="top"/>
    </xf>
    <xf numFmtId="1" fontId="7" fillId="0" borderId="3" xfId="0" applyNumberFormat="1" applyFont="1" applyFill="1" applyBorder="1" applyAlignment="1">
      <alignment horizontal="center"/>
    </xf>
    <xf numFmtId="0" fontId="7" fillId="0" borderId="2" xfId="1" applyFont="1" applyFill="1" applyBorder="1" applyAlignment="1">
      <alignment horizontal="center" vertical="top"/>
    </xf>
    <xf numFmtId="1" fontId="7" fillId="0" borderId="2" xfId="0" applyNumberFormat="1" applyFont="1" applyFill="1" applyBorder="1" applyAlignment="1">
      <alignment horizontal="center"/>
    </xf>
    <xf numFmtId="0" fontId="7" fillId="0" borderId="2" xfId="0" applyFont="1" applyFill="1" applyBorder="1" applyAlignment="1">
      <alignment horizontal="center"/>
    </xf>
    <xf numFmtId="0" fontId="7" fillId="0" borderId="3" xfId="0" applyFont="1" applyFill="1" applyBorder="1" applyAlignment="1">
      <alignment horizontal="center"/>
    </xf>
    <xf numFmtId="0" fontId="7" fillId="0" borderId="3" xfId="1" applyFont="1" applyFill="1" applyBorder="1" applyAlignment="1">
      <alignment horizontal="center" vertical="top"/>
    </xf>
    <xf numFmtId="1" fontId="2" fillId="0" borderId="2" xfId="0" applyNumberFormat="1" applyFont="1" applyFill="1" applyBorder="1" applyAlignment="1">
      <alignment horizontal="center"/>
    </xf>
    <xf numFmtId="1" fontId="7" fillId="0" borderId="2" xfId="0" applyNumberFormat="1" applyFont="1" applyFill="1" applyBorder="1" applyAlignment="1">
      <alignment horizontal="right"/>
    </xf>
    <xf numFmtId="1" fontId="7" fillId="0" borderId="3" xfId="1" applyNumberFormat="1" applyFont="1" applyFill="1" applyBorder="1" applyAlignment="1">
      <alignment horizontal="center" vertical="top"/>
    </xf>
    <xf numFmtId="0" fontId="7" fillId="0" borderId="0" xfId="0" applyFont="1" applyFill="1" applyBorder="1" applyAlignment="1">
      <alignment horizontal="left"/>
    </xf>
    <xf numFmtId="0" fontId="2" fillId="0" borderId="0" xfId="0" applyFont="1" applyFill="1" applyBorder="1" applyAlignment="1"/>
    <xf numFmtId="2" fontId="7" fillId="0" borderId="0" xfId="0" applyNumberFormat="1" applyFont="1" applyFill="1" applyBorder="1" applyAlignment="1">
      <alignment horizontal="left"/>
    </xf>
    <xf numFmtId="165" fontId="2" fillId="0" borderId="0" xfId="0" applyNumberFormat="1" applyFont="1" applyFill="1" applyBorder="1" applyAlignment="1">
      <alignment horizontal="left"/>
    </xf>
    <xf numFmtId="0" fontId="0" fillId="0" borderId="0" xfId="0" applyFill="1" applyAlignment="1">
      <alignment horizontal="left"/>
    </xf>
    <xf numFmtId="1" fontId="2" fillId="0" borderId="0" xfId="1" applyNumberFormat="1" applyFont="1" applyFill="1" applyBorder="1" applyAlignment="1">
      <alignment horizontal="center" vertical="top"/>
    </xf>
    <xf numFmtId="0" fontId="2" fillId="0" borderId="0" xfId="1" applyFont="1" applyFill="1" applyBorder="1" applyAlignment="1">
      <alignment horizontal="center" vertical="top"/>
    </xf>
    <xf numFmtId="0" fontId="2" fillId="0" borderId="0" xfId="0" applyFont="1" applyFill="1" applyAlignment="1">
      <alignment horizontal="center"/>
    </xf>
    <xf numFmtId="0" fontId="6" fillId="0" borderId="0" xfId="0" applyFont="1" applyFill="1" applyBorder="1" applyAlignment="1">
      <alignment horizontal="left"/>
    </xf>
    <xf numFmtId="0" fontId="6" fillId="0" borderId="0" xfId="0" applyFont="1" applyFill="1"/>
    <xf numFmtId="0" fontId="9" fillId="0" borderId="0" xfId="0" applyFont="1" applyFill="1"/>
    <xf numFmtId="0" fontId="0" fillId="0" borderId="0" xfId="0" applyFill="1"/>
    <xf numFmtId="0" fontId="9" fillId="0" borderId="0" xfId="0" applyFont="1" applyBorder="1" applyAlignment="1">
      <alignment horizontal="left"/>
    </xf>
    <xf numFmtId="49" fontId="2" fillId="0" borderId="0" xfId="0" applyNumberFormat="1" applyFont="1" applyFill="1" applyBorder="1" applyAlignment="1">
      <alignment horizontal="left"/>
    </xf>
    <xf numFmtId="164" fontId="2" fillId="0" borderId="0" xfId="0" applyNumberFormat="1" applyFont="1" applyFill="1" applyBorder="1" applyAlignment="1">
      <alignment horizontal="left"/>
    </xf>
    <xf numFmtId="1" fontId="7" fillId="0" borderId="0" xfId="1" applyNumberFormat="1" applyFont="1" applyFill="1" applyBorder="1" applyAlignment="1">
      <alignment horizontal="left" vertical="top"/>
    </xf>
    <xf numFmtId="0" fontId="7" fillId="0" borderId="0" xfId="1" applyFont="1" applyFill="1" applyBorder="1" applyAlignment="1">
      <alignment horizontal="left" vertical="top"/>
    </xf>
    <xf numFmtId="1" fontId="7" fillId="0" borderId="0" xfId="0" applyNumberFormat="1" applyFont="1" applyFill="1" applyBorder="1" applyAlignment="1">
      <alignment horizontal="left"/>
    </xf>
    <xf numFmtId="0" fontId="9" fillId="0" borderId="0" xfId="0" applyFont="1"/>
    <xf numFmtId="1" fontId="9" fillId="0" borderId="0" xfId="0" applyNumberFormat="1" applyFont="1" applyFill="1" applyBorder="1" applyAlignment="1">
      <alignment horizontal="left"/>
    </xf>
    <xf numFmtId="0" fontId="0" fillId="0" borderId="0" xfId="0" applyFont="1" applyAlignment="1">
      <alignment vertical="center"/>
    </xf>
    <xf numFmtId="166" fontId="0" fillId="0" borderId="0" xfId="0" applyNumberFormat="1"/>
    <xf numFmtId="0" fontId="0" fillId="0" borderId="0" xfId="0" applyFont="1" applyFill="1" applyBorder="1"/>
    <xf numFmtId="0" fontId="1" fillId="0" borderId="0" xfId="0" applyFont="1" applyFill="1" applyBorder="1"/>
    <xf numFmtId="0" fontId="0" fillId="0" borderId="0" xfId="2" applyFont="1"/>
    <xf numFmtId="0" fontId="1" fillId="0" borderId="1" xfId="0" applyFont="1" applyFill="1" applyBorder="1"/>
    <xf numFmtId="0" fontId="0" fillId="0" borderId="0" xfId="0" applyNumberFormat="1" applyFont="1" applyBorder="1"/>
    <xf numFmtId="0" fontId="1" fillId="0" borderId="0" xfId="0" applyFont="1" applyFill="1"/>
    <xf numFmtId="11" fontId="0" fillId="0" borderId="0" xfId="0" applyNumberFormat="1"/>
    <xf numFmtId="0" fontId="0" fillId="0" borderId="0" xfId="0" applyFont="1" applyBorder="1"/>
    <xf numFmtId="0" fontId="15" fillId="0" borderId="0" xfId="0" applyFont="1" applyBorder="1"/>
    <xf numFmtId="0" fontId="12" fillId="0" borderId="0" xfId="0" applyFont="1" applyAlignment="1">
      <alignment vertical="center"/>
    </xf>
    <xf numFmtId="0" fontId="2" fillId="0" borderId="0" xfId="0" applyFont="1" applyFill="1" applyBorder="1" applyAlignment="1">
      <alignment horizontal="left" wrapText="1"/>
    </xf>
    <xf numFmtId="0" fontId="17" fillId="0" borderId="0" xfId="0" applyFont="1" applyFill="1"/>
    <xf numFmtId="167" fontId="17" fillId="0" borderId="0" xfId="0" applyNumberFormat="1" applyFont="1" applyFill="1"/>
    <xf numFmtId="0" fontId="18" fillId="0" borderId="0" xfId="0" applyFont="1" applyFill="1"/>
    <xf numFmtId="167" fontId="0" fillId="0" borderId="0" xfId="0" applyNumberFormat="1" applyFill="1"/>
    <xf numFmtId="0" fontId="19" fillId="0" borderId="0" xfId="0" applyFont="1" applyFill="1"/>
    <xf numFmtId="167" fontId="0" fillId="0" borderId="0" xfId="0" applyNumberFormat="1" applyFont="1" applyFill="1"/>
    <xf numFmtId="0" fontId="23" fillId="0" borderId="0" xfId="0" applyFont="1" applyFill="1"/>
    <xf numFmtId="0" fontId="24" fillId="0" borderId="0" xfId="0" applyFont="1"/>
    <xf numFmtId="0" fontId="24" fillId="0" borderId="0" xfId="0" applyFont="1" applyFill="1"/>
    <xf numFmtId="167" fontId="24" fillId="0" borderId="0" xfId="0" applyNumberFormat="1" applyFont="1" applyFill="1"/>
    <xf numFmtId="165" fontId="24" fillId="0" borderId="0" xfId="0" applyNumberFormat="1" applyFont="1"/>
    <xf numFmtId="0" fontId="0" fillId="0" borderId="0" xfId="0" applyFont="1" applyAlignment="1">
      <alignment horizontal="left"/>
    </xf>
    <xf numFmtId="0" fontId="0" fillId="0" borderId="0" xfId="0" applyFont="1" applyFill="1" applyAlignment="1">
      <alignment horizontal="left"/>
    </xf>
    <xf numFmtId="0" fontId="25" fillId="0" borderId="0" xfId="0" applyFont="1" applyFill="1"/>
    <xf numFmtId="0" fontId="25" fillId="0" borderId="0" xfId="0" applyFont="1"/>
    <xf numFmtId="0" fontId="14" fillId="0" borderId="0" xfId="0" applyFont="1" applyFill="1"/>
    <xf numFmtId="167" fontId="26" fillId="0" borderId="0" xfId="0" applyNumberFormat="1" applyFont="1" applyFill="1"/>
    <xf numFmtId="167" fontId="25" fillId="0" borderId="0" xfId="0" applyNumberFormat="1" applyFont="1" applyFill="1"/>
    <xf numFmtId="167" fontId="14" fillId="0" borderId="0" xfId="0" applyNumberFormat="1" applyFont="1" applyFill="1"/>
    <xf numFmtId="0" fontId="27" fillId="0" borderId="0" xfId="0" applyFont="1" applyFill="1" applyBorder="1" applyAlignment="1">
      <alignment horizontal="left" vertical="top"/>
    </xf>
    <xf numFmtId="0" fontId="0" fillId="0" borderId="0" xfId="0" applyFill="1" applyBorder="1" applyAlignment="1">
      <alignment horizontal="left" vertical="top"/>
    </xf>
    <xf numFmtId="2" fontId="0" fillId="0" borderId="0" xfId="0" applyNumberFormat="1" applyFill="1" applyBorder="1" applyAlignment="1">
      <alignment horizontal="left" vertical="top"/>
    </xf>
    <xf numFmtId="0" fontId="0" fillId="0" borderId="0" xfId="0" applyFill="1" applyBorder="1" applyAlignment="1">
      <alignment horizontal="right" vertical="top"/>
    </xf>
    <xf numFmtId="167" fontId="0" fillId="0" borderId="0" xfId="0" applyNumberFormat="1" applyFill="1" applyBorder="1" applyAlignment="1">
      <alignment horizontal="left" vertical="top"/>
    </xf>
    <xf numFmtId="168" fontId="0" fillId="0" borderId="0" xfId="0" applyNumberFormat="1" applyFill="1" applyBorder="1" applyAlignment="1">
      <alignment horizontal="left" vertical="top"/>
    </xf>
    <xf numFmtId="0" fontId="28" fillId="0" borderId="0" xfId="0" applyFont="1" applyFill="1" applyBorder="1" applyAlignment="1">
      <alignment horizontal="left" vertical="top"/>
    </xf>
    <xf numFmtId="0" fontId="29" fillId="0" borderId="0" xfId="0" applyFont="1" applyFill="1" applyBorder="1" applyAlignment="1">
      <alignment horizontal="left" vertical="top"/>
    </xf>
    <xf numFmtId="0" fontId="30" fillId="0" borderId="0" xfId="0" applyFont="1" applyFill="1" applyBorder="1" applyAlignment="1">
      <alignment horizontal="center" vertical="top" wrapText="1"/>
    </xf>
    <xf numFmtId="2" fontId="30" fillId="0" borderId="0" xfId="0" applyNumberFormat="1" applyFont="1" applyFill="1" applyBorder="1" applyAlignment="1">
      <alignment horizontal="center" vertical="top" wrapText="1"/>
    </xf>
    <xf numFmtId="167" fontId="30" fillId="0" borderId="0" xfId="0" applyNumberFormat="1" applyFont="1" applyFill="1" applyBorder="1" applyAlignment="1">
      <alignment horizontal="center" vertical="top" wrapText="1"/>
    </xf>
    <xf numFmtId="168" fontId="30" fillId="0" borderId="0" xfId="0" applyNumberFormat="1" applyFont="1" applyFill="1" applyBorder="1" applyAlignment="1">
      <alignment horizontal="center" vertical="top" wrapText="1"/>
    </xf>
    <xf numFmtId="0" fontId="29" fillId="0" borderId="0"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0" fillId="0" borderId="0" xfId="0" applyFont="1" applyFill="1" applyBorder="1" applyAlignment="1">
      <alignment horizontal="left" vertical="center" wrapText="1"/>
    </xf>
    <xf numFmtId="0" fontId="31" fillId="0" borderId="0" xfId="0" applyFont="1" applyFill="1" applyBorder="1" applyAlignment="1">
      <alignment horizontal="right" vertical="top" wrapText="1"/>
    </xf>
    <xf numFmtId="0" fontId="32" fillId="0" borderId="0" xfId="0" applyFont="1" applyFill="1" applyBorder="1" applyAlignment="1">
      <alignment horizontal="left" vertical="top"/>
    </xf>
    <xf numFmtId="0" fontId="31" fillId="0" borderId="0" xfId="0" applyFont="1" applyFill="1" applyBorder="1" applyAlignment="1">
      <alignment vertical="top" wrapText="1"/>
    </xf>
    <xf numFmtId="169" fontId="33" fillId="0" borderId="0" xfId="0" applyNumberFormat="1" applyFont="1" applyFill="1" applyBorder="1" applyAlignment="1">
      <alignment vertical="top" wrapText="1"/>
    </xf>
    <xf numFmtId="2" fontId="33" fillId="0" borderId="0" xfId="0" applyNumberFormat="1" applyFont="1" applyFill="1" applyBorder="1" applyAlignment="1">
      <alignment vertical="top" wrapText="1"/>
    </xf>
    <xf numFmtId="170" fontId="33" fillId="0" borderId="0" xfId="0" applyNumberFormat="1" applyFont="1" applyFill="1" applyBorder="1" applyAlignment="1">
      <alignment vertical="top" wrapText="1"/>
    </xf>
    <xf numFmtId="171" fontId="33" fillId="0" borderId="0" xfId="0" applyNumberFormat="1" applyFont="1" applyFill="1" applyBorder="1" applyAlignment="1">
      <alignment vertical="top" wrapText="1"/>
    </xf>
    <xf numFmtId="172" fontId="33" fillId="0" borderId="0" xfId="0" applyNumberFormat="1" applyFont="1" applyFill="1" applyBorder="1" applyAlignment="1">
      <alignment vertical="top" wrapText="1"/>
    </xf>
    <xf numFmtId="2" fontId="33" fillId="0" borderId="0" xfId="0" applyNumberFormat="1" applyFont="1" applyFill="1" applyBorder="1" applyAlignment="1">
      <alignment horizontal="right" vertical="top" wrapText="1"/>
    </xf>
    <xf numFmtId="173" fontId="33" fillId="0" borderId="0" xfId="0" applyNumberFormat="1" applyFont="1" applyFill="1" applyBorder="1" applyAlignment="1">
      <alignment vertical="top" wrapText="1"/>
    </xf>
    <xf numFmtId="167" fontId="33" fillId="0" borderId="0" xfId="0" applyNumberFormat="1" applyFont="1" applyFill="1" applyBorder="1" applyAlignment="1">
      <alignment vertical="top" wrapText="1"/>
    </xf>
    <xf numFmtId="168" fontId="33" fillId="0" borderId="0" xfId="0" applyNumberFormat="1" applyFont="1" applyFill="1" applyBorder="1" applyAlignment="1">
      <alignment vertical="top" wrapText="1"/>
    </xf>
    <xf numFmtId="0" fontId="29" fillId="0" borderId="0" xfId="0" applyFont="1" applyFill="1" applyBorder="1" applyAlignment="1">
      <alignment horizontal="left" vertical="center"/>
    </xf>
    <xf numFmtId="0" fontId="28" fillId="0" borderId="0" xfId="0" applyFont="1" applyFill="1" applyBorder="1" applyAlignment="1">
      <alignment horizontal="left" vertical="center"/>
    </xf>
    <xf numFmtId="164" fontId="28" fillId="0" borderId="0" xfId="0" applyNumberFormat="1" applyFont="1" applyFill="1" applyBorder="1" applyAlignment="1">
      <alignment horizontal="left" vertical="center"/>
    </xf>
    <xf numFmtId="0" fontId="34" fillId="0" borderId="0" xfId="0" applyFont="1" applyFill="1" applyBorder="1" applyAlignment="1">
      <alignment horizontal="left" vertical="center"/>
    </xf>
    <xf numFmtId="1" fontId="29" fillId="0" borderId="0" xfId="0" applyNumberFormat="1" applyFont="1" applyFill="1" applyBorder="1" applyAlignment="1">
      <alignment horizontal="left" vertical="center"/>
    </xf>
    <xf numFmtId="174" fontId="33" fillId="0" borderId="0" xfId="0" applyNumberFormat="1" applyFont="1" applyFill="1" applyBorder="1" applyAlignment="1">
      <alignment vertical="top" wrapText="1"/>
    </xf>
    <xf numFmtId="2" fontId="31" fillId="0" borderId="0" xfId="0" applyNumberFormat="1" applyFont="1" applyFill="1" applyBorder="1" applyAlignment="1">
      <alignment horizontal="right" vertical="top" wrapText="1"/>
    </xf>
    <xf numFmtId="0" fontId="29" fillId="0" borderId="0" xfId="2" applyFont="1" applyFill="1" applyBorder="1" applyAlignment="1">
      <alignment horizontal="left" vertical="center"/>
    </xf>
    <xf numFmtId="165" fontId="29" fillId="0" borderId="0" xfId="0" applyNumberFormat="1" applyFont="1" applyFill="1" applyBorder="1" applyAlignment="1">
      <alignment horizontal="left" vertical="center"/>
    </xf>
    <xf numFmtId="168" fontId="29" fillId="0" borderId="0" xfId="0" applyNumberFormat="1" applyFont="1" applyFill="1" applyBorder="1" applyAlignment="1">
      <alignment horizontal="left" vertical="center"/>
    </xf>
    <xf numFmtId="0" fontId="0" fillId="0" borderId="0" xfId="0" applyFill="1" applyBorder="1" applyAlignment="1">
      <alignment vertical="top"/>
    </xf>
    <xf numFmtId="0" fontId="36" fillId="0" borderId="0" xfId="0" applyFont="1" applyFill="1" applyBorder="1" applyAlignment="1">
      <alignment horizontal="left" vertical="center"/>
    </xf>
    <xf numFmtId="0" fontId="37" fillId="0" borderId="0" xfId="0" applyFont="1" applyFill="1" applyBorder="1" applyAlignment="1">
      <alignment vertical="top"/>
    </xf>
    <xf numFmtId="0" fontId="32" fillId="0" borderId="0" xfId="0" applyFont="1" applyFill="1" applyBorder="1" applyAlignment="1">
      <alignment vertical="top"/>
    </xf>
    <xf numFmtId="0" fontId="38" fillId="0" borderId="0" xfId="0" applyFont="1" applyFill="1" applyBorder="1" applyAlignment="1">
      <alignment horizontal="left" vertical="top"/>
    </xf>
    <xf numFmtId="175" fontId="33" fillId="0" borderId="0" xfId="0" applyNumberFormat="1" applyFont="1" applyFill="1" applyBorder="1" applyAlignment="1">
      <alignment vertical="top" wrapText="1"/>
    </xf>
    <xf numFmtId="9" fontId="29" fillId="0" borderId="0" xfId="3" applyFont="1" applyFill="1" applyBorder="1" applyAlignment="1">
      <alignment horizontal="left" vertical="center"/>
    </xf>
    <xf numFmtId="167" fontId="31" fillId="0" borderId="0" xfId="0" applyNumberFormat="1" applyFont="1" applyFill="1" applyBorder="1" applyAlignment="1">
      <alignment vertical="top" wrapText="1"/>
    </xf>
    <xf numFmtId="0" fontId="29" fillId="0" borderId="0" xfId="0" applyFont="1" applyFill="1" applyBorder="1" applyAlignment="1">
      <alignment horizontal="left"/>
    </xf>
    <xf numFmtId="1" fontId="29" fillId="0" borderId="0" xfId="0" applyNumberFormat="1" applyFont="1" applyFill="1" applyBorder="1" applyAlignment="1">
      <alignment horizontal="left"/>
    </xf>
    <xf numFmtId="2" fontId="28" fillId="0" borderId="0" xfId="0" applyNumberFormat="1" applyFont="1" applyFill="1" applyBorder="1" applyAlignment="1">
      <alignment horizontal="right" vertical="top"/>
    </xf>
    <xf numFmtId="173" fontId="33" fillId="0" borderId="0" xfId="0" applyNumberFormat="1" applyFont="1" applyFill="1" applyBorder="1" applyAlignment="1">
      <alignment horizontal="right" vertical="top" wrapText="1"/>
    </xf>
    <xf numFmtId="168" fontId="31" fillId="0" borderId="0" xfId="0" applyNumberFormat="1" applyFont="1" applyFill="1" applyBorder="1" applyAlignment="1">
      <alignment vertical="top" wrapText="1"/>
    </xf>
    <xf numFmtId="0" fontId="29" fillId="0" borderId="0" xfId="0" applyFont="1" applyFill="1" applyBorder="1" applyAlignment="1">
      <alignment horizontal="left" vertical="top" wrapText="1"/>
    </xf>
    <xf numFmtId="2" fontId="0" fillId="0" borderId="0" xfId="0" applyNumberFormat="1" applyFill="1" applyBorder="1" applyAlignment="1">
      <alignment vertical="top"/>
    </xf>
    <xf numFmtId="167" fontId="0" fillId="0" borderId="0" xfId="0" applyNumberFormat="1" applyFill="1" applyBorder="1" applyAlignment="1">
      <alignment vertical="top"/>
    </xf>
    <xf numFmtId="168" fontId="0" fillId="0" borderId="0" xfId="0" applyNumberFormat="1" applyFill="1" applyBorder="1" applyAlignment="1">
      <alignment vertical="top"/>
    </xf>
    <xf numFmtId="0" fontId="35" fillId="0" borderId="0" xfId="0" applyFont="1" applyFill="1" applyBorder="1" applyAlignment="1">
      <alignment horizontal="right" vertical="center" wrapText="1"/>
    </xf>
    <xf numFmtId="0" fontId="0" fillId="0" borderId="0" xfId="0" applyFont="1" applyFill="1" applyBorder="1" applyAlignment="1">
      <alignment horizontal="left" vertical="top" wrapText="1"/>
    </xf>
    <xf numFmtId="0" fontId="1" fillId="0" borderId="0" xfId="0" applyFont="1" applyAlignment="1">
      <alignment horizontal="left"/>
    </xf>
    <xf numFmtId="0" fontId="41" fillId="0" borderId="0" xfId="0" applyFont="1" applyFill="1" applyBorder="1" applyAlignment="1">
      <alignment horizontal="left" vertical="center" wrapText="1"/>
    </xf>
    <xf numFmtId="0" fontId="41" fillId="0" borderId="0" xfId="0" applyFont="1" applyFill="1" applyBorder="1" applyAlignment="1">
      <alignment horizontal="left" vertical="top" wrapText="1"/>
    </xf>
    <xf numFmtId="2" fontId="41" fillId="0" borderId="0" xfId="0" applyNumberFormat="1" applyFont="1" applyFill="1" applyBorder="1" applyAlignment="1">
      <alignment horizontal="left" vertical="top" wrapText="1"/>
    </xf>
    <xf numFmtId="167" fontId="41" fillId="0" borderId="0" xfId="0" applyNumberFormat="1" applyFont="1" applyFill="1" applyBorder="1" applyAlignment="1">
      <alignment horizontal="left" vertical="top" wrapText="1"/>
    </xf>
    <xf numFmtId="168" fontId="41" fillId="0" borderId="0" xfId="0" applyNumberFormat="1" applyFont="1" applyFill="1" applyBorder="1" applyAlignment="1">
      <alignment horizontal="left" vertical="top" wrapText="1"/>
    </xf>
    <xf numFmtId="0" fontId="25" fillId="0" borderId="0" xfId="0" applyFont="1" applyFill="1" applyBorder="1" applyAlignment="1">
      <alignment horizontal="left" vertical="center" wrapText="1"/>
    </xf>
    <xf numFmtId="0" fontId="14" fillId="0" borderId="0" xfId="0" applyFont="1" applyFill="1" applyBorder="1" applyAlignment="1">
      <alignment horizontal="left" vertical="top"/>
    </xf>
    <xf numFmtId="0" fontId="25" fillId="0" borderId="0" xfId="0" applyFont="1" applyFill="1" applyBorder="1" applyAlignment="1">
      <alignment horizontal="left" vertical="top"/>
    </xf>
    <xf numFmtId="0" fontId="42" fillId="0" borderId="0" xfId="0" applyFont="1"/>
    <xf numFmtId="0" fontId="25" fillId="0" borderId="0" xfId="0" applyFont="1" applyAlignment="1">
      <alignment vertical="center"/>
    </xf>
    <xf numFmtId="0" fontId="21" fillId="0" borderId="0" xfId="0" applyFont="1" applyFill="1"/>
    <xf numFmtId="165" fontId="0" fillId="0" borderId="0" xfId="0" applyNumberFormat="1" applyFill="1"/>
    <xf numFmtId="165" fontId="17" fillId="0" borderId="0" xfId="0" applyNumberFormat="1" applyFont="1" applyFill="1"/>
    <xf numFmtId="165" fontId="0" fillId="0" borderId="0" xfId="0" applyNumberFormat="1" applyFont="1" applyFill="1"/>
    <xf numFmtId="0" fontId="20" fillId="0" borderId="0" xfId="0" applyFont="1" applyFill="1"/>
    <xf numFmtId="165" fontId="25" fillId="0" borderId="0" xfId="0" applyNumberFormat="1" applyFont="1" applyFill="1"/>
    <xf numFmtId="1" fontId="0" fillId="0" borderId="0" xfId="0" applyNumberFormat="1"/>
    <xf numFmtId="0" fontId="34" fillId="0" borderId="0" xfId="0" applyFont="1" applyAlignment="1">
      <alignment vertical="center"/>
    </xf>
    <xf numFmtId="0" fontId="43" fillId="0" borderId="0" xfId="0" applyFont="1" applyFill="1" applyBorder="1" applyAlignment="1">
      <alignment vertical="top"/>
    </xf>
    <xf numFmtId="0" fontId="31" fillId="0" borderId="0" xfId="0" applyFont="1" applyFill="1" applyBorder="1" applyAlignment="1">
      <alignment horizontal="center" vertical="center" wrapText="1"/>
    </xf>
    <xf numFmtId="0" fontId="31" fillId="0" borderId="0" xfId="0" applyFont="1" applyFill="1" applyBorder="1" applyAlignment="1">
      <alignment horizontal="right" vertical="center" wrapText="1"/>
    </xf>
    <xf numFmtId="0" fontId="0" fillId="0" borderId="0" xfId="0" applyFill="1" applyBorder="1" applyAlignment="1">
      <alignment horizontal="left" vertical="center" wrapText="1"/>
    </xf>
    <xf numFmtId="167" fontId="30" fillId="0" borderId="0" xfId="0" applyNumberFormat="1" applyFont="1" applyFill="1" applyBorder="1" applyAlignment="1">
      <alignment horizontal="left" vertical="center" wrapText="1"/>
    </xf>
    <xf numFmtId="168" fontId="30" fillId="0" borderId="0" xfId="0" applyNumberFormat="1" applyFont="1" applyFill="1" applyBorder="1" applyAlignment="1">
      <alignment horizontal="left" vertical="center" wrapText="1"/>
    </xf>
    <xf numFmtId="0" fontId="31" fillId="0" borderId="0" xfId="0" applyFont="1" applyFill="1" applyBorder="1" applyAlignment="1">
      <alignment vertical="center" wrapText="1"/>
    </xf>
    <xf numFmtId="169" fontId="33" fillId="0" borderId="0" xfId="0" applyNumberFormat="1" applyFont="1" applyFill="1" applyBorder="1" applyAlignment="1">
      <alignment vertical="center" wrapText="1"/>
    </xf>
    <xf numFmtId="2" fontId="33" fillId="0" borderId="0" xfId="0" applyNumberFormat="1" applyFont="1" applyFill="1" applyBorder="1" applyAlignment="1">
      <alignment vertical="center" wrapText="1"/>
    </xf>
    <xf numFmtId="170" fontId="33" fillId="0" borderId="0" xfId="0" applyNumberFormat="1" applyFont="1" applyFill="1" applyBorder="1" applyAlignment="1">
      <alignment vertical="center" wrapText="1"/>
    </xf>
    <xf numFmtId="171" fontId="33" fillId="0" borderId="0" xfId="0" applyNumberFormat="1" applyFont="1" applyFill="1" applyBorder="1" applyAlignment="1">
      <alignment vertical="center" wrapText="1"/>
    </xf>
    <xf numFmtId="172" fontId="33" fillId="0" borderId="0" xfId="0" applyNumberFormat="1" applyFont="1" applyFill="1" applyBorder="1" applyAlignment="1">
      <alignment vertical="center" wrapText="1"/>
    </xf>
    <xf numFmtId="2" fontId="33" fillId="0" borderId="0" xfId="0" applyNumberFormat="1" applyFont="1" applyFill="1" applyBorder="1" applyAlignment="1">
      <alignment horizontal="right" vertical="center" wrapText="1"/>
    </xf>
    <xf numFmtId="173" fontId="33" fillId="0" borderId="0" xfId="0" applyNumberFormat="1" applyFont="1" applyFill="1" applyBorder="1" applyAlignment="1">
      <alignment vertical="center" wrapText="1"/>
    </xf>
    <xf numFmtId="167" fontId="33" fillId="0" borderId="0" xfId="0" applyNumberFormat="1" applyFont="1" applyFill="1" applyBorder="1" applyAlignment="1">
      <alignment vertical="center" wrapText="1"/>
    </xf>
    <xf numFmtId="168" fontId="33" fillId="0" borderId="0" xfId="0" applyNumberFormat="1" applyFont="1" applyFill="1" applyBorder="1" applyAlignment="1">
      <alignment vertical="center" wrapText="1"/>
    </xf>
    <xf numFmtId="174" fontId="33" fillId="0" borderId="0" xfId="0" applyNumberFormat="1" applyFont="1" applyFill="1" applyBorder="1" applyAlignment="1">
      <alignment vertical="center" wrapText="1"/>
    </xf>
    <xf numFmtId="2" fontId="31" fillId="0" borderId="0" xfId="0" applyNumberFormat="1" applyFont="1" applyFill="1" applyBorder="1" applyAlignment="1">
      <alignment horizontal="right" vertical="center" wrapText="1"/>
    </xf>
    <xf numFmtId="167" fontId="31" fillId="0" borderId="0" xfId="0" applyNumberFormat="1" applyFont="1" applyFill="1" applyBorder="1" applyAlignment="1">
      <alignment vertical="center" wrapText="1"/>
    </xf>
    <xf numFmtId="176" fontId="0" fillId="0" borderId="0" xfId="0" applyNumberFormat="1" applyFill="1"/>
    <xf numFmtId="0" fontId="29" fillId="0" borderId="0" xfId="0" applyFont="1" applyFill="1" applyAlignment="1">
      <alignment horizontal="left" vertical="center"/>
    </xf>
    <xf numFmtId="0" fontId="11" fillId="0" borderId="0" xfId="0" applyFont="1" applyFill="1" applyBorder="1"/>
    <xf numFmtId="0" fontId="0" fillId="0" borderId="0" xfId="0" applyBorder="1"/>
    <xf numFmtId="0" fontId="35" fillId="0" borderId="0" xfId="0" applyFont="1" applyBorder="1"/>
    <xf numFmtId="2" fontId="30" fillId="0" borderId="0" xfId="0" applyNumberFormat="1" applyFont="1" applyFill="1" applyBorder="1" applyAlignment="1">
      <alignment horizontal="center" vertical="center" wrapText="1"/>
    </xf>
    <xf numFmtId="0" fontId="44" fillId="0" borderId="0" xfId="0" applyFont="1" applyFill="1" applyBorder="1" applyAlignment="1">
      <alignment horizontal="left" vertical="center" wrapText="1"/>
    </xf>
    <xf numFmtId="0" fontId="45" fillId="0" borderId="0" xfId="0" applyFont="1" applyFill="1" applyBorder="1" applyAlignment="1">
      <alignment horizontal="left" vertical="center"/>
    </xf>
    <xf numFmtId="0" fontId="44" fillId="0" borderId="0" xfId="0" applyFont="1" applyFill="1" applyBorder="1" applyAlignment="1">
      <alignment horizontal="left" vertical="center"/>
    </xf>
    <xf numFmtId="0" fontId="46" fillId="0" borderId="0" xfId="0" applyFont="1"/>
    <xf numFmtId="0" fontId="28" fillId="0" borderId="0" xfId="0" applyNumberFormat="1" applyFont="1" applyFill="1" applyBorder="1" applyAlignment="1">
      <alignment horizontal="left" vertical="top"/>
    </xf>
    <xf numFmtId="0" fontId="41" fillId="0" borderId="0" xfId="0" applyFont="1"/>
    <xf numFmtId="0" fontId="25" fillId="2" borderId="0" xfId="0" applyFont="1" applyFill="1" applyAlignment="1">
      <alignment vertical="center"/>
    </xf>
  </cellXfs>
  <cellStyles count="4">
    <cellStyle name="Hyperlink" xfId="2" builtinId="8"/>
    <cellStyle name="Normal" xfId="0" builtinId="0"/>
    <cellStyle name="Normal_Red Listing Cats and Crits" xfId="1"/>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14</xdr:col>
      <xdr:colOff>600075</xdr:colOff>
      <xdr:row>30</xdr:row>
      <xdr:rowOff>171450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76800" y="0"/>
          <a:ext cx="4257675" cy="6162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3" Type="http://schemas.openxmlformats.org/officeDocument/2006/relationships/hyperlink" Target="http://onlinelibrary.wiley.com/doi/10.1111/j.1939-165X.2011.00365.x/full;%20%20Fishbase" TargetMode="External"/><Relationship Id="rId7" Type="http://schemas.openxmlformats.org/officeDocument/2006/relationships/printerSettings" Target="../printerSettings/printerSettings2.bin"/><Relationship Id="rId2" Type="http://schemas.openxmlformats.org/officeDocument/2006/relationships/hyperlink" Target="http://www.jstor.org/stable/1445916?seq=1" TargetMode="External"/><Relationship Id="rId1" Type="http://schemas.openxmlformats.org/officeDocument/2006/relationships/hyperlink" Target="http://www.sciencedirect.com/science/article/pii/S0306456503000032" TargetMode="External"/><Relationship Id="rId6" Type="http://schemas.openxmlformats.org/officeDocument/2006/relationships/hyperlink" Target="http://www.nrcresearchpress.com/doi/abs/10.1139/f00-010" TargetMode="External"/><Relationship Id="rId5" Type="http://schemas.openxmlformats.org/officeDocument/2006/relationships/hyperlink" Target="http://www.jstor.org/stable/1437546?seq=1" TargetMode="External"/><Relationship Id="rId4" Type="http://schemas.openxmlformats.org/officeDocument/2006/relationships/hyperlink" Target="http://www.jstor.org/stable/1437546?seq=1"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5"/>
  <sheetViews>
    <sheetView workbookViewId="0">
      <pane ySplit="3" topLeftCell="A4" activePane="bottomLeft" state="frozen"/>
      <selection pane="bottomLeft" activeCell="Q17" sqref="Q17"/>
    </sheetView>
  </sheetViews>
  <sheetFormatPr defaultRowHeight="15"/>
  <cols>
    <col min="17" max="17" width="10.85546875" bestFit="1" customWidth="1"/>
  </cols>
  <sheetData>
    <row r="1" spans="1:19">
      <c r="A1" s="1" t="s">
        <v>4252</v>
      </c>
    </row>
    <row r="3" spans="1:19">
      <c r="A3" s="85" t="s">
        <v>301</v>
      </c>
      <c r="B3" s="85" t="s">
        <v>0</v>
      </c>
      <c r="C3" s="85" t="s">
        <v>4</v>
      </c>
      <c r="D3" s="85" t="s">
        <v>5</v>
      </c>
      <c r="E3" s="85" t="s">
        <v>6</v>
      </c>
      <c r="F3" s="85" t="s">
        <v>7</v>
      </c>
      <c r="G3" s="85" t="s">
        <v>8</v>
      </c>
      <c r="H3" s="85" t="s">
        <v>9</v>
      </c>
      <c r="I3" s="85" t="s">
        <v>10</v>
      </c>
      <c r="J3" s="85" t="s">
        <v>271</v>
      </c>
      <c r="K3" s="85" t="s">
        <v>1</v>
      </c>
      <c r="L3" s="85" t="s">
        <v>2</v>
      </c>
      <c r="M3" s="85" t="s">
        <v>270</v>
      </c>
      <c r="N3" s="85" t="s">
        <v>11</v>
      </c>
      <c r="O3" s="85" t="s">
        <v>12</v>
      </c>
      <c r="P3" s="85" t="s">
        <v>272</v>
      </c>
      <c r="Q3" s="85" t="s">
        <v>14</v>
      </c>
      <c r="R3" s="85" t="s">
        <v>15</v>
      </c>
      <c r="S3" s="85" t="s">
        <v>269</v>
      </c>
    </row>
    <row r="4" spans="1:19">
      <c r="A4" s="3" t="s">
        <v>40</v>
      </c>
      <c r="B4" s="3" t="s">
        <v>41</v>
      </c>
      <c r="C4" s="3" t="s">
        <v>42</v>
      </c>
      <c r="D4" s="3" t="s">
        <v>22</v>
      </c>
      <c r="E4" s="3" t="s">
        <v>33</v>
      </c>
      <c r="F4" s="3" t="s">
        <v>43</v>
      </c>
      <c r="G4" s="3" t="s">
        <v>44</v>
      </c>
      <c r="H4" s="3" t="s">
        <v>45</v>
      </c>
      <c r="I4" s="3" t="s">
        <v>46</v>
      </c>
      <c r="J4" s="3" t="s">
        <v>31</v>
      </c>
      <c r="K4" s="3">
        <v>33.560277800000001</v>
      </c>
      <c r="L4" s="3">
        <v>33.560277800000001</v>
      </c>
      <c r="M4" s="3">
        <v>26.5</v>
      </c>
      <c r="N4" s="3">
        <v>1209600</v>
      </c>
      <c r="O4" s="3">
        <v>6.082642137196733</v>
      </c>
      <c r="P4" s="4">
        <v>5.5300000000000002E-3</v>
      </c>
      <c r="Q4" s="4">
        <v>2.3950323072982498E-3</v>
      </c>
      <c r="R4" s="4">
        <v>9</v>
      </c>
      <c r="S4" s="4">
        <v>32.619405519999994</v>
      </c>
    </row>
    <row r="5" spans="1:19">
      <c r="A5" s="5" t="s">
        <v>47</v>
      </c>
      <c r="B5" s="5" t="s">
        <v>41</v>
      </c>
      <c r="C5" s="5" t="s">
        <v>42</v>
      </c>
      <c r="D5" s="5" t="s">
        <v>22</v>
      </c>
      <c r="E5" s="5" t="s">
        <v>33</v>
      </c>
      <c r="F5" s="5" t="s">
        <v>43</v>
      </c>
      <c r="G5" s="5" t="s">
        <v>44</v>
      </c>
      <c r="H5" s="5" t="s">
        <v>45</v>
      </c>
      <c r="I5" s="5" t="s">
        <v>46</v>
      </c>
      <c r="J5" s="5" t="s">
        <v>31</v>
      </c>
      <c r="K5" s="5">
        <v>33.560277800000001</v>
      </c>
      <c r="L5" s="5">
        <v>33.560277800000001</v>
      </c>
      <c r="M5" s="5">
        <v>26.5</v>
      </c>
      <c r="N5" s="5">
        <v>1209600</v>
      </c>
      <c r="O5" s="5">
        <v>6.082642137196733</v>
      </c>
      <c r="P5" s="6">
        <v>5.5300000000000002E-3</v>
      </c>
      <c r="Q5" s="6">
        <v>2.3950323072982498E-3</v>
      </c>
      <c r="R5" s="6">
        <v>9</v>
      </c>
      <c r="S5" s="6">
        <v>31.236129479999995</v>
      </c>
    </row>
    <row r="6" spans="1:19">
      <c r="A6" s="5" t="s">
        <v>48</v>
      </c>
      <c r="B6" s="5" t="s">
        <v>30</v>
      </c>
      <c r="C6" s="5" t="s">
        <v>32</v>
      </c>
      <c r="D6" s="5" t="s">
        <v>22</v>
      </c>
      <c r="E6" s="5" t="s">
        <v>33</v>
      </c>
      <c r="F6" s="5" t="s">
        <v>34</v>
      </c>
      <c r="G6" s="5" t="s">
        <v>35</v>
      </c>
      <c r="H6" s="5" t="s">
        <v>36</v>
      </c>
      <c r="I6" s="5" t="s">
        <v>37</v>
      </c>
      <c r="J6" s="5" t="s">
        <v>39</v>
      </c>
      <c r="K6" s="5">
        <v>55.666742300000003</v>
      </c>
      <c r="L6" s="5">
        <v>55.666742300000003</v>
      </c>
      <c r="M6" s="5">
        <v>10</v>
      </c>
      <c r="N6" s="5">
        <v>812160</v>
      </c>
      <c r="O6" s="5">
        <v>5.909642130818316</v>
      </c>
      <c r="P6" s="6">
        <v>8.5733333333333333E-7</v>
      </c>
      <c r="Q6" s="6">
        <v>3.723349601596297E-7</v>
      </c>
      <c r="R6" s="6">
        <v>3</v>
      </c>
      <c r="S6" s="6">
        <v>8.5199582550000006</v>
      </c>
    </row>
    <row r="7" spans="1:19">
      <c r="A7" s="5" t="s">
        <v>49</v>
      </c>
      <c r="B7" s="5" t="s">
        <v>30</v>
      </c>
      <c r="C7" s="5" t="s">
        <v>32</v>
      </c>
      <c r="D7" s="5" t="s">
        <v>22</v>
      </c>
      <c r="E7" s="5" t="s">
        <v>33</v>
      </c>
      <c r="F7" s="5" t="s">
        <v>34</v>
      </c>
      <c r="G7" s="5" t="s">
        <v>35</v>
      </c>
      <c r="H7" s="5" t="s">
        <v>36</v>
      </c>
      <c r="I7" s="5" t="s">
        <v>37</v>
      </c>
      <c r="J7" s="5" t="s">
        <v>39</v>
      </c>
      <c r="K7" s="5">
        <v>55.666742300000003</v>
      </c>
      <c r="L7" s="5">
        <v>55.666742300000003</v>
      </c>
      <c r="M7" s="5">
        <v>10</v>
      </c>
      <c r="N7" s="5">
        <v>812160</v>
      </c>
      <c r="O7" s="5">
        <v>5.909642130818316</v>
      </c>
      <c r="P7" s="6">
        <v>2.3533333333333334E-6</v>
      </c>
      <c r="Q7" s="6">
        <v>1.0220384501087743E-6</v>
      </c>
      <c r="R7" s="6">
        <v>3</v>
      </c>
      <c r="S7" s="6">
        <v>7.6594986440000001</v>
      </c>
    </row>
    <row r="8" spans="1:19">
      <c r="A8" s="5" t="s">
        <v>50</v>
      </c>
      <c r="B8" s="5" t="s">
        <v>19</v>
      </c>
      <c r="C8" s="5" t="s">
        <v>51</v>
      </c>
      <c r="D8" s="5" t="s">
        <v>22</v>
      </c>
      <c r="E8" s="5" t="s">
        <v>33</v>
      </c>
      <c r="F8" s="5" t="s">
        <v>34</v>
      </c>
      <c r="G8" s="5" t="s">
        <v>52</v>
      </c>
      <c r="H8" s="5" t="s">
        <v>53</v>
      </c>
      <c r="I8" s="5" t="s">
        <v>54</v>
      </c>
      <c r="J8" s="5" t="s">
        <v>20</v>
      </c>
      <c r="K8" s="5">
        <v>43.500752439999999</v>
      </c>
      <c r="L8" s="5">
        <v>43.500752439999999</v>
      </c>
      <c r="M8" s="5">
        <v>25</v>
      </c>
      <c r="N8" s="5">
        <v>7884000</v>
      </c>
      <c r="O8" s="5">
        <v>6.896746670692953</v>
      </c>
      <c r="P8" s="6">
        <v>4.2950000000000002E-3</v>
      </c>
      <c r="Q8" s="6">
        <v>1.861227908780883E-3</v>
      </c>
      <c r="R8" s="6">
        <v>4</v>
      </c>
      <c r="S8" s="6">
        <v>31.660463190000002</v>
      </c>
    </row>
    <row r="9" spans="1:19">
      <c r="A9" s="5" t="s">
        <v>55</v>
      </c>
      <c r="B9" s="5" t="s">
        <v>19</v>
      </c>
      <c r="C9" s="5" t="s">
        <v>56</v>
      </c>
      <c r="D9" s="5" t="s">
        <v>22</v>
      </c>
      <c r="E9" s="5" t="s">
        <v>33</v>
      </c>
      <c r="F9" s="5" t="s">
        <v>34</v>
      </c>
      <c r="G9" s="5" t="s">
        <v>52</v>
      </c>
      <c r="H9" s="5" t="s">
        <v>57</v>
      </c>
      <c r="I9" s="5" t="s">
        <v>58</v>
      </c>
      <c r="J9" s="5" t="s">
        <v>31</v>
      </c>
      <c r="K9" s="5">
        <v>43.500752439999999</v>
      </c>
      <c r="L9" s="5">
        <v>43.500752439999999</v>
      </c>
      <c r="M9" s="5">
        <v>25</v>
      </c>
      <c r="N9" s="5">
        <v>7884000</v>
      </c>
      <c r="O9" s="5">
        <v>6.896746670692953</v>
      </c>
      <c r="P9" s="6">
        <v>6.1425000000000004E-3</v>
      </c>
      <c r="Q9" s="6">
        <v>2.6590930998470338E-3</v>
      </c>
      <c r="R9" s="6">
        <v>4</v>
      </c>
      <c r="S9" s="6">
        <v>33.625900450000003</v>
      </c>
    </row>
    <row r="10" spans="1:19">
      <c r="A10" s="5" t="s">
        <v>59</v>
      </c>
      <c r="B10" s="5" t="s">
        <v>19</v>
      </c>
      <c r="C10" s="5" t="s">
        <v>60</v>
      </c>
      <c r="D10" s="5" t="s">
        <v>22</v>
      </c>
      <c r="E10" s="5" t="s">
        <v>33</v>
      </c>
      <c r="F10" s="5" t="s">
        <v>34</v>
      </c>
      <c r="G10" s="5" t="s">
        <v>61</v>
      </c>
      <c r="H10" s="5" t="s">
        <v>62</v>
      </c>
      <c r="I10" s="5" t="s">
        <v>63</v>
      </c>
      <c r="J10" s="5" t="s">
        <v>20</v>
      </c>
      <c r="K10" s="5">
        <v>49.369854869999998</v>
      </c>
      <c r="L10" s="5">
        <v>49.369854869999998</v>
      </c>
      <c r="M10" s="5">
        <v>15</v>
      </c>
      <c r="N10" s="5">
        <v>24982600</v>
      </c>
      <c r="O10" s="5">
        <v>7.39763765185808</v>
      </c>
      <c r="P10" s="6">
        <v>4.8928571428571425E-2</v>
      </c>
      <c r="Q10" s="6">
        <v>2.0736877671022228E-2</v>
      </c>
      <c r="R10" s="6">
        <v>7</v>
      </c>
      <c r="S10" s="6">
        <v>15.815237460000002</v>
      </c>
    </row>
    <row r="11" spans="1:19">
      <c r="A11" s="5" t="s">
        <v>64</v>
      </c>
      <c r="B11" s="5" t="s">
        <v>19</v>
      </c>
      <c r="C11" s="5" t="s">
        <v>65</v>
      </c>
      <c r="D11" s="5" t="s">
        <v>22</v>
      </c>
      <c r="E11" s="5" t="s">
        <v>33</v>
      </c>
      <c r="F11" s="5" t="s">
        <v>34</v>
      </c>
      <c r="G11" s="5" t="s">
        <v>66</v>
      </c>
      <c r="H11" s="5" t="s">
        <v>67</v>
      </c>
      <c r="I11" s="5" t="s">
        <v>68</v>
      </c>
      <c r="J11" s="5" t="s">
        <v>31</v>
      </c>
      <c r="K11" s="5">
        <v>42.2708333</v>
      </c>
      <c r="L11" s="5">
        <v>42.2708333</v>
      </c>
      <c r="M11" s="5">
        <v>25.5</v>
      </c>
      <c r="N11" s="5">
        <v>10800</v>
      </c>
      <c r="O11" s="5">
        <v>4.033463966077405</v>
      </c>
      <c r="P11" s="6">
        <v>3.2800000000000003E-7</v>
      </c>
      <c r="Q11" s="6">
        <v>1.4244856672415702E-7</v>
      </c>
      <c r="R11" s="6">
        <v>7</v>
      </c>
      <c r="S11" s="6">
        <v>27.601610200000003</v>
      </c>
    </row>
    <row r="12" spans="1:19">
      <c r="A12" s="5" t="s">
        <v>69</v>
      </c>
      <c r="B12" s="5" t="s">
        <v>41</v>
      </c>
      <c r="C12" s="5" t="s">
        <v>70</v>
      </c>
      <c r="D12" s="5" t="s">
        <v>22</v>
      </c>
      <c r="E12" s="5" t="s">
        <v>33</v>
      </c>
      <c r="F12" s="5" t="s">
        <v>43</v>
      </c>
      <c r="G12" s="5" t="s">
        <v>44</v>
      </c>
      <c r="H12" s="5" t="s">
        <v>71</v>
      </c>
      <c r="I12" s="5" t="s">
        <v>72</v>
      </c>
      <c r="J12" s="5" t="s">
        <v>20</v>
      </c>
      <c r="K12" s="5">
        <v>39.943436460000001</v>
      </c>
      <c r="L12" s="5">
        <v>39.943436460000001</v>
      </c>
      <c r="M12" s="5">
        <v>25</v>
      </c>
      <c r="N12" s="5">
        <v>31536000</v>
      </c>
      <c r="O12" s="5">
        <v>7.4988066207067554</v>
      </c>
      <c r="P12" s="6">
        <v>1.4E-2</v>
      </c>
      <c r="Q12" s="6">
        <v>6.0379549973171775E-3</v>
      </c>
      <c r="R12" s="6">
        <v>6</v>
      </c>
      <c r="S12" s="6">
        <v>29.185128700000003</v>
      </c>
    </row>
    <row r="13" spans="1:19">
      <c r="A13" s="5" t="s">
        <v>73</v>
      </c>
      <c r="B13" s="5" t="s">
        <v>19</v>
      </c>
      <c r="C13" s="5" t="s">
        <v>74</v>
      </c>
      <c r="D13" s="5" t="s">
        <v>22</v>
      </c>
      <c r="E13" s="5" t="s">
        <v>33</v>
      </c>
      <c r="F13" s="5" t="s">
        <v>75</v>
      </c>
      <c r="G13" s="5" t="s">
        <v>76</v>
      </c>
      <c r="H13" s="5" t="s">
        <v>77</v>
      </c>
      <c r="I13" s="5" t="s">
        <v>78</v>
      </c>
      <c r="J13" s="5" t="s">
        <v>31</v>
      </c>
      <c r="K13" s="5">
        <v>44.323848069999997</v>
      </c>
      <c r="L13" s="5">
        <v>44.323848069999997</v>
      </c>
      <c r="M13" s="5">
        <v>15</v>
      </c>
      <c r="N13" s="5">
        <v>1209600</v>
      </c>
      <c r="O13" s="5">
        <v>6.082642137196733</v>
      </c>
      <c r="P13" s="6">
        <v>3.4879999999999997E-4</v>
      </c>
      <c r="Q13" s="6">
        <v>1.51451144404208E-4</v>
      </c>
      <c r="R13" s="6">
        <v>3</v>
      </c>
      <c r="S13" s="6">
        <v>11.080717670000004</v>
      </c>
    </row>
    <row r="14" spans="1:19">
      <c r="A14" s="5" t="s">
        <v>79</v>
      </c>
      <c r="B14" s="5" t="s">
        <v>19</v>
      </c>
      <c r="C14" s="5" t="s">
        <v>74</v>
      </c>
      <c r="D14" s="5" t="s">
        <v>22</v>
      </c>
      <c r="E14" s="5" t="s">
        <v>33</v>
      </c>
      <c r="F14" s="5" t="s">
        <v>75</v>
      </c>
      <c r="G14" s="5" t="s">
        <v>76</v>
      </c>
      <c r="H14" s="5" t="s">
        <v>77</v>
      </c>
      <c r="I14" s="5" t="s">
        <v>78</v>
      </c>
      <c r="J14" s="5" t="s">
        <v>31</v>
      </c>
      <c r="K14" s="5">
        <v>44.323848069999997</v>
      </c>
      <c r="L14" s="5">
        <v>44.323848069999997</v>
      </c>
      <c r="M14" s="5">
        <v>15</v>
      </c>
      <c r="N14" s="5">
        <v>1209600</v>
      </c>
      <c r="O14" s="5">
        <v>6.082642137196733</v>
      </c>
      <c r="P14" s="6">
        <v>5.2833333333333335E-5</v>
      </c>
      <c r="Q14" s="6">
        <v>2.2944501608835573E-5</v>
      </c>
      <c r="R14" s="6">
        <v>3</v>
      </c>
      <c r="S14" s="6">
        <v>16.817958330000003</v>
      </c>
    </row>
    <row r="15" spans="1:19">
      <c r="A15" s="5" t="s">
        <v>80</v>
      </c>
      <c r="B15" s="5" t="s">
        <v>19</v>
      </c>
      <c r="C15" s="5" t="s">
        <v>74</v>
      </c>
      <c r="D15" s="5" t="s">
        <v>22</v>
      </c>
      <c r="E15" s="5" t="s">
        <v>33</v>
      </c>
      <c r="F15" s="5" t="s">
        <v>75</v>
      </c>
      <c r="G15" s="5" t="s">
        <v>76</v>
      </c>
      <c r="H15" s="5" t="s">
        <v>77</v>
      </c>
      <c r="I15" s="5" t="s">
        <v>78</v>
      </c>
      <c r="J15" s="5" t="s">
        <v>31</v>
      </c>
      <c r="K15" s="5">
        <v>44.323848069999997</v>
      </c>
      <c r="L15" s="5">
        <v>44.323848069999997</v>
      </c>
      <c r="M15" s="5">
        <v>15</v>
      </c>
      <c r="N15" s="5">
        <v>1209600</v>
      </c>
      <c r="O15" s="5">
        <v>6.082642137196733</v>
      </c>
      <c r="P15" s="6">
        <v>1.730333333333333E-4</v>
      </c>
      <c r="Q15" s="6">
        <v>7.5138616750032391E-5</v>
      </c>
      <c r="R15" s="6">
        <v>3</v>
      </c>
      <c r="S15" s="6">
        <v>16.011119489999999</v>
      </c>
    </row>
    <row r="16" spans="1:19">
      <c r="A16" s="5" t="s">
        <v>81</v>
      </c>
      <c r="B16" s="5" t="s">
        <v>41</v>
      </c>
      <c r="C16" s="5" t="s">
        <v>82</v>
      </c>
      <c r="D16" s="5" t="s">
        <v>22</v>
      </c>
      <c r="E16" s="5" t="s">
        <v>23</v>
      </c>
      <c r="F16" s="5" t="s">
        <v>24</v>
      </c>
      <c r="G16" s="5" t="s">
        <v>83</v>
      </c>
      <c r="H16" s="5" t="s">
        <v>84</v>
      </c>
      <c r="I16" s="5" t="s">
        <v>85</v>
      </c>
      <c r="J16" s="5" t="s">
        <v>39</v>
      </c>
      <c r="K16" s="5">
        <v>39.183608</v>
      </c>
      <c r="L16" s="5">
        <v>39.183608</v>
      </c>
      <c r="M16" s="5">
        <v>30</v>
      </c>
      <c r="N16" s="5">
        <v>1728000</v>
      </c>
      <c r="O16" s="5">
        <v>6.2375439894706268</v>
      </c>
      <c r="P16" s="6">
        <v>4.0399999999999996E-7</v>
      </c>
      <c r="Q16" s="6">
        <v>1.7545493520288385E-7</v>
      </c>
      <c r="R16" s="6">
        <v>4</v>
      </c>
      <c r="S16" s="6">
        <v>28.37625795000001</v>
      </c>
    </row>
    <row r="17" spans="1:19">
      <c r="A17" s="5" t="s">
        <v>86</v>
      </c>
      <c r="B17" s="5" t="s">
        <v>41</v>
      </c>
      <c r="C17" s="5" t="s">
        <v>82</v>
      </c>
      <c r="D17" s="5" t="s">
        <v>22</v>
      </c>
      <c r="E17" s="5" t="s">
        <v>23</v>
      </c>
      <c r="F17" s="5" t="s">
        <v>24</v>
      </c>
      <c r="G17" s="5" t="s">
        <v>83</v>
      </c>
      <c r="H17" s="5" t="s">
        <v>84</v>
      </c>
      <c r="I17" s="5" t="s">
        <v>85</v>
      </c>
      <c r="J17" s="5" t="s">
        <v>39</v>
      </c>
      <c r="K17" s="5">
        <v>39.183608</v>
      </c>
      <c r="L17" s="5">
        <v>39.183608</v>
      </c>
      <c r="M17" s="5">
        <v>30</v>
      </c>
      <c r="N17" s="5">
        <v>1728000</v>
      </c>
      <c r="O17" s="5">
        <v>6.2375439894706268</v>
      </c>
      <c r="P17" s="6">
        <v>4.0399999999999996E-7</v>
      </c>
      <c r="Q17" s="6">
        <v>1.7545493520288385E-7</v>
      </c>
      <c r="R17" s="6">
        <v>4</v>
      </c>
      <c r="S17" s="6">
        <v>28.04685662999999</v>
      </c>
    </row>
    <row r="18" spans="1:19">
      <c r="A18" s="5" t="s">
        <v>87</v>
      </c>
      <c r="B18" s="5" t="s">
        <v>41</v>
      </c>
      <c r="C18" s="5" t="s">
        <v>82</v>
      </c>
      <c r="D18" s="5" t="s">
        <v>22</v>
      </c>
      <c r="E18" s="5" t="s">
        <v>23</v>
      </c>
      <c r="F18" s="5" t="s">
        <v>24</v>
      </c>
      <c r="G18" s="5" t="s">
        <v>83</v>
      </c>
      <c r="H18" s="5" t="s">
        <v>84</v>
      </c>
      <c r="I18" s="5" t="s">
        <v>85</v>
      </c>
      <c r="J18" s="5" t="s">
        <v>39</v>
      </c>
      <c r="K18" s="5">
        <v>39.183608</v>
      </c>
      <c r="L18" s="5">
        <v>39.183608</v>
      </c>
      <c r="M18" s="5">
        <v>30</v>
      </c>
      <c r="N18" s="5">
        <v>1728000</v>
      </c>
      <c r="O18" s="5">
        <v>6.2375439894706268</v>
      </c>
      <c r="P18" s="6">
        <v>4.0399999999999991E-7</v>
      </c>
      <c r="Q18" s="6">
        <v>1.7545493520288385E-7</v>
      </c>
      <c r="R18" s="6">
        <v>4</v>
      </c>
      <c r="S18" s="6">
        <v>29.777330619999994</v>
      </c>
    </row>
    <row r="19" spans="1:19">
      <c r="A19" s="5" t="s">
        <v>88</v>
      </c>
      <c r="B19" s="5" t="s">
        <v>41</v>
      </c>
      <c r="C19" s="5" t="s">
        <v>82</v>
      </c>
      <c r="D19" s="5" t="s">
        <v>22</v>
      </c>
      <c r="E19" s="5" t="s">
        <v>23</v>
      </c>
      <c r="F19" s="5" t="s">
        <v>24</v>
      </c>
      <c r="G19" s="5" t="s">
        <v>83</v>
      </c>
      <c r="H19" s="5" t="s">
        <v>84</v>
      </c>
      <c r="I19" s="5" t="s">
        <v>85</v>
      </c>
      <c r="J19" s="5" t="s">
        <v>39</v>
      </c>
      <c r="K19" s="5">
        <v>39.183608</v>
      </c>
      <c r="L19" s="5">
        <v>39.183608</v>
      </c>
      <c r="M19" s="5">
        <v>30</v>
      </c>
      <c r="N19" s="5">
        <v>1728000</v>
      </c>
      <c r="O19" s="5">
        <v>6.2375439894706268</v>
      </c>
      <c r="P19" s="6">
        <v>4.0399999999999996E-7</v>
      </c>
      <c r="Q19" s="6">
        <v>1.7545493520288385E-7</v>
      </c>
      <c r="R19" s="6">
        <v>4</v>
      </c>
      <c r="S19" s="6">
        <v>28.585693150000004</v>
      </c>
    </row>
    <row r="20" spans="1:19">
      <c r="A20" s="5" t="s">
        <v>89</v>
      </c>
      <c r="B20" s="5" t="s">
        <v>30</v>
      </c>
      <c r="C20" s="5" t="s">
        <v>90</v>
      </c>
      <c r="D20" s="5" t="s">
        <v>22</v>
      </c>
      <c r="E20" s="5" t="s">
        <v>91</v>
      </c>
      <c r="F20" s="5" t="s">
        <v>92</v>
      </c>
      <c r="G20" s="5" t="s">
        <v>93</v>
      </c>
      <c r="H20" s="5" t="s">
        <v>94</v>
      </c>
      <c r="I20" s="5" t="s">
        <v>95</v>
      </c>
      <c r="J20" s="5" t="s">
        <v>31</v>
      </c>
      <c r="K20" s="5">
        <v>55.329144409999998</v>
      </c>
      <c r="L20" s="5">
        <v>55.329144409999998</v>
      </c>
      <c r="M20" s="5">
        <v>14</v>
      </c>
      <c r="N20" s="5">
        <v>1900800</v>
      </c>
      <c r="O20" s="5">
        <v>6.2789366517808807</v>
      </c>
      <c r="P20" s="6">
        <v>1.0981488000000005E-2</v>
      </c>
      <c r="Q20" s="6">
        <v>4.7432033327861481E-3</v>
      </c>
      <c r="R20" s="6">
        <v>9</v>
      </c>
      <c r="S20" s="6">
        <v>17.183590909999999</v>
      </c>
    </row>
    <row r="21" spans="1:19">
      <c r="A21" s="5" t="s">
        <v>96</v>
      </c>
      <c r="B21" s="5" t="s">
        <v>19</v>
      </c>
      <c r="C21" s="5" t="s">
        <v>97</v>
      </c>
      <c r="D21" s="5" t="s">
        <v>22</v>
      </c>
      <c r="E21" s="5" t="s">
        <v>33</v>
      </c>
      <c r="F21" s="5" t="s">
        <v>43</v>
      </c>
      <c r="G21" s="5" t="s">
        <v>44</v>
      </c>
      <c r="H21" s="5" t="s">
        <v>71</v>
      </c>
      <c r="I21" s="5" t="s">
        <v>98</v>
      </c>
      <c r="J21" s="5" t="s">
        <v>20</v>
      </c>
      <c r="K21" s="5">
        <v>46.965259000000003</v>
      </c>
      <c r="L21" s="5">
        <v>46.965259000000003</v>
      </c>
      <c r="M21" s="5">
        <v>22.5</v>
      </c>
      <c r="N21" s="5">
        <v>2628000</v>
      </c>
      <c r="O21" s="5">
        <v>6.4196255261443635</v>
      </c>
      <c r="P21" s="6">
        <v>6.7000000000000004E-2</v>
      </c>
      <c r="Q21" s="6">
        <v>2.8164419424469872E-2</v>
      </c>
      <c r="R21" s="6">
        <v>7</v>
      </c>
      <c r="S21" s="6">
        <v>28.955624480000004</v>
      </c>
    </row>
    <row r="22" spans="1:19">
      <c r="A22" s="5" t="s">
        <v>99</v>
      </c>
      <c r="B22" s="5" t="s">
        <v>41</v>
      </c>
      <c r="C22" s="5" t="s">
        <v>100</v>
      </c>
      <c r="D22" s="5" t="s">
        <v>22</v>
      </c>
      <c r="E22" s="5" t="s">
        <v>33</v>
      </c>
      <c r="F22" s="5" t="s">
        <v>75</v>
      </c>
      <c r="G22" s="5" t="s">
        <v>76</v>
      </c>
      <c r="H22" s="5" t="s">
        <v>101</v>
      </c>
      <c r="I22" s="5" t="s">
        <v>102</v>
      </c>
      <c r="J22" s="5" t="s">
        <v>20</v>
      </c>
      <c r="K22" s="5">
        <v>-34.903331000000001</v>
      </c>
      <c r="L22" s="5">
        <v>34.903331000000001</v>
      </c>
      <c r="M22" s="5">
        <v>30</v>
      </c>
      <c r="N22" s="5">
        <v>21600</v>
      </c>
      <c r="O22" s="5">
        <v>4.3344738569115373</v>
      </c>
      <c r="P22" s="6">
        <v>7.6600000000000001E-3</v>
      </c>
      <c r="Q22" s="6">
        <v>3.3140191804931127E-3</v>
      </c>
      <c r="R22" s="6">
        <v>6</v>
      </c>
      <c r="S22" s="6">
        <v>22.490013390000001</v>
      </c>
    </row>
    <row r="23" spans="1:19">
      <c r="A23" s="5" t="s">
        <v>103</v>
      </c>
      <c r="B23" s="5" t="s">
        <v>41</v>
      </c>
      <c r="C23" s="5" t="s">
        <v>100</v>
      </c>
      <c r="D23" s="5" t="s">
        <v>22</v>
      </c>
      <c r="E23" s="5" t="s">
        <v>33</v>
      </c>
      <c r="F23" s="5" t="s">
        <v>75</v>
      </c>
      <c r="G23" s="5" t="s">
        <v>76</v>
      </c>
      <c r="H23" s="5" t="s">
        <v>101</v>
      </c>
      <c r="I23" s="5" t="s">
        <v>102</v>
      </c>
      <c r="J23" s="5" t="s">
        <v>20</v>
      </c>
      <c r="K23" s="5">
        <v>-34.903331000000001</v>
      </c>
      <c r="L23" s="5">
        <v>34.903331000000001</v>
      </c>
      <c r="M23" s="5">
        <v>9</v>
      </c>
      <c r="N23" s="5">
        <v>21600</v>
      </c>
      <c r="O23" s="5">
        <v>4.3344738569115373</v>
      </c>
      <c r="P23" s="6">
        <v>7.6600000000000001E-3</v>
      </c>
      <c r="Q23" s="6">
        <v>3.3140191804931123E-3</v>
      </c>
      <c r="R23" s="6">
        <v>7</v>
      </c>
      <c r="S23" s="6">
        <v>27.03522701</v>
      </c>
    </row>
    <row r="24" spans="1:19">
      <c r="A24" s="5" t="s">
        <v>104</v>
      </c>
      <c r="B24" s="5" t="s">
        <v>30</v>
      </c>
      <c r="C24" s="5" t="s">
        <v>105</v>
      </c>
      <c r="D24" s="5" t="s">
        <v>22</v>
      </c>
      <c r="E24" s="5" t="s">
        <v>91</v>
      </c>
      <c r="F24" s="5" t="s">
        <v>92</v>
      </c>
      <c r="G24" s="5" t="s">
        <v>106</v>
      </c>
      <c r="H24" s="5" t="s">
        <v>107</v>
      </c>
      <c r="I24" s="5" t="s">
        <v>108</v>
      </c>
      <c r="J24" s="5" t="s">
        <v>31</v>
      </c>
      <c r="K24" s="5">
        <v>52.90248295</v>
      </c>
      <c r="L24" s="5">
        <v>52.90248295</v>
      </c>
      <c r="M24" s="5">
        <v>15</v>
      </c>
      <c r="N24" s="5">
        <v>2419200</v>
      </c>
      <c r="O24" s="5">
        <v>6.3836719533409507</v>
      </c>
      <c r="P24" s="6">
        <v>3.3284223000000002E-2</v>
      </c>
      <c r="Q24" s="6">
        <v>1.4219798288532098E-2</v>
      </c>
      <c r="R24" s="6">
        <v>4</v>
      </c>
      <c r="S24" s="6">
        <v>21.6407633</v>
      </c>
    </row>
    <row r="25" spans="1:19">
      <c r="A25" s="5" t="s">
        <v>109</v>
      </c>
      <c r="B25" s="5" t="s">
        <v>30</v>
      </c>
      <c r="C25" s="5" t="s">
        <v>105</v>
      </c>
      <c r="D25" s="5" t="s">
        <v>22</v>
      </c>
      <c r="E25" s="5" t="s">
        <v>91</v>
      </c>
      <c r="F25" s="5" t="s">
        <v>92</v>
      </c>
      <c r="G25" s="5" t="s">
        <v>106</v>
      </c>
      <c r="H25" s="5" t="s">
        <v>107</v>
      </c>
      <c r="I25" s="5" t="s">
        <v>108</v>
      </c>
      <c r="J25" s="5" t="s">
        <v>31</v>
      </c>
      <c r="K25" s="5">
        <v>52.90248295</v>
      </c>
      <c r="L25" s="5">
        <v>52.90248295</v>
      </c>
      <c r="M25" s="5">
        <v>15</v>
      </c>
      <c r="N25" s="5">
        <v>2419200</v>
      </c>
      <c r="O25" s="5">
        <v>6.3836719533409507</v>
      </c>
      <c r="P25" s="6">
        <v>3.3284223000000002E-2</v>
      </c>
      <c r="Q25" s="6">
        <v>1.4219798288532098E-2</v>
      </c>
      <c r="R25" s="6">
        <v>4</v>
      </c>
      <c r="S25" s="6">
        <v>21.61635162</v>
      </c>
    </row>
    <row r="26" spans="1:19">
      <c r="A26" s="5" t="s">
        <v>110</v>
      </c>
      <c r="B26" s="5" t="s">
        <v>30</v>
      </c>
      <c r="C26" s="5" t="s">
        <v>105</v>
      </c>
      <c r="D26" s="5" t="s">
        <v>22</v>
      </c>
      <c r="E26" s="5" t="s">
        <v>91</v>
      </c>
      <c r="F26" s="5" t="s">
        <v>92</v>
      </c>
      <c r="G26" s="5" t="s">
        <v>106</v>
      </c>
      <c r="H26" s="5" t="s">
        <v>107</v>
      </c>
      <c r="I26" s="5" t="s">
        <v>108</v>
      </c>
      <c r="J26" s="5" t="s">
        <v>31</v>
      </c>
      <c r="K26" s="5">
        <v>52.90248295</v>
      </c>
      <c r="L26" s="5">
        <v>52.90248295</v>
      </c>
      <c r="M26" s="5">
        <v>15</v>
      </c>
      <c r="N26" s="5">
        <v>2419200</v>
      </c>
      <c r="O26" s="5">
        <v>6.3836719533409507</v>
      </c>
      <c r="P26" s="6">
        <v>3.3284223000000002E-2</v>
      </c>
      <c r="Q26" s="6">
        <v>1.4219798288532098E-2</v>
      </c>
      <c r="R26" s="6">
        <v>4</v>
      </c>
      <c r="S26" s="6">
        <v>21.701879259999998</v>
      </c>
    </row>
    <row r="27" spans="1:19">
      <c r="A27" s="5" t="s">
        <v>111</v>
      </c>
      <c r="B27" s="5" t="s">
        <v>41</v>
      </c>
      <c r="C27" s="5" t="s">
        <v>112</v>
      </c>
      <c r="D27" s="5" t="s">
        <v>22</v>
      </c>
      <c r="E27" s="5" t="s">
        <v>33</v>
      </c>
      <c r="F27" s="5" t="s">
        <v>43</v>
      </c>
      <c r="G27" s="5" t="s">
        <v>44</v>
      </c>
      <c r="H27" s="5" t="s">
        <v>113</v>
      </c>
      <c r="I27" s="5" t="s">
        <v>114</v>
      </c>
      <c r="J27" s="5" t="s">
        <v>31</v>
      </c>
      <c r="K27" s="5">
        <v>26.012360959999999</v>
      </c>
      <c r="L27" s="5">
        <v>26.012360959999999</v>
      </c>
      <c r="M27" s="5">
        <v>28</v>
      </c>
      <c r="N27" s="5">
        <v>1209600</v>
      </c>
      <c r="O27" s="5">
        <v>6.082642137196733</v>
      </c>
      <c r="P27" s="6">
        <v>4.1000000000000003E-3</v>
      </c>
      <c r="Q27" s="6">
        <v>1.7769670774395734E-3</v>
      </c>
      <c r="R27" s="6">
        <v>5</v>
      </c>
      <c r="S27" s="6">
        <v>33.482861499999999</v>
      </c>
    </row>
    <row r="28" spans="1:19">
      <c r="A28" s="5" t="s">
        <v>115</v>
      </c>
      <c r="B28" s="5" t="s">
        <v>41</v>
      </c>
      <c r="C28" s="5" t="s">
        <v>112</v>
      </c>
      <c r="D28" s="5" t="s">
        <v>22</v>
      </c>
      <c r="E28" s="5" t="s">
        <v>33</v>
      </c>
      <c r="F28" s="5" t="s">
        <v>43</v>
      </c>
      <c r="G28" s="5" t="s">
        <v>44</v>
      </c>
      <c r="H28" s="5" t="s">
        <v>113</v>
      </c>
      <c r="I28" s="5" t="s">
        <v>114</v>
      </c>
      <c r="J28" s="5" t="s">
        <v>31</v>
      </c>
      <c r="K28" s="5">
        <v>26.012360959999999</v>
      </c>
      <c r="L28" s="5">
        <v>26.012360959999999</v>
      </c>
      <c r="M28" s="5">
        <v>28</v>
      </c>
      <c r="N28" s="5">
        <v>1209600</v>
      </c>
      <c r="O28" s="5">
        <v>6.082642137196733</v>
      </c>
      <c r="P28" s="6">
        <v>4.1000000000000003E-3</v>
      </c>
      <c r="Q28" s="6">
        <v>1.7769670774395734E-3</v>
      </c>
      <c r="R28" s="6">
        <v>5</v>
      </c>
      <c r="S28" s="6">
        <v>29.974261129999995</v>
      </c>
    </row>
    <row r="29" spans="1:19">
      <c r="A29" s="5" t="s">
        <v>116</v>
      </c>
      <c r="B29" s="5" t="s">
        <v>19</v>
      </c>
      <c r="C29" s="5" t="s">
        <v>97</v>
      </c>
      <c r="D29" s="5" t="s">
        <v>22</v>
      </c>
      <c r="E29" s="5" t="s">
        <v>33</v>
      </c>
      <c r="F29" s="5" t="s">
        <v>43</v>
      </c>
      <c r="G29" s="5" t="s">
        <v>44</v>
      </c>
      <c r="H29" s="5" t="s">
        <v>71</v>
      </c>
      <c r="I29" s="5" t="s">
        <v>98</v>
      </c>
      <c r="J29" s="5" t="s">
        <v>20</v>
      </c>
      <c r="K29" s="5">
        <v>46.965259000000003</v>
      </c>
      <c r="L29" s="5">
        <v>46.965259000000003</v>
      </c>
      <c r="M29" s="5">
        <v>22.5</v>
      </c>
      <c r="N29" s="5">
        <v>2628000</v>
      </c>
      <c r="O29" s="5">
        <v>6.4196255261443635</v>
      </c>
      <c r="P29" s="6">
        <v>6.7000000000000004E-2</v>
      </c>
      <c r="Q29" s="6">
        <v>2.8164419424469872E-2</v>
      </c>
      <c r="R29" s="6">
        <v>7</v>
      </c>
      <c r="S29" s="6">
        <v>29.438960970000004</v>
      </c>
    </row>
    <row r="30" spans="1:19">
      <c r="A30" s="5" t="s">
        <v>117</v>
      </c>
      <c r="B30" s="5" t="s">
        <v>41</v>
      </c>
      <c r="C30" s="5" t="s">
        <v>118</v>
      </c>
      <c r="D30" s="5" t="s">
        <v>22</v>
      </c>
      <c r="E30" s="5" t="s">
        <v>23</v>
      </c>
      <c r="F30" s="5" t="s">
        <v>24</v>
      </c>
      <c r="G30" s="5" t="s">
        <v>119</v>
      </c>
      <c r="H30" s="5" t="s">
        <v>120</v>
      </c>
      <c r="I30" s="5" t="s">
        <v>121</v>
      </c>
      <c r="J30" s="5" t="s">
        <v>39</v>
      </c>
      <c r="K30" s="5">
        <v>35.696111000000002</v>
      </c>
      <c r="L30" s="5">
        <v>35.696111000000002</v>
      </c>
      <c r="M30" s="5">
        <v>25</v>
      </c>
      <c r="N30" s="5">
        <v>43200</v>
      </c>
      <c r="O30" s="5">
        <v>4.6354937998115657</v>
      </c>
      <c r="P30" s="6">
        <v>1.24E-7</v>
      </c>
      <c r="Q30" s="6">
        <v>5.38525124370183E-8</v>
      </c>
      <c r="R30" s="6">
        <v>5</v>
      </c>
      <c r="S30" s="6">
        <v>16.483627219999999</v>
      </c>
    </row>
    <row r="31" spans="1:19">
      <c r="A31" s="5" t="s">
        <v>122</v>
      </c>
      <c r="B31" s="5" t="s">
        <v>41</v>
      </c>
      <c r="C31" s="5" t="s">
        <v>118</v>
      </c>
      <c r="D31" s="5" t="s">
        <v>22</v>
      </c>
      <c r="E31" s="5" t="s">
        <v>23</v>
      </c>
      <c r="F31" s="5" t="s">
        <v>24</v>
      </c>
      <c r="G31" s="5" t="s">
        <v>119</v>
      </c>
      <c r="H31" s="5" t="s">
        <v>120</v>
      </c>
      <c r="I31" s="5" t="s">
        <v>121</v>
      </c>
      <c r="J31" s="5" t="s">
        <v>39</v>
      </c>
      <c r="K31" s="5">
        <v>35.696111000000002</v>
      </c>
      <c r="L31" s="5">
        <v>35.696111000000002</v>
      </c>
      <c r="M31" s="5">
        <v>25</v>
      </c>
      <c r="N31" s="5">
        <v>43200</v>
      </c>
      <c r="O31" s="5">
        <v>4.6354937998115657</v>
      </c>
      <c r="P31" s="6">
        <v>1.24E-7</v>
      </c>
      <c r="Q31" s="6">
        <v>5.38525124370183E-8</v>
      </c>
      <c r="R31" s="6">
        <v>5</v>
      </c>
      <c r="S31" s="6">
        <v>25.813881980000001</v>
      </c>
    </row>
    <row r="32" spans="1:19">
      <c r="A32" s="5" t="s">
        <v>123</v>
      </c>
      <c r="B32" s="5" t="s">
        <v>41</v>
      </c>
      <c r="C32" s="5" t="s">
        <v>124</v>
      </c>
      <c r="D32" s="5" t="s">
        <v>125</v>
      </c>
      <c r="E32" s="5" t="s">
        <v>126</v>
      </c>
      <c r="F32" s="5" t="s">
        <v>127</v>
      </c>
      <c r="G32" s="5" t="s">
        <v>128</v>
      </c>
      <c r="H32" s="5" t="s">
        <v>129</v>
      </c>
      <c r="I32" s="5" t="s">
        <v>130</v>
      </c>
      <c r="J32" s="5" t="s">
        <v>20</v>
      </c>
      <c r="K32" s="5">
        <v>27.664826999999999</v>
      </c>
      <c r="L32" s="5">
        <v>27.664826999999999</v>
      </c>
      <c r="M32" s="5">
        <v>25</v>
      </c>
      <c r="N32" s="5">
        <v>259200</v>
      </c>
      <c r="O32" s="5">
        <v>5.4136366727141585</v>
      </c>
      <c r="P32" s="6">
        <v>2.2400000000000004E-14</v>
      </c>
      <c r="Q32" s="6">
        <v>9.7397074121880906E-15</v>
      </c>
      <c r="R32" s="6">
        <v>9</v>
      </c>
      <c r="S32" s="6">
        <v>24.601778970000002</v>
      </c>
    </row>
    <row r="33" spans="1:19">
      <c r="A33" s="5" t="s">
        <v>131</v>
      </c>
      <c r="B33" s="5" t="s">
        <v>41</v>
      </c>
      <c r="C33" s="5" t="s">
        <v>124</v>
      </c>
      <c r="D33" s="5" t="s">
        <v>125</v>
      </c>
      <c r="E33" s="5" t="s">
        <v>126</v>
      </c>
      <c r="F33" s="5" t="s">
        <v>127</v>
      </c>
      <c r="G33" s="5" t="s">
        <v>128</v>
      </c>
      <c r="H33" s="5" t="s">
        <v>129</v>
      </c>
      <c r="I33" s="5" t="s">
        <v>130</v>
      </c>
      <c r="J33" s="5" t="s">
        <v>20</v>
      </c>
      <c r="K33" s="5">
        <v>31.970803929999999</v>
      </c>
      <c r="L33" s="5">
        <v>31.970803929999999</v>
      </c>
      <c r="M33" s="5">
        <v>25</v>
      </c>
      <c r="N33" s="5">
        <v>259200</v>
      </c>
      <c r="O33" s="5">
        <v>5.4136366727141585</v>
      </c>
      <c r="P33" s="6">
        <v>2.2400000000000004E-14</v>
      </c>
      <c r="Q33" s="6">
        <v>9.7397074121880906E-15</v>
      </c>
      <c r="R33" s="6">
        <v>9</v>
      </c>
      <c r="S33" s="6">
        <v>24.959285959999995</v>
      </c>
    </row>
    <row r="34" spans="1:19">
      <c r="A34" s="5" t="s">
        <v>132</v>
      </c>
      <c r="B34" s="5" t="s">
        <v>41</v>
      </c>
      <c r="C34" s="5" t="s">
        <v>124</v>
      </c>
      <c r="D34" s="5" t="s">
        <v>125</v>
      </c>
      <c r="E34" s="5" t="s">
        <v>126</v>
      </c>
      <c r="F34" s="5" t="s">
        <v>127</v>
      </c>
      <c r="G34" s="5" t="s">
        <v>128</v>
      </c>
      <c r="H34" s="5" t="s">
        <v>129</v>
      </c>
      <c r="I34" s="5" t="s">
        <v>130</v>
      </c>
      <c r="J34" s="5" t="s">
        <v>20</v>
      </c>
      <c r="K34" s="5">
        <v>31.970803929999999</v>
      </c>
      <c r="L34" s="5">
        <v>31.970803929999999</v>
      </c>
      <c r="M34" s="5">
        <v>25</v>
      </c>
      <c r="N34" s="5">
        <v>259200</v>
      </c>
      <c r="O34" s="5">
        <v>5.4136366727141585</v>
      </c>
      <c r="P34" s="6">
        <v>2.2400000000000004E-14</v>
      </c>
      <c r="Q34" s="6">
        <v>9.7397074121880906E-15</v>
      </c>
      <c r="R34" s="6">
        <v>9</v>
      </c>
      <c r="S34" s="6">
        <v>23.657431760000005</v>
      </c>
    </row>
    <row r="35" spans="1:19">
      <c r="A35" s="5" t="s">
        <v>133</v>
      </c>
      <c r="B35" s="5" t="s">
        <v>41</v>
      </c>
      <c r="C35" s="5" t="s">
        <v>124</v>
      </c>
      <c r="D35" s="5" t="s">
        <v>125</v>
      </c>
      <c r="E35" s="5" t="s">
        <v>126</v>
      </c>
      <c r="F35" s="5" t="s">
        <v>127</v>
      </c>
      <c r="G35" s="5" t="s">
        <v>128</v>
      </c>
      <c r="H35" s="5" t="s">
        <v>129</v>
      </c>
      <c r="I35" s="5" t="s">
        <v>130</v>
      </c>
      <c r="J35" s="5" t="s">
        <v>20</v>
      </c>
      <c r="K35" s="5">
        <v>36.778261000000001</v>
      </c>
      <c r="L35" s="5">
        <v>36.778261000000001</v>
      </c>
      <c r="M35" s="5">
        <v>25</v>
      </c>
      <c r="N35" s="5">
        <v>259200</v>
      </c>
      <c r="O35" s="5">
        <v>5.4136366727141585</v>
      </c>
      <c r="P35" s="6">
        <v>2.2400000000000004E-14</v>
      </c>
      <c r="Q35" s="6">
        <v>9.7397074121880906E-15</v>
      </c>
      <c r="R35" s="6">
        <v>9</v>
      </c>
      <c r="S35" s="6">
        <v>24.305969330000003</v>
      </c>
    </row>
    <row r="36" spans="1:19">
      <c r="A36" s="5" t="s">
        <v>134</v>
      </c>
      <c r="B36" s="5" t="s">
        <v>41</v>
      </c>
      <c r="C36" s="5" t="s">
        <v>124</v>
      </c>
      <c r="D36" s="5" t="s">
        <v>125</v>
      </c>
      <c r="E36" s="5" t="s">
        <v>126</v>
      </c>
      <c r="F36" s="5" t="s">
        <v>127</v>
      </c>
      <c r="G36" s="5" t="s">
        <v>128</v>
      </c>
      <c r="H36" s="5" t="s">
        <v>129</v>
      </c>
      <c r="I36" s="5" t="s">
        <v>130</v>
      </c>
      <c r="J36" s="5" t="s">
        <v>20</v>
      </c>
      <c r="K36" s="5">
        <v>36.778261000000001</v>
      </c>
      <c r="L36" s="5">
        <v>36.778261000000001</v>
      </c>
      <c r="M36" s="5">
        <v>25</v>
      </c>
      <c r="N36" s="5">
        <v>259200</v>
      </c>
      <c r="O36" s="5">
        <v>5.4136366727141585</v>
      </c>
      <c r="P36" s="6">
        <v>2.2400000000000004E-14</v>
      </c>
      <c r="Q36" s="6">
        <v>9.7397074121880906E-15</v>
      </c>
      <c r="R36" s="6">
        <v>9</v>
      </c>
      <c r="S36" s="6">
        <v>24.52102588</v>
      </c>
    </row>
    <row r="37" spans="1:19">
      <c r="A37" s="5" t="s">
        <v>135</v>
      </c>
      <c r="B37" s="5" t="s">
        <v>41</v>
      </c>
      <c r="C37" s="5" t="s">
        <v>124</v>
      </c>
      <c r="D37" s="5" t="s">
        <v>125</v>
      </c>
      <c r="E37" s="5" t="s">
        <v>126</v>
      </c>
      <c r="F37" s="5" t="s">
        <v>127</v>
      </c>
      <c r="G37" s="5" t="s">
        <v>128</v>
      </c>
      <c r="H37" s="5" t="s">
        <v>129</v>
      </c>
      <c r="I37" s="5" t="s">
        <v>130</v>
      </c>
      <c r="J37" s="5" t="s">
        <v>20</v>
      </c>
      <c r="K37" s="5">
        <v>36.778261000000001</v>
      </c>
      <c r="L37" s="5">
        <v>36.778261000000001</v>
      </c>
      <c r="M37" s="5">
        <v>25</v>
      </c>
      <c r="N37" s="5">
        <v>259200</v>
      </c>
      <c r="O37" s="5">
        <v>5.4136366727141585</v>
      </c>
      <c r="P37" s="6">
        <v>2.2400000000000004E-14</v>
      </c>
      <c r="Q37" s="6">
        <v>9.7397074121880906E-15</v>
      </c>
      <c r="R37" s="6">
        <v>9</v>
      </c>
      <c r="S37" s="6">
        <v>24.764582719999996</v>
      </c>
    </row>
    <row r="38" spans="1:19">
      <c r="A38" s="5" t="s">
        <v>136</v>
      </c>
      <c r="B38" s="5" t="s">
        <v>41</v>
      </c>
      <c r="C38" s="5" t="s">
        <v>124</v>
      </c>
      <c r="D38" s="5" t="s">
        <v>125</v>
      </c>
      <c r="E38" s="5" t="s">
        <v>126</v>
      </c>
      <c r="F38" s="5" t="s">
        <v>127</v>
      </c>
      <c r="G38" s="5" t="s">
        <v>128</v>
      </c>
      <c r="H38" s="5" t="s">
        <v>129</v>
      </c>
      <c r="I38" s="5" t="s">
        <v>130</v>
      </c>
      <c r="J38" s="5" t="s">
        <v>20</v>
      </c>
      <c r="K38" s="5">
        <v>48.849919999999997</v>
      </c>
      <c r="L38" s="5">
        <v>48.849919999999997</v>
      </c>
      <c r="M38" s="5">
        <v>25</v>
      </c>
      <c r="N38" s="5">
        <v>259200</v>
      </c>
      <c r="O38" s="5">
        <v>5.4136366727141585</v>
      </c>
      <c r="P38" s="6">
        <v>2.2400000000000004E-14</v>
      </c>
      <c r="Q38" s="6">
        <v>9.7397074121880906E-15</v>
      </c>
      <c r="R38" s="6">
        <v>9</v>
      </c>
      <c r="S38" s="6">
        <v>21.42186633</v>
      </c>
    </row>
    <row r="39" spans="1:19">
      <c r="A39" s="5" t="s">
        <v>137</v>
      </c>
      <c r="B39" s="5" t="s">
        <v>41</v>
      </c>
      <c r="C39" s="5" t="s">
        <v>124</v>
      </c>
      <c r="D39" s="5" t="s">
        <v>125</v>
      </c>
      <c r="E39" s="5" t="s">
        <v>126</v>
      </c>
      <c r="F39" s="5" t="s">
        <v>127</v>
      </c>
      <c r="G39" s="5" t="s">
        <v>128</v>
      </c>
      <c r="H39" s="5" t="s">
        <v>129</v>
      </c>
      <c r="I39" s="5" t="s">
        <v>130</v>
      </c>
      <c r="J39" s="5" t="s">
        <v>20</v>
      </c>
      <c r="K39" s="5">
        <v>43.492782810000001</v>
      </c>
      <c r="L39" s="5">
        <v>43.492782810000001</v>
      </c>
      <c r="M39" s="5">
        <v>25</v>
      </c>
      <c r="N39" s="5">
        <v>259200</v>
      </c>
      <c r="O39" s="5">
        <v>5.4136366727141585</v>
      </c>
      <c r="P39" s="6">
        <v>2.2400000000000004E-14</v>
      </c>
      <c r="Q39" s="6">
        <v>9.7397074121880906E-15</v>
      </c>
      <c r="R39" s="6">
        <v>9</v>
      </c>
      <c r="S39" s="6">
        <v>21.6465417</v>
      </c>
    </row>
    <row r="40" spans="1:19">
      <c r="A40" s="5" t="s">
        <v>138</v>
      </c>
      <c r="B40" s="5" t="s">
        <v>41</v>
      </c>
      <c r="C40" s="5" t="s">
        <v>124</v>
      </c>
      <c r="D40" s="5" t="s">
        <v>125</v>
      </c>
      <c r="E40" s="5" t="s">
        <v>126</v>
      </c>
      <c r="F40" s="5" t="s">
        <v>127</v>
      </c>
      <c r="G40" s="5" t="s">
        <v>128</v>
      </c>
      <c r="H40" s="5" t="s">
        <v>129</v>
      </c>
      <c r="I40" s="5" t="s">
        <v>130</v>
      </c>
      <c r="J40" s="5" t="s">
        <v>20</v>
      </c>
      <c r="K40" s="5">
        <v>48.849919999999997</v>
      </c>
      <c r="L40" s="5">
        <v>48.849919999999997</v>
      </c>
      <c r="M40" s="5">
        <v>25</v>
      </c>
      <c r="N40" s="5">
        <v>259200</v>
      </c>
      <c r="O40" s="5">
        <v>5.4136366727141585</v>
      </c>
      <c r="P40" s="6">
        <v>2.2400000000000004E-14</v>
      </c>
      <c r="Q40" s="6">
        <v>9.7397074121880906E-15</v>
      </c>
      <c r="R40" s="6">
        <v>9</v>
      </c>
      <c r="S40" s="6">
        <v>21.864620019999997</v>
      </c>
    </row>
    <row r="41" spans="1:19">
      <c r="A41" s="5" t="s">
        <v>139</v>
      </c>
      <c r="B41" s="5" t="s">
        <v>41</v>
      </c>
      <c r="C41" s="5" t="s">
        <v>124</v>
      </c>
      <c r="D41" s="5" t="s">
        <v>125</v>
      </c>
      <c r="E41" s="5" t="s">
        <v>126</v>
      </c>
      <c r="F41" s="5" t="s">
        <v>127</v>
      </c>
      <c r="G41" s="5" t="s">
        <v>128</v>
      </c>
      <c r="H41" s="5" t="s">
        <v>129</v>
      </c>
      <c r="I41" s="5" t="s">
        <v>130</v>
      </c>
      <c r="J41" s="5" t="s">
        <v>20</v>
      </c>
      <c r="K41" s="5">
        <v>48.849919999999997</v>
      </c>
      <c r="L41" s="5">
        <v>48.849919999999997</v>
      </c>
      <c r="M41" s="5">
        <v>25</v>
      </c>
      <c r="N41" s="5">
        <v>259200</v>
      </c>
      <c r="O41" s="5">
        <v>5.4136366727141585</v>
      </c>
      <c r="P41" s="6">
        <v>2.2400000000000004E-14</v>
      </c>
      <c r="Q41" s="6">
        <v>9.7397074121880906E-15</v>
      </c>
      <c r="R41" s="6">
        <v>9</v>
      </c>
      <c r="S41" s="6">
        <v>22.772503989999997</v>
      </c>
    </row>
    <row r="42" spans="1:19">
      <c r="A42" s="5" t="s">
        <v>140</v>
      </c>
      <c r="B42" s="5" t="s">
        <v>41</v>
      </c>
      <c r="C42" s="5" t="s">
        <v>124</v>
      </c>
      <c r="D42" s="5" t="s">
        <v>125</v>
      </c>
      <c r="E42" s="5" t="s">
        <v>126</v>
      </c>
      <c r="F42" s="5" t="s">
        <v>127</v>
      </c>
      <c r="G42" s="5" t="s">
        <v>128</v>
      </c>
      <c r="H42" s="5" t="s">
        <v>129</v>
      </c>
      <c r="I42" s="5" t="s">
        <v>130</v>
      </c>
      <c r="J42" s="5" t="s">
        <v>20</v>
      </c>
      <c r="K42" s="5">
        <v>48.849919999999997</v>
      </c>
      <c r="L42" s="5">
        <v>48.849919999999997</v>
      </c>
      <c r="M42" s="5">
        <v>25</v>
      </c>
      <c r="N42" s="5">
        <v>259200</v>
      </c>
      <c r="O42" s="5">
        <v>5.4136366727141585</v>
      </c>
      <c r="P42" s="6">
        <v>2.2400000000000004E-14</v>
      </c>
      <c r="Q42" s="6">
        <v>9.7397074121880906E-15</v>
      </c>
      <c r="R42" s="6">
        <v>9</v>
      </c>
      <c r="S42" s="6">
        <v>21.428127589999999</v>
      </c>
    </row>
    <row r="43" spans="1:19">
      <c r="A43" s="5" t="s">
        <v>141</v>
      </c>
      <c r="B43" s="5" t="s">
        <v>41</v>
      </c>
      <c r="C43" s="5" t="s">
        <v>124</v>
      </c>
      <c r="D43" s="5" t="s">
        <v>125</v>
      </c>
      <c r="E43" s="5" t="s">
        <v>126</v>
      </c>
      <c r="F43" s="5" t="s">
        <v>127</v>
      </c>
      <c r="G43" s="5" t="s">
        <v>128</v>
      </c>
      <c r="H43" s="5" t="s">
        <v>129</v>
      </c>
      <c r="I43" s="5" t="s">
        <v>130</v>
      </c>
      <c r="J43" s="5" t="s">
        <v>20</v>
      </c>
      <c r="K43" s="5">
        <v>48.849919999999997</v>
      </c>
      <c r="L43" s="5">
        <v>48.849919999999997</v>
      </c>
      <c r="M43" s="5">
        <v>25</v>
      </c>
      <c r="N43" s="5">
        <v>259200</v>
      </c>
      <c r="O43" s="5">
        <v>5.4136366727141585</v>
      </c>
      <c r="P43" s="6">
        <v>2.2400000000000004E-14</v>
      </c>
      <c r="Q43" s="6">
        <v>9.7397074121880906E-15</v>
      </c>
      <c r="R43" s="6">
        <v>9</v>
      </c>
      <c r="S43" s="6">
        <v>21.067934560000001</v>
      </c>
    </row>
    <row r="44" spans="1:19">
      <c r="A44" s="5" t="s">
        <v>142</v>
      </c>
      <c r="B44" s="5" t="s">
        <v>41</v>
      </c>
      <c r="C44" s="5" t="s">
        <v>124</v>
      </c>
      <c r="D44" s="5" t="s">
        <v>125</v>
      </c>
      <c r="E44" s="5" t="s">
        <v>126</v>
      </c>
      <c r="F44" s="5" t="s">
        <v>127</v>
      </c>
      <c r="G44" s="5" t="s">
        <v>128</v>
      </c>
      <c r="H44" s="5" t="s">
        <v>129</v>
      </c>
      <c r="I44" s="5" t="s">
        <v>130</v>
      </c>
      <c r="J44" s="5" t="s">
        <v>20</v>
      </c>
      <c r="K44" s="5">
        <v>43.471746000000003</v>
      </c>
      <c r="L44" s="5">
        <v>43.471746000000003</v>
      </c>
      <c r="M44" s="5">
        <v>25</v>
      </c>
      <c r="N44" s="5">
        <v>259200</v>
      </c>
      <c r="O44" s="5">
        <v>5.4136366727141585</v>
      </c>
      <c r="P44" s="6">
        <v>2.2400000000000004E-14</v>
      </c>
      <c r="Q44" s="6">
        <v>9.7397074121880906E-15</v>
      </c>
      <c r="R44" s="6">
        <v>9</v>
      </c>
      <c r="S44" s="6">
        <v>22.139982679999999</v>
      </c>
    </row>
    <row r="45" spans="1:19">
      <c r="A45" s="5" t="s">
        <v>143</v>
      </c>
      <c r="B45" s="5" t="s">
        <v>41</v>
      </c>
      <c r="C45" s="5" t="s">
        <v>124</v>
      </c>
      <c r="D45" s="5" t="s">
        <v>125</v>
      </c>
      <c r="E45" s="5" t="s">
        <v>126</v>
      </c>
      <c r="F45" s="5" t="s">
        <v>127</v>
      </c>
      <c r="G45" s="5" t="s">
        <v>128</v>
      </c>
      <c r="H45" s="5" t="s">
        <v>129</v>
      </c>
      <c r="I45" s="5" t="s">
        <v>130</v>
      </c>
      <c r="J45" s="5" t="s">
        <v>20</v>
      </c>
      <c r="K45" s="5">
        <v>48.849919999999997</v>
      </c>
      <c r="L45" s="5">
        <v>48.849919999999997</v>
      </c>
      <c r="M45" s="5">
        <v>25</v>
      </c>
      <c r="N45" s="5">
        <v>259200</v>
      </c>
      <c r="O45" s="5">
        <v>5.4136366727141585</v>
      </c>
      <c r="P45" s="6">
        <v>2.2400000000000004E-14</v>
      </c>
      <c r="Q45" s="6">
        <v>9.7397074121880906E-15</v>
      </c>
      <c r="R45" s="6">
        <v>9</v>
      </c>
      <c r="S45" s="6">
        <v>21.029667649999997</v>
      </c>
    </row>
    <row r="46" spans="1:19">
      <c r="A46" s="5" t="s">
        <v>144</v>
      </c>
      <c r="B46" s="5" t="s">
        <v>41</v>
      </c>
      <c r="C46" s="5" t="s">
        <v>124</v>
      </c>
      <c r="D46" s="5" t="s">
        <v>125</v>
      </c>
      <c r="E46" s="5" t="s">
        <v>126</v>
      </c>
      <c r="F46" s="5" t="s">
        <v>127</v>
      </c>
      <c r="G46" s="5" t="s">
        <v>128</v>
      </c>
      <c r="H46" s="5" t="s">
        <v>129</v>
      </c>
      <c r="I46" s="5" t="s">
        <v>130</v>
      </c>
      <c r="J46" s="5" t="s">
        <v>20</v>
      </c>
      <c r="K46" s="5">
        <v>41.871940000000002</v>
      </c>
      <c r="L46" s="5">
        <v>41.871940000000002</v>
      </c>
      <c r="M46" s="5">
        <v>25</v>
      </c>
      <c r="N46" s="5">
        <v>259200</v>
      </c>
      <c r="O46" s="5">
        <v>5.4136366727141585</v>
      </c>
      <c r="P46" s="6">
        <v>2.2400000000000004E-14</v>
      </c>
      <c r="Q46" s="6">
        <v>9.7397074121880906E-15</v>
      </c>
      <c r="R46" s="6">
        <v>9</v>
      </c>
      <c r="S46" s="6">
        <v>21.290903199999999</v>
      </c>
    </row>
    <row r="47" spans="1:19">
      <c r="A47" s="5" t="s">
        <v>145</v>
      </c>
      <c r="B47" s="5" t="s">
        <v>41</v>
      </c>
      <c r="C47" s="5" t="s">
        <v>124</v>
      </c>
      <c r="D47" s="5" t="s">
        <v>125</v>
      </c>
      <c r="E47" s="5" t="s">
        <v>126</v>
      </c>
      <c r="F47" s="5" t="s">
        <v>127</v>
      </c>
      <c r="G47" s="5" t="s">
        <v>128</v>
      </c>
      <c r="H47" s="5" t="s">
        <v>129</v>
      </c>
      <c r="I47" s="5" t="s">
        <v>130</v>
      </c>
      <c r="J47" s="5" t="s">
        <v>20</v>
      </c>
      <c r="K47" s="5">
        <v>46.227637999999999</v>
      </c>
      <c r="L47" s="5">
        <v>46.227637999999999</v>
      </c>
      <c r="M47" s="5">
        <v>25</v>
      </c>
      <c r="N47" s="5">
        <v>259200</v>
      </c>
      <c r="O47" s="5">
        <v>5.4136366727141585</v>
      </c>
      <c r="P47" s="6">
        <v>2.2400000000000004E-14</v>
      </c>
      <c r="Q47" s="6">
        <v>9.7397074121880906E-15</v>
      </c>
      <c r="R47" s="6">
        <v>9</v>
      </c>
      <c r="S47" s="6">
        <v>22.239959660000004</v>
      </c>
    </row>
    <row r="48" spans="1:19">
      <c r="A48" s="5" t="s">
        <v>146</v>
      </c>
      <c r="B48" s="5" t="s">
        <v>41</v>
      </c>
      <c r="C48" s="5" t="s">
        <v>124</v>
      </c>
      <c r="D48" s="5" t="s">
        <v>125</v>
      </c>
      <c r="E48" s="5" t="s">
        <v>126</v>
      </c>
      <c r="F48" s="5" t="s">
        <v>127</v>
      </c>
      <c r="G48" s="5" t="s">
        <v>128</v>
      </c>
      <c r="H48" s="5" t="s">
        <v>129</v>
      </c>
      <c r="I48" s="5" t="s">
        <v>130</v>
      </c>
      <c r="J48" s="5" t="s">
        <v>20</v>
      </c>
      <c r="K48" s="5">
        <v>27.702870999999998</v>
      </c>
      <c r="L48" s="5">
        <v>27.702870999999998</v>
      </c>
      <c r="M48" s="5">
        <v>25</v>
      </c>
      <c r="N48" s="5">
        <v>259200</v>
      </c>
      <c r="O48" s="5">
        <v>5.4136366727141585</v>
      </c>
      <c r="P48" s="6">
        <v>2.2400000000000004E-14</v>
      </c>
      <c r="Q48" s="6">
        <v>9.7397074121880906E-15</v>
      </c>
      <c r="R48" s="6">
        <v>9</v>
      </c>
      <c r="S48" s="6">
        <v>24.746552600000001</v>
      </c>
    </row>
    <row r="49" spans="1:19">
      <c r="A49" s="5" t="s">
        <v>147</v>
      </c>
      <c r="B49" s="5" t="s">
        <v>41</v>
      </c>
      <c r="C49" s="5" t="s">
        <v>124</v>
      </c>
      <c r="D49" s="5" t="s">
        <v>125</v>
      </c>
      <c r="E49" s="5" t="s">
        <v>126</v>
      </c>
      <c r="F49" s="5" t="s">
        <v>127</v>
      </c>
      <c r="G49" s="5" t="s">
        <v>128</v>
      </c>
      <c r="H49" s="5" t="s">
        <v>129</v>
      </c>
      <c r="I49" s="5" t="s">
        <v>130</v>
      </c>
      <c r="J49" s="5" t="s">
        <v>20</v>
      </c>
      <c r="K49" s="5">
        <v>27.702870999999998</v>
      </c>
      <c r="L49" s="5">
        <v>27.702870999999998</v>
      </c>
      <c r="M49" s="5">
        <v>25</v>
      </c>
      <c r="N49" s="5">
        <v>259200</v>
      </c>
      <c r="O49" s="5">
        <v>5.4136366727141585</v>
      </c>
      <c r="P49" s="6">
        <v>2.2400000000000004E-14</v>
      </c>
      <c r="Q49" s="6">
        <v>9.7397074121880906E-15</v>
      </c>
      <c r="R49" s="6">
        <v>9</v>
      </c>
      <c r="S49" s="6">
        <v>24.908333739999996</v>
      </c>
    </row>
    <row r="50" spans="1:19">
      <c r="A50" s="5" t="s">
        <v>148</v>
      </c>
      <c r="B50" s="5" t="s">
        <v>41</v>
      </c>
      <c r="C50" s="5" t="s">
        <v>124</v>
      </c>
      <c r="D50" s="5" t="s">
        <v>125</v>
      </c>
      <c r="E50" s="5" t="s">
        <v>126</v>
      </c>
      <c r="F50" s="5" t="s">
        <v>127</v>
      </c>
      <c r="G50" s="5" t="s">
        <v>128</v>
      </c>
      <c r="H50" s="5" t="s">
        <v>129</v>
      </c>
      <c r="I50" s="5" t="s">
        <v>130</v>
      </c>
      <c r="J50" s="5" t="s">
        <v>20</v>
      </c>
      <c r="K50" s="5">
        <v>27.702870999999998</v>
      </c>
      <c r="L50" s="5">
        <v>27.702870999999998</v>
      </c>
      <c r="M50" s="5">
        <v>25</v>
      </c>
      <c r="N50" s="5">
        <v>259200</v>
      </c>
      <c r="O50" s="5">
        <v>5.4136366727141585</v>
      </c>
      <c r="P50" s="6">
        <v>2.2400000000000004E-14</v>
      </c>
      <c r="Q50" s="6">
        <v>9.7397074121880906E-15</v>
      </c>
      <c r="R50" s="6">
        <v>9</v>
      </c>
      <c r="S50" s="6">
        <v>24.71894743</v>
      </c>
    </row>
    <row r="51" spans="1:19">
      <c r="A51" s="5" t="s">
        <v>149</v>
      </c>
      <c r="B51" s="5" t="s">
        <v>41</v>
      </c>
      <c r="C51" s="5" t="s">
        <v>124</v>
      </c>
      <c r="D51" s="5" t="s">
        <v>125</v>
      </c>
      <c r="E51" s="5" t="s">
        <v>126</v>
      </c>
      <c r="F51" s="5" t="s">
        <v>127</v>
      </c>
      <c r="G51" s="5" t="s">
        <v>128</v>
      </c>
      <c r="H51" s="5" t="s">
        <v>129</v>
      </c>
      <c r="I51" s="5" t="s">
        <v>130</v>
      </c>
      <c r="J51" s="5" t="s">
        <v>20</v>
      </c>
      <c r="K51" s="5">
        <v>27.702870999999998</v>
      </c>
      <c r="L51" s="5">
        <v>27.702870999999998</v>
      </c>
      <c r="M51" s="5">
        <v>25</v>
      </c>
      <c r="N51" s="5">
        <v>259200</v>
      </c>
      <c r="O51" s="5">
        <v>5.4136366727141585</v>
      </c>
      <c r="P51" s="6">
        <v>2.2400000000000004E-14</v>
      </c>
      <c r="Q51" s="6">
        <v>9.7397074121880906E-15</v>
      </c>
      <c r="R51" s="6">
        <v>9</v>
      </c>
      <c r="S51" s="6">
        <v>24.769932710000003</v>
      </c>
    </row>
    <row r="52" spans="1:19">
      <c r="A52" s="5" t="s">
        <v>150</v>
      </c>
      <c r="B52" s="5" t="s">
        <v>41</v>
      </c>
      <c r="C52" s="5" t="s">
        <v>124</v>
      </c>
      <c r="D52" s="5" t="s">
        <v>125</v>
      </c>
      <c r="E52" s="5" t="s">
        <v>126</v>
      </c>
      <c r="F52" s="5" t="s">
        <v>127</v>
      </c>
      <c r="G52" s="5" t="s">
        <v>128</v>
      </c>
      <c r="H52" s="5" t="s">
        <v>129</v>
      </c>
      <c r="I52" s="5" t="s">
        <v>130</v>
      </c>
      <c r="J52" s="5" t="s">
        <v>20</v>
      </c>
      <c r="K52" s="5">
        <v>27.702870999999998</v>
      </c>
      <c r="L52" s="5">
        <v>27.702870999999998</v>
      </c>
      <c r="M52" s="5">
        <v>25</v>
      </c>
      <c r="N52" s="5">
        <v>259200</v>
      </c>
      <c r="O52" s="5">
        <v>5.4136366727141585</v>
      </c>
      <c r="P52" s="6">
        <v>2.2400000000000004E-14</v>
      </c>
      <c r="Q52" s="6">
        <v>9.7397074121880906E-15</v>
      </c>
      <c r="R52" s="6">
        <v>9</v>
      </c>
      <c r="S52" s="6">
        <v>24.414294559999998</v>
      </c>
    </row>
    <row r="53" spans="1:19">
      <c r="A53" s="5" t="s">
        <v>151</v>
      </c>
      <c r="B53" s="5" t="s">
        <v>41</v>
      </c>
      <c r="C53" s="5" t="s">
        <v>124</v>
      </c>
      <c r="D53" s="5" t="s">
        <v>125</v>
      </c>
      <c r="E53" s="5" t="s">
        <v>126</v>
      </c>
      <c r="F53" s="5" t="s">
        <v>127</v>
      </c>
      <c r="G53" s="5" t="s">
        <v>128</v>
      </c>
      <c r="H53" s="5" t="s">
        <v>129</v>
      </c>
      <c r="I53" s="5" t="s">
        <v>130</v>
      </c>
      <c r="J53" s="5" t="s">
        <v>20</v>
      </c>
      <c r="K53" s="5">
        <v>30.190189</v>
      </c>
      <c r="L53" s="5">
        <v>30.190189</v>
      </c>
      <c r="M53" s="5">
        <v>25</v>
      </c>
      <c r="N53" s="5">
        <v>259200</v>
      </c>
      <c r="O53" s="5">
        <v>5.4136366727141585</v>
      </c>
      <c r="P53" s="6">
        <v>2.2400000000000004E-14</v>
      </c>
      <c r="Q53" s="6">
        <v>9.7397074121880906E-15</v>
      </c>
      <c r="R53" s="6">
        <v>9</v>
      </c>
      <c r="S53" s="6">
        <v>25.027688149999996</v>
      </c>
    </row>
    <row r="54" spans="1:19">
      <c r="A54" s="5" t="s">
        <v>152</v>
      </c>
      <c r="B54" s="5" t="s">
        <v>41</v>
      </c>
      <c r="C54" s="5" t="s">
        <v>124</v>
      </c>
      <c r="D54" s="5" t="s">
        <v>125</v>
      </c>
      <c r="E54" s="5" t="s">
        <v>126</v>
      </c>
      <c r="F54" s="5" t="s">
        <v>127</v>
      </c>
      <c r="G54" s="5" t="s">
        <v>128</v>
      </c>
      <c r="H54" s="5" t="s">
        <v>129</v>
      </c>
      <c r="I54" s="5" t="s">
        <v>130</v>
      </c>
      <c r="J54" s="5" t="s">
        <v>20</v>
      </c>
      <c r="K54" s="5">
        <v>30.190189</v>
      </c>
      <c r="L54" s="5">
        <v>30.190189</v>
      </c>
      <c r="M54" s="5">
        <v>25</v>
      </c>
      <c r="N54" s="5">
        <v>259200</v>
      </c>
      <c r="O54" s="5">
        <v>5.4136366727141585</v>
      </c>
      <c r="P54" s="6">
        <v>2.2400000000000004E-14</v>
      </c>
      <c r="Q54" s="6">
        <v>9.7397074121880906E-15</v>
      </c>
      <c r="R54" s="6">
        <v>9</v>
      </c>
      <c r="S54" s="6">
        <v>25.013758999999997</v>
      </c>
    </row>
    <row r="55" spans="1:19">
      <c r="A55" s="5" t="s">
        <v>153</v>
      </c>
      <c r="B55" s="5" t="s">
        <v>41</v>
      </c>
      <c r="C55" s="5" t="s">
        <v>124</v>
      </c>
      <c r="D55" s="5" t="s">
        <v>125</v>
      </c>
      <c r="E55" s="5" t="s">
        <v>126</v>
      </c>
      <c r="F55" s="5" t="s">
        <v>127</v>
      </c>
      <c r="G55" s="5" t="s">
        <v>128</v>
      </c>
      <c r="H55" s="5" t="s">
        <v>129</v>
      </c>
      <c r="I55" s="5" t="s">
        <v>130</v>
      </c>
      <c r="J55" s="5" t="s">
        <v>20</v>
      </c>
      <c r="K55" s="5">
        <v>30.190189</v>
      </c>
      <c r="L55" s="5">
        <v>30.190189</v>
      </c>
      <c r="M55" s="5">
        <v>25</v>
      </c>
      <c r="N55" s="5">
        <v>259200</v>
      </c>
      <c r="O55" s="5">
        <v>5.4136366727141585</v>
      </c>
      <c r="P55" s="6">
        <v>2.2400000000000004E-14</v>
      </c>
      <c r="Q55" s="6">
        <v>9.7397074121880906E-15</v>
      </c>
      <c r="R55" s="6">
        <v>9</v>
      </c>
      <c r="S55" s="6">
        <v>24.808877910000003</v>
      </c>
    </row>
    <row r="56" spans="1:19">
      <c r="A56" s="5" t="s">
        <v>154</v>
      </c>
      <c r="B56" s="5" t="s">
        <v>41</v>
      </c>
      <c r="C56" s="5" t="s">
        <v>124</v>
      </c>
      <c r="D56" s="5" t="s">
        <v>125</v>
      </c>
      <c r="E56" s="5" t="s">
        <v>126</v>
      </c>
      <c r="F56" s="5" t="s">
        <v>127</v>
      </c>
      <c r="G56" s="5" t="s">
        <v>128</v>
      </c>
      <c r="H56" s="5" t="s">
        <v>129</v>
      </c>
      <c r="I56" s="5" t="s">
        <v>130</v>
      </c>
      <c r="J56" s="5" t="s">
        <v>20</v>
      </c>
      <c r="K56" s="5">
        <v>30.190189</v>
      </c>
      <c r="L56" s="5">
        <v>30.190189</v>
      </c>
      <c r="M56" s="5">
        <v>25</v>
      </c>
      <c r="N56" s="5">
        <v>259200</v>
      </c>
      <c r="O56" s="5">
        <v>5.4136366727141585</v>
      </c>
      <c r="P56" s="6">
        <v>2.2400000000000004E-14</v>
      </c>
      <c r="Q56" s="6">
        <v>9.7397074121880906E-15</v>
      </c>
      <c r="R56" s="6">
        <v>9</v>
      </c>
      <c r="S56" s="6">
        <v>25.129825500000003</v>
      </c>
    </row>
    <row r="57" spans="1:19">
      <c r="A57" s="5" t="s">
        <v>155</v>
      </c>
      <c r="B57" s="5" t="s">
        <v>41</v>
      </c>
      <c r="C57" s="5" t="s">
        <v>124</v>
      </c>
      <c r="D57" s="5" t="s">
        <v>125</v>
      </c>
      <c r="E57" s="5" t="s">
        <v>126</v>
      </c>
      <c r="F57" s="5" t="s">
        <v>127</v>
      </c>
      <c r="G57" s="5" t="s">
        <v>128</v>
      </c>
      <c r="H57" s="5" t="s">
        <v>129</v>
      </c>
      <c r="I57" s="5" t="s">
        <v>130</v>
      </c>
      <c r="J57" s="5" t="s">
        <v>20</v>
      </c>
      <c r="K57" s="5">
        <v>30.190189</v>
      </c>
      <c r="L57" s="5">
        <v>30.190189</v>
      </c>
      <c r="M57" s="5">
        <v>25</v>
      </c>
      <c r="N57" s="5">
        <v>259200</v>
      </c>
      <c r="O57" s="5">
        <v>5.4136366727141585</v>
      </c>
      <c r="P57" s="6">
        <v>2.2400000000000004E-14</v>
      </c>
      <c r="Q57" s="6">
        <v>9.7397074121880906E-15</v>
      </c>
      <c r="R57" s="6">
        <v>9</v>
      </c>
      <c r="S57" s="6">
        <v>25.162364889999996</v>
      </c>
    </row>
    <row r="58" spans="1:19">
      <c r="A58" s="5" t="s">
        <v>156</v>
      </c>
      <c r="B58" s="5" t="s">
        <v>41</v>
      </c>
      <c r="C58" s="5" t="s">
        <v>124</v>
      </c>
      <c r="D58" s="5" t="s">
        <v>125</v>
      </c>
      <c r="E58" s="5" t="s">
        <v>126</v>
      </c>
      <c r="F58" s="5" t="s">
        <v>127</v>
      </c>
      <c r="G58" s="5" t="s">
        <v>128</v>
      </c>
      <c r="H58" s="5" t="s">
        <v>129</v>
      </c>
      <c r="I58" s="5" t="s">
        <v>130</v>
      </c>
      <c r="J58" s="5" t="s">
        <v>20</v>
      </c>
      <c r="K58" s="5">
        <v>30.190189</v>
      </c>
      <c r="L58" s="5">
        <v>30.190189</v>
      </c>
      <c r="M58" s="5">
        <v>25</v>
      </c>
      <c r="N58" s="5">
        <v>259200</v>
      </c>
      <c r="O58" s="5">
        <v>5.4136366727141585</v>
      </c>
      <c r="P58" s="6">
        <v>2.2400000000000004E-14</v>
      </c>
      <c r="Q58" s="6">
        <v>9.7397074121880906E-15</v>
      </c>
      <c r="R58" s="6">
        <v>9</v>
      </c>
      <c r="S58" s="6">
        <v>24.625492309999998</v>
      </c>
    </row>
    <row r="59" spans="1:19">
      <c r="A59" s="5" t="s">
        <v>157</v>
      </c>
      <c r="B59" s="5" t="s">
        <v>41</v>
      </c>
      <c r="C59" s="5" t="s">
        <v>124</v>
      </c>
      <c r="D59" s="5" t="s">
        <v>125</v>
      </c>
      <c r="E59" s="5" t="s">
        <v>126</v>
      </c>
      <c r="F59" s="5" t="s">
        <v>127</v>
      </c>
      <c r="G59" s="5" t="s">
        <v>128</v>
      </c>
      <c r="H59" s="5" t="s">
        <v>129</v>
      </c>
      <c r="I59" s="5" t="s">
        <v>130</v>
      </c>
      <c r="J59" s="5" t="s">
        <v>20</v>
      </c>
      <c r="K59" s="5">
        <v>30.190189</v>
      </c>
      <c r="L59" s="5">
        <v>30.190189</v>
      </c>
      <c r="M59" s="5">
        <v>25</v>
      </c>
      <c r="N59" s="5">
        <v>259200</v>
      </c>
      <c r="O59" s="5">
        <v>5.4136366727141585</v>
      </c>
      <c r="P59" s="6">
        <v>2.2400000000000004E-14</v>
      </c>
      <c r="Q59" s="6">
        <v>9.7397074121880906E-15</v>
      </c>
      <c r="R59" s="6">
        <v>9</v>
      </c>
      <c r="S59" s="6">
        <v>25.174501450000005</v>
      </c>
    </row>
    <row r="60" spans="1:19">
      <c r="A60" s="5" t="s">
        <v>29</v>
      </c>
      <c r="B60" s="5" t="s">
        <v>30</v>
      </c>
      <c r="C60" s="5" t="s">
        <v>32</v>
      </c>
      <c r="D60" s="5" t="s">
        <v>22</v>
      </c>
      <c r="E60" s="5" t="s">
        <v>33</v>
      </c>
      <c r="F60" s="5" t="s">
        <v>34</v>
      </c>
      <c r="G60" s="5" t="s">
        <v>35</v>
      </c>
      <c r="H60" s="5" t="s">
        <v>36</v>
      </c>
      <c r="I60" s="5" t="s">
        <v>37</v>
      </c>
      <c r="J60" s="5" t="s">
        <v>31</v>
      </c>
      <c r="K60" s="5">
        <v>56.409437930000003</v>
      </c>
      <c r="L60" s="5">
        <v>56.409437930000003</v>
      </c>
      <c r="M60" s="5">
        <v>10.5</v>
      </c>
      <c r="N60" s="5">
        <v>31560000</v>
      </c>
      <c r="O60" s="5">
        <v>7.4991370082982973</v>
      </c>
      <c r="P60" s="6">
        <v>4.9449970000000048E-3</v>
      </c>
      <c r="Q60" s="6">
        <v>2.1422924499547471E-3</v>
      </c>
      <c r="R60" s="6">
        <v>3</v>
      </c>
      <c r="S60" s="6">
        <v>13.135770780000003</v>
      </c>
    </row>
    <row r="61" spans="1:19">
      <c r="A61" s="5" t="s">
        <v>38</v>
      </c>
      <c r="B61" s="5" t="s">
        <v>30</v>
      </c>
      <c r="C61" s="5" t="s">
        <v>32</v>
      </c>
      <c r="D61" s="5" t="s">
        <v>22</v>
      </c>
      <c r="E61" s="5" t="s">
        <v>33</v>
      </c>
      <c r="F61" s="5" t="s">
        <v>34</v>
      </c>
      <c r="G61" s="5" t="s">
        <v>35</v>
      </c>
      <c r="H61" s="5" t="s">
        <v>36</v>
      </c>
      <c r="I61" s="5" t="s">
        <v>37</v>
      </c>
      <c r="J61" s="5" t="s">
        <v>39</v>
      </c>
      <c r="K61" s="5">
        <v>56.409437930000003</v>
      </c>
      <c r="L61" s="5">
        <v>56.409437930000003</v>
      </c>
      <c r="M61" s="5">
        <v>10.5</v>
      </c>
      <c r="N61" s="5">
        <v>2765000</v>
      </c>
      <c r="O61" s="5">
        <v>6.441695292709217</v>
      </c>
      <c r="P61" s="6">
        <v>3.3883080645161279E-5</v>
      </c>
      <c r="Q61" s="6">
        <v>1.4714701325016751E-5</v>
      </c>
      <c r="R61" s="6">
        <v>3</v>
      </c>
      <c r="S61" s="6">
        <v>13.135770780000003</v>
      </c>
    </row>
    <row r="62" spans="1:19">
      <c r="A62" s="91" t="s">
        <v>18</v>
      </c>
      <c r="B62" s="91" t="s">
        <v>19</v>
      </c>
      <c r="C62" s="91" t="s">
        <v>21</v>
      </c>
      <c r="D62" s="91" t="s">
        <v>22</v>
      </c>
      <c r="E62" s="91" t="s">
        <v>23</v>
      </c>
      <c r="F62" s="91" t="s">
        <v>24</v>
      </c>
      <c r="G62" s="91" t="s">
        <v>25</v>
      </c>
      <c r="H62" s="91" t="s">
        <v>26</v>
      </c>
      <c r="I62" s="91" t="s">
        <v>27</v>
      </c>
      <c r="J62" s="91" t="s">
        <v>20</v>
      </c>
      <c r="K62" s="91">
        <v>33.833919950000002</v>
      </c>
      <c r="L62" s="91">
        <v>33.833919950000002</v>
      </c>
      <c r="M62" s="91">
        <v>10</v>
      </c>
      <c r="N62" s="91">
        <v>1814400</v>
      </c>
      <c r="O62" s="91">
        <v>6.2587332765725803</v>
      </c>
      <c r="P62" s="88">
        <v>1.66E-5</v>
      </c>
      <c r="Q62" s="88">
        <v>7.2092285631286794E-6</v>
      </c>
      <c r="R62" s="88">
        <v>4</v>
      </c>
      <c r="S62" s="88">
        <v>20.289852979999999</v>
      </c>
    </row>
    <row r="63" spans="1:19">
      <c r="A63" s="5" t="s">
        <v>28</v>
      </c>
      <c r="B63" s="5" t="s">
        <v>19</v>
      </c>
      <c r="C63" s="5" t="s">
        <v>21</v>
      </c>
      <c r="D63" s="5" t="s">
        <v>22</v>
      </c>
      <c r="E63" s="5" t="s">
        <v>23</v>
      </c>
      <c r="F63" s="5" t="s">
        <v>24</v>
      </c>
      <c r="G63" s="5" t="s">
        <v>25</v>
      </c>
      <c r="H63" s="5" t="s">
        <v>26</v>
      </c>
      <c r="I63" s="5" t="s">
        <v>27</v>
      </c>
      <c r="J63" s="5" t="s">
        <v>20</v>
      </c>
      <c r="K63" s="5">
        <v>33.833919950000002</v>
      </c>
      <c r="L63" s="5">
        <v>33.833919950000002</v>
      </c>
      <c r="M63" s="5">
        <v>10</v>
      </c>
      <c r="N63" s="5">
        <v>1814400</v>
      </c>
      <c r="O63" s="5">
        <v>6.2587332765725803</v>
      </c>
      <c r="P63" s="6">
        <v>1.66E-5</v>
      </c>
      <c r="Q63" s="6">
        <v>7.2092285631286794E-6</v>
      </c>
      <c r="R63" s="6">
        <v>4</v>
      </c>
      <c r="S63" s="6">
        <v>21.276058020000001</v>
      </c>
    </row>
    <row r="65" spans="1:19">
      <c r="A65" t="s">
        <v>268</v>
      </c>
    </row>
    <row r="66" spans="1:19">
      <c r="A66" s="5" t="s">
        <v>226</v>
      </c>
      <c r="B66" s="5" t="s">
        <v>41</v>
      </c>
      <c r="C66" s="5" t="s">
        <v>124</v>
      </c>
      <c r="D66" s="5" t="s">
        <v>125</v>
      </c>
      <c r="E66" s="5" t="s">
        <v>126</v>
      </c>
      <c r="F66" s="5" t="s">
        <v>127</v>
      </c>
      <c r="G66" s="5" t="s">
        <v>128</v>
      </c>
      <c r="H66" s="5" t="s">
        <v>129</v>
      </c>
      <c r="I66" s="5" t="s">
        <v>130</v>
      </c>
      <c r="J66" s="5" t="s">
        <v>20</v>
      </c>
      <c r="K66" s="5">
        <v>13.060420000000001</v>
      </c>
      <c r="L66" s="5">
        <v>13.060420000000001</v>
      </c>
      <c r="M66" s="5">
        <v>25</v>
      </c>
      <c r="N66" s="5">
        <v>259200</v>
      </c>
      <c r="O66" s="5">
        <v>5.4136366727141585</v>
      </c>
      <c r="P66" s="6">
        <v>2.2400000000000004E-14</v>
      </c>
      <c r="Q66" s="6">
        <v>9.7397074121880906E-15</v>
      </c>
      <c r="R66" s="6">
        <v>9</v>
      </c>
      <c r="S66" s="6">
        <v>25.515406960000004</v>
      </c>
    </row>
    <row r="67" spans="1:19">
      <c r="A67" s="5" t="s">
        <v>227</v>
      </c>
      <c r="B67" s="5" t="s">
        <v>41</v>
      </c>
      <c r="C67" s="5" t="s">
        <v>124</v>
      </c>
      <c r="D67" s="5" t="s">
        <v>125</v>
      </c>
      <c r="E67" s="5" t="s">
        <v>126</v>
      </c>
      <c r="F67" s="5" t="s">
        <v>127</v>
      </c>
      <c r="G67" s="5" t="s">
        <v>128</v>
      </c>
      <c r="H67" s="5" t="s">
        <v>129</v>
      </c>
      <c r="I67" s="5" t="s">
        <v>130</v>
      </c>
      <c r="J67" s="5" t="s">
        <v>20</v>
      </c>
      <c r="K67" s="5">
        <v>13.060420000000001</v>
      </c>
      <c r="L67" s="5">
        <v>13.060420000000001</v>
      </c>
      <c r="M67" s="5">
        <v>25</v>
      </c>
      <c r="N67" s="5">
        <v>259200</v>
      </c>
      <c r="O67" s="5">
        <v>5.4136366727141585</v>
      </c>
      <c r="P67" s="6">
        <v>2.2400000000000004E-14</v>
      </c>
      <c r="Q67" s="6">
        <v>9.7397074121880906E-15</v>
      </c>
      <c r="R67" s="6">
        <v>9</v>
      </c>
      <c r="S67" s="6">
        <v>25.453882220000001</v>
      </c>
    </row>
    <row r="68" spans="1:19">
      <c r="A68" s="5" t="s">
        <v>228</v>
      </c>
      <c r="B68" s="5" t="s">
        <v>41</v>
      </c>
      <c r="C68" s="5" t="s">
        <v>124</v>
      </c>
      <c r="D68" s="5" t="s">
        <v>125</v>
      </c>
      <c r="E68" s="5" t="s">
        <v>126</v>
      </c>
      <c r="F68" s="5" t="s">
        <v>127</v>
      </c>
      <c r="G68" s="5" t="s">
        <v>128</v>
      </c>
      <c r="H68" s="5" t="s">
        <v>129</v>
      </c>
      <c r="I68" s="5" t="s">
        <v>130</v>
      </c>
      <c r="J68" s="5" t="s">
        <v>20</v>
      </c>
      <c r="K68" s="5">
        <v>13.060420000000001</v>
      </c>
      <c r="L68" s="5">
        <v>13.060420000000001</v>
      </c>
      <c r="M68" s="5">
        <v>25</v>
      </c>
      <c r="N68" s="5">
        <v>259200</v>
      </c>
      <c r="O68" s="5">
        <v>5.4136366727141585</v>
      </c>
      <c r="P68" s="6">
        <v>2.2400000000000004E-14</v>
      </c>
      <c r="Q68" s="6">
        <v>9.7397074121880906E-15</v>
      </c>
      <c r="R68" s="6">
        <v>9</v>
      </c>
      <c r="S68" s="6">
        <v>24.963077630000001</v>
      </c>
    </row>
    <row r="69" spans="1:19">
      <c r="A69" s="5" t="s">
        <v>229</v>
      </c>
      <c r="B69" s="5" t="s">
        <v>41</v>
      </c>
      <c r="C69" s="5" t="s">
        <v>124</v>
      </c>
      <c r="D69" s="5" t="s">
        <v>125</v>
      </c>
      <c r="E69" s="5" t="s">
        <v>126</v>
      </c>
      <c r="F69" s="5" t="s">
        <v>127</v>
      </c>
      <c r="G69" s="5" t="s">
        <v>128</v>
      </c>
      <c r="H69" s="5" t="s">
        <v>129</v>
      </c>
      <c r="I69" s="5" t="s">
        <v>130</v>
      </c>
      <c r="J69" s="5" t="s">
        <v>20</v>
      </c>
      <c r="K69" s="5">
        <v>13.060420000000001</v>
      </c>
      <c r="L69" s="5">
        <v>13.060420000000001</v>
      </c>
      <c r="M69" s="5">
        <v>25</v>
      </c>
      <c r="N69" s="5">
        <v>259200</v>
      </c>
      <c r="O69" s="5">
        <v>5.4136366727141585</v>
      </c>
      <c r="P69" s="6">
        <v>2.2400000000000004E-14</v>
      </c>
      <c r="Q69" s="6">
        <v>9.7397074121880906E-15</v>
      </c>
      <c r="R69" s="6">
        <v>9</v>
      </c>
      <c r="S69" s="6">
        <v>25.390138500000003</v>
      </c>
    </row>
    <row r="70" spans="1:19">
      <c r="A70" s="5" t="s">
        <v>230</v>
      </c>
      <c r="B70" s="5" t="s">
        <v>41</v>
      </c>
      <c r="C70" s="5" t="s">
        <v>124</v>
      </c>
      <c r="D70" s="5" t="s">
        <v>125</v>
      </c>
      <c r="E70" s="5" t="s">
        <v>126</v>
      </c>
      <c r="F70" s="5" t="s">
        <v>127</v>
      </c>
      <c r="G70" s="5" t="s">
        <v>128</v>
      </c>
      <c r="H70" s="5" t="s">
        <v>129</v>
      </c>
      <c r="I70" s="5" t="s">
        <v>130</v>
      </c>
      <c r="J70" s="5" t="s">
        <v>20</v>
      </c>
      <c r="K70" s="5">
        <v>13.060420000000001</v>
      </c>
      <c r="L70" s="5">
        <v>13.060420000000001</v>
      </c>
      <c r="M70" s="5">
        <v>25</v>
      </c>
      <c r="N70" s="5">
        <v>259200</v>
      </c>
      <c r="O70" s="5">
        <v>5.4136366727141585</v>
      </c>
      <c r="P70" s="6">
        <v>2.2400000000000004E-14</v>
      </c>
      <c r="Q70" s="6">
        <v>9.7397074121880906E-15</v>
      </c>
      <c r="R70" s="6">
        <v>9</v>
      </c>
      <c r="S70" s="6">
        <v>25.413971080000003</v>
      </c>
    </row>
    <row r="71" spans="1:19">
      <c r="A71" s="5" t="s">
        <v>231</v>
      </c>
      <c r="B71" s="5" t="s">
        <v>41</v>
      </c>
      <c r="C71" s="5" t="s">
        <v>124</v>
      </c>
      <c r="D71" s="5" t="s">
        <v>125</v>
      </c>
      <c r="E71" s="5" t="s">
        <v>126</v>
      </c>
      <c r="F71" s="5" t="s">
        <v>127</v>
      </c>
      <c r="G71" s="5" t="s">
        <v>128</v>
      </c>
      <c r="H71" s="5" t="s">
        <v>129</v>
      </c>
      <c r="I71" s="5" t="s">
        <v>130</v>
      </c>
      <c r="J71" s="5" t="s">
        <v>20</v>
      </c>
      <c r="K71" s="5">
        <v>13.060420000000001</v>
      </c>
      <c r="L71" s="5">
        <v>13.060420000000001</v>
      </c>
      <c r="M71" s="5">
        <v>25</v>
      </c>
      <c r="N71" s="5">
        <v>259200</v>
      </c>
      <c r="O71" s="5">
        <v>5.4136366727141585</v>
      </c>
      <c r="P71" s="6">
        <v>2.2400000000000004E-14</v>
      </c>
      <c r="Q71" s="6">
        <v>9.7397074121880906E-15</v>
      </c>
      <c r="R71" s="6">
        <v>9</v>
      </c>
      <c r="S71" s="6">
        <v>25.440287380000001</v>
      </c>
    </row>
    <row r="72" spans="1:19">
      <c r="A72" s="5" t="s">
        <v>232</v>
      </c>
      <c r="B72" s="5" t="s">
        <v>41</v>
      </c>
      <c r="C72" s="5" t="s">
        <v>124</v>
      </c>
      <c r="D72" s="5" t="s">
        <v>125</v>
      </c>
      <c r="E72" s="5" t="s">
        <v>126</v>
      </c>
      <c r="F72" s="5" t="s">
        <v>127</v>
      </c>
      <c r="G72" s="5" t="s">
        <v>128</v>
      </c>
      <c r="H72" s="5" t="s">
        <v>129</v>
      </c>
      <c r="I72" s="5" t="s">
        <v>130</v>
      </c>
      <c r="J72" s="5" t="s">
        <v>20</v>
      </c>
      <c r="K72" s="5">
        <v>13.060420000000001</v>
      </c>
      <c r="L72" s="5">
        <v>13.060420000000001</v>
      </c>
      <c r="M72" s="5">
        <v>25</v>
      </c>
      <c r="N72" s="5">
        <v>259200</v>
      </c>
      <c r="O72" s="5">
        <v>5.4136366727141585</v>
      </c>
      <c r="P72" s="6">
        <v>2.2400000000000004E-14</v>
      </c>
      <c r="Q72" s="6">
        <v>9.7397074121880906E-15</v>
      </c>
      <c r="R72" s="6">
        <v>9</v>
      </c>
      <c r="S72" s="6">
        <v>24.942448119999998</v>
      </c>
    </row>
    <row r="73" spans="1:19">
      <c r="A73" s="5" t="s">
        <v>233</v>
      </c>
      <c r="B73" s="5" t="s">
        <v>41</v>
      </c>
      <c r="C73" s="5" t="s">
        <v>124</v>
      </c>
      <c r="D73" s="5" t="s">
        <v>125</v>
      </c>
      <c r="E73" s="5" t="s">
        <v>126</v>
      </c>
      <c r="F73" s="5" t="s">
        <v>127</v>
      </c>
      <c r="G73" s="5" t="s">
        <v>128</v>
      </c>
      <c r="H73" s="5" t="s">
        <v>129</v>
      </c>
      <c r="I73" s="5" t="s">
        <v>130</v>
      </c>
      <c r="J73" s="5" t="s">
        <v>20</v>
      </c>
      <c r="K73" s="5">
        <v>13.060420000000001</v>
      </c>
      <c r="L73" s="5">
        <v>13.060420000000001</v>
      </c>
      <c r="M73" s="5">
        <v>25</v>
      </c>
      <c r="N73" s="5">
        <v>259200</v>
      </c>
      <c r="O73" s="5">
        <v>5.4136366727141585</v>
      </c>
      <c r="P73" s="6">
        <v>2.2400000000000004E-14</v>
      </c>
      <c r="Q73" s="6">
        <v>9.7397074121880906E-15</v>
      </c>
      <c r="R73" s="6">
        <v>9</v>
      </c>
      <c r="S73" s="6">
        <v>25.552119309999998</v>
      </c>
    </row>
    <row r="74" spans="1:19">
      <c r="A74" s="5" t="s">
        <v>234</v>
      </c>
      <c r="B74" s="5" t="s">
        <v>41</v>
      </c>
      <c r="C74" s="5" t="s">
        <v>235</v>
      </c>
      <c r="D74" s="5" t="s">
        <v>22</v>
      </c>
      <c r="E74" s="5" t="s">
        <v>23</v>
      </c>
      <c r="F74" s="5" t="s">
        <v>24</v>
      </c>
      <c r="G74" s="5" t="s">
        <v>189</v>
      </c>
      <c r="H74" s="5" t="s">
        <v>236</v>
      </c>
      <c r="I74" s="5" t="s">
        <v>237</v>
      </c>
      <c r="J74" s="5" t="s">
        <v>20</v>
      </c>
      <c r="K74" s="5">
        <v>8.9718972939999997</v>
      </c>
      <c r="L74" s="5">
        <v>8.9718972939999997</v>
      </c>
      <c r="M74" s="5">
        <v>25</v>
      </c>
      <c r="N74" s="5">
        <v>108000</v>
      </c>
      <c r="O74" s="5">
        <v>5.0334277767135358</v>
      </c>
      <c r="P74" s="6">
        <v>5.489999999999999E-9</v>
      </c>
      <c r="Q74" s="6">
        <v>2.384276703514459E-9</v>
      </c>
      <c r="R74" s="6">
        <v>6</v>
      </c>
      <c r="S74" s="6">
        <v>30.348923559999999</v>
      </c>
    </row>
    <row r="75" spans="1:19">
      <c r="A75" s="5" t="s">
        <v>238</v>
      </c>
      <c r="B75" s="5" t="s">
        <v>41</v>
      </c>
      <c r="C75" s="5" t="s">
        <v>240</v>
      </c>
      <c r="D75" s="5" t="s">
        <v>22</v>
      </c>
      <c r="E75" s="5" t="s">
        <v>23</v>
      </c>
      <c r="F75" s="5" t="s">
        <v>24</v>
      </c>
      <c r="G75" s="5" t="s">
        <v>241</v>
      </c>
      <c r="H75" s="5" t="s">
        <v>242</v>
      </c>
      <c r="I75" s="5" t="s">
        <v>243</v>
      </c>
      <c r="J75" s="5" t="s">
        <v>239</v>
      </c>
      <c r="K75" s="5">
        <v>8.9718972939999997</v>
      </c>
      <c r="L75" s="5">
        <v>8.9718972939999997</v>
      </c>
      <c r="M75" s="5">
        <v>25</v>
      </c>
      <c r="N75" s="5">
        <v>108000</v>
      </c>
      <c r="O75" s="5">
        <v>5.0334277767135358</v>
      </c>
      <c r="P75" s="6">
        <v>2.18E-8</v>
      </c>
      <c r="Q75" s="6">
        <v>9.4676196141862322E-9</v>
      </c>
      <c r="R75" s="6">
        <v>6</v>
      </c>
      <c r="S75" s="6">
        <v>30.348923559999999</v>
      </c>
    </row>
    <row r="76" spans="1:19">
      <c r="A76" s="5" t="s">
        <v>244</v>
      </c>
      <c r="B76" s="5" t="s">
        <v>41</v>
      </c>
      <c r="C76" s="5" t="s">
        <v>235</v>
      </c>
      <c r="D76" s="5" t="s">
        <v>22</v>
      </c>
      <c r="E76" s="5" t="s">
        <v>23</v>
      </c>
      <c r="F76" s="5" t="s">
        <v>24</v>
      </c>
      <c r="G76" s="5" t="s">
        <v>189</v>
      </c>
      <c r="H76" s="5" t="s">
        <v>236</v>
      </c>
      <c r="I76" s="5" t="s">
        <v>237</v>
      </c>
      <c r="J76" s="5" t="s">
        <v>20</v>
      </c>
      <c r="K76" s="5">
        <v>8.9718972939999997</v>
      </c>
      <c r="L76" s="5">
        <v>8.9718972939999997</v>
      </c>
      <c r="M76" s="5">
        <v>25</v>
      </c>
      <c r="N76" s="5">
        <v>108000</v>
      </c>
      <c r="O76" s="5">
        <v>5.0334277767135358</v>
      </c>
      <c r="P76" s="6">
        <v>5.489999999999999E-9</v>
      </c>
      <c r="Q76" s="6">
        <v>2.384276703514459E-9</v>
      </c>
      <c r="R76" s="6">
        <v>6</v>
      </c>
      <c r="S76" s="6">
        <v>29.946294290000001</v>
      </c>
    </row>
    <row r="77" spans="1:19">
      <c r="A77" s="5" t="s">
        <v>245</v>
      </c>
      <c r="B77" s="5" t="s">
        <v>41</v>
      </c>
      <c r="C77" s="5" t="s">
        <v>246</v>
      </c>
      <c r="D77" s="5" t="s">
        <v>22</v>
      </c>
      <c r="E77" s="5" t="s">
        <v>23</v>
      </c>
      <c r="F77" s="5" t="s">
        <v>24</v>
      </c>
      <c r="G77" s="5" t="s">
        <v>241</v>
      </c>
      <c r="H77" s="5" t="s">
        <v>242</v>
      </c>
      <c r="I77" s="5" t="s">
        <v>247</v>
      </c>
      <c r="J77" s="5" t="s">
        <v>239</v>
      </c>
      <c r="K77" s="5">
        <v>8.9718972939999997</v>
      </c>
      <c r="L77" s="5">
        <v>8.9718972939999997</v>
      </c>
      <c r="M77" s="5">
        <v>25</v>
      </c>
      <c r="N77" s="5">
        <v>108000</v>
      </c>
      <c r="O77" s="5">
        <v>5.0334277767135358</v>
      </c>
      <c r="P77" s="6">
        <v>1.2599999999999999E-8</v>
      </c>
      <c r="Q77" s="6">
        <v>5.4721104081073946E-9</v>
      </c>
      <c r="R77" s="6">
        <v>6</v>
      </c>
      <c r="S77" s="6">
        <v>29.946294290000001</v>
      </c>
    </row>
    <row r="78" spans="1:19">
      <c r="A78" s="5" t="s">
        <v>248</v>
      </c>
      <c r="B78" s="5" t="s">
        <v>41</v>
      </c>
      <c r="C78" s="5" t="s">
        <v>235</v>
      </c>
      <c r="D78" s="5" t="s">
        <v>22</v>
      </c>
      <c r="E78" s="5" t="s">
        <v>23</v>
      </c>
      <c r="F78" s="5" t="s">
        <v>24</v>
      </c>
      <c r="G78" s="5" t="s">
        <v>189</v>
      </c>
      <c r="H78" s="5" t="s">
        <v>236</v>
      </c>
      <c r="I78" s="5" t="s">
        <v>237</v>
      </c>
      <c r="J78" s="5" t="s">
        <v>20</v>
      </c>
      <c r="K78" s="5">
        <v>8.9718972939999997</v>
      </c>
      <c r="L78" s="5">
        <v>8.9718972939999997</v>
      </c>
      <c r="M78" s="5">
        <v>25</v>
      </c>
      <c r="N78" s="5">
        <v>108000</v>
      </c>
      <c r="O78" s="5">
        <v>5.0334277767135358</v>
      </c>
      <c r="P78" s="6">
        <v>5.489999999999999E-9</v>
      </c>
      <c r="Q78" s="6">
        <v>2.384276703514459E-9</v>
      </c>
      <c r="R78" s="6">
        <v>6</v>
      </c>
      <c r="S78" s="6">
        <v>29.83725849</v>
      </c>
    </row>
    <row r="79" spans="1:19">
      <c r="A79" s="5" t="s">
        <v>249</v>
      </c>
      <c r="B79" s="5" t="s">
        <v>41</v>
      </c>
      <c r="C79" s="5" t="s">
        <v>246</v>
      </c>
      <c r="D79" s="5" t="s">
        <v>22</v>
      </c>
      <c r="E79" s="5" t="s">
        <v>23</v>
      </c>
      <c r="F79" s="5" t="s">
        <v>24</v>
      </c>
      <c r="G79" s="5" t="s">
        <v>241</v>
      </c>
      <c r="H79" s="5" t="s">
        <v>242</v>
      </c>
      <c r="I79" s="5" t="s">
        <v>247</v>
      </c>
      <c r="J79" s="5" t="s">
        <v>239</v>
      </c>
      <c r="K79" s="5">
        <v>8.9718972939999997</v>
      </c>
      <c r="L79" s="5">
        <v>8.9718972939999997</v>
      </c>
      <c r="M79" s="5">
        <v>25</v>
      </c>
      <c r="N79" s="5">
        <v>108000</v>
      </c>
      <c r="O79" s="5">
        <v>5.0334277767135358</v>
      </c>
      <c r="P79" s="6">
        <v>1.2599999999999999E-8</v>
      </c>
      <c r="Q79" s="6">
        <v>5.4721104081073946E-9</v>
      </c>
      <c r="R79" s="6">
        <v>6</v>
      </c>
      <c r="S79" s="6">
        <v>29.83725849</v>
      </c>
    </row>
    <row r="80" spans="1:19">
      <c r="A80" s="5" t="s">
        <v>250</v>
      </c>
      <c r="B80" s="5" t="s">
        <v>41</v>
      </c>
      <c r="C80" s="5" t="s">
        <v>235</v>
      </c>
      <c r="D80" s="5" t="s">
        <v>22</v>
      </c>
      <c r="E80" s="5" t="s">
        <v>23</v>
      </c>
      <c r="F80" s="5" t="s">
        <v>24</v>
      </c>
      <c r="G80" s="5" t="s">
        <v>189</v>
      </c>
      <c r="H80" s="5" t="s">
        <v>236</v>
      </c>
      <c r="I80" s="5" t="s">
        <v>237</v>
      </c>
      <c r="J80" s="5" t="s">
        <v>20</v>
      </c>
      <c r="K80" s="5">
        <v>8.9718972939999997</v>
      </c>
      <c r="L80" s="5">
        <v>8.9718972939999997</v>
      </c>
      <c r="M80" s="5">
        <v>25</v>
      </c>
      <c r="N80" s="5">
        <v>108000</v>
      </c>
      <c r="O80" s="5">
        <v>5.0334277767135358</v>
      </c>
      <c r="P80" s="6">
        <v>5.489999999999999E-9</v>
      </c>
      <c r="Q80" s="6">
        <v>2.384276703514459E-9</v>
      </c>
      <c r="R80" s="6">
        <v>6</v>
      </c>
      <c r="S80" s="6">
        <v>30.825473850000005</v>
      </c>
    </row>
    <row r="81" spans="1:19">
      <c r="A81" s="5" t="s">
        <v>251</v>
      </c>
      <c r="B81" s="5" t="s">
        <v>41</v>
      </c>
      <c r="C81" s="5" t="s">
        <v>252</v>
      </c>
      <c r="D81" s="5" t="s">
        <v>22</v>
      </c>
      <c r="E81" s="5" t="s">
        <v>23</v>
      </c>
      <c r="F81" s="5" t="s">
        <v>24</v>
      </c>
      <c r="G81" s="5" t="s">
        <v>241</v>
      </c>
      <c r="H81" s="5" t="s">
        <v>242</v>
      </c>
      <c r="I81" s="5" t="s">
        <v>253</v>
      </c>
      <c r="J81" s="5" t="s">
        <v>239</v>
      </c>
      <c r="K81" s="5">
        <v>8.9718972939999997</v>
      </c>
      <c r="L81" s="5">
        <v>8.9718972939999997</v>
      </c>
      <c r="M81" s="5">
        <v>25</v>
      </c>
      <c r="N81" s="5">
        <v>108000</v>
      </c>
      <c r="O81" s="5">
        <v>5.0334277767135358</v>
      </c>
      <c r="P81" s="6">
        <v>1.2599999999999999E-8</v>
      </c>
      <c r="Q81" s="6">
        <v>5.4721104081073946E-9</v>
      </c>
      <c r="R81" s="6">
        <v>6</v>
      </c>
      <c r="S81" s="6">
        <v>30.825473850000005</v>
      </c>
    </row>
    <row r="82" spans="1:19">
      <c r="A82" s="5" t="s">
        <v>254</v>
      </c>
      <c r="B82" s="5" t="s">
        <v>41</v>
      </c>
      <c r="C82" s="5" t="s">
        <v>235</v>
      </c>
      <c r="D82" s="5" t="s">
        <v>22</v>
      </c>
      <c r="E82" s="5" t="s">
        <v>23</v>
      </c>
      <c r="F82" s="5" t="s">
        <v>24</v>
      </c>
      <c r="G82" s="5" t="s">
        <v>189</v>
      </c>
      <c r="H82" s="5" t="s">
        <v>236</v>
      </c>
      <c r="I82" s="5" t="s">
        <v>237</v>
      </c>
      <c r="J82" s="5" t="s">
        <v>20</v>
      </c>
      <c r="K82" s="5">
        <v>8.9718972939999997</v>
      </c>
      <c r="L82" s="5">
        <v>8.9718972939999997</v>
      </c>
      <c r="M82" s="5">
        <v>25</v>
      </c>
      <c r="N82" s="5">
        <v>108000</v>
      </c>
      <c r="O82" s="5">
        <v>5.0334277767135358</v>
      </c>
      <c r="P82" s="6">
        <v>5.489999999999999E-9</v>
      </c>
      <c r="Q82" s="6">
        <v>2.384276703514459E-9</v>
      </c>
      <c r="R82" s="6">
        <v>6</v>
      </c>
      <c r="S82" s="6">
        <v>30.200451090000001</v>
      </c>
    </row>
    <row r="83" spans="1:19">
      <c r="A83" s="5" t="s">
        <v>255</v>
      </c>
      <c r="B83" s="5" t="s">
        <v>41</v>
      </c>
      <c r="C83" s="5" t="s">
        <v>252</v>
      </c>
      <c r="D83" s="5" t="s">
        <v>22</v>
      </c>
      <c r="E83" s="5" t="s">
        <v>23</v>
      </c>
      <c r="F83" s="5" t="s">
        <v>24</v>
      </c>
      <c r="G83" s="5" t="s">
        <v>241</v>
      </c>
      <c r="H83" s="5" t="s">
        <v>242</v>
      </c>
      <c r="I83" s="5" t="s">
        <v>253</v>
      </c>
      <c r="J83" s="5" t="s">
        <v>239</v>
      </c>
      <c r="K83" s="5">
        <v>8.9718972939999997</v>
      </c>
      <c r="L83" s="5">
        <v>8.9718972939999997</v>
      </c>
      <c r="M83" s="5">
        <v>25</v>
      </c>
      <c r="N83" s="5">
        <v>108000</v>
      </c>
      <c r="O83" s="5">
        <v>5.0334277767135358</v>
      </c>
      <c r="P83" s="6">
        <v>1.2599999999999999E-8</v>
      </c>
      <c r="Q83" s="6">
        <v>5.4721104081073946E-9</v>
      </c>
      <c r="R83" s="6">
        <v>6</v>
      </c>
      <c r="S83" s="6">
        <v>30.200451090000001</v>
      </c>
    </row>
    <row r="84" spans="1:19">
      <c r="A84" s="5" t="s">
        <v>256</v>
      </c>
      <c r="B84" s="5" t="s">
        <v>41</v>
      </c>
      <c r="C84" s="5" t="s">
        <v>235</v>
      </c>
      <c r="D84" s="5" t="s">
        <v>22</v>
      </c>
      <c r="E84" s="5" t="s">
        <v>23</v>
      </c>
      <c r="F84" s="5" t="s">
        <v>24</v>
      </c>
      <c r="G84" s="5" t="s">
        <v>189</v>
      </c>
      <c r="H84" s="5" t="s">
        <v>236</v>
      </c>
      <c r="I84" s="5" t="s">
        <v>237</v>
      </c>
      <c r="J84" s="5" t="s">
        <v>20</v>
      </c>
      <c r="K84" s="5">
        <v>8.9718972939999997</v>
      </c>
      <c r="L84" s="5">
        <v>8.9718972939999997</v>
      </c>
      <c r="M84" s="5">
        <v>25</v>
      </c>
      <c r="N84" s="5">
        <v>108000</v>
      </c>
      <c r="O84" s="5">
        <v>5.0334277767135358</v>
      </c>
      <c r="P84" s="6">
        <v>3.3500000000000002E-8</v>
      </c>
      <c r="Q84" s="6">
        <v>1.4548864946650988E-8</v>
      </c>
      <c r="R84" s="6">
        <v>6</v>
      </c>
      <c r="S84" s="6">
        <v>29.682856749999996</v>
      </c>
    </row>
    <row r="85" spans="1:19">
      <c r="A85" s="5" t="s">
        <v>257</v>
      </c>
      <c r="B85" s="5" t="s">
        <v>41</v>
      </c>
      <c r="C85" s="5" t="s">
        <v>240</v>
      </c>
      <c r="D85" s="5" t="s">
        <v>22</v>
      </c>
      <c r="E85" s="5" t="s">
        <v>23</v>
      </c>
      <c r="F85" s="5" t="s">
        <v>24</v>
      </c>
      <c r="G85" s="5" t="s">
        <v>241</v>
      </c>
      <c r="H85" s="5" t="s">
        <v>242</v>
      </c>
      <c r="I85" s="5" t="s">
        <v>243</v>
      </c>
      <c r="J85" s="5" t="s">
        <v>239</v>
      </c>
      <c r="K85" s="5">
        <v>8.9718972939999997</v>
      </c>
      <c r="L85" s="5">
        <v>8.9718972939999997</v>
      </c>
      <c r="M85" s="5">
        <v>25</v>
      </c>
      <c r="N85" s="5">
        <v>108000</v>
      </c>
      <c r="O85" s="5">
        <v>5.0334277767135358</v>
      </c>
      <c r="P85" s="6">
        <v>2.18E-8</v>
      </c>
      <c r="Q85" s="6">
        <v>9.4676196141862322E-9</v>
      </c>
      <c r="R85" s="6">
        <v>6</v>
      </c>
      <c r="S85" s="6">
        <v>29.682856749999996</v>
      </c>
    </row>
    <row r="86" spans="1:19">
      <c r="A86" s="5" t="s">
        <v>258</v>
      </c>
      <c r="B86" s="5" t="s">
        <v>41</v>
      </c>
      <c r="C86" s="5" t="s">
        <v>235</v>
      </c>
      <c r="D86" s="5" t="s">
        <v>22</v>
      </c>
      <c r="E86" s="5" t="s">
        <v>23</v>
      </c>
      <c r="F86" s="5" t="s">
        <v>24</v>
      </c>
      <c r="G86" s="5" t="s">
        <v>189</v>
      </c>
      <c r="H86" s="5" t="s">
        <v>236</v>
      </c>
      <c r="I86" s="5" t="s">
        <v>237</v>
      </c>
      <c r="J86" s="5" t="s">
        <v>20</v>
      </c>
      <c r="K86" s="5">
        <v>8.9718972939999997</v>
      </c>
      <c r="L86" s="5">
        <v>8.9718972939999997</v>
      </c>
      <c r="M86" s="5">
        <v>25</v>
      </c>
      <c r="N86" s="5">
        <v>108000</v>
      </c>
      <c r="O86" s="5">
        <v>5.0334277767135358</v>
      </c>
      <c r="P86" s="6">
        <v>3.3500000000000002E-8</v>
      </c>
      <c r="Q86" s="6">
        <v>1.4548864946650988E-8</v>
      </c>
      <c r="R86" s="6">
        <v>6</v>
      </c>
      <c r="S86" s="6">
        <v>27.886039839999999</v>
      </c>
    </row>
    <row r="87" spans="1:19">
      <c r="A87" s="5" t="s">
        <v>259</v>
      </c>
      <c r="B87" s="5" t="s">
        <v>41</v>
      </c>
      <c r="C87" s="5" t="s">
        <v>240</v>
      </c>
      <c r="D87" s="5" t="s">
        <v>22</v>
      </c>
      <c r="E87" s="5" t="s">
        <v>23</v>
      </c>
      <c r="F87" s="5" t="s">
        <v>24</v>
      </c>
      <c r="G87" s="5" t="s">
        <v>241</v>
      </c>
      <c r="H87" s="5" t="s">
        <v>242</v>
      </c>
      <c r="I87" s="5" t="s">
        <v>243</v>
      </c>
      <c r="J87" s="5" t="s">
        <v>239</v>
      </c>
      <c r="K87" s="5">
        <v>8.9718972939999997</v>
      </c>
      <c r="L87" s="5">
        <v>8.9718972939999997</v>
      </c>
      <c r="M87" s="5">
        <v>25</v>
      </c>
      <c r="N87" s="5">
        <v>108000</v>
      </c>
      <c r="O87" s="5">
        <v>5.0334277767135358</v>
      </c>
      <c r="P87" s="6">
        <v>2.18E-8</v>
      </c>
      <c r="Q87" s="6">
        <v>9.4676196141862322E-9</v>
      </c>
      <c r="R87" s="6">
        <v>6</v>
      </c>
      <c r="S87" s="6">
        <v>27.886039839999999</v>
      </c>
    </row>
    <row r="88" spans="1:19">
      <c r="A88" s="5" t="s">
        <v>260</v>
      </c>
      <c r="B88" s="5" t="s">
        <v>41</v>
      </c>
      <c r="C88" s="5" t="s">
        <v>235</v>
      </c>
      <c r="D88" s="5" t="s">
        <v>22</v>
      </c>
      <c r="E88" s="5" t="s">
        <v>23</v>
      </c>
      <c r="F88" s="5" t="s">
        <v>24</v>
      </c>
      <c r="G88" s="5" t="s">
        <v>189</v>
      </c>
      <c r="H88" s="5" t="s">
        <v>236</v>
      </c>
      <c r="I88" s="5" t="s">
        <v>237</v>
      </c>
      <c r="J88" s="5" t="s">
        <v>20</v>
      </c>
      <c r="K88" s="5">
        <v>8.9718972939999997</v>
      </c>
      <c r="L88" s="5">
        <v>8.9718972939999997</v>
      </c>
      <c r="M88" s="5">
        <v>25</v>
      </c>
      <c r="N88" s="5">
        <v>108000</v>
      </c>
      <c r="O88" s="5">
        <v>5.0334277767135358</v>
      </c>
      <c r="P88" s="6">
        <v>3.3500000000000002E-8</v>
      </c>
      <c r="Q88" s="6">
        <v>1.4548864946650988E-8</v>
      </c>
      <c r="R88" s="6">
        <v>6</v>
      </c>
      <c r="S88" s="6">
        <v>28.995286429999997</v>
      </c>
    </row>
    <row r="89" spans="1:19">
      <c r="A89" s="5" t="s">
        <v>261</v>
      </c>
      <c r="B89" s="5" t="s">
        <v>41</v>
      </c>
      <c r="C89" s="5" t="s">
        <v>246</v>
      </c>
      <c r="D89" s="5" t="s">
        <v>22</v>
      </c>
      <c r="E89" s="5" t="s">
        <v>23</v>
      </c>
      <c r="F89" s="5" t="s">
        <v>24</v>
      </c>
      <c r="G89" s="5" t="s">
        <v>241</v>
      </c>
      <c r="H89" s="5" t="s">
        <v>242</v>
      </c>
      <c r="I89" s="5" t="s">
        <v>247</v>
      </c>
      <c r="J89" s="5" t="s">
        <v>239</v>
      </c>
      <c r="K89" s="5">
        <v>8.9718972939999997</v>
      </c>
      <c r="L89" s="5">
        <v>8.9718972939999997</v>
      </c>
      <c r="M89" s="5">
        <v>25</v>
      </c>
      <c r="N89" s="5">
        <v>108000</v>
      </c>
      <c r="O89" s="5">
        <v>5.0334277767135358</v>
      </c>
      <c r="P89" s="6">
        <v>1.2599999999999999E-8</v>
      </c>
      <c r="Q89" s="6">
        <v>5.4721104081073946E-9</v>
      </c>
      <c r="R89" s="6">
        <v>6</v>
      </c>
      <c r="S89" s="6">
        <v>28.995286429999997</v>
      </c>
    </row>
    <row r="90" spans="1:19">
      <c r="A90" s="5" t="s">
        <v>262</v>
      </c>
      <c r="B90" s="5" t="s">
        <v>41</v>
      </c>
      <c r="C90" s="5" t="s">
        <v>235</v>
      </c>
      <c r="D90" s="5" t="s">
        <v>22</v>
      </c>
      <c r="E90" s="5" t="s">
        <v>23</v>
      </c>
      <c r="F90" s="5" t="s">
        <v>24</v>
      </c>
      <c r="G90" s="5" t="s">
        <v>189</v>
      </c>
      <c r="H90" s="5" t="s">
        <v>236</v>
      </c>
      <c r="I90" s="5" t="s">
        <v>237</v>
      </c>
      <c r="J90" s="5" t="s">
        <v>20</v>
      </c>
      <c r="K90" s="5">
        <v>8.9718972939999997</v>
      </c>
      <c r="L90" s="5">
        <v>8.9718972939999997</v>
      </c>
      <c r="M90" s="5">
        <v>25</v>
      </c>
      <c r="N90" s="5">
        <v>108000</v>
      </c>
      <c r="O90" s="5">
        <v>5.0334277767135358</v>
      </c>
      <c r="P90" s="6">
        <v>3.3500000000000002E-8</v>
      </c>
      <c r="Q90" s="6">
        <v>1.4548864946650988E-8</v>
      </c>
      <c r="R90" s="6">
        <v>6</v>
      </c>
      <c r="S90" s="6">
        <v>27.325197549999995</v>
      </c>
    </row>
    <row r="91" spans="1:19">
      <c r="A91" s="5" t="s">
        <v>263</v>
      </c>
      <c r="B91" s="5" t="s">
        <v>41</v>
      </c>
      <c r="C91" s="5" t="s">
        <v>246</v>
      </c>
      <c r="D91" s="5" t="s">
        <v>22</v>
      </c>
      <c r="E91" s="5" t="s">
        <v>23</v>
      </c>
      <c r="F91" s="5" t="s">
        <v>24</v>
      </c>
      <c r="G91" s="5" t="s">
        <v>241</v>
      </c>
      <c r="H91" s="5" t="s">
        <v>242</v>
      </c>
      <c r="I91" s="5" t="s">
        <v>247</v>
      </c>
      <c r="J91" s="5" t="s">
        <v>239</v>
      </c>
      <c r="K91" s="5">
        <v>8.9718972939999997</v>
      </c>
      <c r="L91" s="5">
        <v>8.9718972939999997</v>
      </c>
      <c r="M91" s="5">
        <v>25</v>
      </c>
      <c r="N91" s="5">
        <v>108000</v>
      </c>
      <c r="O91" s="5">
        <v>5.0334277767135358</v>
      </c>
      <c r="P91" s="6">
        <v>1.2599999999999999E-8</v>
      </c>
      <c r="Q91" s="6">
        <v>5.4721104081073946E-9</v>
      </c>
      <c r="R91" s="6">
        <v>6</v>
      </c>
      <c r="S91" s="6">
        <v>27.325197549999995</v>
      </c>
    </row>
    <row r="92" spans="1:19">
      <c r="A92" s="5" t="s">
        <v>264</v>
      </c>
      <c r="B92" s="5" t="s">
        <v>41</v>
      </c>
      <c r="C92" s="5" t="s">
        <v>235</v>
      </c>
      <c r="D92" s="5" t="s">
        <v>22</v>
      </c>
      <c r="E92" s="5" t="s">
        <v>23</v>
      </c>
      <c r="F92" s="5" t="s">
        <v>24</v>
      </c>
      <c r="G92" s="5" t="s">
        <v>189</v>
      </c>
      <c r="H92" s="5" t="s">
        <v>236</v>
      </c>
      <c r="I92" s="5" t="s">
        <v>237</v>
      </c>
      <c r="J92" s="5" t="s">
        <v>20</v>
      </c>
      <c r="K92" s="5">
        <v>8.9718972939999997</v>
      </c>
      <c r="L92" s="5">
        <v>8.9718972939999997</v>
      </c>
      <c r="M92" s="5">
        <v>25</v>
      </c>
      <c r="N92" s="5">
        <v>108000</v>
      </c>
      <c r="O92" s="5">
        <v>5.0334277767135358</v>
      </c>
      <c r="P92" s="6">
        <v>3.3500000000000002E-8</v>
      </c>
      <c r="Q92" s="6">
        <v>1.4548864946650988E-8</v>
      </c>
      <c r="R92" s="6">
        <v>6</v>
      </c>
      <c r="S92" s="6">
        <v>30.106292280000002</v>
      </c>
    </row>
    <row r="93" spans="1:19">
      <c r="A93" s="5" t="s">
        <v>265</v>
      </c>
      <c r="B93" s="5" t="s">
        <v>41</v>
      </c>
      <c r="C93" s="5" t="s">
        <v>252</v>
      </c>
      <c r="D93" s="5" t="s">
        <v>22</v>
      </c>
      <c r="E93" s="5" t="s">
        <v>23</v>
      </c>
      <c r="F93" s="5" t="s">
        <v>24</v>
      </c>
      <c r="G93" s="5" t="s">
        <v>241</v>
      </c>
      <c r="H93" s="5" t="s">
        <v>242</v>
      </c>
      <c r="I93" s="5" t="s">
        <v>253</v>
      </c>
      <c r="J93" s="5" t="s">
        <v>239</v>
      </c>
      <c r="K93" s="5">
        <v>8.9718972939999997</v>
      </c>
      <c r="L93" s="5">
        <v>8.9718972939999997</v>
      </c>
      <c r="M93" s="5">
        <v>25</v>
      </c>
      <c r="N93" s="5">
        <v>108000</v>
      </c>
      <c r="O93" s="5">
        <v>5.0334277767135358</v>
      </c>
      <c r="P93" s="6">
        <v>1.2599999999999999E-8</v>
      </c>
      <c r="Q93" s="6">
        <v>5.4721104081073946E-9</v>
      </c>
      <c r="R93" s="6">
        <v>6</v>
      </c>
      <c r="S93" s="6">
        <v>30.106292280000002</v>
      </c>
    </row>
    <row r="94" spans="1:19">
      <c r="A94" s="5" t="s">
        <v>266</v>
      </c>
      <c r="B94" s="5" t="s">
        <v>41</v>
      </c>
      <c r="C94" s="5" t="s">
        <v>235</v>
      </c>
      <c r="D94" s="5" t="s">
        <v>22</v>
      </c>
      <c r="E94" s="5" t="s">
        <v>23</v>
      </c>
      <c r="F94" s="5" t="s">
        <v>24</v>
      </c>
      <c r="G94" s="5" t="s">
        <v>189</v>
      </c>
      <c r="H94" s="5" t="s">
        <v>236</v>
      </c>
      <c r="I94" s="5" t="s">
        <v>237</v>
      </c>
      <c r="J94" s="5" t="s">
        <v>20</v>
      </c>
      <c r="K94" s="5">
        <v>8.9718972939999997</v>
      </c>
      <c r="L94" s="5">
        <v>8.9718972939999997</v>
      </c>
      <c r="M94" s="5">
        <v>25</v>
      </c>
      <c r="N94" s="5">
        <v>108000</v>
      </c>
      <c r="O94" s="5">
        <v>5.0334277767135358</v>
      </c>
      <c r="P94" s="6">
        <v>3.3500000000000002E-8</v>
      </c>
      <c r="Q94" s="6">
        <v>1.4548864946650988E-8</v>
      </c>
      <c r="R94" s="6">
        <v>6</v>
      </c>
      <c r="S94" s="6">
        <v>21.77181392</v>
      </c>
    </row>
    <row r="95" spans="1:19">
      <c r="A95" s="5" t="s">
        <v>267</v>
      </c>
      <c r="B95" s="5" t="s">
        <v>41</v>
      </c>
      <c r="C95" s="5" t="s">
        <v>252</v>
      </c>
      <c r="D95" s="5" t="s">
        <v>22</v>
      </c>
      <c r="E95" s="5" t="s">
        <v>23</v>
      </c>
      <c r="F95" s="5" t="s">
        <v>24</v>
      </c>
      <c r="G95" s="5" t="s">
        <v>241</v>
      </c>
      <c r="H95" s="5" t="s">
        <v>242</v>
      </c>
      <c r="I95" s="5" t="s">
        <v>253</v>
      </c>
      <c r="J95" s="5" t="s">
        <v>239</v>
      </c>
      <c r="K95" s="5">
        <v>8.9718972939999997</v>
      </c>
      <c r="L95" s="5">
        <v>8.9718972939999997</v>
      </c>
      <c r="M95" s="5">
        <v>25</v>
      </c>
      <c r="N95" s="5">
        <v>108000</v>
      </c>
      <c r="O95" s="5">
        <v>5.0334277767135358</v>
      </c>
      <c r="P95" s="6">
        <v>1.2599999999999999E-8</v>
      </c>
      <c r="Q95" s="6">
        <v>5.4721104081073946E-9</v>
      </c>
      <c r="R95" s="6">
        <v>6</v>
      </c>
      <c r="S95" s="6">
        <v>21.77181392</v>
      </c>
    </row>
  </sheetData>
  <sortState ref="A2:S61">
    <sortCondition ref="A2:A6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A16" sqref="A16"/>
    </sheetView>
  </sheetViews>
  <sheetFormatPr defaultRowHeight="15"/>
  <sheetData>
    <row r="1" spans="1:2">
      <c r="A1" s="70" t="s">
        <v>1312</v>
      </c>
      <c r="B1" s="71" t="s">
        <v>1313</v>
      </c>
    </row>
    <row r="2" spans="1:2">
      <c r="A2" s="84" t="s">
        <v>301</v>
      </c>
      <c r="B2" s="5" t="s">
        <v>1402</v>
      </c>
    </row>
    <row r="3" spans="1:2">
      <c r="A3" s="84" t="s">
        <v>0</v>
      </c>
      <c r="B3" s="5" t="s">
        <v>1394</v>
      </c>
    </row>
    <row r="4" spans="1:2">
      <c r="A4" s="84" t="s">
        <v>4</v>
      </c>
      <c r="B4" s="5" t="s">
        <v>1387</v>
      </c>
    </row>
    <row r="5" spans="1:2">
      <c r="A5" s="84" t="s">
        <v>5</v>
      </c>
      <c r="B5" s="5" t="s">
        <v>1388</v>
      </c>
    </row>
    <row r="6" spans="1:2">
      <c r="A6" s="84" t="s">
        <v>6</v>
      </c>
      <c r="B6" s="5" t="s">
        <v>1389</v>
      </c>
    </row>
    <row r="7" spans="1:2">
      <c r="A7" s="84" t="s">
        <v>7</v>
      </c>
      <c r="B7" s="5" t="s">
        <v>1390</v>
      </c>
    </row>
    <row r="8" spans="1:2">
      <c r="A8" s="84" t="s">
        <v>8</v>
      </c>
      <c r="B8" s="5" t="s">
        <v>1391</v>
      </c>
    </row>
    <row r="9" spans="1:2">
      <c r="A9" s="84" t="s">
        <v>9</v>
      </c>
      <c r="B9" s="5" t="s">
        <v>1392</v>
      </c>
    </row>
    <row r="10" spans="1:2">
      <c r="A10" s="84" t="s">
        <v>10</v>
      </c>
      <c r="B10" s="5" t="s">
        <v>1393</v>
      </c>
    </row>
    <row r="11" spans="1:2">
      <c r="A11" s="84" t="s">
        <v>271</v>
      </c>
      <c r="B11" s="5" t="s">
        <v>1396</v>
      </c>
    </row>
    <row r="12" spans="1:2">
      <c r="A12" s="84" t="s">
        <v>1</v>
      </c>
      <c r="B12" s="5" t="s">
        <v>1403</v>
      </c>
    </row>
    <row r="13" spans="1:2">
      <c r="A13" s="84" t="s">
        <v>2</v>
      </c>
      <c r="B13" s="5" t="s">
        <v>1395</v>
      </c>
    </row>
    <row r="14" spans="1:2">
      <c r="A14" s="84" t="s">
        <v>270</v>
      </c>
      <c r="B14" s="5" t="s">
        <v>1449</v>
      </c>
    </row>
    <row r="15" spans="1:2">
      <c r="A15" s="84" t="s">
        <v>11</v>
      </c>
      <c r="B15" s="5" t="s">
        <v>1404</v>
      </c>
    </row>
    <row r="16" spans="1:2">
      <c r="A16" s="84" t="s">
        <v>12</v>
      </c>
      <c r="B16" s="5" t="s">
        <v>1398</v>
      </c>
    </row>
    <row r="17" spans="1:2">
      <c r="A17" s="84" t="s">
        <v>272</v>
      </c>
      <c r="B17" s="86" t="s">
        <v>1397</v>
      </c>
    </row>
    <row r="18" spans="1:2">
      <c r="A18" s="84" t="s">
        <v>14</v>
      </c>
      <c r="B18" s="5" t="s">
        <v>1399</v>
      </c>
    </row>
    <row r="19" spans="1:2">
      <c r="A19" s="84" t="s">
        <v>15</v>
      </c>
      <c r="B19" s="5" t="s">
        <v>1400</v>
      </c>
    </row>
    <row r="20" spans="1:2">
      <c r="A20" s="84" t="s">
        <v>269</v>
      </c>
      <c r="B20" s="5" t="s">
        <v>1401</v>
      </c>
    </row>
  </sheetData>
  <hyperlinks>
    <hyperlink ref="B17" location="_ENREF_9" tooltip="Dell, 2011 #2222" display="_ENREF_9"/>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35"/>
  <sheetViews>
    <sheetView workbookViewId="0">
      <pane ySplit="3" topLeftCell="A4" activePane="bottomLeft" state="frozen"/>
      <selection pane="bottomLeft" activeCell="H115" sqref="H115"/>
    </sheetView>
  </sheetViews>
  <sheetFormatPr defaultRowHeight="15"/>
  <sheetData>
    <row r="1" spans="1:39">
      <c r="A1" s="1" t="s">
        <v>4253</v>
      </c>
    </row>
    <row r="3" spans="1:39" s="73" customFormat="1">
      <c r="A3" s="87" t="s">
        <v>301</v>
      </c>
      <c r="B3" s="87" t="s">
        <v>0</v>
      </c>
      <c r="C3" s="87" t="s">
        <v>4</v>
      </c>
      <c r="D3" s="87" t="s">
        <v>5</v>
      </c>
      <c r="E3" s="87" t="s">
        <v>6</v>
      </c>
      <c r="F3" s="87" t="s">
        <v>4199</v>
      </c>
      <c r="G3" s="87" t="s">
        <v>7</v>
      </c>
      <c r="H3" s="87" t="s">
        <v>8</v>
      </c>
      <c r="I3" s="87" t="s">
        <v>9</v>
      </c>
      <c r="J3" s="87" t="s">
        <v>10</v>
      </c>
      <c r="K3" s="87" t="s">
        <v>271</v>
      </c>
      <c r="L3" s="87" t="s">
        <v>1</v>
      </c>
      <c r="M3" s="87" t="s">
        <v>2</v>
      </c>
      <c r="N3" s="87" t="s">
        <v>4161</v>
      </c>
      <c r="O3" s="87" t="s">
        <v>270</v>
      </c>
      <c r="P3" s="87" t="s">
        <v>11</v>
      </c>
      <c r="Q3" s="87" t="s">
        <v>12</v>
      </c>
      <c r="R3" s="87" t="s">
        <v>272</v>
      </c>
      <c r="S3" s="87" t="s">
        <v>14</v>
      </c>
      <c r="T3" s="87" t="s">
        <v>15</v>
      </c>
      <c r="U3" s="87" t="s">
        <v>269</v>
      </c>
      <c r="V3" s="87"/>
      <c r="W3" s="87"/>
      <c r="X3" s="87"/>
      <c r="Y3" s="87"/>
      <c r="Z3" s="87"/>
      <c r="AA3" s="87"/>
      <c r="AB3" s="87"/>
      <c r="AC3" s="87"/>
      <c r="AD3" s="87"/>
      <c r="AE3" s="87"/>
      <c r="AF3" s="87"/>
      <c r="AG3" s="87"/>
      <c r="AH3" s="87"/>
      <c r="AI3" s="87"/>
      <c r="AJ3" s="87"/>
      <c r="AK3" s="87"/>
      <c r="AL3" s="87"/>
      <c r="AM3" s="87"/>
    </row>
    <row r="4" spans="1:39">
      <c r="A4" s="5" t="s">
        <v>279</v>
      </c>
      <c r="B4" s="5" t="s">
        <v>19</v>
      </c>
      <c r="C4" s="5" t="s">
        <v>281</v>
      </c>
      <c r="D4" s="5" t="s">
        <v>22</v>
      </c>
      <c r="E4" s="5" t="s">
        <v>33</v>
      </c>
      <c r="F4" s="5" t="s">
        <v>4202</v>
      </c>
      <c r="G4" s="5" t="s">
        <v>34</v>
      </c>
      <c r="H4" s="5" t="s">
        <v>282</v>
      </c>
      <c r="I4" s="5" t="s">
        <v>283</v>
      </c>
      <c r="J4" s="5" t="s">
        <v>280</v>
      </c>
      <c r="K4" s="5" t="s">
        <v>31</v>
      </c>
      <c r="L4" s="5">
        <v>43.452918889999999</v>
      </c>
      <c r="M4" s="5">
        <v>43.452918889999999</v>
      </c>
      <c r="N4" s="5" t="s">
        <v>4157</v>
      </c>
      <c r="O4" s="5">
        <v>7</v>
      </c>
      <c r="P4" s="5">
        <v>604800</v>
      </c>
      <c r="Q4" s="5">
        <v>5.7816125005720567</v>
      </c>
      <c r="R4" s="2">
        <v>1.24E-2</v>
      </c>
      <c r="S4" s="2">
        <v>5.3521364862166125E-3</v>
      </c>
      <c r="T4" s="6">
        <v>4</v>
      </c>
      <c r="U4" s="2">
        <v>12.6203275</v>
      </c>
    </row>
    <row r="5" spans="1:39">
      <c r="A5" s="5" t="s">
        <v>284</v>
      </c>
      <c r="B5" s="5" t="s">
        <v>19</v>
      </c>
      <c r="C5" s="5" t="s">
        <v>286</v>
      </c>
      <c r="D5" s="5" t="s">
        <v>22</v>
      </c>
      <c r="E5" s="5" t="s">
        <v>33</v>
      </c>
      <c r="F5" s="5" t="s">
        <v>4202</v>
      </c>
      <c r="G5" s="5" t="s">
        <v>34</v>
      </c>
      <c r="H5" s="5" t="s">
        <v>61</v>
      </c>
      <c r="I5" s="5" t="s">
        <v>62</v>
      </c>
      <c r="J5" s="5" t="s">
        <v>285</v>
      </c>
      <c r="K5" s="5" t="s">
        <v>20</v>
      </c>
      <c r="L5" s="5">
        <v>43.452918889999999</v>
      </c>
      <c r="M5" s="5">
        <v>43.452918889999999</v>
      </c>
      <c r="N5" s="5" t="s">
        <v>4157</v>
      </c>
      <c r="O5" s="5">
        <v>7</v>
      </c>
      <c r="P5" s="5">
        <v>2073600</v>
      </c>
      <c r="Q5" s="5">
        <v>6.3167251936303028</v>
      </c>
      <c r="R5" s="2">
        <v>1.3999999999999999E-4</v>
      </c>
      <c r="S5" s="2">
        <v>6.0796971777738173E-5</v>
      </c>
      <c r="T5" s="6">
        <v>4</v>
      </c>
      <c r="U5" s="2">
        <v>12.6203275</v>
      </c>
    </row>
    <row r="6" spans="1:39">
      <c r="A6" s="5" t="s">
        <v>298</v>
      </c>
      <c r="B6" s="5" t="s">
        <v>19</v>
      </c>
      <c r="C6" s="5" t="s">
        <v>281</v>
      </c>
      <c r="D6" s="5" t="s">
        <v>22</v>
      </c>
      <c r="E6" s="5" t="s">
        <v>33</v>
      </c>
      <c r="F6" s="5" t="s">
        <v>4202</v>
      </c>
      <c r="G6" s="5" t="s">
        <v>34</v>
      </c>
      <c r="H6" s="5" t="s">
        <v>282</v>
      </c>
      <c r="I6" s="5" t="s">
        <v>283</v>
      </c>
      <c r="J6" s="5" t="s">
        <v>280</v>
      </c>
      <c r="K6" s="5" t="s">
        <v>31</v>
      </c>
      <c r="L6" s="5">
        <v>43.452918889999999</v>
      </c>
      <c r="M6" s="5">
        <v>43.452918889999999</v>
      </c>
      <c r="N6" s="5" t="s">
        <v>4157</v>
      </c>
      <c r="O6" s="5">
        <v>7</v>
      </c>
      <c r="P6" s="5">
        <v>604800</v>
      </c>
      <c r="Q6" s="5">
        <v>5.7816125005720567</v>
      </c>
      <c r="R6" s="2">
        <v>1.24E-2</v>
      </c>
      <c r="S6" s="2">
        <v>5.3521364862166125E-3</v>
      </c>
      <c r="T6" s="6">
        <v>4</v>
      </c>
      <c r="U6" s="2">
        <v>14.539870580000001</v>
      </c>
    </row>
    <row r="7" spans="1:39">
      <c r="A7" s="5" t="s">
        <v>299</v>
      </c>
      <c r="B7" s="5" t="s">
        <v>19</v>
      </c>
      <c r="C7" s="5" t="s">
        <v>286</v>
      </c>
      <c r="D7" s="5" t="s">
        <v>22</v>
      </c>
      <c r="E7" s="5" t="s">
        <v>33</v>
      </c>
      <c r="F7" s="5" t="s">
        <v>4202</v>
      </c>
      <c r="G7" s="5" t="s">
        <v>34</v>
      </c>
      <c r="H7" s="5" t="s">
        <v>61</v>
      </c>
      <c r="I7" s="5" t="s">
        <v>62</v>
      </c>
      <c r="J7" s="5" t="s">
        <v>285</v>
      </c>
      <c r="K7" s="5" t="s">
        <v>20</v>
      </c>
      <c r="L7" s="5">
        <v>43.452918889999999</v>
      </c>
      <c r="M7" s="5">
        <v>43.452918889999999</v>
      </c>
      <c r="N7" s="5" t="s">
        <v>4157</v>
      </c>
      <c r="O7" s="5">
        <v>7</v>
      </c>
      <c r="P7" s="5">
        <v>2073600</v>
      </c>
      <c r="Q7" s="5">
        <v>6.3167251936303028</v>
      </c>
      <c r="R7" s="2">
        <v>1.3999999999999999E-4</v>
      </c>
      <c r="S7" s="2">
        <v>6.0796971777738173E-5</v>
      </c>
      <c r="T7" s="6">
        <v>4</v>
      </c>
      <c r="U7" s="2">
        <v>14.539870580000001</v>
      </c>
    </row>
    <row r="8" spans="1:39">
      <c r="A8" s="5" t="s">
        <v>287</v>
      </c>
      <c r="B8" s="5" t="s">
        <v>19</v>
      </c>
      <c r="C8" s="5" t="s">
        <v>281</v>
      </c>
      <c r="D8" s="5" t="s">
        <v>22</v>
      </c>
      <c r="E8" s="5" t="s">
        <v>33</v>
      </c>
      <c r="F8" s="5" t="s">
        <v>4202</v>
      </c>
      <c r="G8" s="5" t="s">
        <v>34</v>
      </c>
      <c r="H8" s="5" t="s">
        <v>282</v>
      </c>
      <c r="I8" s="5" t="s">
        <v>283</v>
      </c>
      <c r="J8" s="5" t="s">
        <v>280</v>
      </c>
      <c r="K8" s="5" t="s">
        <v>31</v>
      </c>
      <c r="L8" s="5">
        <v>43.452918889999999</v>
      </c>
      <c r="M8" s="5">
        <v>43.452918889999999</v>
      </c>
      <c r="N8" s="5" t="s">
        <v>4157</v>
      </c>
      <c r="O8" s="5">
        <v>7</v>
      </c>
      <c r="P8" s="5">
        <v>604800</v>
      </c>
      <c r="Q8" s="5">
        <v>5.7816125005720567</v>
      </c>
      <c r="R8" s="2">
        <v>1.24E-2</v>
      </c>
      <c r="S8" s="2">
        <v>5.3521364862166125E-3</v>
      </c>
      <c r="T8" s="6">
        <v>4</v>
      </c>
      <c r="U8" s="2">
        <v>11.76566493</v>
      </c>
    </row>
    <row r="9" spans="1:39">
      <c r="A9" s="5" t="s">
        <v>288</v>
      </c>
      <c r="B9" s="5" t="s">
        <v>19</v>
      </c>
      <c r="C9" s="5" t="s">
        <v>286</v>
      </c>
      <c r="D9" s="5" t="s">
        <v>22</v>
      </c>
      <c r="E9" s="5" t="s">
        <v>33</v>
      </c>
      <c r="F9" s="5" t="s">
        <v>4202</v>
      </c>
      <c r="G9" s="5" t="s">
        <v>34</v>
      </c>
      <c r="H9" s="5" t="s">
        <v>61</v>
      </c>
      <c r="I9" s="5" t="s">
        <v>62</v>
      </c>
      <c r="J9" s="5" t="s">
        <v>285</v>
      </c>
      <c r="K9" s="5" t="s">
        <v>20</v>
      </c>
      <c r="L9" s="5">
        <v>43.452918889999999</v>
      </c>
      <c r="M9" s="5">
        <v>43.452918889999999</v>
      </c>
      <c r="N9" s="5" t="s">
        <v>4157</v>
      </c>
      <c r="O9" s="5">
        <v>7</v>
      </c>
      <c r="P9" s="5">
        <v>2073600</v>
      </c>
      <c r="Q9" s="5">
        <v>6.3167251936303028</v>
      </c>
      <c r="R9" s="2">
        <v>1.3999999999999999E-4</v>
      </c>
      <c r="S9" s="2">
        <v>6.0796971777738173E-5</v>
      </c>
      <c r="T9" s="6">
        <v>4</v>
      </c>
      <c r="U9" s="2">
        <v>11.76566493</v>
      </c>
    </row>
    <row r="10" spans="1:39">
      <c r="A10" s="5" t="s">
        <v>186</v>
      </c>
      <c r="B10" s="5" t="s">
        <v>30</v>
      </c>
      <c r="C10" s="5" t="s">
        <v>178</v>
      </c>
      <c r="D10" s="5" t="s">
        <v>22</v>
      </c>
      <c r="E10" s="5" t="s">
        <v>179</v>
      </c>
      <c r="F10" s="5" t="s">
        <v>4186</v>
      </c>
      <c r="G10" s="5" t="s">
        <v>180</v>
      </c>
      <c r="H10" s="5" t="s">
        <v>181</v>
      </c>
      <c r="I10" s="5" t="s">
        <v>182</v>
      </c>
      <c r="J10" s="5" t="s">
        <v>183</v>
      </c>
      <c r="K10" s="5" t="s">
        <v>20</v>
      </c>
      <c r="L10" s="5">
        <v>55.493135000000002</v>
      </c>
      <c r="M10" s="5">
        <v>55.493135000000002</v>
      </c>
      <c r="N10" s="5" t="s">
        <v>4158</v>
      </c>
      <c r="O10" s="5">
        <v>15</v>
      </c>
      <c r="P10" s="5"/>
      <c r="Q10" s="5"/>
      <c r="R10" s="2">
        <v>1.6836399999999992E-4</v>
      </c>
      <c r="S10" s="2">
        <v>7.3113401491526849E-5</v>
      </c>
      <c r="T10" s="6">
        <v>6</v>
      </c>
      <c r="U10" s="2">
        <v>12.862596619999991</v>
      </c>
    </row>
    <row r="11" spans="1:39">
      <c r="A11" s="5" t="s">
        <v>197</v>
      </c>
      <c r="B11" s="5" t="s">
        <v>19</v>
      </c>
      <c r="C11" s="5" t="s">
        <v>198</v>
      </c>
      <c r="D11" s="5" t="s">
        <v>22</v>
      </c>
      <c r="E11" s="5" t="s">
        <v>91</v>
      </c>
      <c r="F11" s="5" t="s">
        <v>4201</v>
      </c>
      <c r="G11" s="5" t="s">
        <v>92</v>
      </c>
      <c r="H11" s="5" t="s">
        <v>160</v>
      </c>
      <c r="I11" s="5" t="s">
        <v>199</v>
      </c>
      <c r="J11" s="5" t="s">
        <v>200</v>
      </c>
      <c r="K11" s="5" t="s">
        <v>31</v>
      </c>
      <c r="L11" s="5">
        <v>42.875964099999997</v>
      </c>
      <c r="M11" s="5">
        <v>42.875964099999997</v>
      </c>
      <c r="N11" s="5" t="s">
        <v>4157</v>
      </c>
      <c r="O11" s="5">
        <v>20</v>
      </c>
      <c r="P11" s="5"/>
      <c r="Q11" s="5"/>
      <c r="R11" s="2">
        <v>4.8040507500000003E-3</v>
      </c>
      <c r="S11" s="2">
        <v>2.0813756611129629E-3</v>
      </c>
      <c r="T11" s="6">
        <v>4</v>
      </c>
      <c r="U11" s="2">
        <v>22.57935432</v>
      </c>
    </row>
    <row r="12" spans="1:39">
      <c r="A12" s="5" t="s">
        <v>40</v>
      </c>
      <c r="B12" s="5" t="s">
        <v>41</v>
      </c>
      <c r="C12" s="5" t="s">
        <v>42</v>
      </c>
      <c r="D12" s="5" t="s">
        <v>22</v>
      </c>
      <c r="E12" s="5" t="s">
        <v>33</v>
      </c>
      <c r="F12" s="5" t="s">
        <v>4202</v>
      </c>
      <c r="G12" s="5" t="s">
        <v>43</v>
      </c>
      <c r="H12" s="5" t="s">
        <v>44</v>
      </c>
      <c r="I12" s="5" t="s">
        <v>45</v>
      </c>
      <c r="J12" s="5" t="s">
        <v>46</v>
      </c>
      <c r="K12" s="5" t="s">
        <v>31</v>
      </c>
      <c r="L12" s="5">
        <v>33.560277800000001</v>
      </c>
      <c r="M12" s="5">
        <v>33.560277800000001</v>
      </c>
      <c r="N12" s="5" t="s">
        <v>4157</v>
      </c>
      <c r="O12" s="5">
        <v>26.5</v>
      </c>
      <c r="P12" s="5">
        <v>1209600</v>
      </c>
      <c r="Q12" s="5">
        <v>6.082642137196733</v>
      </c>
      <c r="R12" s="2">
        <v>5.5300000000000002E-3</v>
      </c>
      <c r="S12" s="2">
        <v>2.3950323072982498E-3</v>
      </c>
      <c r="T12" s="6">
        <v>9</v>
      </c>
      <c r="U12" s="2">
        <v>36.809544369999998</v>
      </c>
    </row>
    <row r="13" spans="1:39">
      <c r="A13" s="5" t="s">
        <v>168</v>
      </c>
      <c r="B13" s="5" t="s">
        <v>30</v>
      </c>
      <c r="C13" s="5" t="s">
        <v>32</v>
      </c>
      <c r="D13" s="5" t="s">
        <v>22</v>
      </c>
      <c r="E13" s="5" t="s">
        <v>33</v>
      </c>
      <c r="F13" s="5" t="s">
        <v>4202</v>
      </c>
      <c r="G13" s="5" t="s">
        <v>34</v>
      </c>
      <c r="H13" s="5" t="s">
        <v>35</v>
      </c>
      <c r="I13" s="5" t="s">
        <v>36</v>
      </c>
      <c r="J13" s="5" t="s">
        <v>37</v>
      </c>
      <c r="K13" s="5" t="s">
        <v>39</v>
      </c>
      <c r="L13" s="5">
        <v>55.666742300000003</v>
      </c>
      <c r="M13" s="5">
        <v>55.666742300000003</v>
      </c>
      <c r="N13" s="5" t="s">
        <v>4158</v>
      </c>
      <c r="O13" s="5">
        <v>11</v>
      </c>
      <c r="P13" s="5"/>
      <c r="Q13" s="5"/>
      <c r="R13" s="2">
        <v>2.0892307692307694E-6</v>
      </c>
      <c r="S13" s="2">
        <v>9.0734043178067099E-7</v>
      </c>
      <c r="T13" s="6">
        <v>13</v>
      </c>
      <c r="U13" s="2">
        <v>15.843544470000003</v>
      </c>
    </row>
    <row r="14" spans="1:39">
      <c r="A14" s="5" t="s">
        <v>50</v>
      </c>
      <c r="B14" s="5" t="s">
        <v>19</v>
      </c>
      <c r="C14" s="5" t="s">
        <v>51</v>
      </c>
      <c r="D14" s="5" t="s">
        <v>22</v>
      </c>
      <c r="E14" s="5" t="s">
        <v>33</v>
      </c>
      <c r="F14" s="5" t="s">
        <v>4202</v>
      </c>
      <c r="G14" s="5" t="s">
        <v>34</v>
      </c>
      <c r="H14" s="5" t="s">
        <v>52</v>
      </c>
      <c r="I14" s="5" t="s">
        <v>53</v>
      </c>
      <c r="J14" s="5" t="s">
        <v>54</v>
      </c>
      <c r="K14" s="5" t="s">
        <v>20</v>
      </c>
      <c r="L14" s="5">
        <v>43.500752439999999</v>
      </c>
      <c r="M14" s="5">
        <v>43.500752439999999</v>
      </c>
      <c r="N14" s="5" t="s">
        <v>4157</v>
      </c>
      <c r="O14" s="5">
        <v>25</v>
      </c>
      <c r="P14" s="5">
        <v>7884000</v>
      </c>
      <c r="Q14" s="5">
        <v>6.896746670692953</v>
      </c>
      <c r="R14" s="2">
        <v>4.2950000000000002E-3</v>
      </c>
      <c r="S14" s="2">
        <v>1.861227908780883E-3</v>
      </c>
      <c r="T14" s="6">
        <v>4</v>
      </c>
      <c r="U14" s="2">
        <v>33.17170643</v>
      </c>
    </row>
    <row r="15" spans="1:39">
      <c r="A15" s="5" t="s">
        <v>55</v>
      </c>
      <c r="B15" s="5" t="s">
        <v>19</v>
      </c>
      <c r="C15" s="5" t="s">
        <v>56</v>
      </c>
      <c r="D15" s="5" t="s">
        <v>22</v>
      </c>
      <c r="E15" s="5" t="s">
        <v>33</v>
      </c>
      <c r="F15" s="5" t="s">
        <v>4202</v>
      </c>
      <c r="G15" s="5" t="s">
        <v>34</v>
      </c>
      <c r="H15" s="5" t="s">
        <v>52</v>
      </c>
      <c r="I15" s="5" t="s">
        <v>57</v>
      </c>
      <c r="J15" s="5" t="s">
        <v>58</v>
      </c>
      <c r="K15" s="5" t="s">
        <v>31</v>
      </c>
      <c r="L15" s="5">
        <v>43.500752439999999</v>
      </c>
      <c r="M15" s="5">
        <v>43.500752439999999</v>
      </c>
      <c r="N15" s="5" t="s">
        <v>4157</v>
      </c>
      <c r="O15" s="5">
        <v>25</v>
      </c>
      <c r="P15" s="5">
        <v>7884000</v>
      </c>
      <c r="Q15" s="5">
        <v>6.896746670692953</v>
      </c>
      <c r="R15" s="2">
        <v>6.1425000000000004E-3</v>
      </c>
      <c r="S15" s="2">
        <v>2.6590930998470338E-3</v>
      </c>
      <c r="T15" s="6">
        <v>4</v>
      </c>
      <c r="U15" s="2">
        <v>35.959814209999998</v>
      </c>
    </row>
    <row r="16" spans="1:39">
      <c r="A16" s="5" t="s">
        <v>59</v>
      </c>
      <c r="B16" s="5" t="s">
        <v>19</v>
      </c>
      <c r="C16" s="5" t="s">
        <v>60</v>
      </c>
      <c r="D16" s="5" t="s">
        <v>22</v>
      </c>
      <c r="E16" s="5" t="s">
        <v>33</v>
      </c>
      <c r="F16" s="5" t="s">
        <v>4202</v>
      </c>
      <c r="G16" s="5" t="s">
        <v>34</v>
      </c>
      <c r="H16" s="5" t="s">
        <v>61</v>
      </c>
      <c r="I16" s="5" t="s">
        <v>62</v>
      </c>
      <c r="J16" s="5" t="s">
        <v>63</v>
      </c>
      <c r="K16" s="5" t="s">
        <v>20</v>
      </c>
      <c r="L16" s="5">
        <v>49.369854869999998</v>
      </c>
      <c r="M16" s="5">
        <v>49.369854869999998</v>
      </c>
      <c r="N16" s="5" t="s">
        <v>4158</v>
      </c>
      <c r="O16" s="5">
        <v>15</v>
      </c>
      <c r="P16" s="5">
        <v>24982600</v>
      </c>
      <c r="Q16" s="5">
        <v>7.39763765185808</v>
      </c>
      <c r="R16" s="2">
        <v>4.8928571428571425E-2</v>
      </c>
      <c r="S16" s="2">
        <v>2.0736877671022228E-2</v>
      </c>
      <c r="T16" s="6">
        <v>7</v>
      </c>
      <c r="U16" s="2">
        <v>19.633439769999999</v>
      </c>
    </row>
    <row r="17" spans="1:21">
      <c r="A17" s="5" t="s">
        <v>64</v>
      </c>
      <c r="B17" s="5" t="s">
        <v>19</v>
      </c>
      <c r="C17" s="5" t="s">
        <v>65</v>
      </c>
      <c r="D17" s="5" t="s">
        <v>22</v>
      </c>
      <c r="E17" s="5" t="s">
        <v>33</v>
      </c>
      <c r="F17" s="5" t="s">
        <v>4202</v>
      </c>
      <c r="G17" s="5" t="s">
        <v>34</v>
      </c>
      <c r="H17" s="5" t="s">
        <v>66</v>
      </c>
      <c r="I17" s="5" t="s">
        <v>67</v>
      </c>
      <c r="J17" s="5" t="s">
        <v>68</v>
      </c>
      <c r="K17" s="5" t="s">
        <v>31</v>
      </c>
      <c r="L17" s="5">
        <v>42.2708333</v>
      </c>
      <c r="M17" s="5">
        <v>42.2708333</v>
      </c>
      <c r="N17" s="5" t="s">
        <v>4157</v>
      </c>
      <c r="O17" s="5">
        <v>25.5</v>
      </c>
      <c r="P17" s="5">
        <v>10800</v>
      </c>
      <c r="Q17" s="5">
        <v>4.033463966077405</v>
      </c>
      <c r="R17" s="2">
        <v>3.2800000000000003E-7</v>
      </c>
      <c r="S17" s="2">
        <v>1.4244856672415702E-7</v>
      </c>
      <c r="T17" s="6">
        <v>7</v>
      </c>
      <c r="U17" s="2">
        <v>28.475177809999998</v>
      </c>
    </row>
    <row r="18" spans="1:21">
      <c r="A18" s="5" t="s">
        <v>158</v>
      </c>
      <c r="B18" s="5" t="s">
        <v>30</v>
      </c>
      <c r="C18" s="5" t="s">
        <v>159</v>
      </c>
      <c r="D18" s="5" t="s">
        <v>22</v>
      </c>
      <c r="E18" s="5" t="s">
        <v>91</v>
      </c>
      <c r="F18" s="5" t="s">
        <v>4201</v>
      </c>
      <c r="G18" s="5" t="s">
        <v>92</v>
      </c>
      <c r="H18" s="5" t="s">
        <v>160</v>
      </c>
      <c r="I18" s="5" t="s">
        <v>161</v>
      </c>
      <c r="J18" s="5" t="s">
        <v>162</v>
      </c>
      <c r="K18" s="5" t="s">
        <v>31</v>
      </c>
      <c r="L18" s="5">
        <v>57.027652779999997</v>
      </c>
      <c r="M18" s="5">
        <v>57.027652779999997</v>
      </c>
      <c r="N18" s="5" t="s">
        <v>4158</v>
      </c>
      <c r="O18" s="5">
        <v>23</v>
      </c>
      <c r="P18" s="5"/>
      <c r="Q18" s="5"/>
      <c r="R18" s="2">
        <v>1.7699863E-2</v>
      </c>
      <c r="S18" s="2">
        <v>7.6197160538600409E-3</v>
      </c>
      <c r="T18" s="6">
        <v>7</v>
      </c>
      <c r="U18" s="2">
        <v>19.17465494</v>
      </c>
    </row>
    <row r="19" spans="1:21">
      <c r="A19" s="5" t="s">
        <v>277</v>
      </c>
      <c r="B19" s="5" t="s">
        <v>30</v>
      </c>
      <c r="C19" s="5" t="s">
        <v>164</v>
      </c>
      <c r="D19" s="5" t="s">
        <v>22</v>
      </c>
      <c r="E19" s="5" t="s">
        <v>91</v>
      </c>
      <c r="F19" s="5" t="s">
        <v>4201</v>
      </c>
      <c r="G19" s="5" t="s">
        <v>92</v>
      </c>
      <c r="H19" s="5" t="s">
        <v>160</v>
      </c>
      <c r="I19" s="5" t="s">
        <v>161</v>
      </c>
      <c r="J19" s="5" t="s">
        <v>165</v>
      </c>
      <c r="K19" s="5" t="s">
        <v>31</v>
      </c>
      <c r="L19" s="5">
        <v>57.027652779999997</v>
      </c>
      <c r="M19" s="5">
        <v>57.027652779999997</v>
      </c>
      <c r="N19" s="5" t="s">
        <v>4158</v>
      </c>
      <c r="O19" s="5">
        <v>18.5</v>
      </c>
      <c r="P19" s="5"/>
      <c r="Q19" s="5"/>
      <c r="R19" s="2">
        <v>1.7699863E-2</v>
      </c>
      <c r="S19" s="2">
        <v>7.6197160538600409E-3</v>
      </c>
      <c r="T19" s="6">
        <v>7</v>
      </c>
      <c r="U19" s="2">
        <v>6.9230221939999987</v>
      </c>
    </row>
    <row r="20" spans="1:21">
      <c r="A20" s="5" t="s">
        <v>196</v>
      </c>
      <c r="B20" s="5" t="s">
        <v>19</v>
      </c>
      <c r="C20" s="5" t="s">
        <v>193</v>
      </c>
      <c r="D20" s="5" t="s">
        <v>22</v>
      </c>
      <c r="E20" s="5" t="s">
        <v>23</v>
      </c>
      <c r="F20" s="5" t="s">
        <v>4185</v>
      </c>
      <c r="G20" s="5" t="s">
        <v>24</v>
      </c>
      <c r="H20" s="5" t="s">
        <v>119</v>
      </c>
      <c r="I20" s="5" t="s">
        <v>194</v>
      </c>
      <c r="J20" s="5" t="s">
        <v>195</v>
      </c>
      <c r="K20" s="5" t="s">
        <v>20</v>
      </c>
      <c r="L20" s="5">
        <v>44.323848069999997</v>
      </c>
      <c r="M20" s="5">
        <v>44.323848069999997</v>
      </c>
      <c r="N20" s="5" t="s">
        <v>4157</v>
      </c>
      <c r="O20" s="5">
        <v>15</v>
      </c>
      <c r="P20" s="5"/>
      <c r="Q20" s="5"/>
      <c r="R20" s="2">
        <v>7.7000000000000001E-8</v>
      </c>
      <c r="S20" s="2">
        <v>3.3440673789428685E-8</v>
      </c>
      <c r="T20" s="6">
        <v>3</v>
      </c>
      <c r="U20" s="2">
        <v>18.084532090000003</v>
      </c>
    </row>
    <row r="21" spans="1:21">
      <c r="A21" s="5" t="s">
        <v>80</v>
      </c>
      <c r="B21" s="5" t="s">
        <v>19</v>
      </c>
      <c r="C21" s="5" t="s">
        <v>74</v>
      </c>
      <c r="D21" s="5" t="s">
        <v>22</v>
      </c>
      <c r="E21" s="5" t="s">
        <v>33</v>
      </c>
      <c r="F21" s="5" t="s">
        <v>4202</v>
      </c>
      <c r="G21" s="5" t="s">
        <v>75</v>
      </c>
      <c r="H21" s="5" t="s">
        <v>76</v>
      </c>
      <c r="I21" s="5" t="s">
        <v>77</v>
      </c>
      <c r="J21" s="5" t="s">
        <v>78</v>
      </c>
      <c r="K21" s="5" t="s">
        <v>31</v>
      </c>
      <c r="L21" s="5">
        <v>44.323848069999997</v>
      </c>
      <c r="M21" s="5">
        <v>44.323848069999997</v>
      </c>
      <c r="N21" s="5" t="s">
        <v>4157</v>
      </c>
      <c r="O21" s="5">
        <v>15</v>
      </c>
      <c r="P21" s="5">
        <v>1209600</v>
      </c>
      <c r="Q21" s="5">
        <v>6.082642137196733</v>
      </c>
      <c r="R21" s="2">
        <v>1.730333333333333E-4</v>
      </c>
      <c r="S21" s="2">
        <v>7.5138616750032391E-5</v>
      </c>
      <c r="T21" s="6">
        <v>3</v>
      </c>
      <c r="U21" s="2">
        <v>18.084532090000003</v>
      </c>
    </row>
    <row r="22" spans="1:21">
      <c r="A22" s="5" t="s">
        <v>81</v>
      </c>
      <c r="B22" s="5" t="s">
        <v>41</v>
      </c>
      <c r="C22" s="5" t="s">
        <v>82</v>
      </c>
      <c r="D22" s="5" t="s">
        <v>22</v>
      </c>
      <c r="E22" s="5" t="s">
        <v>23</v>
      </c>
      <c r="F22" s="5" t="s">
        <v>4185</v>
      </c>
      <c r="G22" s="5" t="s">
        <v>24</v>
      </c>
      <c r="H22" s="5" t="s">
        <v>83</v>
      </c>
      <c r="I22" s="5" t="s">
        <v>84</v>
      </c>
      <c r="J22" s="5" t="s">
        <v>85</v>
      </c>
      <c r="K22" s="5" t="s">
        <v>39</v>
      </c>
      <c r="L22" s="5">
        <v>39.183608</v>
      </c>
      <c r="M22" s="5">
        <v>39.183608</v>
      </c>
      <c r="N22" s="5" t="s">
        <v>4157</v>
      </c>
      <c r="O22" s="5">
        <v>30</v>
      </c>
      <c r="P22" s="5">
        <v>1728000</v>
      </c>
      <c r="Q22" s="5">
        <v>6.2375439894706268</v>
      </c>
      <c r="R22" s="2">
        <v>4.0399999999999996E-7</v>
      </c>
      <c r="S22" s="2">
        <v>1.7545493520288385E-7</v>
      </c>
      <c r="T22" s="6">
        <v>4</v>
      </c>
      <c r="U22" s="2">
        <v>30.609737320000011</v>
      </c>
    </row>
    <row r="23" spans="1:21">
      <c r="A23" s="5" t="s">
        <v>86</v>
      </c>
      <c r="B23" s="5" t="s">
        <v>41</v>
      </c>
      <c r="C23" s="5" t="s">
        <v>82</v>
      </c>
      <c r="D23" s="5" t="s">
        <v>22</v>
      </c>
      <c r="E23" s="5" t="s">
        <v>23</v>
      </c>
      <c r="F23" s="5" t="s">
        <v>4185</v>
      </c>
      <c r="G23" s="5" t="s">
        <v>24</v>
      </c>
      <c r="H23" s="5" t="s">
        <v>83</v>
      </c>
      <c r="I23" s="5" t="s">
        <v>84</v>
      </c>
      <c r="J23" s="5" t="s">
        <v>85</v>
      </c>
      <c r="K23" s="5" t="s">
        <v>39</v>
      </c>
      <c r="L23" s="5">
        <v>39.183608</v>
      </c>
      <c r="M23" s="5">
        <v>39.183608</v>
      </c>
      <c r="N23" s="5" t="s">
        <v>4157</v>
      </c>
      <c r="O23" s="5">
        <v>30</v>
      </c>
      <c r="P23" s="5">
        <v>1728000</v>
      </c>
      <c r="Q23" s="5">
        <v>6.2375439894706268</v>
      </c>
      <c r="R23" s="2">
        <v>4.0399999999999996E-7</v>
      </c>
      <c r="S23" s="2">
        <v>1.7545493520288385E-7</v>
      </c>
      <c r="T23" s="6">
        <v>4</v>
      </c>
      <c r="U23" s="2">
        <v>29.606326350000007</v>
      </c>
    </row>
    <row r="24" spans="1:21">
      <c r="A24" s="5" t="s">
        <v>87</v>
      </c>
      <c r="B24" s="5" t="s">
        <v>41</v>
      </c>
      <c r="C24" s="5" t="s">
        <v>82</v>
      </c>
      <c r="D24" s="5" t="s">
        <v>22</v>
      </c>
      <c r="E24" s="5" t="s">
        <v>23</v>
      </c>
      <c r="F24" s="5" t="s">
        <v>4185</v>
      </c>
      <c r="G24" s="5" t="s">
        <v>24</v>
      </c>
      <c r="H24" s="5" t="s">
        <v>83</v>
      </c>
      <c r="I24" s="5" t="s">
        <v>84</v>
      </c>
      <c r="J24" s="5" t="s">
        <v>85</v>
      </c>
      <c r="K24" s="5" t="s">
        <v>39</v>
      </c>
      <c r="L24" s="5">
        <v>39.183608</v>
      </c>
      <c r="M24" s="5">
        <v>39.183608</v>
      </c>
      <c r="N24" s="5" t="s">
        <v>4157</v>
      </c>
      <c r="O24" s="5">
        <v>30</v>
      </c>
      <c r="P24" s="5">
        <v>1728000</v>
      </c>
      <c r="Q24" s="5">
        <v>6.2375439894706268</v>
      </c>
      <c r="R24" s="2">
        <v>4.0399999999999991E-7</v>
      </c>
      <c r="S24" s="2">
        <v>1.7545493520288385E-7</v>
      </c>
      <c r="T24" s="6">
        <v>4</v>
      </c>
      <c r="U24" s="2">
        <v>29.800578340000008</v>
      </c>
    </row>
    <row r="25" spans="1:21">
      <c r="A25" s="5" t="s">
        <v>89</v>
      </c>
      <c r="B25" s="5" t="s">
        <v>30</v>
      </c>
      <c r="C25" s="5" t="s">
        <v>90</v>
      </c>
      <c r="D25" s="5" t="s">
        <v>22</v>
      </c>
      <c r="E25" s="5" t="s">
        <v>91</v>
      </c>
      <c r="F25" s="5" t="s">
        <v>4201</v>
      </c>
      <c r="G25" s="5" t="s">
        <v>92</v>
      </c>
      <c r="H25" s="5" t="s">
        <v>93</v>
      </c>
      <c r="I25" s="5" t="s">
        <v>94</v>
      </c>
      <c r="J25" s="5" t="s">
        <v>95</v>
      </c>
      <c r="K25" s="5" t="s">
        <v>31</v>
      </c>
      <c r="L25" s="5">
        <v>55.329144409999998</v>
      </c>
      <c r="M25" s="5">
        <v>55.329144409999998</v>
      </c>
      <c r="N25" s="5" t="s">
        <v>4158</v>
      </c>
      <c r="O25" s="5">
        <v>14</v>
      </c>
      <c r="P25" s="5">
        <v>1900800</v>
      </c>
      <c r="Q25" s="5">
        <v>6.2789366517808807</v>
      </c>
      <c r="R25" s="2">
        <v>1.0981488000000005E-2</v>
      </c>
      <c r="S25" s="2">
        <v>4.7432033327861481E-3</v>
      </c>
      <c r="T25" s="6">
        <v>9</v>
      </c>
      <c r="U25" s="2">
        <v>20.390349629999999</v>
      </c>
    </row>
    <row r="26" spans="1:21">
      <c r="A26" s="5" t="s">
        <v>169</v>
      </c>
      <c r="B26" s="5" t="s">
        <v>30</v>
      </c>
      <c r="C26" s="5" t="s">
        <v>170</v>
      </c>
      <c r="D26" s="5" t="s">
        <v>22</v>
      </c>
      <c r="E26" s="5" t="s">
        <v>171</v>
      </c>
      <c r="F26" s="5" t="s">
        <v>4186</v>
      </c>
      <c r="G26" s="5" t="s">
        <v>172</v>
      </c>
      <c r="H26" s="5" t="s">
        <v>173</v>
      </c>
      <c r="I26" s="5" t="s">
        <v>174</v>
      </c>
      <c r="J26" s="5" t="s">
        <v>175</v>
      </c>
      <c r="K26" s="5" t="s">
        <v>31</v>
      </c>
      <c r="L26" s="5">
        <v>55.516192160000003</v>
      </c>
      <c r="M26" s="5">
        <v>55.516192160000003</v>
      </c>
      <c r="N26" s="5" t="s">
        <v>4158</v>
      </c>
      <c r="O26" s="5">
        <v>6.5</v>
      </c>
      <c r="P26" s="5"/>
      <c r="Q26" s="5"/>
      <c r="R26" s="2">
        <v>1.8819620000000002E-2</v>
      </c>
      <c r="S26" s="2">
        <v>8.0972998326933592E-3</v>
      </c>
      <c r="T26" s="6">
        <v>10</v>
      </c>
      <c r="U26" s="2">
        <v>13.678176529999998</v>
      </c>
    </row>
    <row r="27" spans="1:21">
      <c r="A27" s="5" t="s">
        <v>176</v>
      </c>
      <c r="B27" s="5" t="s">
        <v>30</v>
      </c>
      <c r="C27" s="5" t="s">
        <v>170</v>
      </c>
      <c r="D27" s="5" t="s">
        <v>22</v>
      </c>
      <c r="E27" s="5" t="s">
        <v>171</v>
      </c>
      <c r="F27" s="5" t="s">
        <v>4186</v>
      </c>
      <c r="G27" s="5" t="s">
        <v>172</v>
      </c>
      <c r="H27" s="5" t="s">
        <v>173</v>
      </c>
      <c r="I27" s="5" t="s">
        <v>174</v>
      </c>
      <c r="J27" s="5" t="s">
        <v>175</v>
      </c>
      <c r="K27" s="5" t="s">
        <v>31</v>
      </c>
      <c r="L27" s="5">
        <v>55.516192160000003</v>
      </c>
      <c r="M27" s="5">
        <v>55.516192160000003</v>
      </c>
      <c r="N27" s="5" t="s">
        <v>4158</v>
      </c>
      <c r="O27" s="5">
        <v>6.5</v>
      </c>
      <c r="P27" s="5"/>
      <c r="Q27" s="5"/>
      <c r="R27" s="2">
        <v>1.0030450999999998E-2</v>
      </c>
      <c r="S27" s="2">
        <v>4.3344673488934088E-3</v>
      </c>
      <c r="T27" s="6">
        <v>9</v>
      </c>
      <c r="U27" s="2">
        <v>13.31998179</v>
      </c>
    </row>
    <row r="28" spans="1:21">
      <c r="A28" s="5" t="s">
        <v>96</v>
      </c>
      <c r="B28" s="5" t="s">
        <v>19</v>
      </c>
      <c r="C28" s="5" t="s">
        <v>97</v>
      </c>
      <c r="D28" s="5" t="s">
        <v>22</v>
      </c>
      <c r="E28" s="5" t="s">
        <v>33</v>
      </c>
      <c r="F28" s="5" t="s">
        <v>4202</v>
      </c>
      <c r="G28" s="5" t="s">
        <v>43</v>
      </c>
      <c r="H28" s="5" t="s">
        <v>44</v>
      </c>
      <c r="I28" s="5" t="s">
        <v>71</v>
      </c>
      <c r="J28" s="5" t="s">
        <v>98</v>
      </c>
      <c r="K28" s="5" t="s">
        <v>20</v>
      </c>
      <c r="L28" s="5">
        <v>46.965259000000003</v>
      </c>
      <c r="M28" s="5">
        <v>46.965259000000003</v>
      </c>
      <c r="N28" s="5" t="s">
        <v>4158</v>
      </c>
      <c r="O28" s="5">
        <v>22.5</v>
      </c>
      <c r="P28" s="5">
        <v>2628000</v>
      </c>
      <c r="Q28" s="5">
        <v>6.4196255261443635</v>
      </c>
      <c r="R28" s="2">
        <v>6.7000000000000004E-2</v>
      </c>
      <c r="S28" s="2">
        <v>2.8164419424469872E-2</v>
      </c>
      <c r="T28" s="6">
        <v>7</v>
      </c>
      <c r="U28" s="2">
        <v>31.05062264</v>
      </c>
    </row>
    <row r="29" spans="1:21">
      <c r="A29" s="5" t="s">
        <v>99</v>
      </c>
      <c r="B29" s="5" t="s">
        <v>41</v>
      </c>
      <c r="C29" s="5" t="s">
        <v>100</v>
      </c>
      <c r="D29" s="5" t="s">
        <v>22</v>
      </c>
      <c r="E29" s="5" t="s">
        <v>33</v>
      </c>
      <c r="F29" s="5" t="s">
        <v>4202</v>
      </c>
      <c r="G29" s="5" t="s">
        <v>75</v>
      </c>
      <c r="H29" s="5" t="s">
        <v>76</v>
      </c>
      <c r="I29" s="5" t="s">
        <v>101</v>
      </c>
      <c r="J29" s="5" t="s">
        <v>102</v>
      </c>
      <c r="K29" s="5" t="s">
        <v>20</v>
      </c>
      <c r="L29" s="5">
        <v>-34.903331000000001</v>
      </c>
      <c r="M29" s="5">
        <v>34.903331000000001</v>
      </c>
      <c r="N29" s="5" t="s">
        <v>4157</v>
      </c>
      <c r="O29" s="5">
        <v>30</v>
      </c>
      <c r="P29" s="5">
        <v>21600</v>
      </c>
      <c r="Q29" s="5">
        <v>4.3344738569115373</v>
      </c>
      <c r="R29" s="2">
        <v>7.6600000000000001E-3</v>
      </c>
      <c r="S29" s="2">
        <v>3.3140191804931127E-3</v>
      </c>
      <c r="T29" s="6">
        <v>6</v>
      </c>
      <c r="U29" s="2">
        <v>29.192883919999996</v>
      </c>
    </row>
    <row r="30" spans="1:21">
      <c r="A30" s="5" t="s">
        <v>103</v>
      </c>
      <c r="B30" s="5" t="s">
        <v>41</v>
      </c>
      <c r="C30" s="5" t="s">
        <v>100</v>
      </c>
      <c r="D30" s="5" t="s">
        <v>22</v>
      </c>
      <c r="E30" s="5" t="s">
        <v>33</v>
      </c>
      <c r="F30" s="5" t="s">
        <v>4202</v>
      </c>
      <c r="G30" s="5" t="s">
        <v>75</v>
      </c>
      <c r="H30" s="5" t="s">
        <v>76</v>
      </c>
      <c r="I30" s="5" t="s">
        <v>101</v>
      </c>
      <c r="J30" s="5" t="s">
        <v>102</v>
      </c>
      <c r="K30" s="5" t="s">
        <v>20</v>
      </c>
      <c r="L30" s="5">
        <v>-34.903331000000001</v>
      </c>
      <c r="M30" s="5">
        <v>34.903331000000001</v>
      </c>
      <c r="N30" s="5" t="s">
        <v>4157</v>
      </c>
      <c r="O30" s="5">
        <v>9</v>
      </c>
      <c r="P30" s="5">
        <v>21600</v>
      </c>
      <c r="Q30" s="5">
        <v>4.3344738569115373</v>
      </c>
      <c r="R30" s="2">
        <v>7.6600000000000001E-3</v>
      </c>
      <c r="S30" s="2">
        <v>3.3140191804931123E-3</v>
      </c>
      <c r="T30" s="6">
        <v>7</v>
      </c>
      <c r="U30" s="2">
        <v>31.671637570000001</v>
      </c>
    </row>
    <row r="31" spans="1:21">
      <c r="A31" s="5" t="s">
        <v>104</v>
      </c>
      <c r="B31" s="5" t="s">
        <v>30</v>
      </c>
      <c r="C31" s="5" t="s">
        <v>105</v>
      </c>
      <c r="D31" s="5" t="s">
        <v>22</v>
      </c>
      <c r="E31" s="5" t="s">
        <v>91</v>
      </c>
      <c r="F31" s="5" t="s">
        <v>4201</v>
      </c>
      <c r="G31" s="5" t="s">
        <v>92</v>
      </c>
      <c r="H31" s="5" t="s">
        <v>106</v>
      </c>
      <c r="I31" s="5" t="s">
        <v>107</v>
      </c>
      <c r="J31" s="5" t="s">
        <v>108</v>
      </c>
      <c r="K31" s="5" t="s">
        <v>31</v>
      </c>
      <c r="L31" s="5">
        <v>52.90248295</v>
      </c>
      <c r="M31" s="5">
        <v>52.90248295</v>
      </c>
      <c r="N31" s="5" t="s">
        <v>4158</v>
      </c>
      <c r="O31" s="5">
        <v>15</v>
      </c>
      <c r="P31" s="5">
        <v>2419200</v>
      </c>
      <c r="Q31" s="5">
        <v>6.3836719533409507</v>
      </c>
      <c r="R31" s="2">
        <v>3.3284223000000002E-2</v>
      </c>
      <c r="S31" s="2">
        <v>1.4219798288532098E-2</v>
      </c>
      <c r="T31" s="6">
        <v>4</v>
      </c>
      <c r="U31" s="2">
        <v>22.37575597</v>
      </c>
    </row>
    <row r="32" spans="1:21">
      <c r="A32" s="5" t="s">
        <v>109</v>
      </c>
      <c r="B32" s="5" t="s">
        <v>30</v>
      </c>
      <c r="C32" s="5" t="s">
        <v>105</v>
      </c>
      <c r="D32" s="5" t="s">
        <v>22</v>
      </c>
      <c r="E32" s="5" t="s">
        <v>91</v>
      </c>
      <c r="F32" s="5" t="s">
        <v>4201</v>
      </c>
      <c r="G32" s="5" t="s">
        <v>92</v>
      </c>
      <c r="H32" s="5" t="s">
        <v>106</v>
      </c>
      <c r="I32" s="5" t="s">
        <v>107</v>
      </c>
      <c r="J32" s="5" t="s">
        <v>108</v>
      </c>
      <c r="K32" s="5" t="s">
        <v>31</v>
      </c>
      <c r="L32" s="5">
        <v>52.90248295</v>
      </c>
      <c r="M32" s="5">
        <v>52.90248295</v>
      </c>
      <c r="N32" s="5" t="s">
        <v>4158</v>
      </c>
      <c r="O32" s="5">
        <v>15</v>
      </c>
      <c r="P32" s="5">
        <v>2419200</v>
      </c>
      <c r="Q32" s="5">
        <v>6.3836719533409507</v>
      </c>
      <c r="R32" s="2">
        <v>3.3284223000000002E-2</v>
      </c>
      <c r="S32" s="2">
        <v>1.4219798288532098E-2</v>
      </c>
      <c r="T32" s="6">
        <v>4</v>
      </c>
      <c r="U32" s="2">
        <v>22.30227017</v>
      </c>
    </row>
    <row r="33" spans="1:21">
      <c r="A33" s="5" t="s">
        <v>110</v>
      </c>
      <c r="B33" s="5" t="s">
        <v>30</v>
      </c>
      <c r="C33" s="5" t="s">
        <v>105</v>
      </c>
      <c r="D33" s="5" t="s">
        <v>22</v>
      </c>
      <c r="E33" s="5" t="s">
        <v>91</v>
      </c>
      <c r="F33" s="5" t="s">
        <v>4201</v>
      </c>
      <c r="G33" s="5" t="s">
        <v>92</v>
      </c>
      <c r="H33" s="5" t="s">
        <v>106</v>
      </c>
      <c r="I33" s="5" t="s">
        <v>107</v>
      </c>
      <c r="J33" s="5" t="s">
        <v>108</v>
      </c>
      <c r="K33" s="5" t="s">
        <v>31</v>
      </c>
      <c r="L33" s="5">
        <v>52.90248295</v>
      </c>
      <c r="M33" s="5">
        <v>52.90248295</v>
      </c>
      <c r="N33" s="5" t="s">
        <v>4158</v>
      </c>
      <c r="O33" s="5">
        <v>15</v>
      </c>
      <c r="P33" s="5">
        <v>2419200</v>
      </c>
      <c r="Q33" s="5">
        <v>6.3836719533409507</v>
      </c>
      <c r="R33" s="2">
        <v>3.3284223000000002E-2</v>
      </c>
      <c r="S33" s="2">
        <v>1.4219798288532098E-2</v>
      </c>
      <c r="T33" s="6">
        <v>4</v>
      </c>
      <c r="U33" s="2">
        <v>22.428496519999999</v>
      </c>
    </row>
    <row r="34" spans="1:21">
      <c r="A34" s="5" t="s">
        <v>187</v>
      </c>
      <c r="B34" s="5" t="s">
        <v>41</v>
      </c>
      <c r="C34" s="5" t="s">
        <v>188</v>
      </c>
      <c r="D34" s="5" t="s">
        <v>22</v>
      </c>
      <c r="E34" s="5" t="s">
        <v>23</v>
      </c>
      <c r="F34" s="5" t="s">
        <v>4185</v>
      </c>
      <c r="G34" s="5" t="s">
        <v>24</v>
      </c>
      <c r="H34" s="5" t="s">
        <v>189</v>
      </c>
      <c r="I34" s="5" t="s">
        <v>190</v>
      </c>
      <c r="J34" s="5" t="s">
        <v>191</v>
      </c>
      <c r="K34" s="5" t="s">
        <v>20</v>
      </c>
      <c r="L34" s="5">
        <v>48.421910109999999</v>
      </c>
      <c r="M34" s="5">
        <v>48.421910109999999</v>
      </c>
      <c r="N34" s="5" t="s">
        <v>4158</v>
      </c>
      <c r="O34" s="5">
        <v>22</v>
      </c>
      <c r="P34" s="5"/>
      <c r="Q34" s="5"/>
      <c r="R34" s="2">
        <v>5.8300000000000007E-7</v>
      </c>
      <c r="S34" s="2">
        <v>2.5319360916709919E-7</v>
      </c>
      <c r="T34" s="6">
        <v>7</v>
      </c>
      <c r="U34" s="2">
        <v>29.526979950000001</v>
      </c>
    </row>
    <row r="35" spans="1:21">
      <c r="A35" s="5" t="s">
        <v>111</v>
      </c>
      <c r="B35" s="5" t="s">
        <v>41</v>
      </c>
      <c r="C35" s="5" t="s">
        <v>112</v>
      </c>
      <c r="D35" s="5" t="s">
        <v>22</v>
      </c>
      <c r="E35" s="5" t="s">
        <v>33</v>
      </c>
      <c r="F35" s="5" t="s">
        <v>4202</v>
      </c>
      <c r="G35" s="5" t="s">
        <v>43</v>
      </c>
      <c r="H35" s="5" t="s">
        <v>44</v>
      </c>
      <c r="I35" s="5" t="s">
        <v>113</v>
      </c>
      <c r="J35" s="5" t="s">
        <v>114</v>
      </c>
      <c r="K35" s="5" t="s">
        <v>31</v>
      </c>
      <c r="L35" s="5">
        <v>26.012360959999999</v>
      </c>
      <c r="M35" s="5">
        <v>26.012360959999999</v>
      </c>
      <c r="N35" s="5" t="s">
        <v>4159</v>
      </c>
      <c r="O35" s="5">
        <v>28</v>
      </c>
      <c r="P35" s="5">
        <v>1209600</v>
      </c>
      <c r="Q35" s="5">
        <v>6.082642137196733</v>
      </c>
      <c r="R35" s="2">
        <v>4.1000000000000003E-3</v>
      </c>
      <c r="S35" s="2">
        <v>1.7769670774395734E-3</v>
      </c>
      <c r="T35" s="6">
        <v>5</v>
      </c>
      <c r="U35" s="2">
        <v>33.790844620000001</v>
      </c>
    </row>
    <row r="36" spans="1:21">
      <c r="A36" s="5" t="s">
        <v>115</v>
      </c>
      <c r="B36" s="5" t="s">
        <v>41</v>
      </c>
      <c r="C36" s="5" t="s">
        <v>112</v>
      </c>
      <c r="D36" s="5" t="s">
        <v>22</v>
      </c>
      <c r="E36" s="5" t="s">
        <v>33</v>
      </c>
      <c r="F36" s="5" t="s">
        <v>4202</v>
      </c>
      <c r="G36" s="5" t="s">
        <v>43</v>
      </c>
      <c r="H36" s="5" t="s">
        <v>44</v>
      </c>
      <c r="I36" s="5" t="s">
        <v>113</v>
      </c>
      <c r="J36" s="5" t="s">
        <v>114</v>
      </c>
      <c r="K36" s="5" t="s">
        <v>31</v>
      </c>
      <c r="L36" s="5">
        <v>26.012360959999999</v>
      </c>
      <c r="M36" s="5">
        <v>26.012360959999999</v>
      </c>
      <c r="N36" s="5" t="s">
        <v>4159</v>
      </c>
      <c r="O36" s="5">
        <v>28</v>
      </c>
      <c r="P36" s="5">
        <v>1209600</v>
      </c>
      <c r="Q36" s="5">
        <v>6.082642137196733</v>
      </c>
      <c r="R36" s="2">
        <v>4.1000000000000003E-3</v>
      </c>
      <c r="S36" s="2">
        <v>1.7769670774395734E-3</v>
      </c>
      <c r="T36" s="6">
        <v>5</v>
      </c>
      <c r="U36" s="2">
        <v>33.006036450000003</v>
      </c>
    </row>
    <row r="37" spans="1:21">
      <c r="A37" s="5" t="s">
        <v>116</v>
      </c>
      <c r="B37" s="5" t="s">
        <v>19</v>
      </c>
      <c r="C37" s="5" t="s">
        <v>97</v>
      </c>
      <c r="D37" s="5" t="s">
        <v>22</v>
      </c>
      <c r="E37" s="5" t="s">
        <v>33</v>
      </c>
      <c r="F37" s="5" t="s">
        <v>4202</v>
      </c>
      <c r="G37" s="5" t="s">
        <v>43</v>
      </c>
      <c r="H37" s="5" t="s">
        <v>44</v>
      </c>
      <c r="I37" s="5" t="s">
        <v>71</v>
      </c>
      <c r="J37" s="5" t="s">
        <v>98</v>
      </c>
      <c r="K37" s="5" t="s">
        <v>20</v>
      </c>
      <c r="L37" s="5">
        <v>46.965259000000003</v>
      </c>
      <c r="M37" s="5">
        <v>46.965259000000003</v>
      </c>
      <c r="N37" s="5" t="s">
        <v>4158</v>
      </c>
      <c r="O37" s="5">
        <v>22.5</v>
      </c>
      <c r="P37" s="5">
        <v>2628000</v>
      </c>
      <c r="Q37" s="5">
        <v>6.4196255261443635</v>
      </c>
      <c r="R37" s="2">
        <v>6.7000000000000004E-2</v>
      </c>
      <c r="S37" s="2">
        <v>2.8164419424469872E-2</v>
      </c>
      <c r="T37" s="6">
        <v>7</v>
      </c>
      <c r="U37" s="2">
        <v>33.256203149999997</v>
      </c>
    </row>
    <row r="38" spans="1:21">
      <c r="A38" s="5" t="s">
        <v>222</v>
      </c>
      <c r="B38" s="5" t="s">
        <v>30</v>
      </c>
      <c r="C38" s="5" t="s">
        <v>211</v>
      </c>
      <c r="D38" s="5" t="s">
        <v>22</v>
      </c>
      <c r="E38" s="5" t="s">
        <v>91</v>
      </c>
      <c r="F38" s="5" t="s">
        <v>4201</v>
      </c>
      <c r="G38" s="5" t="s">
        <v>212</v>
      </c>
      <c r="H38" s="5" t="s">
        <v>213</v>
      </c>
      <c r="I38" s="5" t="s">
        <v>214</v>
      </c>
      <c r="J38" s="5" t="s">
        <v>215</v>
      </c>
      <c r="K38" s="5" t="s">
        <v>39</v>
      </c>
      <c r="L38" s="5">
        <v>-30.562260949999999</v>
      </c>
      <c r="M38" s="5">
        <v>30.562260949999999</v>
      </c>
      <c r="N38" s="5" t="s">
        <v>4157</v>
      </c>
      <c r="O38" s="5">
        <v>12</v>
      </c>
      <c r="P38" s="5"/>
      <c r="Q38" s="5"/>
      <c r="R38" s="2">
        <v>1.0349999999999999E-3</v>
      </c>
      <c r="S38" s="2">
        <v>4.4926233559549656E-4</v>
      </c>
      <c r="T38" s="6">
        <v>7</v>
      </c>
      <c r="U38" s="2">
        <v>21.139661970000002</v>
      </c>
    </row>
    <row r="39" spans="1:21">
      <c r="A39" s="5" t="s">
        <v>223</v>
      </c>
      <c r="B39" s="5" t="s">
        <v>30</v>
      </c>
      <c r="C39" s="5" t="s">
        <v>211</v>
      </c>
      <c r="D39" s="5" t="s">
        <v>22</v>
      </c>
      <c r="E39" s="5" t="s">
        <v>91</v>
      </c>
      <c r="F39" s="5" t="s">
        <v>4201</v>
      </c>
      <c r="G39" s="5" t="s">
        <v>212</v>
      </c>
      <c r="H39" s="5" t="s">
        <v>213</v>
      </c>
      <c r="I39" s="5" t="s">
        <v>214</v>
      </c>
      <c r="J39" s="5" t="s">
        <v>215</v>
      </c>
      <c r="K39" s="5" t="s">
        <v>39</v>
      </c>
      <c r="L39" s="5">
        <v>-30.562260949999999</v>
      </c>
      <c r="M39" s="5">
        <v>30.562260949999999</v>
      </c>
      <c r="N39" s="5" t="s">
        <v>4157</v>
      </c>
      <c r="O39" s="5">
        <v>12</v>
      </c>
      <c r="P39" s="5"/>
      <c r="Q39" s="5"/>
      <c r="R39" s="2">
        <v>3.2350000000000009E-3</v>
      </c>
      <c r="S39" s="2">
        <v>1.4026750433756255E-3</v>
      </c>
      <c r="T39" s="6">
        <v>7</v>
      </c>
      <c r="U39" s="2">
        <v>19.693310279999995</v>
      </c>
    </row>
    <row r="40" spans="1:21">
      <c r="A40" s="5" t="s">
        <v>210</v>
      </c>
      <c r="B40" s="5" t="s">
        <v>30</v>
      </c>
      <c r="C40" s="5" t="s">
        <v>211</v>
      </c>
      <c r="D40" s="5" t="s">
        <v>22</v>
      </c>
      <c r="E40" s="5" t="s">
        <v>91</v>
      </c>
      <c r="F40" s="5" t="s">
        <v>4201</v>
      </c>
      <c r="G40" s="5" t="s">
        <v>212</v>
      </c>
      <c r="H40" s="5" t="s">
        <v>213</v>
      </c>
      <c r="I40" s="5" t="s">
        <v>214</v>
      </c>
      <c r="J40" s="5" t="s">
        <v>215</v>
      </c>
      <c r="K40" s="5" t="s">
        <v>39</v>
      </c>
      <c r="L40" s="5">
        <v>-34.021933160000003</v>
      </c>
      <c r="M40" s="5">
        <v>34.021933160000003</v>
      </c>
      <c r="N40" s="5" t="s">
        <v>4157</v>
      </c>
      <c r="O40" s="5">
        <v>12</v>
      </c>
      <c r="P40" s="5"/>
      <c r="Q40" s="5"/>
      <c r="R40" s="2">
        <v>8.4950000000000008E-3</v>
      </c>
      <c r="S40" s="2">
        <v>3.6737493729860301E-3</v>
      </c>
      <c r="T40" s="6">
        <v>7</v>
      </c>
      <c r="U40" s="2">
        <v>20.214247709999999</v>
      </c>
    </row>
    <row r="41" spans="1:21">
      <c r="A41" s="5" t="s">
        <v>216</v>
      </c>
      <c r="B41" s="5" t="s">
        <v>30</v>
      </c>
      <c r="C41" s="5" t="s">
        <v>211</v>
      </c>
      <c r="D41" s="5" t="s">
        <v>22</v>
      </c>
      <c r="E41" s="5" t="s">
        <v>91</v>
      </c>
      <c r="F41" s="5" t="s">
        <v>4201</v>
      </c>
      <c r="G41" s="5" t="s">
        <v>212</v>
      </c>
      <c r="H41" s="5" t="s">
        <v>213</v>
      </c>
      <c r="I41" s="5" t="s">
        <v>214</v>
      </c>
      <c r="J41" s="5" t="s">
        <v>215</v>
      </c>
      <c r="K41" s="5" t="s">
        <v>39</v>
      </c>
      <c r="L41" s="5">
        <v>-34.021933160000003</v>
      </c>
      <c r="M41" s="5">
        <v>34.021933160000003</v>
      </c>
      <c r="N41" s="5" t="s">
        <v>4157</v>
      </c>
      <c r="O41" s="5">
        <v>12</v>
      </c>
      <c r="P41" s="5"/>
      <c r="Q41" s="5"/>
      <c r="R41" s="2">
        <v>5.3050000000000014E-2</v>
      </c>
      <c r="S41" s="2">
        <v>2.2448992466177157E-2</v>
      </c>
      <c r="T41" s="6">
        <v>7</v>
      </c>
      <c r="U41" s="2">
        <v>20.785875959999998</v>
      </c>
    </row>
    <row r="42" spans="1:21">
      <c r="A42" s="5" t="s">
        <v>163</v>
      </c>
      <c r="B42" s="5" t="s">
        <v>30</v>
      </c>
      <c r="C42" s="5" t="s">
        <v>164</v>
      </c>
      <c r="D42" s="5" t="s">
        <v>22</v>
      </c>
      <c r="E42" s="5" t="s">
        <v>91</v>
      </c>
      <c r="F42" s="5" t="s">
        <v>4201</v>
      </c>
      <c r="G42" s="5" t="s">
        <v>92</v>
      </c>
      <c r="H42" s="5" t="s">
        <v>160</v>
      </c>
      <c r="I42" s="5" t="s">
        <v>161</v>
      </c>
      <c r="J42" s="5" t="s">
        <v>165</v>
      </c>
      <c r="K42" s="5" t="s">
        <v>31</v>
      </c>
      <c r="L42" s="5">
        <v>57.027652779999997</v>
      </c>
      <c r="M42" s="5">
        <v>57.027652779999997</v>
      </c>
      <c r="N42" s="5" t="s">
        <v>4158</v>
      </c>
      <c r="O42" s="5">
        <v>18.5</v>
      </c>
      <c r="P42" s="5"/>
      <c r="Q42" s="5"/>
      <c r="R42" s="2">
        <v>1.7699863E-2</v>
      </c>
      <c r="S42" s="2">
        <v>7.6197160538600409E-3</v>
      </c>
      <c r="T42" s="6">
        <v>7</v>
      </c>
      <c r="U42" s="2">
        <v>19.455789169999999</v>
      </c>
    </row>
    <row r="43" spans="1:21">
      <c r="A43" s="5" t="s">
        <v>167</v>
      </c>
      <c r="B43" s="5" t="s">
        <v>30</v>
      </c>
      <c r="C43" s="5" t="s">
        <v>164</v>
      </c>
      <c r="D43" s="5" t="s">
        <v>22</v>
      </c>
      <c r="E43" s="5" t="s">
        <v>91</v>
      </c>
      <c r="F43" s="5" t="s">
        <v>4201</v>
      </c>
      <c r="G43" s="5" t="s">
        <v>92</v>
      </c>
      <c r="H43" s="5" t="s">
        <v>160</v>
      </c>
      <c r="I43" s="5" t="s">
        <v>161</v>
      </c>
      <c r="J43" s="5" t="s">
        <v>165</v>
      </c>
      <c r="K43" s="5" t="s">
        <v>31</v>
      </c>
      <c r="L43" s="5">
        <v>57.027652779999997</v>
      </c>
      <c r="M43" s="5">
        <v>57.027652779999997</v>
      </c>
      <c r="N43" s="5" t="s">
        <v>4158</v>
      </c>
      <c r="O43" s="5">
        <v>23</v>
      </c>
      <c r="P43" s="5"/>
      <c r="Q43" s="5"/>
      <c r="R43" s="2">
        <v>1.7699863E-2</v>
      </c>
      <c r="S43" s="2">
        <v>7.6197160538600409E-3</v>
      </c>
      <c r="T43" s="6">
        <v>7</v>
      </c>
      <c r="U43" s="2">
        <v>19.718076830000001</v>
      </c>
    </row>
    <row r="44" spans="1:21">
      <c r="A44" s="5" t="s">
        <v>122</v>
      </c>
      <c r="B44" s="5" t="s">
        <v>41</v>
      </c>
      <c r="C44" s="5" t="s">
        <v>118</v>
      </c>
      <c r="D44" s="5" t="s">
        <v>22</v>
      </c>
      <c r="E44" s="5" t="s">
        <v>23</v>
      </c>
      <c r="F44" s="5" t="s">
        <v>4185</v>
      </c>
      <c r="G44" s="5" t="s">
        <v>24</v>
      </c>
      <c r="H44" s="5" t="s">
        <v>119</v>
      </c>
      <c r="I44" s="5" t="s">
        <v>120</v>
      </c>
      <c r="J44" s="5" t="s">
        <v>121</v>
      </c>
      <c r="K44" s="5" t="s">
        <v>39</v>
      </c>
      <c r="L44" s="5">
        <v>35.696111000000002</v>
      </c>
      <c r="M44" s="5">
        <v>35.696111000000002</v>
      </c>
      <c r="N44" s="5" t="s">
        <v>4157</v>
      </c>
      <c r="O44" s="5">
        <v>25</v>
      </c>
      <c r="P44" s="5">
        <v>43200</v>
      </c>
      <c r="Q44" s="5">
        <v>4.6354937998115657</v>
      </c>
      <c r="R44" s="2">
        <v>1.24E-7</v>
      </c>
      <c r="S44" s="2">
        <v>5.38525124370183E-8</v>
      </c>
      <c r="T44" s="6">
        <v>5</v>
      </c>
      <c r="U44" s="2">
        <v>26.036903410000001</v>
      </c>
    </row>
    <row r="45" spans="1:21">
      <c r="A45" s="5" t="s">
        <v>248</v>
      </c>
      <c r="B45" s="5" t="s">
        <v>41</v>
      </c>
      <c r="C45" s="5" t="s">
        <v>235</v>
      </c>
      <c r="D45" s="5" t="s">
        <v>22</v>
      </c>
      <c r="E45" s="5" t="s">
        <v>23</v>
      </c>
      <c r="F45" s="5" t="s">
        <v>4185</v>
      </c>
      <c r="G45" s="5" t="s">
        <v>24</v>
      </c>
      <c r="H45" s="5" t="s">
        <v>189</v>
      </c>
      <c r="I45" s="5" t="s">
        <v>236</v>
      </c>
      <c r="J45" s="5" t="s">
        <v>237</v>
      </c>
      <c r="K45" s="5" t="s">
        <v>20</v>
      </c>
      <c r="L45" s="5">
        <v>8.9718972939999997</v>
      </c>
      <c r="M45" s="5">
        <v>8.9718972939999997</v>
      </c>
      <c r="N45" s="5" t="s">
        <v>4160</v>
      </c>
      <c r="O45" s="5">
        <v>25</v>
      </c>
      <c r="P45" s="5">
        <v>108000</v>
      </c>
      <c r="Q45" s="5">
        <v>5.0334277767135358</v>
      </c>
      <c r="R45" s="2">
        <v>5.489999999999999E-9</v>
      </c>
      <c r="S45" s="2">
        <v>2.384276703514459E-9</v>
      </c>
      <c r="T45" s="6">
        <v>6</v>
      </c>
      <c r="U45" s="2">
        <v>30.245489850000002</v>
      </c>
    </row>
    <row r="46" spans="1:21">
      <c r="A46" s="5" t="s">
        <v>249</v>
      </c>
      <c r="B46" s="5" t="s">
        <v>41</v>
      </c>
      <c r="C46" s="5" t="s">
        <v>246</v>
      </c>
      <c r="D46" s="5" t="s">
        <v>22</v>
      </c>
      <c r="E46" s="5" t="s">
        <v>23</v>
      </c>
      <c r="F46" s="5" t="s">
        <v>4185</v>
      </c>
      <c r="G46" s="5" t="s">
        <v>24</v>
      </c>
      <c r="H46" s="5" t="s">
        <v>241</v>
      </c>
      <c r="I46" s="5" t="s">
        <v>242</v>
      </c>
      <c r="J46" s="5" t="s">
        <v>247</v>
      </c>
      <c r="K46" s="5" t="s">
        <v>239</v>
      </c>
      <c r="L46" s="5">
        <v>8.9718972939999997</v>
      </c>
      <c r="M46" s="5">
        <v>8.9718972939999997</v>
      </c>
      <c r="N46" s="5" t="s">
        <v>4160</v>
      </c>
      <c r="O46" s="5">
        <v>25</v>
      </c>
      <c r="P46" s="5">
        <v>108000</v>
      </c>
      <c r="Q46" s="5">
        <v>5.0334277767135358</v>
      </c>
      <c r="R46" s="2">
        <v>1.2599999999999999E-8</v>
      </c>
      <c r="S46" s="2">
        <v>5.4721104081073946E-9</v>
      </c>
      <c r="T46" s="6">
        <v>6</v>
      </c>
      <c r="U46" s="2">
        <v>30.245489850000002</v>
      </c>
    </row>
    <row r="47" spans="1:21">
      <c r="A47" s="5" t="s">
        <v>254</v>
      </c>
      <c r="B47" s="5" t="s">
        <v>41</v>
      </c>
      <c r="C47" s="5" t="s">
        <v>235</v>
      </c>
      <c r="D47" s="5" t="s">
        <v>22</v>
      </c>
      <c r="E47" s="5" t="s">
        <v>23</v>
      </c>
      <c r="F47" s="5" t="s">
        <v>4185</v>
      </c>
      <c r="G47" s="5" t="s">
        <v>24</v>
      </c>
      <c r="H47" s="5" t="s">
        <v>189</v>
      </c>
      <c r="I47" s="5" t="s">
        <v>236</v>
      </c>
      <c r="J47" s="5" t="s">
        <v>237</v>
      </c>
      <c r="K47" s="5" t="s">
        <v>20</v>
      </c>
      <c r="L47" s="5">
        <v>8.9718972939999997</v>
      </c>
      <c r="M47" s="5">
        <v>8.9718972939999997</v>
      </c>
      <c r="N47" s="5" t="s">
        <v>4160</v>
      </c>
      <c r="O47" s="5">
        <v>25</v>
      </c>
      <c r="P47" s="5">
        <v>108000</v>
      </c>
      <c r="Q47" s="5">
        <v>5.0334277767135358</v>
      </c>
      <c r="R47" s="2">
        <v>5.489999999999999E-9</v>
      </c>
      <c r="S47" s="2">
        <v>2.384276703514459E-9</v>
      </c>
      <c r="T47" s="6">
        <v>6</v>
      </c>
      <c r="U47" s="2">
        <v>30.223985859999999</v>
      </c>
    </row>
    <row r="48" spans="1:21">
      <c r="A48" s="5" t="s">
        <v>255</v>
      </c>
      <c r="B48" s="5" t="s">
        <v>41</v>
      </c>
      <c r="C48" s="5" t="s">
        <v>252</v>
      </c>
      <c r="D48" s="5" t="s">
        <v>22</v>
      </c>
      <c r="E48" s="5" t="s">
        <v>23</v>
      </c>
      <c r="F48" s="5" t="s">
        <v>4185</v>
      </c>
      <c r="G48" s="5" t="s">
        <v>24</v>
      </c>
      <c r="H48" s="5" t="s">
        <v>241</v>
      </c>
      <c r="I48" s="5" t="s">
        <v>242</v>
      </c>
      <c r="J48" s="5" t="s">
        <v>253</v>
      </c>
      <c r="K48" s="5" t="s">
        <v>239</v>
      </c>
      <c r="L48" s="5">
        <v>8.9718972939999997</v>
      </c>
      <c r="M48" s="5">
        <v>8.9718972939999997</v>
      </c>
      <c r="N48" s="5" t="s">
        <v>4160</v>
      </c>
      <c r="O48" s="5">
        <v>25</v>
      </c>
      <c r="P48" s="5">
        <v>108000</v>
      </c>
      <c r="Q48" s="5">
        <v>5.0334277767135358</v>
      </c>
      <c r="R48" s="2">
        <v>1.2599999999999999E-8</v>
      </c>
      <c r="S48" s="2">
        <v>5.4721104081073946E-9</v>
      </c>
      <c r="T48" s="6">
        <v>6</v>
      </c>
      <c r="U48" s="2">
        <v>30.223985859999999</v>
      </c>
    </row>
    <row r="49" spans="1:21">
      <c r="A49" s="5" t="s">
        <v>256</v>
      </c>
      <c r="B49" s="5" t="s">
        <v>41</v>
      </c>
      <c r="C49" s="5" t="s">
        <v>235</v>
      </c>
      <c r="D49" s="5" t="s">
        <v>22</v>
      </c>
      <c r="E49" s="5" t="s">
        <v>23</v>
      </c>
      <c r="F49" s="5" t="s">
        <v>4185</v>
      </c>
      <c r="G49" s="5" t="s">
        <v>24</v>
      </c>
      <c r="H49" s="5" t="s">
        <v>189</v>
      </c>
      <c r="I49" s="5" t="s">
        <v>236</v>
      </c>
      <c r="J49" s="5" t="s">
        <v>237</v>
      </c>
      <c r="K49" s="5" t="s">
        <v>20</v>
      </c>
      <c r="L49" s="5">
        <v>8.9718972939999997</v>
      </c>
      <c r="M49" s="5">
        <v>8.9718972939999997</v>
      </c>
      <c r="N49" s="5" t="s">
        <v>4160</v>
      </c>
      <c r="O49" s="5">
        <v>25</v>
      </c>
      <c r="P49" s="5">
        <v>108000</v>
      </c>
      <c r="Q49" s="5">
        <v>5.0334277767135358</v>
      </c>
      <c r="R49" s="2">
        <v>3.3500000000000002E-8</v>
      </c>
      <c r="S49" s="2">
        <v>1.4548864946650988E-8</v>
      </c>
      <c r="T49" s="6">
        <v>6</v>
      </c>
      <c r="U49" s="2">
        <v>29.686242950000004</v>
      </c>
    </row>
    <row r="50" spans="1:21">
      <c r="A50" s="5" t="s">
        <v>257</v>
      </c>
      <c r="B50" s="5" t="s">
        <v>41</v>
      </c>
      <c r="C50" s="5" t="s">
        <v>240</v>
      </c>
      <c r="D50" s="5" t="s">
        <v>22</v>
      </c>
      <c r="E50" s="5" t="s">
        <v>23</v>
      </c>
      <c r="F50" s="5" t="s">
        <v>4185</v>
      </c>
      <c r="G50" s="5" t="s">
        <v>24</v>
      </c>
      <c r="H50" s="5" t="s">
        <v>241</v>
      </c>
      <c r="I50" s="5" t="s">
        <v>242</v>
      </c>
      <c r="J50" s="5" t="s">
        <v>243</v>
      </c>
      <c r="K50" s="5" t="s">
        <v>239</v>
      </c>
      <c r="L50" s="5">
        <v>8.9718972939999997</v>
      </c>
      <c r="M50" s="5">
        <v>8.9718972939999997</v>
      </c>
      <c r="N50" s="5" t="s">
        <v>4160</v>
      </c>
      <c r="O50" s="5">
        <v>25</v>
      </c>
      <c r="P50" s="5">
        <v>108000</v>
      </c>
      <c r="Q50" s="5">
        <v>5.0334277767135358</v>
      </c>
      <c r="R50" s="2">
        <v>2.18E-8</v>
      </c>
      <c r="S50" s="2">
        <v>9.4676196141862322E-9</v>
      </c>
      <c r="T50" s="6">
        <v>6</v>
      </c>
      <c r="U50" s="2">
        <v>29.686242950000004</v>
      </c>
    </row>
    <row r="51" spans="1:21">
      <c r="A51" s="5" t="s">
        <v>258</v>
      </c>
      <c r="B51" s="5" t="s">
        <v>41</v>
      </c>
      <c r="C51" s="5" t="s">
        <v>235</v>
      </c>
      <c r="D51" s="5" t="s">
        <v>22</v>
      </c>
      <c r="E51" s="5" t="s">
        <v>23</v>
      </c>
      <c r="F51" s="5" t="s">
        <v>4185</v>
      </c>
      <c r="G51" s="5" t="s">
        <v>24</v>
      </c>
      <c r="H51" s="5" t="s">
        <v>189</v>
      </c>
      <c r="I51" s="5" t="s">
        <v>236</v>
      </c>
      <c r="J51" s="5" t="s">
        <v>237</v>
      </c>
      <c r="K51" s="5" t="s">
        <v>20</v>
      </c>
      <c r="L51" s="5">
        <v>8.9718972939999997</v>
      </c>
      <c r="M51" s="5">
        <v>8.9718972939999997</v>
      </c>
      <c r="N51" s="5" t="s">
        <v>4160</v>
      </c>
      <c r="O51" s="5">
        <v>25</v>
      </c>
      <c r="P51" s="5">
        <v>108000</v>
      </c>
      <c r="Q51" s="5">
        <v>5.0334277767135358</v>
      </c>
      <c r="R51" s="2">
        <v>3.3500000000000002E-8</v>
      </c>
      <c r="S51" s="2">
        <v>1.4548864946650988E-8</v>
      </c>
      <c r="T51" s="6">
        <v>6</v>
      </c>
      <c r="U51" s="2">
        <v>28.236458510000002</v>
      </c>
    </row>
    <row r="52" spans="1:21">
      <c r="A52" s="5" t="s">
        <v>259</v>
      </c>
      <c r="B52" s="5" t="s">
        <v>41</v>
      </c>
      <c r="C52" s="5" t="s">
        <v>240</v>
      </c>
      <c r="D52" s="5" t="s">
        <v>22</v>
      </c>
      <c r="E52" s="5" t="s">
        <v>23</v>
      </c>
      <c r="F52" s="5" t="s">
        <v>4185</v>
      </c>
      <c r="G52" s="5" t="s">
        <v>24</v>
      </c>
      <c r="H52" s="5" t="s">
        <v>241</v>
      </c>
      <c r="I52" s="5" t="s">
        <v>242</v>
      </c>
      <c r="J52" s="5" t="s">
        <v>243</v>
      </c>
      <c r="K52" s="5" t="s">
        <v>239</v>
      </c>
      <c r="L52" s="5">
        <v>8.9718972939999997</v>
      </c>
      <c r="M52" s="5">
        <v>8.9718972939999997</v>
      </c>
      <c r="N52" s="5" t="s">
        <v>4160</v>
      </c>
      <c r="O52" s="5">
        <v>25</v>
      </c>
      <c r="P52" s="5">
        <v>108000</v>
      </c>
      <c r="Q52" s="5">
        <v>5.0334277767135358</v>
      </c>
      <c r="R52" s="2">
        <v>2.18E-8</v>
      </c>
      <c r="S52" s="2">
        <v>9.4676196141862322E-9</v>
      </c>
      <c r="T52" s="6">
        <v>6</v>
      </c>
      <c r="U52" s="2">
        <v>28.236458510000002</v>
      </c>
    </row>
    <row r="53" spans="1:21">
      <c r="A53" s="5" t="s">
        <v>260</v>
      </c>
      <c r="B53" s="5" t="s">
        <v>41</v>
      </c>
      <c r="C53" s="5" t="s">
        <v>235</v>
      </c>
      <c r="D53" s="5" t="s">
        <v>22</v>
      </c>
      <c r="E53" s="5" t="s">
        <v>23</v>
      </c>
      <c r="F53" s="5" t="s">
        <v>4185</v>
      </c>
      <c r="G53" s="5" t="s">
        <v>24</v>
      </c>
      <c r="H53" s="5" t="s">
        <v>189</v>
      </c>
      <c r="I53" s="5" t="s">
        <v>236</v>
      </c>
      <c r="J53" s="5" t="s">
        <v>237</v>
      </c>
      <c r="K53" s="5" t="s">
        <v>20</v>
      </c>
      <c r="L53" s="5">
        <v>8.9718972939999997</v>
      </c>
      <c r="M53" s="5">
        <v>8.9718972939999997</v>
      </c>
      <c r="N53" s="5" t="s">
        <v>4160</v>
      </c>
      <c r="O53" s="5">
        <v>25</v>
      </c>
      <c r="P53" s="5">
        <v>108000</v>
      </c>
      <c r="Q53" s="5">
        <v>5.0334277767135358</v>
      </c>
      <c r="R53" s="2">
        <v>3.3500000000000002E-8</v>
      </c>
      <c r="S53" s="2">
        <v>1.4548864946650988E-8</v>
      </c>
      <c r="T53" s="6">
        <v>6</v>
      </c>
      <c r="U53" s="2">
        <v>28.736927739999999</v>
      </c>
    </row>
    <row r="54" spans="1:21">
      <c r="A54" s="5" t="s">
        <v>261</v>
      </c>
      <c r="B54" s="5" t="s">
        <v>41</v>
      </c>
      <c r="C54" s="5" t="s">
        <v>246</v>
      </c>
      <c r="D54" s="5" t="s">
        <v>22</v>
      </c>
      <c r="E54" s="5" t="s">
        <v>23</v>
      </c>
      <c r="F54" s="5" t="s">
        <v>4185</v>
      </c>
      <c r="G54" s="5" t="s">
        <v>24</v>
      </c>
      <c r="H54" s="5" t="s">
        <v>241</v>
      </c>
      <c r="I54" s="5" t="s">
        <v>242</v>
      </c>
      <c r="J54" s="5" t="s">
        <v>247</v>
      </c>
      <c r="K54" s="5" t="s">
        <v>239</v>
      </c>
      <c r="L54" s="5">
        <v>8.9718972939999997</v>
      </c>
      <c r="M54" s="5">
        <v>8.9718972939999997</v>
      </c>
      <c r="N54" s="5" t="s">
        <v>4160</v>
      </c>
      <c r="O54" s="5">
        <v>25</v>
      </c>
      <c r="P54" s="5">
        <v>108000</v>
      </c>
      <c r="Q54" s="5">
        <v>5.0334277767135358</v>
      </c>
      <c r="R54" s="2">
        <v>1.2599999999999999E-8</v>
      </c>
      <c r="S54" s="2">
        <v>5.4721104081073946E-9</v>
      </c>
      <c r="T54" s="6">
        <v>6</v>
      </c>
      <c r="U54" s="2">
        <v>28.736927739999999</v>
      </c>
    </row>
    <row r="55" spans="1:21">
      <c r="A55" s="5" t="s">
        <v>262</v>
      </c>
      <c r="B55" s="5" t="s">
        <v>41</v>
      </c>
      <c r="C55" s="5" t="s">
        <v>235</v>
      </c>
      <c r="D55" s="5" t="s">
        <v>22</v>
      </c>
      <c r="E55" s="5" t="s">
        <v>23</v>
      </c>
      <c r="F55" s="5" t="s">
        <v>4185</v>
      </c>
      <c r="G55" s="5" t="s">
        <v>24</v>
      </c>
      <c r="H55" s="5" t="s">
        <v>189</v>
      </c>
      <c r="I55" s="5" t="s">
        <v>236</v>
      </c>
      <c r="J55" s="5" t="s">
        <v>237</v>
      </c>
      <c r="K55" s="5" t="s">
        <v>20</v>
      </c>
      <c r="L55" s="5">
        <v>8.9718972939999997</v>
      </c>
      <c r="M55" s="5">
        <v>8.9718972939999997</v>
      </c>
      <c r="N55" s="5" t="s">
        <v>4160</v>
      </c>
      <c r="O55" s="5">
        <v>25</v>
      </c>
      <c r="P55" s="5">
        <v>108000</v>
      </c>
      <c r="Q55" s="5">
        <v>5.0334277767135358</v>
      </c>
      <c r="R55" s="2">
        <v>3.3500000000000002E-8</v>
      </c>
      <c r="S55" s="2">
        <v>1.4548864946650988E-8</v>
      </c>
      <c r="T55" s="6">
        <v>6</v>
      </c>
      <c r="U55" s="2">
        <v>27.737200229999996</v>
      </c>
    </row>
    <row r="56" spans="1:21">
      <c r="A56" s="5" t="s">
        <v>263</v>
      </c>
      <c r="B56" s="5" t="s">
        <v>41</v>
      </c>
      <c r="C56" s="5" t="s">
        <v>246</v>
      </c>
      <c r="D56" s="5" t="s">
        <v>22</v>
      </c>
      <c r="E56" s="5" t="s">
        <v>23</v>
      </c>
      <c r="F56" s="5" t="s">
        <v>4185</v>
      </c>
      <c r="G56" s="5" t="s">
        <v>24</v>
      </c>
      <c r="H56" s="5" t="s">
        <v>241</v>
      </c>
      <c r="I56" s="5" t="s">
        <v>242</v>
      </c>
      <c r="J56" s="5" t="s">
        <v>247</v>
      </c>
      <c r="K56" s="5" t="s">
        <v>239</v>
      </c>
      <c r="L56" s="5">
        <v>8.9718972939999997</v>
      </c>
      <c r="M56" s="5">
        <v>8.9718972939999997</v>
      </c>
      <c r="N56" s="5" t="s">
        <v>4160</v>
      </c>
      <c r="O56" s="5">
        <v>25</v>
      </c>
      <c r="P56" s="5">
        <v>108000</v>
      </c>
      <c r="Q56" s="5">
        <v>5.0334277767135358</v>
      </c>
      <c r="R56" s="2">
        <v>1.2599999999999999E-8</v>
      </c>
      <c r="S56" s="2">
        <v>5.4721104081073946E-9</v>
      </c>
      <c r="T56" s="6">
        <v>6</v>
      </c>
      <c r="U56" s="2">
        <v>27.737200229999996</v>
      </c>
    </row>
    <row r="57" spans="1:21">
      <c r="A57" s="5" t="s">
        <v>266</v>
      </c>
      <c r="B57" s="5" t="s">
        <v>41</v>
      </c>
      <c r="C57" s="5" t="s">
        <v>235</v>
      </c>
      <c r="D57" s="5" t="s">
        <v>22</v>
      </c>
      <c r="E57" s="5" t="s">
        <v>23</v>
      </c>
      <c r="F57" s="5" t="s">
        <v>4185</v>
      </c>
      <c r="G57" s="5" t="s">
        <v>24</v>
      </c>
      <c r="H57" s="5" t="s">
        <v>189</v>
      </c>
      <c r="I57" s="5" t="s">
        <v>236</v>
      </c>
      <c r="J57" s="5" t="s">
        <v>237</v>
      </c>
      <c r="K57" s="5" t="s">
        <v>20</v>
      </c>
      <c r="L57" s="5">
        <v>8.9718972939999997</v>
      </c>
      <c r="M57" s="5">
        <v>8.9718972939999997</v>
      </c>
      <c r="N57" s="5" t="s">
        <v>4160</v>
      </c>
      <c r="O57" s="5">
        <v>25</v>
      </c>
      <c r="P57" s="5">
        <v>108000</v>
      </c>
      <c r="Q57" s="5">
        <v>5.0334277767135358</v>
      </c>
      <c r="R57" s="2">
        <v>3.3500000000000002E-8</v>
      </c>
      <c r="S57" s="2">
        <v>1.4548864946650988E-8</v>
      </c>
      <c r="T57" s="6">
        <v>6</v>
      </c>
      <c r="U57" s="2">
        <v>27.762795740000001</v>
      </c>
    </row>
    <row r="58" spans="1:21">
      <c r="A58" s="5" t="s">
        <v>267</v>
      </c>
      <c r="B58" s="5" t="s">
        <v>41</v>
      </c>
      <c r="C58" s="5" t="s">
        <v>252</v>
      </c>
      <c r="D58" s="5" t="s">
        <v>22</v>
      </c>
      <c r="E58" s="5" t="s">
        <v>23</v>
      </c>
      <c r="F58" s="5" t="s">
        <v>4185</v>
      </c>
      <c r="G58" s="5" t="s">
        <v>24</v>
      </c>
      <c r="H58" s="5" t="s">
        <v>241</v>
      </c>
      <c r="I58" s="5" t="s">
        <v>242</v>
      </c>
      <c r="J58" s="5" t="s">
        <v>253</v>
      </c>
      <c r="K58" s="5" t="s">
        <v>239</v>
      </c>
      <c r="L58" s="5">
        <v>8.9718972939999997</v>
      </c>
      <c r="M58" s="5">
        <v>8.9718972939999997</v>
      </c>
      <c r="N58" s="5" t="s">
        <v>4160</v>
      </c>
      <c r="O58" s="5">
        <v>25</v>
      </c>
      <c r="P58" s="5">
        <v>108000</v>
      </c>
      <c r="Q58" s="5">
        <v>5.0334277767135358</v>
      </c>
      <c r="R58" s="2">
        <v>1.2599999999999999E-8</v>
      </c>
      <c r="S58" s="2">
        <v>5.4721104081073946E-9</v>
      </c>
      <c r="T58" s="6">
        <v>6</v>
      </c>
      <c r="U58" s="2">
        <v>27.762795740000001</v>
      </c>
    </row>
    <row r="59" spans="1:21">
      <c r="A59" s="5" t="s">
        <v>123</v>
      </c>
      <c r="B59" s="5" t="s">
        <v>41</v>
      </c>
      <c r="C59" s="5" t="s">
        <v>124</v>
      </c>
      <c r="D59" s="5" t="s">
        <v>125</v>
      </c>
      <c r="E59" s="5" t="s">
        <v>126</v>
      </c>
      <c r="F59" s="5" t="s">
        <v>4200</v>
      </c>
      <c r="G59" s="5" t="s">
        <v>127</v>
      </c>
      <c r="H59" s="5" t="s">
        <v>128</v>
      </c>
      <c r="I59" s="5" t="s">
        <v>129</v>
      </c>
      <c r="J59" s="5" t="s">
        <v>130</v>
      </c>
      <c r="K59" s="5" t="s">
        <v>20</v>
      </c>
      <c r="L59" s="5">
        <v>27.664826999999999</v>
      </c>
      <c r="M59" s="5">
        <v>27.664826999999999</v>
      </c>
      <c r="N59" s="5" t="s">
        <v>4159</v>
      </c>
      <c r="O59" s="5">
        <v>25</v>
      </c>
      <c r="P59" s="5">
        <v>259200</v>
      </c>
      <c r="Q59" s="5">
        <v>5.4136366727141585</v>
      </c>
      <c r="R59" s="2">
        <v>2.2400000000000004E-14</v>
      </c>
      <c r="S59" s="2">
        <v>9.7397074121880906E-15</v>
      </c>
      <c r="T59" s="6">
        <v>9</v>
      </c>
      <c r="U59" s="2">
        <v>25.500699120000004</v>
      </c>
    </row>
    <row r="60" spans="1:21">
      <c r="A60" s="5" t="s">
        <v>131</v>
      </c>
      <c r="B60" s="5" t="s">
        <v>41</v>
      </c>
      <c r="C60" s="5" t="s">
        <v>124</v>
      </c>
      <c r="D60" s="5" t="s">
        <v>125</v>
      </c>
      <c r="E60" s="5" t="s">
        <v>126</v>
      </c>
      <c r="F60" s="5" t="s">
        <v>4200</v>
      </c>
      <c r="G60" s="5" t="s">
        <v>127</v>
      </c>
      <c r="H60" s="5" t="s">
        <v>128</v>
      </c>
      <c r="I60" s="5" t="s">
        <v>129</v>
      </c>
      <c r="J60" s="5" t="s">
        <v>130</v>
      </c>
      <c r="K60" s="5" t="s">
        <v>20</v>
      </c>
      <c r="L60" s="5">
        <v>31.970803929999999</v>
      </c>
      <c r="M60" s="5">
        <v>31.970803929999999</v>
      </c>
      <c r="N60" s="5" t="s">
        <v>4157</v>
      </c>
      <c r="O60" s="5">
        <v>25</v>
      </c>
      <c r="P60" s="5">
        <v>259200</v>
      </c>
      <c r="Q60" s="5">
        <v>5.4136366727141585</v>
      </c>
      <c r="R60" s="2">
        <v>2.2400000000000004E-14</v>
      </c>
      <c r="S60" s="2">
        <v>9.7397074121880906E-15</v>
      </c>
      <c r="T60" s="6">
        <v>9</v>
      </c>
      <c r="U60" s="2">
        <v>27.243209029999999</v>
      </c>
    </row>
    <row r="61" spans="1:21">
      <c r="A61" s="5" t="s">
        <v>132</v>
      </c>
      <c r="B61" s="5" t="s">
        <v>41</v>
      </c>
      <c r="C61" s="5" t="s">
        <v>124</v>
      </c>
      <c r="D61" s="5" t="s">
        <v>125</v>
      </c>
      <c r="E61" s="5" t="s">
        <v>126</v>
      </c>
      <c r="F61" s="5" t="s">
        <v>4200</v>
      </c>
      <c r="G61" s="5" t="s">
        <v>127</v>
      </c>
      <c r="H61" s="5" t="s">
        <v>128</v>
      </c>
      <c r="I61" s="5" t="s">
        <v>129</v>
      </c>
      <c r="J61" s="5" t="s">
        <v>130</v>
      </c>
      <c r="K61" s="5" t="s">
        <v>20</v>
      </c>
      <c r="L61" s="5">
        <v>31.970803929999999</v>
      </c>
      <c r="M61" s="5">
        <v>31.970803929999999</v>
      </c>
      <c r="N61" s="5" t="s">
        <v>4157</v>
      </c>
      <c r="O61" s="5">
        <v>25</v>
      </c>
      <c r="P61" s="5">
        <v>259200</v>
      </c>
      <c r="Q61" s="5">
        <v>5.4136366727141585</v>
      </c>
      <c r="R61" s="2">
        <v>2.2400000000000004E-14</v>
      </c>
      <c r="S61" s="2">
        <v>9.7397074121880906E-15</v>
      </c>
      <c r="T61" s="6">
        <v>9</v>
      </c>
      <c r="U61" s="2">
        <v>25.482630319999998</v>
      </c>
    </row>
    <row r="62" spans="1:21">
      <c r="A62" s="5" t="s">
        <v>133</v>
      </c>
      <c r="B62" s="5" t="s">
        <v>41</v>
      </c>
      <c r="C62" s="5" t="s">
        <v>124</v>
      </c>
      <c r="D62" s="5" t="s">
        <v>125</v>
      </c>
      <c r="E62" s="5" t="s">
        <v>126</v>
      </c>
      <c r="F62" s="5" t="s">
        <v>4200</v>
      </c>
      <c r="G62" s="5" t="s">
        <v>127</v>
      </c>
      <c r="H62" s="5" t="s">
        <v>128</v>
      </c>
      <c r="I62" s="5" t="s">
        <v>129</v>
      </c>
      <c r="J62" s="5" t="s">
        <v>130</v>
      </c>
      <c r="K62" s="5" t="s">
        <v>20</v>
      </c>
      <c r="L62" s="5">
        <v>36.778261000000001</v>
      </c>
      <c r="M62" s="5">
        <v>36.778261000000001</v>
      </c>
      <c r="N62" s="5" t="s">
        <v>4157</v>
      </c>
      <c r="O62" s="5">
        <v>25</v>
      </c>
      <c r="P62" s="5">
        <v>259200</v>
      </c>
      <c r="Q62" s="5">
        <v>5.4136366727141585</v>
      </c>
      <c r="R62" s="2">
        <v>2.2400000000000004E-14</v>
      </c>
      <c r="S62" s="2">
        <v>9.7397074121880906E-15</v>
      </c>
      <c r="T62" s="6">
        <v>9</v>
      </c>
      <c r="U62" s="2">
        <v>26.305581310000004</v>
      </c>
    </row>
    <row r="63" spans="1:21">
      <c r="A63" s="5" t="s">
        <v>134</v>
      </c>
      <c r="B63" s="5" t="s">
        <v>41</v>
      </c>
      <c r="C63" s="5" t="s">
        <v>124</v>
      </c>
      <c r="D63" s="5" t="s">
        <v>125</v>
      </c>
      <c r="E63" s="5" t="s">
        <v>126</v>
      </c>
      <c r="F63" s="5" t="s">
        <v>4200</v>
      </c>
      <c r="G63" s="5" t="s">
        <v>127</v>
      </c>
      <c r="H63" s="5" t="s">
        <v>128</v>
      </c>
      <c r="I63" s="5" t="s">
        <v>129</v>
      </c>
      <c r="J63" s="5" t="s">
        <v>130</v>
      </c>
      <c r="K63" s="5" t="s">
        <v>20</v>
      </c>
      <c r="L63" s="5">
        <v>36.778261000000001</v>
      </c>
      <c r="M63" s="5">
        <v>36.778261000000001</v>
      </c>
      <c r="N63" s="5" t="s">
        <v>4157</v>
      </c>
      <c r="O63" s="5">
        <v>25</v>
      </c>
      <c r="P63" s="5">
        <v>259200</v>
      </c>
      <c r="Q63" s="5">
        <v>5.4136366727141585</v>
      </c>
      <c r="R63" s="2">
        <v>2.2400000000000004E-14</v>
      </c>
      <c r="S63" s="2">
        <v>9.7397074121880906E-15</v>
      </c>
      <c r="T63" s="6">
        <v>9</v>
      </c>
      <c r="U63" s="2">
        <v>26.798055680000001</v>
      </c>
    </row>
    <row r="64" spans="1:21">
      <c r="A64" s="5" t="s">
        <v>135</v>
      </c>
      <c r="B64" s="5" t="s">
        <v>41</v>
      </c>
      <c r="C64" s="5" t="s">
        <v>124</v>
      </c>
      <c r="D64" s="5" t="s">
        <v>125</v>
      </c>
      <c r="E64" s="5" t="s">
        <v>126</v>
      </c>
      <c r="F64" s="5" t="s">
        <v>4200</v>
      </c>
      <c r="G64" s="5" t="s">
        <v>127</v>
      </c>
      <c r="H64" s="5" t="s">
        <v>128</v>
      </c>
      <c r="I64" s="5" t="s">
        <v>129</v>
      </c>
      <c r="J64" s="5" t="s">
        <v>130</v>
      </c>
      <c r="K64" s="5" t="s">
        <v>20</v>
      </c>
      <c r="L64" s="5">
        <v>36.778261000000001</v>
      </c>
      <c r="M64" s="5">
        <v>36.778261000000001</v>
      </c>
      <c r="N64" s="5" t="s">
        <v>4157</v>
      </c>
      <c r="O64" s="5">
        <v>25</v>
      </c>
      <c r="P64" s="5">
        <v>259200</v>
      </c>
      <c r="Q64" s="5">
        <v>5.4136366727141585</v>
      </c>
      <c r="R64" s="2">
        <v>2.2400000000000004E-14</v>
      </c>
      <c r="S64" s="2">
        <v>9.7397074121880906E-15</v>
      </c>
      <c r="T64" s="6">
        <v>9</v>
      </c>
      <c r="U64" s="2">
        <v>26.487661479999993</v>
      </c>
    </row>
    <row r="65" spans="1:21">
      <c r="A65" s="5" t="s">
        <v>225</v>
      </c>
      <c r="B65" s="5" t="s">
        <v>41</v>
      </c>
      <c r="C65" s="5" t="s">
        <v>124</v>
      </c>
      <c r="D65" s="5" t="s">
        <v>125</v>
      </c>
      <c r="E65" s="5" t="s">
        <v>126</v>
      </c>
      <c r="F65" s="5" t="s">
        <v>4200</v>
      </c>
      <c r="G65" s="5" t="s">
        <v>127</v>
      </c>
      <c r="H65" s="5" t="s">
        <v>128</v>
      </c>
      <c r="I65" s="5" t="s">
        <v>129</v>
      </c>
      <c r="J65" s="5" t="s">
        <v>130</v>
      </c>
      <c r="K65" s="5" t="s">
        <v>20</v>
      </c>
      <c r="L65" s="5">
        <v>21.521757000000001</v>
      </c>
      <c r="M65" s="5">
        <v>21.521757000000001</v>
      </c>
      <c r="N65" s="5" t="s">
        <v>4159</v>
      </c>
      <c r="O65" s="5">
        <v>25</v>
      </c>
      <c r="P65" s="5">
        <v>259200</v>
      </c>
      <c r="Q65" s="5">
        <v>5.4136366727141585</v>
      </c>
      <c r="R65" s="2">
        <v>2.2400000000000004E-14</v>
      </c>
      <c r="S65" s="2">
        <v>9.7397074121880906E-15</v>
      </c>
      <c r="T65" s="6">
        <v>9</v>
      </c>
      <c r="U65" s="2">
        <v>26.564622329999995</v>
      </c>
    </row>
    <row r="66" spans="1:21">
      <c r="A66" s="5" t="s">
        <v>136</v>
      </c>
      <c r="B66" s="5" t="s">
        <v>41</v>
      </c>
      <c r="C66" s="5" t="s">
        <v>124</v>
      </c>
      <c r="D66" s="5" t="s">
        <v>125</v>
      </c>
      <c r="E66" s="5" t="s">
        <v>126</v>
      </c>
      <c r="F66" s="5" t="s">
        <v>4200</v>
      </c>
      <c r="G66" s="5" t="s">
        <v>127</v>
      </c>
      <c r="H66" s="5" t="s">
        <v>128</v>
      </c>
      <c r="I66" s="5" t="s">
        <v>129</v>
      </c>
      <c r="J66" s="5" t="s">
        <v>130</v>
      </c>
      <c r="K66" s="5" t="s">
        <v>20</v>
      </c>
      <c r="L66" s="5">
        <v>48.849919999999997</v>
      </c>
      <c r="M66" s="5">
        <v>48.849919999999997</v>
      </c>
      <c r="N66" s="5" t="s">
        <v>4158</v>
      </c>
      <c r="O66" s="5">
        <v>25</v>
      </c>
      <c r="P66" s="5">
        <v>259200</v>
      </c>
      <c r="Q66" s="5">
        <v>5.4136366727141585</v>
      </c>
      <c r="R66" s="2">
        <v>2.2400000000000004E-14</v>
      </c>
      <c r="S66" s="2">
        <v>9.7397074121880906E-15</v>
      </c>
      <c r="T66" s="6">
        <v>9</v>
      </c>
      <c r="U66" s="2">
        <v>22.886452969999997</v>
      </c>
    </row>
    <row r="67" spans="1:21">
      <c r="A67" s="5" t="s">
        <v>137</v>
      </c>
      <c r="B67" s="5" t="s">
        <v>41</v>
      </c>
      <c r="C67" s="5" t="s">
        <v>124</v>
      </c>
      <c r="D67" s="5" t="s">
        <v>125</v>
      </c>
      <c r="E67" s="5" t="s">
        <v>126</v>
      </c>
      <c r="F67" s="5" t="s">
        <v>4200</v>
      </c>
      <c r="G67" s="5" t="s">
        <v>127</v>
      </c>
      <c r="H67" s="5" t="s">
        <v>128</v>
      </c>
      <c r="I67" s="5" t="s">
        <v>129</v>
      </c>
      <c r="J67" s="5" t="s">
        <v>130</v>
      </c>
      <c r="K67" s="5" t="s">
        <v>20</v>
      </c>
      <c r="L67" s="5">
        <v>43.492782810000001</v>
      </c>
      <c r="M67" s="5">
        <v>43.492782810000001</v>
      </c>
      <c r="N67" s="5" t="s">
        <v>4157</v>
      </c>
      <c r="O67" s="5">
        <v>25</v>
      </c>
      <c r="P67" s="5">
        <v>259200</v>
      </c>
      <c r="Q67" s="5">
        <v>5.4136366727141585</v>
      </c>
      <c r="R67" s="2">
        <v>2.2400000000000004E-14</v>
      </c>
      <c r="S67" s="2">
        <v>9.7397074121880906E-15</v>
      </c>
      <c r="T67" s="6">
        <v>9</v>
      </c>
      <c r="U67" s="2">
        <v>23.00519611</v>
      </c>
    </row>
    <row r="68" spans="1:21">
      <c r="A68" s="5" t="s">
        <v>138</v>
      </c>
      <c r="B68" s="5" t="s">
        <v>41</v>
      </c>
      <c r="C68" s="5" t="s">
        <v>124</v>
      </c>
      <c r="D68" s="5" t="s">
        <v>125</v>
      </c>
      <c r="E68" s="5" t="s">
        <v>126</v>
      </c>
      <c r="F68" s="5" t="s">
        <v>4200</v>
      </c>
      <c r="G68" s="5" t="s">
        <v>127</v>
      </c>
      <c r="H68" s="5" t="s">
        <v>128</v>
      </c>
      <c r="I68" s="5" t="s">
        <v>129</v>
      </c>
      <c r="J68" s="5" t="s">
        <v>130</v>
      </c>
      <c r="K68" s="5" t="s">
        <v>20</v>
      </c>
      <c r="L68" s="5">
        <v>48.849919999999997</v>
      </c>
      <c r="M68" s="5">
        <v>48.849919999999997</v>
      </c>
      <c r="N68" s="5" t="s">
        <v>4158</v>
      </c>
      <c r="O68" s="5">
        <v>25</v>
      </c>
      <c r="P68" s="5">
        <v>259200</v>
      </c>
      <c r="Q68" s="5">
        <v>5.4136366727141585</v>
      </c>
      <c r="R68" s="2">
        <v>2.2400000000000004E-14</v>
      </c>
      <c r="S68" s="2">
        <v>9.7397074121880906E-15</v>
      </c>
      <c r="T68" s="6">
        <v>9</v>
      </c>
      <c r="U68" s="2">
        <v>24.666949109999997</v>
      </c>
    </row>
    <row r="69" spans="1:21">
      <c r="A69" s="5" t="s">
        <v>139</v>
      </c>
      <c r="B69" s="5" t="s">
        <v>41</v>
      </c>
      <c r="C69" s="5" t="s">
        <v>124</v>
      </c>
      <c r="D69" s="5" t="s">
        <v>125</v>
      </c>
      <c r="E69" s="5" t="s">
        <v>126</v>
      </c>
      <c r="F69" s="5" t="s">
        <v>4200</v>
      </c>
      <c r="G69" s="5" t="s">
        <v>127</v>
      </c>
      <c r="H69" s="5" t="s">
        <v>128</v>
      </c>
      <c r="I69" s="5" t="s">
        <v>129</v>
      </c>
      <c r="J69" s="5" t="s">
        <v>130</v>
      </c>
      <c r="K69" s="5" t="s">
        <v>20</v>
      </c>
      <c r="L69" s="5">
        <v>48.849919999999997</v>
      </c>
      <c r="M69" s="5">
        <v>48.849919999999997</v>
      </c>
      <c r="N69" s="5" t="s">
        <v>4158</v>
      </c>
      <c r="O69" s="5">
        <v>25</v>
      </c>
      <c r="P69" s="5">
        <v>259200</v>
      </c>
      <c r="Q69" s="5">
        <v>5.4136366727141585</v>
      </c>
      <c r="R69" s="2">
        <v>2.2400000000000004E-14</v>
      </c>
      <c r="S69" s="2">
        <v>9.7397074121880906E-15</v>
      </c>
      <c r="T69" s="6">
        <v>9</v>
      </c>
      <c r="U69" s="2">
        <v>26.675185669999998</v>
      </c>
    </row>
    <row r="70" spans="1:21">
      <c r="A70" s="5" t="s">
        <v>140</v>
      </c>
      <c r="B70" s="5" t="s">
        <v>41</v>
      </c>
      <c r="C70" s="5" t="s">
        <v>124</v>
      </c>
      <c r="D70" s="5" t="s">
        <v>125</v>
      </c>
      <c r="E70" s="5" t="s">
        <v>126</v>
      </c>
      <c r="F70" s="5" t="s">
        <v>4200</v>
      </c>
      <c r="G70" s="5" t="s">
        <v>127</v>
      </c>
      <c r="H70" s="5" t="s">
        <v>128</v>
      </c>
      <c r="I70" s="5" t="s">
        <v>129</v>
      </c>
      <c r="J70" s="5" t="s">
        <v>130</v>
      </c>
      <c r="K70" s="5" t="s">
        <v>20</v>
      </c>
      <c r="L70" s="5">
        <v>48.849919999999997</v>
      </c>
      <c r="M70" s="5">
        <v>48.849919999999997</v>
      </c>
      <c r="N70" s="5" t="s">
        <v>4158</v>
      </c>
      <c r="O70" s="5">
        <v>25</v>
      </c>
      <c r="P70" s="5">
        <v>259200</v>
      </c>
      <c r="Q70" s="5">
        <v>5.4136366727141585</v>
      </c>
      <c r="R70" s="2">
        <v>2.2400000000000004E-14</v>
      </c>
      <c r="S70" s="2">
        <v>9.7397074121880906E-15</v>
      </c>
      <c r="T70" s="6">
        <v>9</v>
      </c>
      <c r="U70" s="2">
        <v>23.278485230000001</v>
      </c>
    </row>
    <row r="71" spans="1:21">
      <c r="A71" s="5" t="s">
        <v>141</v>
      </c>
      <c r="B71" s="5" t="s">
        <v>41</v>
      </c>
      <c r="C71" s="5" t="s">
        <v>124</v>
      </c>
      <c r="D71" s="5" t="s">
        <v>125</v>
      </c>
      <c r="E71" s="5" t="s">
        <v>126</v>
      </c>
      <c r="F71" s="5" t="s">
        <v>4200</v>
      </c>
      <c r="G71" s="5" t="s">
        <v>127</v>
      </c>
      <c r="H71" s="5" t="s">
        <v>128</v>
      </c>
      <c r="I71" s="5" t="s">
        <v>129</v>
      </c>
      <c r="J71" s="5" t="s">
        <v>130</v>
      </c>
      <c r="K71" s="5" t="s">
        <v>20</v>
      </c>
      <c r="L71" s="5">
        <v>48.849919999999997</v>
      </c>
      <c r="M71" s="5">
        <v>48.849919999999997</v>
      </c>
      <c r="N71" s="5" t="s">
        <v>4158</v>
      </c>
      <c r="O71" s="5">
        <v>25</v>
      </c>
      <c r="P71" s="5">
        <v>259200</v>
      </c>
      <c r="Q71" s="5">
        <v>5.4136366727141585</v>
      </c>
      <c r="R71" s="2">
        <v>2.2400000000000004E-14</v>
      </c>
      <c r="S71" s="2">
        <v>9.7397074121880906E-15</v>
      </c>
      <c r="T71" s="6">
        <v>9</v>
      </c>
      <c r="U71" s="2">
        <v>23.690578469999995</v>
      </c>
    </row>
    <row r="72" spans="1:21">
      <c r="A72" s="5" t="s">
        <v>143</v>
      </c>
      <c r="B72" s="5" t="s">
        <v>41</v>
      </c>
      <c r="C72" s="5" t="s">
        <v>124</v>
      </c>
      <c r="D72" s="5" t="s">
        <v>125</v>
      </c>
      <c r="E72" s="5" t="s">
        <v>126</v>
      </c>
      <c r="F72" s="5" t="s">
        <v>4200</v>
      </c>
      <c r="G72" s="5" t="s">
        <v>127</v>
      </c>
      <c r="H72" s="5" t="s">
        <v>128</v>
      </c>
      <c r="I72" s="5" t="s">
        <v>129</v>
      </c>
      <c r="J72" s="5" t="s">
        <v>130</v>
      </c>
      <c r="K72" s="5" t="s">
        <v>20</v>
      </c>
      <c r="L72" s="5">
        <v>48.849919999999997</v>
      </c>
      <c r="M72" s="5">
        <v>48.849919999999997</v>
      </c>
      <c r="N72" s="5" t="s">
        <v>4158</v>
      </c>
      <c r="O72" s="5">
        <v>25</v>
      </c>
      <c r="P72" s="5">
        <v>259200</v>
      </c>
      <c r="Q72" s="5">
        <v>5.4136366727141585</v>
      </c>
      <c r="R72" s="2">
        <v>2.2400000000000004E-14</v>
      </c>
      <c r="S72" s="2">
        <v>9.7397074121880906E-15</v>
      </c>
      <c r="T72" s="6">
        <v>9</v>
      </c>
      <c r="U72" s="2">
        <v>22.539675079999999</v>
      </c>
    </row>
    <row r="73" spans="1:21">
      <c r="A73" s="5" t="s">
        <v>144</v>
      </c>
      <c r="B73" s="5" t="s">
        <v>41</v>
      </c>
      <c r="C73" s="5" t="s">
        <v>124</v>
      </c>
      <c r="D73" s="5" t="s">
        <v>125</v>
      </c>
      <c r="E73" s="5" t="s">
        <v>126</v>
      </c>
      <c r="F73" s="5" t="s">
        <v>4200</v>
      </c>
      <c r="G73" s="5" t="s">
        <v>127</v>
      </c>
      <c r="H73" s="5" t="s">
        <v>128</v>
      </c>
      <c r="I73" s="5" t="s">
        <v>129</v>
      </c>
      <c r="J73" s="5" t="s">
        <v>130</v>
      </c>
      <c r="K73" s="5" t="s">
        <v>20</v>
      </c>
      <c r="L73" s="5">
        <v>41.871940000000002</v>
      </c>
      <c r="M73" s="5">
        <v>41.871940000000002</v>
      </c>
      <c r="N73" s="5" t="s">
        <v>4157</v>
      </c>
      <c r="O73" s="5">
        <v>25</v>
      </c>
      <c r="P73" s="5">
        <v>259200</v>
      </c>
      <c r="Q73" s="5">
        <v>5.4136366727141585</v>
      </c>
      <c r="R73" s="2">
        <v>2.2400000000000004E-14</v>
      </c>
      <c r="S73" s="2">
        <v>9.7397074121880906E-15</v>
      </c>
      <c r="T73" s="6">
        <v>9</v>
      </c>
      <c r="U73" s="2">
        <v>24.081064959999996</v>
      </c>
    </row>
    <row r="74" spans="1:21">
      <c r="A74" s="5" t="s">
        <v>145</v>
      </c>
      <c r="B74" s="5" t="s">
        <v>41</v>
      </c>
      <c r="C74" s="5" t="s">
        <v>124</v>
      </c>
      <c r="D74" s="5" t="s">
        <v>125</v>
      </c>
      <c r="E74" s="5" t="s">
        <v>126</v>
      </c>
      <c r="F74" s="5" t="s">
        <v>4200</v>
      </c>
      <c r="G74" s="5" t="s">
        <v>127</v>
      </c>
      <c r="H74" s="5" t="s">
        <v>128</v>
      </c>
      <c r="I74" s="5" t="s">
        <v>129</v>
      </c>
      <c r="J74" s="5" t="s">
        <v>130</v>
      </c>
      <c r="K74" s="5" t="s">
        <v>20</v>
      </c>
      <c r="L74" s="5">
        <v>46.227637999999999</v>
      </c>
      <c r="M74" s="5">
        <v>46.227637999999999</v>
      </c>
      <c r="N74" s="5" t="s">
        <v>4158</v>
      </c>
      <c r="O74" s="5">
        <v>25</v>
      </c>
      <c r="P74" s="5">
        <v>259200</v>
      </c>
      <c r="Q74" s="5">
        <v>5.4136366727141585</v>
      </c>
      <c r="R74" s="2">
        <v>2.2400000000000004E-14</v>
      </c>
      <c r="S74" s="2">
        <v>9.7397074121880906E-15</v>
      </c>
      <c r="T74" s="6">
        <v>9</v>
      </c>
      <c r="U74" s="2">
        <v>24.218582459999997</v>
      </c>
    </row>
    <row r="75" spans="1:21">
      <c r="A75" s="5" t="s">
        <v>226</v>
      </c>
      <c r="B75" s="5" t="s">
        <v>41</v>
      </c>
      <c r="C75" s="5" t="s">
        <v>124</v>
      </c>
      <c r="D75" s="5" t="s">
        <v>125</v>
      </c>
      <c r="E75" s="5" t="s">
        <v>126</v>
      </c>
      <c r="F75" s="5" t="s">
        <v>4200</v>
      </c>
      <c r="G75" s="5" t="s">
        <v>127</v>
      </c>
      <c r="H75" s="5" t="s">
        <v>128</v>
      </c>
      <c r="I75" s="5" t="s">
        <v>129</v>
      </c>
      <c r="J75" s="5" t="s">
        <v>130</v>
      </c>
      <c r="K75" s="5" t="s">
        <v>20</v>
      </c>
      <c r="L75" s="5">
        <v>13.060420000000001</v>
      </c>
      <c r="M75" s="5">
        <v>13.060420000000001</v>
      </c>
      <c r="N75" s="5" t="s">
        <v>4160</v>
      </c>
      <c r="O75" s="5">
        <v>25</v>
      </c>
      <c r="P75" s="5">
        <v>259200</v>
      </c>
      <c r="Q75" s="5">
        <v>5.4136366727141585</v>
      </c>
      <c r="R75" s="2">
        <v>2.2400000000000004E-14</v>
      </c>
      <c r="S75" s="2">
        <v>9.7397074121880906E-15</v>
      </c>
      <c r="T75" s="6">
        <v>9</v>
      </c>
      <c r="U75" s="2">
        <v>29.463940450000003</v>
      </c>
    </row>
    <row r="76" spans="1:21">
      <c r="A76" s="5" t="s">
        <v>227</v>
      </c>
      <c r="B76" s="5" t="s">
        <v>41</v>
      </c>
      <c r="C76" s="5" t="s">
        <v>124</v>
      </c>
      <c r="D76" s="5" t="s">
        <v>125</v>
      </c>
      <c r="E76" s="5" t="s">
        <v>126</v>
      </c>
      <c r="F76" s="5" t="s">
        <v>4200</v>
      </c>
      <c r="G76" s="5" t="s">
        <v>127</v>
      </c>
      <c r="H76" s="5" t="s">
        <v>128</v>
      </c>
      <c r="I76" s="5" t="s">
        <v>129</v>
      </c>
      <c r="J76" s="5" t="s">
        <v>130</v>
      </c>
      <c r="K76" s="5" t="s">
        <v>20</v>
      </c>
      <c r="L76" s="5">
        <v>13.060420000000001</v>
      </c>
      <c r="M76" s="5">
        <v>13.060420000000001</v>
      </c>
      <c r="N76" s="5" t="s">
        <v>4160</v>
      </c>
      <c r="O76" s="5">
        <v>25</v>
      </c>
      <c r="P76" s="5">
        <v>259200</v>
      </c>
      <c r="Q76" s="5">
        <v>5.4136366727141585</v>
      </c>
      <c r="R76" s="2">
        <v>2.2400000000000004E-14</v>
      </c>
      <c r="S76" s="2">
        <v>9.7397074121880906E-15</v>
      </c>
      <c r="T76" s="6">
        <v>9</v>
      </c>
      <c r="U76" s="2">
        <v>27.059020150000002</v>
      </c>
    </row>
    <row r="77" spans="1:21">
      <c r="A77" s="5" t="s">
        <v>228</v>
      </c>
      <c r="B77" s="5" t="s">
        <v>41</v>
      </c>
      <c r="C77" s="5" t="s">
        <v>124</v>
      </c>
      <c r="D77" s="5" t="s">
        <v>125</v>
      </c>
      <c r="E77" s="5" t="s">
        <v>126</v>
      </c>
      <c r="F77" s="5" t="s">
        <v>4200</v>
      </c>
      <c r="G77" s="5" t="s">
        <v>127</v>
      </c>
      <c r="H77" s="5" t="s">
        <v>128</v>
      </c>
      <c r="I77" s="5" t="s">
        <v>129</v>
      </c>
      <c r="J77" s="5" t="s">
        <v>130</v>
      </c>
      <c r="K77" s="5" t="s">
        <v>20</v>
      </c>
      <c r="L77" s="5">
        <v>13.060420000000001</v>
      </c>
      <c r="M77" s="5">
        <v>13.060420000000001</v>
      </c>
      <c r="N77" s="5" t="s">
        <v>4160</v>
      </c>
      <c r="O77" s="5">
        <v>25</v>
      </c>
      <c r="P77" s="5">
        <v>259200</v>
      </c>
      <c r="Q77" s="5">
        <v>5.4136366727141585</v>
      </c>
      <c r="R77" s="2">
        <v>2.2400000000000004E-14</v>
      </c>
      <c r="S77" s="2">
        <v>9.7397074121880906E-15</v>
      </c>
      <c r="T77" s="6">
        <v>9</v>
      </c>
      <c r="U77" s="2">
        <v>26.891914570000004</v>
      </c>
    </row>
    <row r="78" spans="1:21">
      <c r="A78" s="5" t="s">
        <v>229</v>
      </c>
      <c r="B78" s="5" t="s">
        <v>41</v>
      </c>
      <c r="C78" s="5" t="s">
        <v>124</v>
      </c>
      <c r="D78" s="5" t="s">
        <v>125</v>
      </c>
      <c r="E78" s="5" t="s">
        <v>126</v>
      </c>
      <c r="F78" s="5" t="s">
        <v>4200</v>
      </c>
      <c r="G78" s="5" t="s">
        <v>127</v>
      </c>
      <c r="H78" s="5" t="s">
        <v>128</v>
      </c>
      <c r="I78" s="5" t="s">
        <v>129</v>
      </c>
      <c r="J78" s="5" t="s">
        <v>130</v>
      </c>
      <c r="K78" s="5" t="s">
        <v>20</v>
      </c>
      <c r="L78" s="5">
        <v>13.060420000000001</v>
      </c>
      <c r="M78" s="5">
        <v>13.060420000000001</v>
      </c>
      <c r="N78" s="5" t="s">
        <v>4160</v>
      </c>
      <c r="O78" s="5">
        <v>25</v>
      </c>
      <c r="P78" s="5">
        <v>259200</v>
      </c>
      <c r="Q78" s="5">
        <v>5.4136366727141585</v>
      </c>
      <c r="R78" s="2">
        <v>2.2400000000000004E-14</v>
      </c>
      <c r="S78" s="2">
        <v>9.7397074121880906E-15</v>
      </c>
      <c r="T78" s="6">
        <v>9</v>
      </c>
      <c r="U78" s="2">
        <v>27.494190960000001</v>
      </c>
    </row>
    <row r="79" spans="1:21">
      <c r="A79" s="5" t="s">
        <v>230</v>
      </c>
      <c r="B79" s="5" t="s">
        <v>41</v>
      </c>
      <c r="C79" s="5" t="s">
        <v>124</v>
      </c>
      <c r="D79" s="5" t="s">
        <v>125</v>
      </c>
      <c r="E79" s="5" t="s">
        <v>126</v>
      </c>
      <c r="F79" s="5" t="s">
        <v>4200</v>
      </c>
      <c r="G79" s="5" t="s">
        <v>127</v>
      </c>
      <c r="H79" s="5" t="s">
        <v>128</v>
      </c>
      <c r="I79" s="5" t="s">
        <v>129</v>
      </c>
      <c r="J79" s="5" t="s">
        <v>130</v>
      </c>
      <c r="K79" s="5" t="s">
        <v>20</v>
      </c>
      <c r="L79" s="5">
        <v>13.060420000000001</v>
      </c>
      <c r="M79" s="5">
        <v>13.060420000000001</v>
      </c>
      <c r="N79" s="5" t="s">
        <v>4160</v>
      </c>
      <c r="O79" s="5">
        <v>25</v>
      </c>
      <c r="P79" s="5">
        <v>259200</v>
      </c>
      <c r="Q79" s="5">
        <v>5.4136366727141585</v>
      </c>
      <c r="R79" s="2">
        <v>2.2400000000000004E-14</v>
      </c>
      <c r="S79" s="2">
        <v>9.7397074121880906E-15</v>
      </c>
      <c r="T79" s="6">
        <v>9</v>
      </c>
      <c r="U79" s="2">
        <v>27.583700090000004</v>
      </c>
    </row>
    <row r="80" spans="1:21">
      <c r="A80" s="5" t="s">
        <v>231</v>
      </c>
      <c r="B80" s="5" t="s">
        <v>41</v>
      </c>
      <c r="C80" s="5" t="s">
        <v>124</v>
      </c>
      <c r="D80" s="5" t="s">
        <v>125</v>
      </c>
      <c r="E80" s="5" t="s">
        <v>126</v>
      </c>
      <c r="F80" s="5" t="s">
        <v>4200</v>
      </c>
      <c r="G80" s="5" t="s">
        <v>127</v>
      </c>
      <c r="H80" s="5" t="s">
        <v>128</v>
      </c>
      <c r="I80" s="5" t="s">
        <v>129</v>
      </c>
      <c r="J80" s="5" t="s">
        <v>130</v>
      </c>
      <c r="K80" s="5" t="s">
        <v>20</v>
      </c>
      <c r="L80" s="5">
        <v>13.060420000000001</v>
      </c>
      <c r="M80" s="5">
        <v>13.060420000000001</v>
      </c>
      <c r="N80" s="5" t="s">
        <v>4160</v>
      </c>
      <c r="O80" s="5">
        <v>25</v>
      </c>
      <c r="P80" s="5">
        <v>259200</v>
      </c>
      <c r="Q80" s="5">
        <v>5.4136366727141585</v>
      </c>
      <c r="R80" s="2">
        <v>2.2400000000000004E-14</v>
      </c>
      <c r="S80" s="2">
        <v>9.7397074121880906E-15</v>
      </c>
      <c r="T80" s="6">
        <v>9</v>
      </c>
      <c r="U80" s="2">
        <v>27.702934010000003</v>
      </c>
    </row>
    <row r="81" spans="1:21">
      <c r="A81" s="5" t="s">
        <v>232</v>
      </c>
      <c r="B81" s="5" t="s">
        <v>41</v>
      </c>
      <c r="C81" s="5" t="s">
        <v>124</v>
      </c>
      <c r="D81" s="5" t="s">
        <v>125</v>
      </c>
      <c r="E81" s="5" t="s">
        <v>126</v>
      </c>
      <c r="F81" s="5" t="s">
        <v>4200</v>
      </c>
      <c r="G81" s="5" t="s">
        <v>127</v>
      </c>
      <c r="H81" s="5" t="s">
        <v>128</v>
      </c>
      <c r="I81" s="5" t="s">
        <v>129</v>
      </c>
      <c r="J81" s="5" t="s">
        <v>130</v>
      </c>
      <c r="K81" s="5" t="s">
        <v>20</v>
      </c>
      <c r="L81" s="5">
        <v>13.060420000000001</v>
      </c>
      <c r="M81" s="5">
        <v>13.060420000000001</v>
      </c>
      <c r="N81" s="5" t="s">
        <v>4160</v>
      </c>
      <c r="O81" s="5">
        <v>25</v>
      </c>
      <c r="P81" s="5">
        <v>259200</v>
      </c>
      <c r="Q81" s="5">
        <v>5.4136366727141585</v>
      </c>
      <c r="R81" s="2">
        <v>2.2400000000000004E-14</v>
      </c>
      <c r="S81" s="2">
        <v>9.7397074121880906E-15</v>
      </c>
      <c r="T81" s="6">
        <v>9</v>
      </c>
      <c r="U81" s="2">
        <v>26.088350310000003</v>
      </c>
    </row>
    <row r="82" spans="1:21">
      <c r="A82" s="5" t="s">
        <v>233</v>
      </c>
      <c r="B82" s="5" t="s">
        <v>41</v>
      </c>
      <c r="C82" s="5" t="s">
        <v>124</v>
      </c>
      <c r="D82" s="5" t="s">
        <v>125</v>
      </c>
      <c r="E82" s="5" t="s">
        <v>126</v>
      </c>
      <c r="F82" s="5" t="s">
        <v>4200</v>
      </c>
      <c r="G82" s="5" t="s">
        <v>127</v>
      </c>
      <c r="H82" s="5" t="s">
        <v>128</v>
      </c>
      <c r="I82" s="5" t="s">
        <v>129</v>
      </c>
      <c r="J82" s="5" t="s">
        <v>130</v>
      </c>
      <c r="K82" s="5" t="s">
        <v>20</v>
      </c>
      <c r="L82" s="5">
        <v>13.060420000000001</v>
      </c>
      <c r="M82" s="5">
        <v>13.060420000000001</v>
      </c>
      <c r="N82" s="5" t="s">
        <v>4160</v>
      </c>
      <c r="O82" s="5">
        <v>25</v>
      </c>
      <c r="P82" s="5">
        <v>259200</v>
      </c>
      <c r="Q82" s="5">
        <v>5.4136366727141585</v>
      </c>
      <c r="R82" s="2">
        <v>2.2400000000000004E-14</v>
      </c>
      <c r="S82" s="2">
        <v>9.7397074121880906E-15</v>
      </c>
      <c r="T82" s="6">
        <v>9</v>
      </c>
      <c r="U82" s="2">
        <v>28.816981020000007</v>
      </c>
    </row>
    <row r="83" spans="1:21">
      <c r="A83" s="5" t="s">
        <v>146</v>
      </c>
      <c r="B83" s="5" t="s">
        <v>41</v>
      </c>
      <c r="C83" s="5" t="s">
        <v>124</v>
      </c>
      <c r="D83" s="5" t="s">
        <v>125</v>
      </c>
      <c r="E83" s="5" t="s">
        <v>126</v>
      </c>
      <c r="F83" s="5" t="s">
        <v>4200</v>
      </c>
      <c r="G83" s="5" t="s">
        <v>127</v>
      </c>
      <c r="H83" s="5" t="s">
        <v>128</v>
      </c>
      <c r="I83" s="5" t="s">
        <v>129</v>
      </c>
      <c r="J83" s="5" t="s">
        <v>130</v>
      </c>
      <c r="K83" s="5" t="s">
        <v>20</v>
      </c>
      <c r="L83" s="5">
        <v>27.702870999999998</v>
      </c>
      <c r="M83" s="5">
        <v>27.702870999999998</v>
      </c>
      <c r="N83" s="5" t="s">
        <v>4159</v>
      </c>
      <c r="O83" s="5">
        <v>25</v>
      </c>
      <c r="P83" s="5">
        <v>259200</v>
      </c>
      <c r="Q83" s="5">
        <v>5.4136366727141585</v>
      </c>
      <c r="R83" s="2">
        <v>2.2400000000000004E-14</v>
      </c>
      <c r="S83" s="2">
        <v>9.7397074121880906E-15</v>
      </c>
      <c r="T83" s="6">
        <v>9</v>
      </c>
      <c r="U83" s="2">
        <v>27.45169589</v>
      </c>
    </row>
    <row r="84" spans="1:21">
      <c r="A84" s="5" t="s">
        <v>147</v>
      </c>
      <c r="B84" s="5" t="s">
        <v>41</v>
      </c>
      <c r="C84" s="5" t="s">
        <v>124</v>
      </c>
      <c r="D84" s="5" t="s">
        <v>125</v>
      </c>
      <c r="E84" s="5" t="s">
        <v>126</v>
      </c>
      <c r="F84" s="5" t="s">
        <v>4200</v>
      </c>
      <c r="G84" s="5" t="s">
        <v>127</v>
      </c>
      <c r="H84" s="5" t="s">
        <v>128</v>
      </c>
      <c r="I84" s="5" t="s">
        <v>129</v>
      </c>
      <c r="J84" s="5" t="s">
        <v>130</v>
      </c>
      <c r="K84" s="5" t="s">
        <v>20</v>
      </c>
      <c r="L84" s="5">
        <v>27.702870999999998</v>
      </c>
      <c r="M84" s="5">
        <v>27.702870999999998</v>
      </c>
      <c r="N84" s="5" t="s">
        <v>4159</v>
      </c>
      <c r="O84" s="5">
        <v>25</v>
      </c>
      <c r="P84" s="5">
        <v>259200</v>
      </c>
      <c r="Q84" s="5">
        <v>5.4136366727141585</v>
      </c>
      <c r="R84" s="2">
        <v>2.2400000000000004E-14</v>
      </c>
      <c r="S84" s="2">
        <v>9.7397074121880906E-15</v>
      </c>
      <c r="T84" s="6">
        <v>9</v>
      </c>
      <c r="U84" s="2">
        <v>27.228235699999999</v>
      </c>
    </row>
    <row r="85" spans="1:21">
      <c r="A85" s="5" t="s">
        <v>148</v>
      </c>
      <c r="B85" s="5" t="s">
        <v>41</v>
      </c>
      <c r="C85" s="5" t="s">
        <v>124</v>
      </c>
      <c r="D85" s="5" t="s">
        <v>125</v>
      </c>
      <c r="E85" s="5" t="s">
        <v>126</v>
      </c>
      <c r="F85" s="5" t="s">
        <v>4200</v>
      </c>
      <c r="G85" s="5" t="s">
        <v>127</v>
      </c>
      <c r="H85" s="5" t="s">
        <v>128</v>
      </c>
      <c r="I85" s="5" t="s">
        <v>129</v>
      </c>
      <c r="J85" s="5" t="s">
        <v>130</v>
      </c>
      <c r="K85" s="5" t="s">
        <v>20</v>
      </c>
      <c r="L85" s="5">
        <v>27.702870999999998</v>
      </c>
      <c r="M85" s="5">
        <v>27.702870999999998</v>
      </c>
      <c r="N85" s="5" t="s">
        <v>4159</v>
      </c>
      <c r="O85" s="5">
        <v>25</v>
      </c>
      <c r="P85" s="5">
        <v>259200</v>
      </c>
      <c r="Q85" s="5">
        <v>5.4136366727141585</v>
      </c>
      <c r="R85" s="2">
        <v>2.2400000000000004E-14</v>
      </c>
      <c r="S85" s="2">
        <v>9.7397074121880906E-15</v>
      </c>
      <c r="T85" s="6">
        <v>9</v>
      </c>
      <c r="U85" s="2">
        <v>27.093615570000001</v>
      </c>
    </row>
    <row r="86" spans="1:21">
      <c r="A86" s="5" t="s">
        <v>149</v>
      </c>
      <c r="B86" s="5" t="s">
        <v>41</v>
      </c>
      <c r="C86" s="5" t="s">
        <v>124</v>
      </c>
      <c r="D86" s="5" t="s">
        <v>125</v>
      </c>
      <c r="E86" s="5" t="s">
        <v>126</v>
      </c>
      <c r="F86" s="5" t="s">
        <v>4200</v>
      </c>
      <c r="G86" s="5" t="s">
        <v>127</v>
      </c>
      <c r="H86" s="5" t="s">
        <v>128</v>
      </c>
      <c r="I86" s="5" t="s">
        <v>129</v>
      </c>
      <c r="J86" s="5" t="s">
        <v>130</v>
      </c>
      <c r="K86" s="5" t="s">
        <v>20</v>
      </c>
      <c r="L86" s="5">
        <v>27.702870999999998</v>
      </c>
      <c r="M86" s="5">
        <v>27.702870999999998</v>
      </c>
      <c r="N86" s="5" t="s">
        <v>4159</v>
      </c>
      <c r="O86" s="5">
        <v>25</v>
      </c>
      <c r="P86" s="5">
        <v>259200</v>
      </c>
      <c r="Q86" s="5">
        <v>5.4136366727141585</v>
      </c>
      <c r="R86" s="2">
        <v>2.2400000000000004E-14</v>
      </c>
      <c r="S86" s="2">
        <v>9.7397074121880906E-15</v>
      </c>
      <c r="T86" s="6">
        <v>9</v>
      </c>
      <c r="U86" s="2">
        <v>26.276895289999999</v>
      </c>
    </row>
    <row r="87" spans="1:21">
      <c r="A87" s="5" t="s">
        <v>150</v>
      </c>
      <c r="B87" s="5" t="s">
        <v>41</v>
      </c>
      <c r="C87" s="5" t="s">
        <v>124</v>
      </c>
      <c r="D87" s="5" t="s">
        <v>125</v>
      </c>
      <c r="E87" s="5" t="s">
        <v>126</v>
      </c>
      <c r="F87" s="5" t="s">
        <v>4200</v>
      </c>
      <c r="G87" s="5" t="s">
        <v>127</v>
      </c>
      <c r="H87" s="5" t="s">
        <v>128</v>
      </c>
      <c r="I87" s="5" t="s">
        <v>129</v>
      </c>
      <c r="J87" s="5" t="s">
        <v>130</v>
      </c>
      <c r="K87" s="5" t="s">
        <v>20</v>
      </c>
      <c r="L87" s="5">
        <v>27.702870999999998</v>
      </c>
      <c r="M87" s="5">
        <v>27.702870999999998</v>
      </c>
      <c r="N87" s="5" t="s">
        <v>4159</v>
      </c>
      <c r="O87" s="5">
        <v>25</v>
      </c>
      <c r="P87" s="5">
        <v>259200</v>
      </c>
      <c r="Q87" s="5">
        <v>5.4136366727141585</v>
      </c>
      <c r="R87" s="2">
        <v>2.2400000000000004E-14</v>
      </c>
      <c r="S87" s="2">
        <v>9.7397074121880906E-15</v>
      </c>
      <c r="T87" s="6">
        <v>9</v>
      </c>
      <c r="U87" s="2">
        <v>26.522391669999998</v>
      </c>
    </row>
    <row r="88" spans="1:21">
      <c r="A88" s="5" t="s">
        <v>151</v>
      </c>
      <c r="B88" s="5" t="s">
        <v>41</v>
      </c>
      <c r="C88" s="5" t="s">
        <v>124</v>
      </c>
      <c r="D88" s="5" t="s">
        <v>125</v>
      </c>
      <c r="E88" s="5" t="s">
        <v>126</v>
      </c>
      <c r="F88" s="5" t="s">
        <v>4200</v>
      </c>
      <c r="G88" s="5" t="s">
        <v>127</v>
      </c>
      <c r="H88" s="5" t="s">
        <v>128</v>
      </c>
      <c r="I88" s="5" t="s">
        <v>129</v>
      </c>
      <c r="J88" s="5" t="s">
        <v>130</v>
      </c>
      <c r="K88" s="5" t="s">
        <v>20</v>
      </c>
      <c r="L88" s="5">
        <v>30.190189</v>
      </c>
      <c r="M88" s="5">
        <v>30.190189</v>
      </c>
      <c r="N88" s="5" t="s">
        <v>4157</v>
      </c>
      <c r="O88" s="5">
        <v>25</v>
      </c>
      <c r="P88" s="5">
        <v>259200</v>
      </c>
      <c r="Q88" s="5">
        <v>5.4136366727141585</v>
      </c>
      <c r="R88" s="2">
        <v>2.2400000000000004E-14</v>
      </c>
      <c r="S88" s="2">
        <v>9.7397074121880906E-15</v>
      </c>
      <c r="T88" s="6">
        <v>9</v>
      </c>
      <c r="U88" s="2">
        <v>27.235078890000004</v>
      </c>
    </row>
    <row r="89" spans="1:21">
      <c r="A89" s="5" t="s">
        <v>152</v>
      </c>
      <c r="B89" s="5" t="s">
        <v>41</v>
      </c>
      <c r="C89" s="5" t="s">
        <v>124</v>
      </c>
      <c r="D89" s="5" t="s">
        <v>125</v>
      </c>
      <c r="E89" s="5" t="s">
        <v>126</v>
      </c>
      <c r="F89" s="5" t="s">
        <v>4200</v>
      </c>
      <c r="G89" s="5" t="s">
        <v>127</v>
      </c>
      <c r="H89" s="5" t="s">
        <v>128</v>
      </c>
      <c r="I89" s="5" t="s">
        <v>129</v>
      </c>
      <c r="J89" s="5" t="s">
        <v>130</v>
      </c>
      <c r="K89" s="5" t="s">
        <v>20</v>
      </c>
      <c r="L89" s="5">
        <v>30.190189</v>
      </c>
      <c r="M89" s="5">
        <v>30.190189</v>
      </c>
      <c r="N89" s="5" t="s">
        <v>4157</v>
      </c>
      <c r="O89" s="5">
        <v>25</v>
      </c>
      <c r="P89" s="5">
        <v>259200</v>
      </c>
      <c r="Q89" s="5">
        <v>5.4136366727141585</v>
      </c>
      <c r="R89" s="2">
        <v>2.2400000000000004E-14</v>
      </c>
      <c r="S89" s="2">
        <v>9.7397074121880906E-15</v>
      </c>
      <c r="T89" s="6">
        <v>9</v>
      </c>
      <c r="U89" s="2">
        <v>27.007717259999996</v>
      </c>
    </row>
    <row r="90" spans="1:21">
      <c r="A90" s="5" t="s">
        <v>153</v>
      </c>
      <c r="B90" s="5" t="s">
        <v>41</v>
      </c>
      <c r="C90" s="5" t="s">
        <v>124</v>
      </c>
      <c r="D90" s="5" t="s">
        <v>125</v>
      </c>
      <c r="E90" s="5" t="s">
        <v>126</v>
      </c>
      <c r="F90" s="5" t="s">
        <v>4200</v>
      </c>
      <c r="G90" s="5" t="s">
        <v>127</v>
      </c>
      <c r="H90" s="5" t="s">
        <v>128</v>
      </c>
      <c r="I90" s="5" t="s">
        <v>129</v>
      </c>
      <c r="J90" s="5" t="s">
        <v>130</v>
      </c>
      <c r="K90" s="5" t="s">
        <v>20</v>
      </c>
      <c r="L90" s="5">
        <v>30.190189</v>
      </c>
      <c r="M90" s="5">
        <v>30.190189</v>
      </c>
      <c r="N90" s="5" t="s">
        <v>4157</v>
      </c>
      <c r="O90" s="5">
        <v>25</v>
      </c>
      <c r="P90" s="5">
        <v>259200</v>
      </c>
      <c r="Q90" s="5">
        <v>5.4136366727141585</v>
      </c>
      <c r="R90" s="2">
        <v>2.2400000000000004E-14</v>
      </c>
      <c r="S90" s="2">
        <v>9.7397074121880906E-15</v>
      </c>
      <c r="T90" s="6">
        <v>9</v>
      </c>
      <c r="U90" s="2">
        <v>27.532320129999995</v>
      </c>
    </row>
    <row r="91" spans="1:21">
      <c r="A91" s="5" t="s">
        <v>154</v>
      </c>
      <c r="B91" s="5" t="s">
        <v>41</v>
      </c>
      <c r="C91" s="5" t="s">
        <v>124</v>
      </c>
      <c r="D91" s="5" t="s">
        <v>125</v>
      </c>
      <c r="E91" s="5" t="s">
        <v>126</v>
      </c>
      <c r="F91" s="5" t="s">
        <v>4200</v>
      </c>
      <c r="G91" s="5" t="s">
        <v>127</v>
      </c>
      <c r="H91" s="5" t="s">
        <v>128</v>
      </c>
      <c r="I91" s="5" t="s">
        <v>129</v>
      </c>
      <c r="J91" s="5" t="s">
        <v>130</v>
      </c>
      <c r="K91" s="5" t="s">
        <v>20</v>
      </c>
      <c r="L91" s="5">
        <v>30.190189</v>
      </c>
      <c r="M91" s="5">
        <v>30.190189</v>
      </c>
      <c r="N91" s="5" t="s">
        <v>4157</v>
      </c>
      <c r="O91" s="5">
        <v>25</v>
      </c>
      <c r="P91" s="5">
        <v>259200</v>
      </c>
      <c r="Q91" s="5">
        <v>5.4136366727141585</v>
      </c>
      <c r="R91" s="2">
        <v>2.2400000000000004E-14</v>
      </c>
      <c r="S91" s="2">
        <v>9.7397074121880906E-15</v>
      </c>
      <c r="T91" s="6">
        <v>9</v>
      </c>
      <c r="U91" s="2">
        <v>28.385346770000005</v>
      </c>
    </row>
    <row r="92" spans="1:21">
      <c r="A92" s="5" t="s">
        <v>155</v>
      </c>
      <c r="B92" s="5" t="s">
        <v>41</v>
      </c>
      <c r="C92" s="5" t="s">
        <v>124</v>
      </c>
      <c r="D92" s="5" t="s">
        <v>125</v>
      </c>
      <c r="E92" s="5" t="s">
        <v>126</v>
      </c>
      <c r="F92" s="5" t="s">
        <v>4200</v>
      </c>
      <c r="G92" s="5" t="s">
        <v>127</v>
      </c>
      <c r="H92" s="5" t="s">
        <v>128</v>
      </c>
      <c r="I92" s="5" t="s">
        <v>129</v>
      </c>
      <c r="J92" s="5" t="s">
        <v>130</v>
      </c>
      <c r="K92" s="5" t="s">
        <v>20</v>
      </c>
      <c r="L92" s="5">
        <v>30.190189</v>
      </c>
      <c r="M92" s="5">
        <v>30.190189</v>
      </c>
      <c r="N92" s="5" t="s">
        <v>4157</v>
      </c>
      <c r="O92" s="5">
        <v>25</v>
      </c>
      <c r="P92" s="5">
        <v>259200</v>
      </c>
      <c r="Q92" s="5">
        <v>5.4136366727141585</v>
      </c>
      <c r="R92" s="2">
        <v>2.2400000000000004E-14</v>
      </c>
      <c r="S92" s="2">
        <v>9.7397074121880906E-15</v>
      </c>
      <c r="T92" s="6">
        <v>9</v>
      </c>
      <c r="U92" s="2">
        <v>27.985742340000002</v>
      </c>
    </row>
    <row r="93" spans="1:21">
      <c r="A93" s="5" t="s">
        <v>156</v>
      </c>
      <c r="B93" s="5" t="s">
        <v>41</v>
      </c>
      <c r="C93" s="5" t="s">
        <v>124</v>
      </c>
      <c r="D93" s="5" t="s">
        <v>125</v>
      </c>
      <c r="E93" s="5" t="s">
        <v>126</v>
      </c>
      <c r="F93" s="5" t="s">
        <v>4200</v>
      </c>
      <c r="G93" s="5" t="s">
        <v>127</v>
      </c>
      <c r="H93" s="5" t="s">
        <v>128</v>
      </c>
      <c r="I93" s="5" t="s">
        <v>129</v>
      </c>
      <c r="J93" s="5" t="s">
        <v>130</v>
      </c>
      <c r="K93" s="5" t="s">
        <v>20</v>
      </c>
      <c r="L93" s="5">
        <v>30.190189</v>
      </c>
      <c r="M93" s="5">
        <v>30.190189</v>
      </c>
      <c r="N93" s="5" t="s">
        <v>4157</v>
      </c>
      <c r="O93" s="5">
        <v>25</v>
      </c>
      <c r="P93" s="5">
        <v>259200</v>
      </c>
      <c r="Q93" s="5">
        <v>5.4136366727141585</v>
      </c>
      <c r="R93" s="2">
        <v>2.2400000000000004E-14</v>
      </c>
      <c r="S93" s="2">
        <v>9.7397074121880906E-15</v>
      </c>
      <c r="T93" s="6">
        <v>9</v>
      </c>
      <c r="U93" s="2">
        <v>26.713463030000007</v>
      </c>
    </row>
    <row r="94" spans="1:21">
      <c r="A94" s="5" t="s">
        <v>157</v>
      </c>
      <c r="B94" s="5" t="s">
        <v>41</v>
      </c>
      <c r="C94" s="5" t="s">
        <v>124</v>
      </c>
      <c r="D94" s="5" t="s">
        <v>125</v>
      </c>
      <c r="E94" s="5" t="s">
        <v>126</v>
      </c>
      <c r="F94" s="5" t="s">
        <v>4200</v>
      </c>
      <c r="G94" s="5" t="s">
        <v>127</v>
      </c>
      <c r="H94" s="5" t="s">
        <v>128</v>
      </c>
      <c r="I94" s="5" t="s">
        <v>129</v>
      </c>
      <c r="J94" s="5" t="s">
        <v>130</v>
      </c>
      <c r="K94" s="5" t="s">
        <v>20</v>
      </c>
      <c r="L94" s="5">
        <v>30.190189</v>
      </c>
      <c r="M94" s="5">
        <v>30.190189</v>
      </c>
      <c r="N94" s="5" t="s">
        <v>4157</v>
      </c>
      <c r="O94" s="5">
        <v>25</v>
      </c>
      <c r="P94" s="5">
        <v>259200</v>
      </c>
      <c r="Q94" s="5">
        <v>5.4136366727141585</v>
      </c>
      <c r="R94" s="2">
        <v>2.2400000000000004E-14</v>
      </c>
      <c r="S94" s="2">
        <v>9.7397074121880906E-15</v>
      </c>
      <c r="T94" s="6">
        <v>9</v>
      </c>
      <c r="U94" s="2">
        <v>27.378728459999998</v>
      </c>
    </row>
    <row r="95" spans="1:21">
      <c r="A95" s="5" t="s">
        <v>224</v>
      </c>
      <c r="B95" s="5" t="s">
        <v>30</v>
      </c>
      <c r="C95" s="5" t="s">
        <v>211</v>
      </c>
      <c r="D95" s="5" t="s">
        <v>22</v>
      </c>
      <c r="E95" s="5" t="s">
        <v>91</v>
      </c>
      <c r="F95" s="5" t="s">
        <v>4201</v>
      </c>
      <c r="G95" s="5" t="s">
        <v>212</v>
      </c>
      <c r="H95" s="5" t="s">
        <v>213</v>
      </c>
      <c r="I95" s="5" t="s">
        <v>214</v>
      </c>
      <c r="J95" s="5" t="s">
        <v>215</v>
      </c>
      <c r="K95" s="5" t="s">
        <v>39</v>
      </c>
      <c r="L95" s="5">
        <v>-30.562260949999999</v>
      </c>
      <c r="M95" s="5">
        <v>30.562260949999999</v>
      </c>
      <c r="N95" s="5" t="s">
        <v>4157</v>
      </c>
      <c r="O95" s="5">
        <v>12</v>
      </c>
      <c r="P95" s="5"/>
      <c r="Q95" s="5"/>
      <c r="R95" s="2">
        <v>3.8500000000000003E-4</v>
      </c>
      <c r="S95" s="2">
        <v>1.67171197141852E-4</v>
      </c>
      <c r="T95" s="6">
        <v>7</v>
      </c>
      <c r="U95" s="2">
        <v>20.083569049999998</v>
      </c>
    </row>
    <row r="96" spans="1:21">
      <c r="A96" s="5" t="s">
        <v>177</v>
      </c>
      <c r="B96" s="5" t="s">
        <v>30</v>
      </c>
      <c r="C96" s="5" t="s">
        <v>178</v>
      </c>
      <c r="D96" s="5" t="s">
        <v>22</v>
      </c>
      <c r="E96" s="5" t="s">
        <v>179</v>
      </c>
      <c r="F96" s="5" t="s">
        <v>4186</v>
      </c>
      <c r="G96" s="5" t="s">
        <v>180</v>
      </c>
      <c r="H96" s="5" t="s">
        <v>181</v>
      </c>
      <c r="I96" s="5" t="s">
        <v>182</v>
      </c>
      <c r="J96" s="5" t="s">
        <v>183</v>
      </c>
      <c r="K96" s="5" t="s">
        <v>20</v>
      </c>
      <c r="L96" s="5">
        <v>55.493135000000002</v>
      </c>
      <c r="M96" s="5">
        <v>55.493135000000002</v>
      </c>
      <c r="N96" s="5" t="s">
        <v>4158</v>
      </c>
      <c r="O96" s="5">
        <v>15</v>
      </c>
      <c r="P96" s="5"/>
      <c r="Q96" s="5"/>
      <c r="R96" s="2">
        <v>1.7207100000000001E-4</v>
      </c>
      <c r="S96" s="2">
        <v>7.4723057144319085E-5</v>
      </c>
      <c r="T96" s="6">
        <v>6</v>
      </c>
      <c r="U96" s="2">
        <v>19.444154279999996</v>
      </c>
    </row>
    <row r="97" spans="1:21">
      <c r="A97" s="5" t="s">
        <v>184</v>
      </c>
      <c r="B97" s="5" t="s">
        <v>30</v>
      </c>
      <c r="C97" s="5" t="s">
        <v>178</v>
      </c>
      <c r="D97" s="5" t="s">
        <v>22</v>
      </c>
      <c r="E97" s="5" t="s">
        <v>179</v>
      </c>
      <c r="F97" s="5" t="s">
        <v>4186</v>
      </c>
      <c r="G97" s="5" t="s">
        <v>180</v>
      </c>
      <c r="H97" s="5" t="s">
        <v>181</v>
      </c>
      <c r="I97" s="5" t="s">
        <v>182</v>
      </c>
      <c r="J97" s="5" t="s">
        <v>183</v>
      </c>
      <c r="K97" s="5" t="s">
        <v>20</v>
      </c>
      <c r="L97" s="5">
        <v>55.493135000000002</v>
      </c>
      <c r="M97" s="5">
        <v>55.493135000000002</v>
      </c>
      <c r="N97" s="5" t="s">
        <v>4158</v>
      </c>
      <c r="O97" s="5">
        <v>15</v>
      </c>
      <c r="P97" s="5"/>
      <c r="Q97" s="5"/>
      <c r="R97" s="2">
        <v>1.4614599999999999E-4</v>
      </c>
      <c r="S97" s="2">
        <v>6.346576383145592E-5</v>
      </c>
      <c r="T97" s="6">
        <v>10</v>
      </c>
      <c r="U97" s="2">
        <v>15.9349314</v>
      </c>
    </row>
    <row r="98" spans="1:21">
      <c r="A98" s="5" t="s">
        <v>185</v>
      </c>
      <c r="B98" s="5" t="s">
        <v>30</v>
      </c>
      <c r="C98" s="5" t="s">
        <v>178</v>
      </c>
      <c r="D98" s="5" t="s">
        <v>22</v>
      </c>
      <c r="E98" s="5" t="s">
        <v>179</v>
      </c>
      <c r="F98" s="5" t="s">
        <v>4186</v>
      </c>
      <c r="G98" s="5" t="s">
        <v>180</v>
      </c>
      <c r="H98" s="5" t="s">
        <v>181</v>
      </c>
      <c r="I98" s="5" t="s">
        <v>182</v>
      </c>
      <c r="J98" s="5" t="s">
        <v>183</v>
      </c>
      <c r="K98" s="5" t="s">
        <v>20</v>
      </c>
      <c r="L98" s="5">
        <v>55.493135000000002</v>
      </c>
      <c r="M98" s="5">
        <v>55.493135000000002</v>
      </c>
      <c r="N98" s="5" t="s">
        <v>4158</v>
      </c>
      <c r="O98" s="5">
        <v>15</v>
      </c>
      <c r="P98" s="5"/>
      <c r="Q98" s="5"/>
      <c r="R98" s="2">
        <v>1.4984599999999997E-4</v>
      </c>
      <c r="S98" s="2">
        <v>6.5072415636433125E-5</v>
      </c>
      <c r="T98" s="6">
        <v>18</v>
      </c>
      <c r="U98" s="2">
        <v>21.994672139999992</v>
      </c>
    </row>
    <row r="99" spans="1:21">
      <c r="A99" s="5" t="s">
        <v>166</v>
      </c>
      <c r="B99" s="5" t="s">
        <v>30</v>
      </c>
      <c r="C99" s="5" t="s">
        <v>159</v>
      </c>
      <c r="D99" s="5" t="s">
        <v>22</v>
      </c>
      <c r="E99" s="5" t="s">
        <v>91</v>
      </c>
      <c r="F99" s="5" t="s">
        <v>4201</v>
      </c>
      <c r="G99" s="5" t="s">
        <v>92</v>
      </c>
      <c r="H99" s="5" t="s">
        <v>160</v>
      </c>
      <c r="I99" s="5" t="s">
        <v>161</v>
      </c>
      <c r="J99" s="5" t="s">
        <v>162</v>
      </c>
      <c r="K99" s="5" t="s">
        <v>31</v>
      </c>
      <c r="L99" s="5">
        <v>57.027652779999997</v>
      </c>
      <c r="M99" s="5">
        <v>57.027652779999997</v>
      </c>
      <c r="N99" s="5" t="s">
        <v>4158</v>
      </c>
      <c r="O99" s="5">
        <v>18.5</v>
      </c>
      <c r="P99" s="5"/>
      <c r="Q99" s="5"/>
      <c r="R99" s="2">
        <v>1.7699863E-2</v>
      </c>
      <c r="S99" s="2">
        <v>7.6197160538600409E-3</v>
      </c>
      <c r="T99" s="6">
        <v>7</v>
      </c>
      <c r="U99" s="2">
        <v>25.533406240000001</v>
      </c>
    </row>
    <row r="100" spans="1:21">
      <c r="A100" s="5" t="s">
        <v>275</v>
      </c>
      <c r="B100" s="5" t="s">
        <v>30</v>
      </c>
      <c r="C100" s="5" t="s">
        <v>159</v>
      </c>
      <c r="D100" s="5" t="s">
        <v>22</v>
      </c>
      <c r="E100" s="5" t="s">
        <v>91</v>
      </c>
      <c r="F100" s="5" t="s">
        <v>4201</v>
      </c>
      <c r="G100" s="5" t="s">
        <v>92</v>
      </c>
      <c r="H100" s="5" t="s">
        <v>160</v>
      </c>
      <c r="I100" s="5" t="s">
        <v>161</v>
      </c>
      <c r="J100" s="5" t="s">
        <v>162</v>
      </c>
      <c r="K100" s="5" t="s">
        <v>31</v>
      </c>
      <c r="L100" s="5">
        <v>57.027652779999997</v>
      </c>
      <c r="M100" s="5">
        <v>57.027652779999997</v>
      </c>
      <c r="N100" s="5" t="s">
        <v>4158</v>
      </c>
      <c r="O100" s="5">
        <v>23</v>
      </c>
      <c r="P100" s="5"/>
      <c r="Q100" s="5"/>
      <c r="R100" s="2">
        <v>1.7699863E-2</v>
      </c>
      <c r="S100" s="2">
        <v>7.6197160538600409E-3</v>
      </c>
      <c r="T100" s="6">
        <v>7</v>
      </c>
      <c r="U100" s="2">
        <v>20.687826059999995</v>
      </c>
    </row>
    <row r="101" spans="1:21">
      <c r="A101" s="5" t="s">
        <v>192</v>
      </c>
      <c r="B101" s="5" t="s">
        <v>41</v>
      </c>
      <c r="C101" s="5" t="s">
        <v>188</v>
      </c>
      <c r="D101" s="5" t="s">
        <v>22</v>
      </c>
      <c r="E101" s="5" t="s">
        <v>23</v>
      </c>
      <c r="F101" s="5" t="s">
        <v>4185</v>
      </c>
      <c r="G101" s="5" t="s">
        <v>24</v>
      </c>
      <c r="H101" s="5" t="s">
        <v>189</v>
      </c>
      <c r="I101" s="5" t="s">
        <v>190</v>
      </c>
      <c r="J101" s="5" t="s">
        <v>191</v>
      </c>
      <c r="K101" s="5" t="s">
        <v>20</v>
      </c>
      <c r="L101" s="5">
        <v>48.421910109999999</v>
      </c>
      <c r="M101" s="5">
        <v>48.421910109999999</v>
      </c>
      <c r="N101" s="5" t="s">
        <v>4158</v>
      </c>
      <c r="O101" s="5">
        <v>22</v>
      </c>
      <c r="P101" s="5"/>
      <c r="Q101" s="5"/>
      <c r="R101" s="2">
        <v>4.7100000000000013E-7</v>
      </c>
      <c r="S101" s="2">
        <v>2.0455265275688863E-7</v>
      </c>
      <c r="T101" s="6">
        <v>7</v>
      </c>
      <c r="U101" s="2">
        <v>29.068400730000004</v>
      </c>
    </row>
    <row r="102" spans="1:21">
      <c r="A102" s="5" t="s">
        <v>207</v>
      </c>
      <c r="B102" s="5" t="s">
        <v>41</v>
      </c>
      <c r="C102" s="5" t="s">
        <v>201</v>
      </c>
      <c r="D102" s="5" t="s">
        <v>22</v>
      </c>
      <c r="E102" s="5" t="s">
        <v>33</v>
      </c>
      <c r="F102" s="5" t="s">
        <v>4202</v>
      </c>
      <c r="G102" s="5" t="s">
        <v>43</v>
      </c>
      <c r="H102" s="5" t="s">
        <v>44</v>
      </c>
      <c r="I102" s="5" t="s">
        <v>202</v>
      </c>
      <c r="J102" s="5" t="s">
        <v>203</v>
      </c>
      <c r="K102" s="5" t="s">
        <v>20</v>
      </c>
      <c r="L102" s="5">
        <v>40.416691</v>
      </c>
      <c r="M102" s="5">
        <v>40.416691</v>
      </c>
      <c r="N102" s="5" t="s">
        <v>4157</v>
      </c>
      <c r="O102" s="5">
        <v>29</v>
      </c>
      <c r="P102" s="5"/>
      <c r="Q102" s="5"/>
      <c r="R102" s="2">
        <v>9.9000000000000008E-3</v>
      </c>
      <c r="S102" s="2">
        <v>4.2783722001624534E-3</v>
      </c>
      <c r="T102" s="6">
        <v>3</v>
      </c>
      <c r="U102" s="2">
        <v>32.433983869999999</v>
      </c>
    </row>
    <row r="103" spans="1:21">
      <c r="A103" s="5" t="s">
        <v>208</v>
      </c>
      <c r="B103" s="5" t="s">
        <v>41</v>
      </c>
      <c r="C103" s="5" t="s">
        <v>209</v>
      </c>
      <c r="D103" s="5" t="s">
        <v>22</v>
      </c>
      <c r="E103" s="5" t="s">
        <v>23</v>
      </c>
      <c r="F103" s="5" t="s">
        <v>4185</v>
      </c>
      <c r="G103" s="5" t="s">
        <v>24</v>
      </c>
      <c r="H103" s="5" t="s">
        <v>204</v>
      </c>
      <c r="I103" s="5" t="s">
        <v>205</v>
      </c>
      <c r="J103" s="5" t="s">
        <v>206</v>
      </c>
      <c r="K103" s="5" t="s">
        <v>39</v>
      </c>
      <c r="L103" s="5">
        <v>40.416691</v>
      </c>
      <c r="M103" s="5">
        <v>40.416691</v>
      </c>
      <c r="N103" s="5" t="s">
        <v>4157</v>
      </c>
      <c r="O103" s="5">
        <v>4</v>
      </c>
      <c r="P103" s="5"/>
      <c r="Q103" s="5"/>
      <c r="R103" s="2">
        <v>1.5699999999999999E-5</v>
      </c>
      <c r="S103" s="2">
        <v>6.8183698418451601E-6</v>
      </c>
      <c r="T103" s="6">
        <v>3</v>
      </c>
      <c r="U103" s="2">
        <v>32.433983869999999</v>
      </c>
    </row>
    <row r="104" spans="1:21">
      <c r="A104" s="5" t="s">
        <v>18</v>
      </c>
      <c r="B104" s="5" t="s">
        <v>19</v>
      </c>
      <c r="C104" s="5" t="s">
        <v>21</v>
      </c>
      <c r="D104" s="5" t="s">
        <v>22</v>
      </c>
      <c r="E104" s="5" t="s">
        <v>23</v>
      </c>
      <c r="F104" s="5" t="s">
        <v>4185</v>
      </c>
      <c r="G104" s="5" t="s">
        <v>24</v>
      </c>
      <c r="H104" s="5" t="s">
        <v>25</v>
      </c>
      <c r="I104" s="5" t="s">
        <v>26</v>
      </c>
      <c r="J104" s="5" t="s">
        <v>27</v>
      </c>
      <c r="K104" s="5" t="s">
        <v>20</v>
      </c>
      <c r="L104" s="5">
        <v>33.833919950000002</v>
      </c>
      <c r="M104" s="5">
        <v>33.833919950000002</v>
      </c>
      <c r="N104" s="5" t="s">
        <v>4157</v>
      </c>
      <c r="O104" s="5">
        <v>10</v>
      </c>
      <c r="P104" s="5">
        <v>1814400</v>
      </c>
      <c r="Q104" s="5">
        <v>6.2587332765725803</v>
      </c>
      <c r="R104" s="2">
        <v>1.66E-5</v>
      </c>
      <c r="S104" s="2">
        <v>7.2092285631286794E-6</v>
      </c>
      <c r="T104" s="6">
        <v>4</v>
      </c>
      <c r="U104" s="2">
        <v>23.007605989999998</v>
      </c>
    </row>
    <row r="105" spans="1:21" s="5" customFormat="1">
      <c r="A105" s="5" t="s">
        <v>217</v>
      </c>
      <c r="B105" s="5" t="s">
        <v>19</v>
      </c>
      <c r="C105" s="5" t="s">
        <v>218</v>
      </c>
      <c r="D105" s="5" t="s">
        <v>22</v>
      </c>
      <c r="E105" s="5" t="s">
        <v>23</v>
      </c>
      <c r="F105" s="5" t="s">
        <v>4185</v>
      </c>
      <c r="G105" s="5" t="s">
        <v>24</v>
      </c>
      <c r="H105" s="5" t="s">
        <v>204</v>
      </c>
      <c r="I105" s="5" t="s">
        <v>219</v>
      </c>
      <c r="J105" s="5" t="s">
        <v>220</v>
      </c>
      <c r="K105" s="5" t="s">
        <v>31</v>
      </c>
      <c r="L105" s="5">
        <v>33.833919950000002</v>
      </c>
      <c r="M105" s="5">
        <v>33.833919950000002</v>
      </c>
      <c r="N105" s="5" t="s">
        <v>4157</v>
      </c>
      <c r="O105" s="5">
        <v>10</v>
      </c>
      <c r="R105" s="2">
        <v>4.6600000000000002E-7</v>
      </c>
      <c r="S105" s="2">
        <v>2.0238118137790379E-7</v>
      </c>
      <c r="T105" s="6">
        <v>4</v>
      </c>
      <c r="U105" s="2">
        <v>23.007605989999998</v>
      </c>
    </row>
    <row r="106" spans="1:21">
      <c r="A106" s="5" t="s">
        <v>28</v>
      </c>
      <c r="B106" s="5" t="s">
        <v>19</v>
      </c>
      <c r="C106" s="5" t="s">
        <v>21</v>
      </c>
      <c r="D106" s="5" t="s">
        <v>22</v>
      </c>
      <c r="E106" s="5" t="s">
        <v>23</v>
      </c>
      <c r="F106" s="5" t="s">
        <v>4185</v>
      </c>
      <c r="G106" s="5" t="s">
        <v>24</v>
      </c>
      <c r="H106" s="5" t="s">
        <v>25</v>
      </c>
      <c r="I106" s="5" t="s">
        <v>26</v>
      </c>
      <c r="J106" s="5" t="s">
        <v>27</v>
      </c>
      <c r="K106" s="5" t="s">
        <v>20</v>
      </c>
      <c r="L106" s="5">
        <v>33.833919950000002</v>
      </c>
      <c r="M106" s="5">
        <v>33.833919950000002</v>
      </c>
      <c r="N106" s="5" t="s">
        <v>4157</v>
      </c>
      <c r="O106" s="5">
        <v>10</v>
      </c>
      <c r="P106" s="5">
        <v>1814400</v>
      </c>
      <c r="Q106" s="5">
        <v>6.2587332765725803</v>
      </c>
      <c r="R106" s="2">
        <v>1.66E-5</v>
      </c>
      <c r="S106" s="2">
        <v>7.2092285631286794E-6</v>
      </c>
      <c r="T106" s="6">
        <v>4</v>
      </c>
      <c r="U106" s="2">
        <v>16.569825560000002</v>
      </c>
    </row>
    <row r="107" spans="1:21">
      <c r="A107" s="5" t="s">
        <v>221</v>
      </c>
      <c r="B107" s="5" t="s">
        <v>19</v>
      </c>
      <c r="C107" s="5" t="s">
        <v>218</v>
      </c>
      <c r="D107" s="5" t="s">
        <v>22</v>
      </c>
      <c r="E107" s="5" t="s">
        <v>23</v>
      </c>
      <c r="F107" s="5" t="s">
        <v>4185</v>
      </c>
      <c r="G107" s="5" t="s">
        <v>24</v>
      </c>
      <c r="H107" s="5" t="s">
        <v>204</v>
      </c>
      <c r="I107" s="5" t="s">
        <v>219</v>
      </c>
      <c r="J107" s="5" t="s">
        <v>220</v>
      </c>
      <c r="K107" s="5" t="s">
        <v>31</v>
      </c>
      <c r="L107" s="5">
        <v>33.833919950000002</v>
      </c>
      <c r="M107" s="5">
        <v>33.833919950000002</v>
      </c>
      <c r="N107" s="5" t="s">
        <v>4157</v>
      </c>
      <c r="O107" s="5">
        <v>10</v>
      </c>
      <c r="P107" s="5"/>
      <c r="Q107" s="5"/>
      <c r="R107" s="2">
        <v>4.6600000000000002E-7</v>
      </c>
      <c r="S107" s="2">
        <v>2.0238118137790379E-7</v>
      </c>
      <c r="T107" s="6">
        <v>4</v>
      </c>
      <c r="U107" s="2">
        <v>16.569825560000002</v>
      </c>
    </row>
    <row r="109" spans="1:21">
      <c r="A109" s="5" t="s">
        <v>289</v>
      </c>
      <c r="B109" s="5" t="s">
        <v>41</v>
      </c>
      <c r="C109" s="5" t="s">
        <v>292</v>
      </c>
      <c r="D109" s="5" t="s">
        <v>293</v>
      </c>
      <c r="E109" s="5" t="s">
        <v>294</v>
      </c>
      <c r="F109" s="5" t="s">
        <v>294</v>
      </c>
      <c r="G109" s="5" t="s">
        <v>295</v>
      </c>
      <c r="H109" s="5" t="s">
        <v>296</v>
      </c>
      <c r="I109" s="5" t="s">
        <v>297</v>
      </c>
      <c r="J109" s="5" t="s">
        <v>290</v>
      </c>
      <c r="K109" s="5" t="s">
        <v>291</v>
      </c>
      <c r="L109" s="5">
        <v>-33.867137290000002</v>
      </c>
      <c r="M109" s="5">
        <v>33.867137290000002</v>
      </c>
      <c r="N109" s="5" t="s">
        <v>4157</v>
      </c>
      <c r="O109" s="5">
        <v>30</v>
      </c>
      <c r="P109" s="5">
        <v>5443200</v>
      </c>
      <c r="Q109" s="5">
        <v>6.7358543717190784</v>
      </c>
      <c r="R109" s="6">
        <v>0.15</v>
      </c>
      <c r="S109" s="6">
        <v>6.069784035361165E-2</v>
      </c>
      <c r="T109" s="6">
        <v>6</v>
      </c>
      <c r="U109" s="6">
        <v>33.843477249999999</v>
      </c>
    </row>
    <row r="110" spans="1:21">
      <c r="A110" s="6"/>
      <c r="E110" s="6"/>
      <c r="F110" s="6"/>
      <c r="G110" s="6"/>
      <c r="H110" s="6"/>
      <c r="I110" s="6"/>
      <c r="J110" s="6"/>
      <c r="K110" s="6"/>
      <c r="L110" s="6"/>
      <c r="M110" s="6"/>
      <c r="N110" s="6"/>
      <c r="O110" s="6"/>
      <c r="P110" s="6"/>
      <c r="Q110" s="6"/>
      <c r="R110" s="6"/>
      <c r="S110" s="6"/>
      <c r="T110" s="5"/>
    </row>
    <row r="111" spans="1:21">
      <c r="A111" s="6"/>
      <c r="E111" s="6"/>
      <c r="F111" s="6"/>
      <c r="G111" s="6"/>
      <c r="H111" s="6"/>
      <c r="I111" s="6"/>
      <c r="J111" s="6"/>
      <c r="K111" s="6"/>
      <c r="L111" s="6"/>
      <c r="M111" s="6"/>
      <c r="N111" s="6"/>
      <c r="O111" s="6"/>
      <c r="P111" s="6"/>
      <c r="Q111" s="6"/>
      <c r="R111" s="6"/>
      <c r="S111" s="6"/>
      <c r="T111" s="5"/>
    </row>
    <row r="112" spans="1:21">
      <c r="A112" s="6"/>
      <c r="B112" s="6"/>
      <c r="C112" s="6"/>
      <c r="D112" s="6"/>
      <c r="E112" s="6"/>
      <c r="F112" s="6"/>
      <c r="G112" s="6"/>
      <c r="H112" s="6"/>
      <c r="I112" s="6"/>
      <c r="J112" s="6"/>
      <c r="K112" s="6"/>
      <c r="L112" s="6"/>
      <c r="M112" s="6"/>
      <c r="N112" s="6"/>
      <c r="O112" s="6"/>
      <c r="P112" s="6"/>
      <c r="Q112" s="6"/>
      <c r="R112" s="6"/>
      <c r="S112" s="6"/>
      <c r="T112" s="5"/>
    </row>
    <row r="113" spans="1:20">
      <c r="A113" s="6"/>
      <c r="B113" s="6"/>
      <c r="C113" s="6"/>
      <c r="D113" s="6"/>
      <c r="E113" s="6"/>
      <c r="F113" s="6"/>
      <c r="G113" s="6"/>
      <c r="H113" s="6"/>
      <c r="I113" s="6"/>
      <c r="J113" s="6"/>
      <c r="K113" s="6"/>
      <c r="L113" s="6"/>
      <c r="M113" s="6"/>
      <c r="N113" s="6"/>
      <c r="O113" s="6"/>
      <c r="P113" s="6"/>
      <c r="Q113" s="6"/>
      <c r="R113" s="6"/>
      <c r="S113" s="6"/>
      <c r="T113" s="5"/>
    </row>
    <row r="114" spans="1:20">
      <c r="A114" s="6"/>
      <c r="B114" s="6"/>
      <c r="C114" s="6"/>
      <c r="D114" s="6"/>
      <c r="E114" s="6"/>
      <c r="F114" s="6"/>
      <c r="G114" s="6"/>
      <c r="H114" s="6"/>
      <c r="I114" s="6"/>
      <c r="J114" s="6"/>
      <c r="K114" s="6"/>
      <c r="L114" s="6"/>
      <c r="M114" s="6"/>
      <c r="N114" s="6"/>
      <c r="O114" s="6"/>
      <c r="P114" s="6"/>
      <c r="Q114" s="6"/>
      <c r="R114" s="6"/>
      <c r="S114" s="6"/>
      <c r="T114" s="5"/>
    </row>
    <row r="115" spans="1:20">
      <c r="A115" s="6"/>
      <c r="B115" s="6"/>
      <c r="C115" s="6"/>
      <c r="D115" s="6"/>
      <c r="E115" s="6"/>
      <c r="F115" s="6"/>
      <c r="G115" s="6"/>
      <c r="H115" s="6"/>
      <c r="I115" s="6"/>
      <c r="J115" s="6"/>
      <c r="K115" s="6"/>
      <c r="L115" s="6"/>
      <c r="M115" s="6"/>
      <c r="N115" s="6"/>
      <c r="O115" s="6"/>
      <c r="P115" s="6"/>
      <c r="Q115" s="6"/>
      <c r="R115" s="6"/>
      <c r="S115" s="6"/>
      <c r="T115" s="5"/>
    </row>
    <row r="116" spans="1:20">
      <c r="A116" s="6"/>
      <c r="B116" s="6"/>
      <c r="C116" s="6"/>
      <c r="D116" s="6"/>
      <c r="E116" s="6"/>
      <c r="F116" s="6"/>
      <c r="G116" s="6"/>
      <c r="H116" s="6"/>
      <c r="I116" s="6"/>
      <c r="J116" s="6"/>
      <c r="K116" s="6"/>
      <c r="L116" s="6"/>
      <c r="M116" s="6"/>
      <c r="N116" s="6"/>
      <c r="O116" s="6"/>
      <c r="P116" s="6"/>
      <c r="Q116" s="6"/>
      <c r="R116" s="6"/>
      <c r="S116" s="6"/>
      <c r="T116" s="5"/>
    </row>
    <row r="117" spans="1:20">
      <c r="A117" s="6"/>
      <c r="B117" s="6"/>
      <c r="C117" s="6"/>
      <c r="D117" s="6"/>
      <c r="E117" s="6"/>
      <c r="F117" s="6"/>
      <c r="G117" s="6"/>
      <c r="H117" s="6"/>
      <c r="I117" s="6"/>
      <c r="J117" s="6"/>
      <c r="K117" s="6"/>
      <c r="L117" s="6"/>
      <c r="M117" s="6"/>
      <c r="N117" s="6"/>
      <c r="O117" s="6"/>
      <c r="P117" s="6"/>
      <c r="Q117" s="6"/>
      <c r="R117" s="6"/>
      <c r="S117" s="6"/>
      <c r="T117" s="5"/>
    </row>
    <row r="118" spans="1:20">
      <c r="A118" s="6"/>
      <c r="B118" s="6"/>
      <c r="C118" s="6"/>
      <c r="D118" s="6"/>
      <c r="E118" s="6"/>
      <c r="F118" s="6"/>
      <c r="G118" s="6"/>
      <c r="H118" s="6"/>
      <c r="I118" s="6"/>
      <c r="J118" s="6"/>
      <c r="K118" s="6"/>
      <c r="L118" s="6"/>
      <c r="M118" s="6"/>
      <c r="N118" s="6"/>
      <c r="O118" s="6"/>
      <c r="P118" s="6"/>
      <c r="Q118" s="6"/>
      <c r="R118" s="6"/>
      <c r="S118" s="6"/>
      <c r="T118" s="5"/>
    </row>
    <row r="119" spans="1:20">
      <c r="A119" s="6"/>
      <c r="B119" s="6"/>
      <c r="C119" s="6"/>
      <c r="D119" s="6"/>
      <c r="E119" s="6"/>
      <c r="F119" s="6"/>
      <c r="G119" s="6"/>
      <c r="H119" s="6"/>
      <c r="I119" s="6"/>
      <c r="J119" s="6"/>
      <c r="K119" s="6"/>
      <c r="L119" s="6"/>
      <c r="M119" s="6"/>
      <c r="N119" s="6"/>
      <c r="O119" s="6"/>
      <c r="P119" s="6"/>
      <c r="Q119" s="6"/>
      <c r="R119" s="6"/>
      <c r="S119" s="6"/>
      <c r="T119" s="5"/>
    </row>
    <row r="120" spans="1:20">
      <c r="A120" s="6"/>
      <c r="B120" s="6"/>
      <c r="C120" s="6"/>
      <c r="D120" s="6"/>
      <c r="E120" s="6"/>
      <c r="F120" s="6"/>
      <c r="G120" s="6"/>
      <c r="H120" s="6"/>
      <c r="I120" s="6"/>
      <c r="J120" s="6"/>
      <c r="K120" s="6"/>
      <c r="L120" s="6"/>
      <c r="M120" s="6"/>
      <c r="N120" s="6"/>
      <c r="O120" s="6"/>
      <c r="P120" s="6"/>
      <c r="Q120" s="6"/>
      <c r="R120" s="6"/>
      <c r="S120" s="6"/>
      <c r="T120" s="5"/>
    </row>
    <row r="121" spans="1:20">
      <c r="A121" s="6"/>
      <c r="B121" s="6"/>
      <c r="C121" s="6"/>
      <c r="D121" s="6"/>
      <c r="E121" s="6"/>
      <c r="F121" s="6"/>
      <c r="G121" s="6"/>
      <c r="H121" s="6"/>
      <c r="I121" s="6"/>
      <c r="J121" s="6"/>
      <c r="K121" s="6"/>
      <c r="L121" s="6"/>
      <c r="M121" s="6"/>
      <c r="N121" s="6"/>
      <c r="O121" s="6"/>
      <c r="P121" s="6"/>
      <c r="Q121" s="6"/>
      <c r="R121" s="6"/>
      <c r="S121" s="6"/>
      <c r="T121" s="5"/>
    </row>
    <row r="122" spans="1:20">
      <c r="A122" s="6"/>
      <c r="B122" s="6"/>
      <c r="C122" s="6"/>
      <c r="D122" s="6"/>
      <c r="E122" s="6"/>
      <c r="F122" s="6"/>
      <c r="G122" s="6"/>
      <c r="H122" s="6"/>
      <c r="I122" s="6"/>
      <c r="J122" s="6"/>
      <c r="K122" s="6"/>
      <c r="L122" s="6"/>
      <c r="M122" s="6"/>
      <c r="N122" s="6"/>
      <c r="O122" s="6"/>
      <c r="P122" s="6"/>
      <c r="Q122" s="6"/>
      <c r="R122" s="6"/>
      <c r="S122" s="6"/>
      <c r="T122" s="5"/>
    </row>
    <row r="123" spans="1:20">
      <c r="A123" s="6"/>
      <c r="B123" s="6"/>
      <c r="C123" s="6"/>
      <c r="D123" s="6"/>
      <c r="E123" s="6"/>
      <c r="F123" s="6"/>
      <c r="G123" s="6"/>
      <c r="H123" s="6"/>
      <c r="I123" s="6"/>
      <c r="J123" s="6"/>
      <c r="K123" s="6"/>
      <c r="L123" s="6"/>
      <c r="M123" s="6"/>
      <c r="N123" s="6"/>
      <c r="O123" s="6"/>
      <c r="P123" s="6"/>
      <c r="Q123" s="6"/>
      <c r="R123" s="6"/>
      <c r="S123" s="6"/>
      <c r="T123" s="5"/>
    </row>
    <row r="124" spans="1:20">
      <c r="A124" s="6"/>
      <c r="B124" s="6"/>
      <c r="C124" s="6"/>
      <c r="D124" s="6"/>
      <c r="E124" s="6"/>
      <c r="F124" s="6"/>
      <c r="G124" s="6"/>
      <c r="H124" s="6"/>
      <c r="I124" s="6"/>
      <c r="J124" s="6"/>
      <c r="K124" s="6"/>
      <c r="L124" s="6"/>
      <c r="M124" s="6"/>
      <c r="N124" s="6"/>
      <c r="O124" s="6"/>
      <c r="P124" s="6"/>
      <c r="Q124" s="6"/>
      <c r="R124" s="6"/>
      <c r="S124" s="6"/>
      <c r="T124" s="5"/>
    </row>
    <row r="125" spans="1:20">
      <c r="A125" s="6"/>
      <c r="B125" s="6"/>
      <c r="C125" s="6"/>
      <c r="D125" s="6"/>
      <c r="E125" s="6"/>
      <c r="F125" s="6"/>
      <c r="G125" s="6"/>
      <c r="H125" s="6"/>
      <c r="I125" s="6"/>
      <c r="J125" s="6"/>
      <c r="K125" s="6"/>
      <c r="L125" s="6"/>
      <c r="M125" s="6"/>
      <c r="N125" s="6"/>
      <c r="O125" s="6"/>
      <c r="P125" s="6"/>
      <c r="Q125" s="6"/>
      <c r="R125" s="6"/>
      <c r="S125" s="6"/>
      <c r="T125" s="5"/>
    </row>
    <row r="126" spans="1:20">
      <c r="A126" s="6"/>
      <c r="B126" s="6"/>
      <c r="C126" s="6"/>
      <c r="D126" s="6"/>
      <c r="E126" s="6"/>
      <c r="F126" s="6"/>
      <c r="G126" s="6"/>
      <c r="H126" s="6"/>
      <c r="I126" s="6"/>
      <c r="J126" s="6"/>
      <c r="K126" s="6"/>
      <c r="L126" s="6"/>
      <c r="M126" s="6"/>
      <c r="N126" s="6"/>
      <c r="O126" s="6"/>
      <c r="P126" s="6"/>
      <c r="Q126" s="6"/>
      <c r="R126" s="6"/>
      <c r="S126" s="6"/>
      <c r="T126" s="5"/>
    </row>
    <row r="127" spans="1:20">
      <c r="A127" s="6"/>
      <c r="B127" s="6"/>
      <c r="C127" s="6"/>
      <c r="D127" s="6"/>
      <c r="E127" s="6"/>
      <c r="F127" s="6"/>
      <c r="G127" s="6"/>
      <c r="H127" s="6"/>
      <c r="I127" s="6"/>
      <c r="J127" s="6"/>
      <c r="K127" s="6"/>
      <c r="L127" s="6"/>
      <c r="M127" s="6"/>
      <c r="N127" s="6"/>
      <c r="O127" s="6"/>
      <c r="P127" s="6"/>
      <c r="Q127" s="6"/>
      <c r="R127" s="6"/>
      <c r="S127" s="6"/>
      <c r="T127" s="5"/>
    </row>
    <row r="128" spans="1:20">
      <c r="A128" s="6"/>
      <c r="B128" s="6"/>
      <c r="C128" s="6"/>
      <c r="D128" s="6"/>
      <c r="E128" s="6"/>
      <c r="F128" s="6"/>
      <c r="G128" s="6"/>
      <c r="H128" s="6"/>
      <c r="I128" s="6"/>
      <c r="J128" s="6"/>
      <c r="K128" s="6"/>
      <c r="L128" s="6"/>
      <c r="M128" s="6"/>
      <c r="N128" s="6"/>
      <c r="O128" s="6"/>
      <c r="P128" s="6"/>
      <c r="Q128" s="6"/>
      <c r="R128" s="6"/>
      <c r="S128" s="6"/>
      <c r="T128" s="5"/>
    </row>
    <row r="129" spans="1:20">
      <c r="A129" s="6"/>
      <c r="B129" s="6"/>
      <c r="C129" s="6"/>
      <c r="D129" s="6"/>
      <c r="E129" s="6"/>
      <c r="F129" s="6"/>
      <c r="G129" s="6"/>
      <c r="H129" s="6"/>
      <c r="I129" s="6"/>
      <c r="J129" s="6"/>
      <c r="K129" s="6"/>
      <c r="L129" s="6"/>
      <c r="M129" s="6"/>
      <c r="N129" s="6"/>
      <c r="O129" s="6"/>
      <c r="P129" s="6"/>
      <c r="Q129" s="6"/>
      <c r="R129" s="6"/>
      <c r="S129" s="6"/>
      <c r="T129" s="5"/>
    </row>
    <row r="130" spans="1:20">
      <c r="A130" s="6"/>
      <c r="B130" s="6"/>
      <c r="C130" s="6"/>
      <c r="D130" s="6"/>
      <c r="E130" s="6"/>
      <c r="F130" s="6"/>
      <c r="G130" s="6"/>
      <c r="H130" s="6"/>
      <c r="I130" s="6"/>
      <c r="J130" s="6"/>
      <c r="K130" s="6"/>
      <c r="L130" s="6"/>
      <c r="M130" s="6"/>
      <c r="N130" s="6"/>
      <c r="O130" s="6"/>
      <c r="P130" s="6"/>
      <c r="Q130" s="6"/>
      <c r="R130" s="6"/>
      <c r="S130" s="6"/>
      <c r="T130" s="5"/>
    </row>
    <row r="131" spans="1:20">
      <c r="A131" s="6"/>
      <c r="B131" s="6"/>
      <c r="C131" s="6"/>
      <c r="D131" s="6"/>
      <c r="E131" s="6"/>
      <c r="F131" s="6"/>
      <c r="G131" s="6"/>
      <c r="H131" s="6"/>
      <c r="I131" s="6"/>
      <c r="J131" s="6"/>
      <c r="K131" s="6"/>
      <c r="L131" s="6"/>
      <c r="M131" s="6"/>
      <c r="N131" s="6"/>
      <c r="O131" s="6"/>
      <c r="P131" s="6"/>
      <c r="Q131" s="6"/>
      <c r="R131" s="6"/>
      <c r="S131" s="6"/>
      <c r="T131" s="5"/>
    </row>
    <row r="132" spans="1:20">
      <c r="A132" s="6"/>
      <c r="B132" s="6"/>
      <c r="C132" s="6"/>
      <c r="D132" s="6"/>
      <c r="E132" s="6"/>
      <c r="F132" s="6"/>
      <c r="G132" s="6"/>
      <c r="H132" s="6"/>
      <c r="I132" s="6"/>
      <c r="J132" s="6"/>
      <c r="K132" s="6"/>
      <c r="L132" s="6"/>
      <c r="M132" s="6"/>
      <c r="N132" s="6"/>
      <c r="O132" s="6"/>
      <c r="P132" s="6"/>
      <c r="Q132" s="6"/>
      <c r="R132" s="6"/>
      <c r="S132" s="6"/>
      <c r="T132" s="5"/>
    </row>
    <row r="133" spans="1:20">
      <c r="A133" s="6"/>
      <c r="B133" s="6"/>
      <c r="C133" s="6"/>
      <c r="D133" s="6"/>
      <c r="E133" s="6"/>
      <c r="F133" s="6"/>
      <c r="G133" s="6"/>
      <c r="H133" s="6"/>
      <c r="I133" s="6"/>
      <c r="J133" s="6"/>
      <c r="K133" s="6"/>
      <c r="L133" s="6"/>
      <c r="M133" s="6"/>
      <c r="N133" s="6"/>
      <c r="O133" s="6"/>
      <c r="P133" s="6"/>
      <c r="Q133" s="6"/>
      <c r="R133" s="6"/>
      <c r="S133" s="6"/>
      <c r="T133" s="5"/>
    </row>
    <row r="134" spans="1:20">
      <c r="A134" s="6"/>
      <c r="B134" s="6"/>
      <c r="C134" s="6"/>
      <c r="D134" s="6"/>
      <c r="E134" s="6"/>
      <c r="F134" s="6"/>
      <c r="G134" s="6"/>
      <c r="H134" s="6"/>
      <c r="I134" s="6"/>
      <c r="J134" s="6"/>
      <c r="K134" s="6"/>
      <c r="L134" s="6"/>
      <c r="M134" s="6"/>
      <c r="N134" s="6"/>
      <c r="O134" s="6"/>
      <c r="P134" s="6"/>
      <c r="Q134" s="6"/>
      <c r="R134" s="6"/>
      <c r="S134" s="6"/>
      <c r="T134" s="5"/>
    </row>
    <row r="135" spans="1:20">
      <c r="A135" s="6"/>
      <c r="B135" s="6"/>
      <c r="C135" s="6"/>
      <c r="D135" s="6"/>
      <c r="E135" s="6"/>
      <c r="F135" s="6"/>
      <c r="G135" s="6"/>
      <c r="H135" s="6"/>
      <c r="I135" s="6"/>
      <c r="J135" s="6"/>
      <c r="K135" s="6"/>
      <c r="L135" s="6"/>
      <c r="M135" s="6"/>
      <c r="N135" s="6"/>
      <c r="O135" s="6"/>
      <c r="P135" s="6"/>
      <c r="Q135" s="6"/>
      <c r="R135" s="6"/>
      <c r="S135" s="6"/>
      <c r="T135" s="5"/>
    </row>
    <row r="136" spans="1:20">
      <c r="A136" s="6"/>
      <c r="B136" s="6"/>
      <c r="C136" s="6"/>
      <c r="D136" s="6"/>
      <c r="E136" s="6"/>
      <c r="F136" s="6"/>
      <c r="G136" s="6"/>
      <c r="H136" s="6"/>
      <c r="I136" s="6"/>
      <c r="J136" s="6"/>
      <c r="K136" s="6"/>
      <c r="L136" s="6"/>
      <c r="M136" s="6"/>
      <c r="N136" s="6"/>
      <c r="O136" s="6"/>
      <c r="P136" s="6"/>
      <c r="Q136" s="6"/>
      <c r="R136" s="6"/>
      <c r="S136" s="6"/>
      <c r="T136" s="5"/>
    </row>
    <row r="137" spans="1:20">
      <c r="A137" s="6"/>
      <c r="B137" s="6"/>
      <c r="C137" s="6"/>
      <c r="D137" s="6"/>
      <c r="E137" s="6"/>
      <c r="F137" s="6"/>
      <c r="G137" s="6"/>
      <c r="H137" s="6"/>
      <c r="I137" s="6"/>
      <c r="J137" s="6"/>
      <c r="K137" s="6"/>
      <c r="L137" s="6"/>
      <c r="M137" s="6"/>
      <c r="N137" s="6"/>
      <c r="O137" s="6"/>
      <c r="P137" s="6"/>
      <c r="Q137" s="6"/>
      <c r="R137" s="6"/>
      <c r="S137" s="6"/>
      <c r="T137" s="5"/>
    </row>
    <row r="138" spans="1:20">
      <c r="A138" s="6"/>
      <c r="B138" s="6"/>
      <c r="C138" s="6"/>
      <c r="D138" s="6"/>
      <c r="E138" s="6"/>
      <c r="F138" s="6"/>
      <c r="G138" s="6"/>
      <c r="H138" s="6"/>
      <c r="I138" s="6"/>
      <c r="J138" s="6"/>
      <c r="K138" s="6"/>
      <c r="L138" s="6"/>
      <c r="M138" s="6"/>
      <c r="N138" s="6"/>
      <c r="O138" s="6"/>
      <c r="P138" s="6"/>
      <c r="Q138" s="6"/>
      <c r="R138" s="6"/>
      <c r="S138" s="6"/>
      <c r="T138" s="5"/>
    </row>
    <row r="139" spans="1:20">
      <c r="A139" s="6"/>
      <c r="B139" s="6"/>
      <c r="C139" s="6"/>
      <c r="D139" s="6"/>
      <c r="E139" s="6"/>
      <c r="F139" s="6"/>
      <c r="G139" s="6"/>
      <c r="H139" s="6"/>
      <c r="I139" s="6"/>
      <c r="J139" s="6"/>
      <c r="K139" s="6"/>
      <c r="L139" s="6"/>
      <c r="M139" s="6"/>
      <c r="N139" s="6"/>
      <c r="O139" s="6"/>
      <c r="P139" s="6"/>
      <c r="Q139" s="6"/>
      <c r="R139" s="6"/>
      <c r="S139" s="6"/>
      <c r="T139" s="5"/>
    </row>
    <row r="140" spans="1:20">
      <c r="A140" s="6"/>
      <c r="B140" s="6"/>
      <c r="C140" s="6"/>
      <c r="D140" s="6"/>
      <c r="E140" s="6"/>
      <c r="F140" s="6"/>
      <c r="G140" s="6"/>
      <c r="H140" s="6"/>
      <c r="I140" s="6"/>
      <c r="J140" s="6"/>
      <c r="K140" s="6"/>
      <c r="L140" s="6"/>
      <c r="M140" s="6"/>
      <c r="N140" s="6"/>
      <c r="O140" s="6"/>
      <c r="P140" s="6"/>
      <c r="Q140" s="6"/>
      <c r="R140" s="6"/>
      <c r="S140" s="6"/>
      <c r="T140" s="5"/>
    </row>
    <row r="141" spans="1:20">
      <c r="A141" s="6"/>
      <c r="B141" s="6"/>
      <c r="C141" s="6"/>
      <c r="D141" s="6"/>
      <c r="E141" s="6"/>
      <c r="F141" s="6"/>
      <c r="G141" s="6"/>
      <c r="H141" s="6"/>
      <c r="I141" s="6"/>
      <c r="J141" s="6"/>
      <c r="K141" s="6"/>
      <c r="L141" s="6"/>
      <c r="M141" s="6"/>
      <c r="N141" s="6"/>
      <c r="O141" s="6"/>
      <c r="P141" s="6"/>
      <c r="Q141" s="6"/>
      <c r="R141" s="6"/>
      <c r="S141" s="6"/>
      <c r="T141" s="5"/>
    </row>
    <row r="142" spans="1:20">
      <c r="A142" s="6"/>
      <c r="B142" s="6"/>
      <c r="C142" s="6"/>
      <c r="D142" s="6"/>
      <c r="E142" s="6"/>
      <c r="F142" s="6"/>
      <c r="G142" s="6"/>
      <c r="H142" s="6"/>
      <c r="I142" s="6"/>
      <c r="J142" s="6"/>
      <c r="K142" s="6"/>
      <c r="L142" s="6"/>
      <c r="M142" s="6"/>
      <c r="N142" s="6"/>
      <c r="O142" s="6"/>
      <c r="P142" s="6"/>
      <c r="Q142" s="6"/>
      <c r="R142" s="6"/>
      <c r="S142" s="6"/>
      <c r="T142" s="5"/>
    </row>
    <row r="143" spans="1:20">
      <c r="A143" s="6"/>
      <c r="B143" s="6"/>
      <c r="C143" s="6"/>
      <c r="D143" s="6"/>
      <c r="E143" s="6"/>
      <c r="F143" s="6"/>
      <c r="G143" s="6"/>
      <c r="H143" s="6"/>
      <c r="I143" s="6"/>
      <c r="J143" s="6"/>
      <c r="K143" s="6"/>
      <c r="L143" s="6"/>
      <c r="M143" s="6"/>
      <c r="N143" s="6"/>
      <c r="O143" s="6"/>
      <c r="P143" s="6"/>
      <c r="Q143" s="6"/>
      <c r="R143" s="6"/>
      <c r="S143" s="6"/>
      <c r="T143" s="5"/>
    </row>
    <row r="144" spans="1:20">
      <c r="A144" s="6"/>
      <c r="B144" s="6"/>
      <c r="C144" s="6"/>
      <c r="D144" s="6"/>
      <c r="E144" s="6"/>
      <c r="F144" s="6"/>
      <c r="G144" s="6"/>
      <c r="H144" s="6"/>
      <c r="I144" s="6"/>
      <c r="J144" s="6"/>
      <c r="K144" s="6"/>
      <c r="L144" s="6"/>
      <c r="M144" s="6"/>
      <c r="N144" s="6"/>
      <c r="O144" s="6"/>
      <c r="P144" s="6"/>
      <c r="Q144" s="6"/>
      <c r="R144" s="6"/>
      <c r="S144" s="6"/>
      <c r="T144" s="5"/>
    </row>
    <row r="145" spans="1:20">
      <c r="A145" s="6"/>
      <c r="B145" s="6"/>
      <c r="C145" s="6"/>
      <c r="D145" s="6"/>
      <c r="E145" s="6"/>
      <c r="F145" s="6"/>
      <c r="G145" s="6"/>
      <c r="H145" s="6"/>
      <c r="I145" s="6"/>
      <c r="J145" s="6"/>
      <c r="K145" s="6"/>
      <c r="L145" s="6"/>
      <c r="M145" s="6"/>
      <c r="N145" s="6"/>
      <c r="O145" s="6"/>
      <c r="P145" s="6"/>
      <c r="Q145" s="6"/>
      <c r="R145" s="6"/>
      <c r="S145" s="6"/>
      <c r="T145" s="5"/>
    </row>
    <row r="146" spans="1:20">
      <c r="A146" s="6"/>
      <c r="B146" s="6"/>
      <c r="C146" s="6"/>
      <c r="D146" s="6"/>
      <c r="E146" s="6"/>
      <c r="F146" s="6"/>
      <c r="G146" s="6"/>
      <c r="H146" s="6"/>
      <c r="I146" s="6"/>
      <c r="J146" s="6"/>
      <c r="K146" s="6"/>
      <c r="L146" s="6"/>
      <c r="M146" s="6"/>
      <c r="N146" s="6"/>
      <c r="O146" s="6"/>
      <c r="P146" s="6"/>
      <c r="Q146" s="6"/>
      <c r="R146" s="6"/>
      <c r="S146" s="6"/>
      <c r="T146" s="5"/>
    </row>
    <row r="147" spans="1:20">
      <c r="A147" s="6"/>
      <c r="B147" s="6"/>
      <c r="C147" s="6"/>
      <c r="D147" s="6"/>
      <c r="E147" s="6"/>
      <c r="F147" s="6"/>
      <c r="G147" s="6"/>
      <c r="H147" s="6"/>
      <c r="I147" s="6"/>
      <c r="J147" s="6"/>
      <c r="K147" s="6"/>
      <c r="L147" s="6"/>
      <c r="M147" s="6"/>
      <c r="N147" s="6"/>
      <c r="O147" s="6"/>
      <c r="P147" s="6"/>
      <c r="Q147" s="6"/>
      <c r="R147" s="6"/>
      <c r="S147" s="6"/>
      <c r="T147" s="5"/>
    </row>
    <row r="148" spans="1:20">
      <c r="A148" s="6"/>
      <c r="B148" s="6"/>
      <c r="C148" s="6"/>
      <c r="D148" s="6"/>
      <c r="E148" s="6"/>
      <c r="F148" s="6"/>
      <c r="G148" s="6"/>
      <c r="H148" s="6"/>
      <c r="I148" s="6"/>
      <c r="J148" s="6"/>
      <c r="K148" s="6"/>
      <c r="L148" s="6"/>
      <c r="M148" s="6"/>
      <c r="N148" s="6"/>
      <c r="O148" s="6"/>
      <c r="P148" s="6"/>
      <c r="Q148" s="6"/>
      <c r="R148" s="6"/>
      <c r="S148" s="6"/>
      <c r="T148" s="5"/>
    </row>
    <row r="149" spans="1:20">
      <c r="A149" s="6"/>
      <c r="B149" s="6"/>
      <c r="C149" s="6"/>
      <c r="D149" s="6"/>
      <c r="E149" s="6"/>
      <c r="F149" s="6"/>
      <c r="G149" s="6"/>
      <c r="H149" s="6"/>
      <c r="I149" s="6"/>
      <c r="J149" s="6"/>
      <c r="K149" s="6"/>
      <c r="L149" s="6"/>
      <c r="M149" s="6"/>
      <c r="N149" s="6"/>
      <c r="O149" s="6"/>
      <c r="P149" s="6"/>
      <c r="Q149" s="6"/>
      <c r="R149" s="6"/>
      <c r="S149" s="6"/>
      <c r="T149" s="5"/>
    </row>
    <row r="150" spans="1:20">
      <c r="A150" s="6"/>
      <c r="B150" s="6"/>
      <c r="C150" s="6"/>
      <c r="D150" s="6"/>
      <c r="E150" s="6"/>
      <c r="F150" s="6"/>
      <c r="G150" s="6"/>
      <c r="H150" s="6"/>
      <c r="I150" s="6"/>
      <c r="J150" s="6"/>
      <c r="K150" s="6"/>
      <c r="L150" s="6"/>
      <c r="M150" s="6"/>
      <c r="N150" s="6"/>
      <c r="O150" s="6"/>
      <c r="P150" s="6"/>
      <c r="Q150" s="6"/>
      <c r="R150" s="6"/>
      <c r="S150" s="6"/>
      <c r="T150" s="5"/>
    </row>
    <row r="151" spans="1:20">
      <c r="A151" s="6"/>
      <c r="B151" s="6"/>
      <c r="C151" s="6"/>
      <c r="D151" s="6"/>
      <c r="E151" s="6"/>
      <c r="F151" s="6"/>
      <c r="G151" s="6"/>
      <c r="H151" s="6"/>
      <c r="I151" s="6"/>
      <c r="J151" s="6"/>
      <c r="K151" s="6"/>
      <c r="L151" s="6"/>
      <c r="M151" s="6"/>
      <c r="N151" s="6"/>
      <c r="O151" s="6"/>
      <c r="P151" s="6"/>
      <c r="Q151" s="6"/>
      <c r="R151" s="6"/>
      <c r="S151" s="6"/>
      <c r="T151" s="5"/>
    </row>
    <row r="152" spans="1:20">
      <c r="A152" s="6"/>
      <c r="B152" s="6"/>
      <c r="C152" s="6"/>
      <c r="D152" s="6"/>
      <c r="E152" s="6"/>
      <c r="F152" s="6"/>
      <c r="G152" s="6"/>
      <c r="H152" s="6"/>
      <c r="I152" s="6"/>
      <c r="J152" s="6"/>
      <c r="K152" s="6"/>
      <c r="L152" s="6"/>
      <c r="M152" s="6"/>
      <c r="N152" s="6"/>
      <c r="O152" s="6"/>
      <c r="P152" s="6"/>
      <c r="Q152" s="6"/>
      <c r="R152" s="6"/>
      <c r="S152" s="6"/>
      <c r="T152" s="5"/>
    </row>
    <row r="153" spans="1:20">
      <c r="A153" s="6"/>
      <c r="B153" s="6"/>
      <c r="C153" s="6"/>
      <c r="D153" s="6"/>
      <c r="E153" s="6"/>
      <c r="F153" s="6"/>
      <c r="G153" s="6"/>
      <c r="H153" s="6"/>
      <c r="I153" s="6"/>
      <c r="J153" s="6"/>
      <c r="K153" s="6"/>
      <c r="L153" s="6"/>
      <c r="M153" s="6"/>
      <c r="N153" s="6"/>
      <c r="O153" s="6"/>
      <c r="P153" s="6"/>
      <c r="Q153" s="6"/>
      <c r="R153" s="6"/>
      <c r="S153" s="6"/>
      <c r="T153" s="5"/>
    </row>
    <row r="154" spans="1:20">
      <c r="A154" s="6"/>
      <c r="B154" s="6"/>
      <c r="C154" s="6"/>
      <c r="D154" s="6"/>
      <c r="E154" s="6"/>
      <c r="F154" s="6"/>
      <c r="G154" s="6"/>
      <c r="H154" s="6"/>
      <c r="I154" s="6"/>
      <c r="J154" s="6"/>
      <c r="K154" s="6"/>
      <c r="L154" s="6"/>
      <c r="M154" s="6"/>
      <c r="N154" s="6"/>
      <c r="O154" s="6"/>
      <c r="P154" s="6"/>
      <c r="Q154" s="6"/>
      <c r="R154" s="6"/>
      <c r="S154" s="6"/>
      <c r="T154" s="5"/>
    </row>
    <row r="155" spans="1:20">
      <c r="A155" s="6"/>
      <c r="B155" s="6"/>
      <c r="C155" s="6"/>
      <c r="D155" s="6"/>
      <c r="E155" s="6"/>
      <c r="F155" s="6"/>
      <c r="G155" s="6"/>
      <c r="H155" s="6"/>
      <c r="I155" s="6"/>
      <c r="J155" s="6"/>
      <c r="K155" s="6"/>
      <c r="L155" s="6"/>
      <c r="M155" s="6"/>
      <c r="N155" s="6"/>
      <c r="O155" s="6"/>
      <c r="P155" s="6"/>
      <c r="Q155" s="6"/>
      <c r="R155" s="6"/>
      <c r="S155" s="6"/>
      <c r="T155" s="5"/>
    </row>
    <row r="156" spans="1:20">
      <c r="A156" s="6"/>
      <c r="B156" s="6"/>
      <c r="C156" s="6"/>
      <c r="D156" s="6"/>
      <c r="E156" s="6"/>
      <c r="F156" s="6"/>
      <c r="G156" s="6"/>
      <c r="H156" s="6"/>
      <c r="I156" s="6"/>
      <c r="J156" s="6"/>
      <c r="K156" s="6"/>
      <c r="L156" s="6"/>
      <c r="M156" s="6"/>
      <c r="N156" s="6"/>
      <c r="O156" s="6"/>
      <c r="P156" s="6"/>
      <c r="Q156" s="6"/>
      <c r="R156" s="6"/>
      <c r="S156" s="6"/>
      <c r="T156" s="5"/>
    </row>
    <row r="157" spans="1:20">
      <c r="A157" s="6"/>
      <c r="B157" s="6"/>
      <c r="C157" s="6"/>
      <c r="D157" s="6"/>
      <c r="E157" s="6"/>
      <c r="F157" s="6"/>
      <c r="G157" s="6"/>
      <c r="H157" s="6"/>
      <c r="I157" s="6"/>
      <c r="J157" s="6"/>
      <c r="K157" s="6"/>
      <c r="L157" s="6"/>
      <c r="M157" s="6"/>
      <c r="N157" s="6"/>
      <c r="O157" s="6"/>
      <c r="P157" s="6"/>
      <c r="Q157" s="6"/>
      <c r="R157" s="6"/>
      <c r="S157" s="6"/>
      <c r="T157" s="5"/>
    </row>
    <row r="158" spans="1:20">
      <c r="A158" s="6"/>
      <c r="B158" s="6"/>
      <c r="C158" s="6"/>
      <c r="D158" s="6"/>
      <c r="E158" s="6"/>
      <c r="F158" s="6"/>
      <c r="G158" s="6"/>
      <c r="H158" s="6"/>
      <c r="I158" s="6"/>
      <c r="J158" s="6"/>
      <c r="K158" s="6"/>
      <c r="L158" s="6"/>
      <c r="M158" s="6"/>
      <c r="N158" s="6"/>
      <c r="O158" s="6"/>
      <c r="P158" s="6"/>
      <c r="Q158" s="6"/>
      <c r="R158" s="6"/>
      <c r="S158" s="6"/>
      <c r="T158" s="5"/>
    </row>
    <row r="159" spans="1:20">
      <c r="A159" s="6"/>
      <c r="B159" s="6"/>
      <c r="C159" s="6"/>
      <c r="D159" s="6"/>
      <c r="E159" s="6"/>
      <c r="F159" s="6"/>
      <c r="G159" s="6"/>
      <c r="H159" s="6"/>
      <c r="I159" s="6"/>
      <c r="J159" s="6"/>
      <c r="K159" s="6"/>
      <c r="L159" s="6"/>
      <c r="M159" s="6"/>
      <c r="N159" s="6"/>
      <c r="O159" s="6"/>
      <c r="P159" s="6"/>
      <c r="Q159" s="6"/>
      <c r="R159" s="6"/>
      <c r="S159" s="6"/>
      <c r="T159" s="5"/>
    </row>
    <row r="160" spans="1:20">
      <c r="A160" s="6"/>
      <c r="B160" s="6"/>
      <c r="C160" s="6"/>
      <c r="D160" s="6"/>
      <c r="E160" s="6"/>
      <c r="F160" s="6"/>
      <c r="G160" s="6"/>
      <c r="H160" s="6"/>
      <c r="I160" s="6"/>
      <c r="J160" s="6"/>
      <c r="K160" s="6"/>
      <c r="L160" s="6"/>
      <c r="M160" s="6"/>
      <c r="N160" s="6"/>
      <c r="O160" s="6"/>
      <c r="P160" s="6"/>
      <c r="Q160" s="6"/>
      <c r="R160" s="6"/>
      <c r="S160" s="6"/>
      <c r="T160" s="5"/>
    </row>
    <row r="161" spans="1:20">
      <c r="A161" s="6"/>
      <c r="B161" s="6"/>
      <c r="C161" s="6"/>
      <c r="D161" s="6"/>
      <c r="E161" s="6"/>
      <c r="F161" s="6"/>
      <c r="G161" s="6"/>
      <c r="H161" s="6"/>
      <c r="I161" s="6"/>
      <c r="J161" s="6"/>
      <c r="K161" s="6"/>
      <c r="L161" s="6"/>
      <c r="M161" s="6"/>
      <c r="N161" s="6"/>
      <c r="O161" s="6"/>
      <c r="P161" s="6"/>
      <c r="Q161" s="6"/>
      <c r="R161" s="6"/>
      <c r="S161" s="6"/>
      <c r="T161" s="5"/>
    </row>
    <row r="162" spans="1:20">
      <c r="A162" s="6"/>
      <c r="B162" s="6"/>
      <c r="C162" s="6"/>
      <c r="D162" s="6"/>
      <c r="E162" s="6"/>
      <c r="F162" s="6"/>
      <c r="G162" s="6"/>
      <c r="H162" s="6"/>
      <c r="I162" s="6"/>
      <c r="J162" s="6"/>
      <c r="K162" s="6"/>
      <c r="L162" s="6"/>
      <c r="M162" s="6"/>
      <c r="N162" s="6"/>
      <c r="O162" s="6"/>
      <c r="P162" s="6"/>
      <c r="Q162" s="6"/>
      <c r="R162" s="6"/>
      <c r="S162" s="6"/>
      <c r="T162" s="5"/>
    </row>
    <row r="163" spans="1:20">
      <c r="A163" s="6"/>
      <c r="B163" s="6"/>
      <c r="C163" s="6"/>
      <c r="D163" s="6"/>
      <c r="E163" s="6"/>
      <c r="F163" s="6"/>
      <c r="G163" s="6"/>
      <c r="H163" s="6"/>
      <c r="I163" s="6"/>
      <c r="J163" s="6"/>
      <c r="K163" s="6"/>
      <c r="L163" s="6"/>
      <c r="M163" s="6"/>
      <c r="N163" s="6"/>
      <c r="O163" s="6"/>
      <c r="P163" s="6"/>
      <c r="Q163" s="6"/>
      <c r="R163" s="6"/>
      <c r="S163" s="6"/>
      <c r="T163" s="5"/>
    </row>
    <row r="164" spans="1:20">
      <c r="A164" s="6"/>
      <c r="B164" s="6"/>
      <c r="C164" s="6"/>
      <c r="D164" s="6"/>
      <c r="E164" s="6"/>
      <c r="F164" s="6"/>
      <c r="G164" s="6"/>
      <c r="H164" s="6"/>
      <c r="I164" s="6"/>
      <c r="J164" s="6"/>
      <c r="K164" s="6"/>
      <c r="L164" s="6"/>
      <c r="M164" s="6"/>
      <c r="N164" s="6"/>
      <c r="O164" s="6"/>
      <c r="P164" s="6"/>
      <c r="Q164" s="6"/>
      <c r="R164" s="6"/>
      <c r="S164" s="6"/>
      <c r="T164" s="5"/>
    </row>
    <row r="165" spans="1:20">
      <c r="A165" s="6"/>
      <c r="B165" s="6"/>
      <c r="C165" s="6"/>
      <c r="D165" s="6"/>
      <c r="E165" s="6"/>
      <c r="F165" s="6"/>
      <c r="G165" s="6"/>
      <c r="H165" s="6"/>
      <c r="I165" s="6"/>
      <c r="J165" s="6"/>
      <c r="K165" s="6"/>
      <c r="L165" s="6"/>
      <c r="M165" s="6"/>
      <c r="N165" s="6"/>
      <c r="O165" s="6"/>
      <c r="P165" s="6"/>
      <c r="Q165" s="6"/>
      <c r="R165" s="6"/>
      <c r="S165" s="6"/>
      <c r="T165" s="5"/>
    </row>
    <row r="166" spans="1:20">
      <c r="A166" s="6"/>
      <c r="B166" s="6"/>
      <c r="C166" s="6"/>
      <c r="D166" s="6"/>
      <c r="E166" s="6"/>
      <c r="F166" s="6"/>
      <c r="G166" s="6"/>
      <c r="H166" s="6"/>
      <c r="I166" s="6"/>
      <c r="J166" s="6"/>
      <c r="K166" s="6"/>
      <c r="L166" s="6"/>
      <c r="M166" s="6"/>
      <c r="N166" s="6"/>
      <c r="O166" s="6"/>
      <c r="P166" s="6"/>
      <c r="Q166" s="6"/>
      <c r="R166" s="6"/>
      <c r="S166" s="6"/>
      <c r="T166" s="5"/>
    </row>
    <row r="167" spans="1:20">
      <c r="A167" s="6"/>
      <c r="B167" s="6"/>
      <c r="C167" s="6"/>
      <c r="D167" s="6"/>
      <c r="E167" s="6"/>
      <c r="F167" s="6"/>
      <c r="G167" s="6"/>
      <c r="H167" s="6"/>
      <c r="I167" s="6"/>
      <c r="J167" s="6"/>
      <c r="K167" s="6"/>
      <c r="L167" s="6"/>
      <c r="M167" s="6"/>
      <c r="N167" s="6"/>
      <c r="O167" s="6"/>
      <c r="P167" s="6"/>
      <c r="Q167" s="6"/>
      <c r="R167" s="6"/>
      <c r="S167" s="6"/>
      <c r="T167" s="5"/>
    </row>
    <row r="168" spans="1:20">
      <c r="A168" s="6"/>
      <c r="B168" s="6"/>
      <c r="C168" s="6"/>
      <c r="D168" s="6"/>
      <c r="E168" s="6"/>
      <c r="F168" s="6"/>
      <c r="G168" s="6"/>
      <c r="H168" s="6"/>
      <c r="I168" s="6"/>
      <c r="J168" s="6"/>
      <c r="K168" s="6"/>
      <c r="L168" s="6"/>
      <c r="M168" s="6"/>
      <c r="N168" s="6"/>
      <c r="O168" s="6"/>
      <c r="P168" s="6"/>
      <c r="Q168" s="6"/>
      <c r="R168" s="6"/>
      <c r="S168" s="6"/>
      <c r="T168" s="5"/>
    </row>
    <row r="169" spans="1:20">
      <c r="A169" s="6"/>
      <c r="B169" s="6"/>
      <c r="C169" s="6"/>
      <c r="D169" s="6"/>
      <c r="E169" s="6"/>
      <c r="F169" s="6"/>
      <c r="G169" s="6"/>
      <c r="H169" s="6"/>
      <c r="I169" s="6"/>
      <c r="J169" s="6"/>
      <c r="K169" s="6"/>
      <c r="L169" s="6"/>
      <c r="M169" s="6"/>
      <c r="N169" s="6"/>
      <c r="O169" s="6"/>
      <c r="P169" s="6"/>
      <c r="Q169" s="6"/>
      <c r="R169" s="6"/>
      <c r="S169" s="6"/>
      <c r="T169" s="5"/>
    </row>
    <row r="170" spans="1:20">
      <c r="A170" s="6"/>
      <c r="B170" s="6"/>
      <c r="C170" s="6"/>
      <c r="D170" s="6"/>
      <c r="E170" s="6"/>
      <c r="F170" s="6"/>
      <c r="G170" s="6"/>
      <c r="H170" s="6"/>
      <c r="I170" s="6"/>
      <c r="J170" s="6"/>
      <c r="K170" s="6"/>
      <c r="L170" s="6"/>
      <c r="M170" s="6"/>
      <c r="N170" s="6"/>
      <c r="O170" s="6"/>
      <c r="P170" s="6"/>
      <c r="Q170" s="6"/>
      <c r="R170" s="6"/>
      <c r="S170" s="6"/>
      <c r="T170" s="5"/>
    </row>
    <row r="171" spans="1:20">
      <c r="A171" s="6"/>
      <c r="B171" s="6"/>
      <c r="C171" s="6"/>
      <c r="D171" s="6"/>
      <c r="E171" s="6"/>
      <c r="F171" s="6"/>
      <c r="G171" s="6"/>
      <c r="H171" s="6"/>
      <c r="I171" s="6"/>
      <c r="J171" s="6"/>
      <c r="K171" s="6"/>
      <c r="L171" s="6"/>
      <c r="M171" s="6"/>
      <c r="N171" s="6"/>
      <c r="O171" s="6"/>
      <c r="P171" s="6"/>
      <c r="Q171" s="6"/>
      <c r="R171" s="6"/>
      <c r="S171" s="6"/>
      <c r="T171" s="5"/>
    </row>
    <row r="172" spans="1:20">
      <c r="A172" s="6"/>
      <c r="B172" s="6"/>
      <c r="C172" s="6"/>
      <c r="D172" s="6"/>
      <c r="E172" s="6"/>
      <c r="F172" s="6"/>
      <c r="G172" s="6"/>
      <c r="H172" s="6"/>
      <c r="I172" s="6"/>
      <c r="J172" s="6"/>
      <c r="K172" s="6"/>
      <c r="L172" s="6"/>
      <c r="M172" s="6"/>
      <c r="N172" s="6"/>
      <c r="O172" s="6"/>
      <c r="P172" s="6"/>
      <c r="Q172" s="6"/>
      <c r="R172" s="6"/>
      <c r="S172" s="6"/>
      <c r="T172" s="5"/>
    </row>
    <row r="173" spans="1:20">
      <c r="A173" s="6"/>
      <c r="B173" s="6"/>
      <c r="C173" s="6"/>
      <c r="D173" s="6"/>
      <c r="E173" s="6"/>
      <c r="F173" s="6"/>
      <c r="G173" s="6"/>
      <c r="H173" s="6"/>
      <c r="I173" s="6"/>
      <c r="J173" s="6"/>
      <c r="K173" s="6"/>
      <c r="L173" s="6"/>
      <c r="M173" s="6"/>
      <c r="N173" s="6"/>
      <c r="O173" s="6"/>
      <c r="P173" s="6"/>
      <c r="Q173" s="6"/>
      <c r="R173" s="6"/>
      <c r="S173" s="6"/>
      <c r="T173" s="5"/>
    </row>
    <row r="174" spans="1:20">
      <c r="A174" s="6"/>
      <c r="B174" s="6"/>
      <c r="C174" s="6"/>
      <c r="D174" s="6"/>
      <c r="E174" s="6"/>
      <c r="F174" s="6"/>
      <c r="G174" s="6"/>
      <c r="H174" s="6"/>
      <c r="I174" s="6"/>
      <c r="J174" s="6"/>
      <c r="K174" s="6"/>
      <c r="L174" s="6"/>
      <c r="M174" s="6"/>
      <c r="N174" s="6"/>
      <c r="O174" s="6"/>
      <c r="P174" s="6"/>
      <c r="Q174" s="6"/>
      <c r="R174" s="6"/>
      <c r="S174" s="6"/>
      <c r="T174" s="5"/>
    </row>
    <row r="175" spans="1:20">
      <c r="A175" s="6"/>
      <c r="B175" s="6"/>
      <c r="C175" s="6"/>
      <c r="D175" s="6"/>
      <c r="E175" s="6"/>
      <c r="F175" s="6"/>
      <c r="G175" s="6"/>
      <c r="H175" s="6"/>
      <c r="I175" s="6"/>
      <c r="J175" s="6"/>
      <c r="K175" s="6"/>
      <c r="L175" s="6"/>
      <c r="M175" s="6"/>
      <c r="N175" s="6"/>
      <c r="O175" s="6"/>
      <c r="P175" s="6"/>
      <c r="Q175" s="6"/>
      <c r="R175" s="6"/>
      <c r="S175" s="6"/>
      <c r="T175" s="5"/>
    </row>
    <row r="176" spans="1:20">
      <c r="A176" s="6"/>
      <c r="B176" s="6"/>
      <c r="C176" s="6"/>
      <c r="D176" s="6"/>
      <c r="E176" s="6"/>
      <c r="F176" s="6"/>
      <c r="G176" s="6"/>
      <c r="H176" s="6"/>
      <c r="I176" s="6"/>
      <c r="J176" s="6"/>
      <c r="K176" s="6"/>
      <c r="L176" s="6"/>
      <c r="M176" s="6"/>
      <c r="N176" s="6"/>
      <c r="O176" s="6"/>
      <c r="P176" s="6"/>
      <c r="Q176" s="6"/>
      <c r="R176" s="6"/>
      <c r="S176" s="6"/>
      <c r="T176" s="5"/>
    </row>
    <row r="177" spans="1:20">
      <c r="A177" s="6"/>
      <c r="B177" s="6"/>
      <c r="C177" s="6"/>
      <c r="D177" s="6"/>
      <c r="E177" s="6"/>
      <c r="F177" s="6"/>
      <c r="G177" s="6"/>
      <c r="H177" s="6"/>
      <c r="I177" s="6"/>
      <c r="J177" s="6"/>
      <c r="K177" s="6"/>
      <c r="L177" s="6"/>
      <c r="M177" s="6"/>
      <c r="N177" s="6"/>
      <c r="O177" s="6"/>
      <c r="P177" s="6"/>
      <c r="Q177" s="6"/>
      <c r="R177" s="6"/>
      <c r="S177" s="6"/>
      <c r="T177" s="5"/>
    </row>
    <row r="178" spans="1:20">
      <c r="A178" s="6"/>
      <c r="B178" s="6"/>
      <c r="C178" s="6"/>
      <c r="D178" s="6"/>
      <c r="E178" s="6"/>
      <c r="F178" s="6"/>
      <c r="G178" s="6"/>
      <c r="H178" s="6"/>
      <c r="I178" s="6"/>
      <c r="J178" s="6"/>
      <c r="K178" s="6"/>
      <c r="L178" s="6"/>
      <c r="M178" s="6"/>
      <c r="N178" s="6"/>
      <c r="O178" s="6"/>
      <c r="P178" s="6"/>
      <c r="Q178" s="6"/>
      <c r="R178" s="6"/>
      <c r="S178" s="6"/>
      <c r="T178" s="5"/>
    </row>
    <row r="179" spans="1:20">
      <c r="A179" s="6"/>
      <c r="B179" s="6"/>
      <c r="C179" s="6"/>
      <c r="D179" s="6"/>
      <c r="E179" s="6"/>
      <c r="F179" s="6"/>
      <c r="G179" s="6"/>
      <c r="H179" s="6"/>
      <c r="I179" s="6"/>
      <c r="J179" s="6"/>
      <c r="K179" s="6"/>
      <c r="L179" s="6"/>
      <c r="M179" s="6"/>
      <c r="N179" s="6"/>
      <c r="O179" s="6"/>
      <c r="P179" s="6"/>
      <c r="Q179" s="6"/>
      <c r="R179" s="6"/>
      <c r="S179" s="6"/>
      <c r="T179" s="5"/>
    </row>
    <row r="180" spans="1:20">
      <c r="A180" s="6"/>
      <c r="B180" s="6"/>
      <c r="C180" s="6"/>
      <c r="D180" s="6"/>
      <c r="E180" s="6"/>
      <c r="F180" s="6"/>
      <c r="G180" s="6"/>
      <c r="H180" s="6"/>
      <c r="I180" s="6"/>
      <c r="J180" s="6"/>
      <c r="K180" s="6"/>
      <c r="L180" s="6"/>
      <c r="M180" s="6"/>
      <c r="N180" s="6"/>
      <c r="O180" s="6"/>
      <c r="P180" s="6"/>
      <c r="Q180" s="6"/>
      <c r="R180" s="6"/>
      <c r="S180" s="6"/>
      <c r="T180" s="5"/>
    </row>
    <row r="181" spans="1:20">
      <c r="A181" s="6"/>
      <c r="B181" s="6"/>
      <c r="C181" s="6"/>
      <c r="D181" s="6"/>
      <c r="E181" s="6"/>
      <c r="F181" s="6"/>
      <c r="G181" s="6"/>
      <c r="H181" s="6"/>
      <c r="I181" s="6"/>
      <c r="J181" s="6"/>
      <c r="K181" s="6"/>
      <c r="L181" s="6"/>
      <c r="M181" s="6"/>
      <c r="N181" s="6"/>
      <c r="O181" s="6"/>
      <c r="P181" s="6"/>
      <c r="Q181" s="6"/>
      <c r="R181" s="6"/>
      <c r="S181" s="6"/>
      <c r="T181" s="5"/>
    </row>
    <row r="182" spans="1:20">
      <c r="A182" s="6"/>
      <c r="B182" s="6"/>
      <c r="C182" s="6"/>
      <c r="D182" s="6"/>
      <c r="E182" s="6"/>
      <c r="F182" s="6"/>
      <c r="G182" s="6"/>
      <c r="H182" s="6"/>
      <c r="I182" s="6"/>
      <c r="J182" s="6"/>
      <c r="K182" s="6"/>
      <c r="L182" s="6"/>
      <c r="M182" s="6"/>
      <c r="N182" s="6"/>
      <c r="O182" s="6"/>
      <c r="P182" s="6"/>
      <c r="Q182" s="6"/>
      <c r="R182" s="6"/>
      <c r="S182" s="6"/>
      <c r="T182" s="5"/>
    </row>
    <row r="183" spans="1:20">
      <c r="A183" s="6"/>
      <c r="B183" s="6"/>
      <c r="C183" s="6"/>
      <c r="D183" s="6"/>
      <c r="E183" s="6"/>
      <c r="F183" s="6"/>
      <c r="G183" s="6"/>
      <c r="H183" s="6"/>
      <c r="I183" s="6"/>
      <c r="J183" s="6"/>
      <c r="K183" s="6"/>
      <c r="L183" s="6"/>
      <c r="M183" s="6"/>
      <c r="N183" s="6"/>
      <c r="O183" s="6"/>
      <c r="P183" s="6"/>
      <c r="Q183" s="6"/>
      <c r="R183" s="6"/>
      <c r="S183" s="6"/>
      <c r="T183" s="5"/>
    </row>
    <row r="184" spans="1:20">
      <c r="A184" s="6"/>
      <c r="B184" s="6"/>
      <c r="C184" s="6"/>
      <c r="D184" s="6"/>
      <c r="E184" s="6"/>
      <c r="F184" s="6"/>
      <c r="G184" s="6"/>
      <c r="H184" s="6"/>
      <c r="I184" s="6"/>
      <c r="J184" s="6"/>
      <c r="K184" s="6"/>
      <c r="L184" s="6"/>
      <c r="M184" s="6"/>
      <c r="N184" s="6"/>
      <c r="O184" s="6"/>
      <c r="P184" s="6"/>
      <c r="Q184" s="6"/>
      <c r="R184" s="6"/>
      <c r="S184" s="6"/>
      <c r="T184" s="5"/>
    </row>
    <row r="185" spans="1:20">
      <c r="A185" s="6"/>
      <c r="B185" s="6"/>
      <c r="C185" s="6"/>
      <c r="D185" s="6"/>
      <c r="E185" s="6"/>
      <c r="F185" s="6"/>
      <c r="G185" s="6"/>
      <c r="H185" s="6"/>
      <c r="I185" s="6"/>
      <c r="J185" s="6"/>
      <c r="K185" s="6"/>
      <c r="L185" s="6"/>
      <c r="M185" s="6"/>
      <c r="N185" s="6"/>
      <c r="O185" s="6"/>
      <c r="P185" s="6"/>
      <c r="Q185" s="6"/>
      <c r="R185" s="6"/>
      <c r="S185" s="6"/>
      <c r="T185" s="5"/>
    </row>
    <row r="186" spans="1:20">
      <c r="A186" s="6"/>
      <c r="B186" s="6"/>
      <c r="C186" s="6"/>
      <c r="D186" s="6"/>
      <c r="E186" s="6"/>
      <c r="F186" s="6"/>
      <c r="G186" s="6"/>
      <c r="H186" s="6"/>
      <c r="I186" s="6"/>
      <c r="J186" s="6"/>
      <c r="K186" s="6"/>
      <c r="L186" s="6"/>
      <c r="M186" s="6"/>
      <c r="N186" s="6"/>
      <c r="O186" s="6"/>
      <c r="P186" s="6"/>
      <c r="Q186" s="6"/>
      <c r="R186" s="6"/>
      <c r="S186" s="6"/>
      <c r="T186" s="5"/>
    </row>
    <row r="187" spans="1:20">
      <c r="A187" s="6"/>
      <c r="B187" s="6"/>
      <c r="C187" s="6"/>
      <c r="D187" s="6"/>
      <c r="E187" s="6"/>
      <c r="F187" s="6"/>
      <c r="G187" s="6"/>
      <c r="H187" s="6"/>
      <c r="I187" s="6"/>
      <c r="J187" s="6"/>
      <c r="K187" s="6"/>
      <c r="L187" s="6"/>
      <c r="M187" s="6"/>
      <c r="N187" s="6"/>
      <c r="O187" s="6"/>
      <c r="P187" s="6"/>
      <c r="Q187" s="6"/>
      <c r="R187" s="6"/>
      <c r="S187" s="6"/>
      <c r="T187" s="5"/>
    </row>
    <row r="188" spans="1:20">
      <c r="A188" s="6"/>
      <c r="B188" s="6"/>
      <c r="C188" s="6"/>
      <c r="D188" s="6"/>
      <c r="E188" s="6"/>
      <c r="F188" s="6"/>
      <c r="G188" s="6"/>
      <c r="H188" s="6"/>
      <c r="I188" s="6"/>
      <c r="J188" s="6"/>
      <c r="K188" s="6"/>
      <c r="L188" s="6"/>
      <c r="M188" s="6"/>
      <c r="N188" s="6"/>
      <c r="O188" s="6"/>
      <c r="P188" s="6"/>
      <c r="Q188" s="6"/>
      <c r="R188" s="6"/>
      <c r="S188" s="6"/>
      <c r="T188" s="5"/>
    </row>
    <row r="189" spans="1:20">
      <c r="A189" s="6"/>
      <c r="B189" s="6"/>
      <c r="C189" s="6"/>
      <c r="D189" s="6"/>
      <c r="E189" s="6"/>
      <c r="F189" s="6"/>
      <c r="G189" s="6"/>
      <c r="H189" s="6"/>
      <c r="I189" s="6"/>
      <c r="J189" s="6"/>
      <c r="K189" s="6"/>
      <c r="L189" s="6"/>
      <c r="M189" s="6"/>
      <c r="N189" s="6"/>
      <c r="O189" s="6"/>
      <c r="P189" s="6"/>
      <c r="Q189" s="6"/>
      <c r="R189" s="6"/>
      <c r="S189" s="6"/>
      <c r="T189" s="5"/>
    </row>
    <row r="190" spans="1:20">
      <c r="A190" s="6"/>
      <c r="B190" s="6"/>
      <c r="C190" s="6"/>
      <c r="D190" s="6"/>
      <c r="E190" s="6"/>
      <c r="F190" s="6"/>
      <c r="G190" s="6"/>
      <c r="H190" s="6"/>
      <c r="I190" s="6"/>
      <c r="J190" s="6"/>
      <c r="K190" s="6"/>
      <c r="L190" s="6"/>
      <c r="M190" s="6"/>
      <c r="N190" s="6"/>
      <c r="O190" s="6"/>
      <c r="P190" s="6"/>
      <c r="Q190" s="6"/>
      <c r="R190" s="6"/>
      <c r="S190" s="6"/>
      <c r="T190" s="5"/>
    </row>
    <row r="191" spans="1:20">
      <c r="A191" s="6"/>
      <c r="B191" s="6"/>
      <c r="C191" s="6"/>
      <c r="D191" s="6"/>
      <c r="E191" s="6"/>
      <c r="F191" s="6"/>
      <c r="G191" s="6"/>
      <c r="H191" s="6"/>
      <c r="I191" s="6"/>
      <c r="J191" s="6"/>
      <c r="K191" s="6"/>
      <c r="L191" s="6"/>
      <c r="M191" s="6"/>
      <c r="N191" s="6"/>
      <c r="O191" s="6"/>
      <c r="P191" s="6"/>
      <c r="Q191" s="6"/>
      <c r="R191" s="6"/>
      <c r="S191" s="6"/>
      <c r="T191" s="5"/>
    </row>
    <row r="192" spans="1:20">
      <c r="A192" s="6"/>
      <c r="B192" s="6"/>
      <c r="C192" s="6"/>
      <c r="D192" s="6"/>
      <c r="E192" s="6"/>
      <c r="F192" s="6"/>
      <c r="G192" s="6"/>
      <c r="H192" s="6"/>
      <c r="I192" s="6"/>
      <c r="J192" s="6"/>
      <c r="K192" s="6"/>
      <c r="L192" s="6"/>
      <c r="M192" s="6"/>
      <c r="N192" s="6"/>
      <c r="O192" s="6"/>
      <c r="P192" s="6"/>
      <c r="Q192" s="6"/>
      <c r="R192" s="6"/>
      <c r="S192" s="6"/>
      <c r="T192" s="5"/>
    </row>
    <row r="193" spans="1:20">
      <c r="A193" s="6"/>
      <c r="B193" s="6"/>
      <c r="C193" s="6"/>
      <c r="D193" s="6"/>
      <c r="E193" s="6"/>
      <c r="F193" s="6"/>
      <c r="G193" s="6"/>
      <c r="H193" s="6"/>
      <c r="I193" s="6"/>
      <c r="J193" s="6"/>
      <c r="K193" s="6"/>
      <c r="L193" s="6"/>
      <c r="M193" s="6"/>
      <c r="N193" s="6"/>
      <c r="O193" s="6"/>
      <c r="P193" s="6"/>
      <c r="Q193" s="6"/>
      <c r="R193" s="6"/>
      <c r="S193" s="6"/>
      <c r="T193" s="5"/>
    </row>
    <row r="194" spans="1:20">
      <c r="A194" s="6"/>
      <c r="B194" s="6"/>
      <c r="C194" s="6"/>
      <c r="D194" s="6"/>
      <c r="E194" s="6"/>
      <c r="F194" s="6"/>
      <c r="G194" s="6"/>
      <c r="H194" s="6"/>
      <c r="I194" s="6"/>
      <c r="J194" s="6"/>
      <c r="K194" s="6"/>
      <c r="L194" s="6"/>
      <c r="M194" s="6"/>
      <c r="N194" s="6"/>
      <c r="O194" s="6"/>
      <c r="P194" s="6"/>
      <c r="Q194" s="6"/>
      <c r="R194" s="6"/>
      <c r="S194" s="6"/>
      <c r="T194" s="5"/>
    </row>
    <row r="195" spans="1:20">
      <c r="A195" s="6"/>
      <c r="B195" s="6"/>
      <c r="C195" s="6"/>
      <c r="D195" s="6"/>
      <c r="E195" s="6"/>
      <c r="F195" s="6"/>
      <c r="G195" s="6"/>
      <c r="H195" s="6"/>
      <c r="I195" s="6"/>
      <c r="J195" s="6"/>
      <c r="K195" s="6"/>
      <c r="L195" s="6"/>
      <c r="M195" s="6"/>
      <c r="N195" s="6"/>
      <c r="O195" s="6"/>
      <c r="P195" s="6"/>
      <c r="Q195" s="6"/>
      <c r="R195" s="6"/>
      <c r="S195" s="6"/>
      <c r="T195" s="5"/>
    </row>
    <row r="196" spans="1:20">
      <c r="A196" s="6"/>
      <c r="B196" s="6"/>
      <c r="C196" s="6"/>
      <c r="D196" s="6"/>
      <c r="E196" s="6"/>
      <c r="F196" s="6"/>
      <c r="G196" s="6"/>
      <c r="H196" s="6"/>
      <c r="I196" s="6"/>
      <c r="J196" s="6"/>
      <c r="K196" s="6"/>
      <c r="L196" s="6"/>
      <c r="M196" s="6"/>
      <c r="N196" s="6"/>
      <c r="O196" s="6"/>
      <c r="P196" s="6"/>
      <c r="Q196" s="6"/>
      <c r="R196" s="6"/>
      <c r="S196" s="6"/>
      <c r="T196" s="5"/>
    </row>
    <row r="197" spans="1:20">
      <c r="A197" s="6"/>
      <c r="B197" s="6"/>
      <c r="C197" s="6"/>
      <c r="D197" s="6"/>
      <c r="E197" s="6"/>
      <c r="F197" s="6"/>
      <c r="G197" s="6"/>
      <c r="H197" s="6"/>
      <c r="I197" s="6"/>
      <c r="J197" s="6"/>
      <c r="K197" s="6"/>
      <c r="L197" s="6"/>
      <c r="M197" s="6"/>
      <c r="N197" s="6"/>
      <c r="O197" s="6"/>
      <c r="P197" s="6"/>
      <c r="Q197" s="6"/>
      <c r="R197" s="6"/>
      <c r="S197" s="6"/>
      <c r="T197" s="5"/>
    </row>
    <row r="198" spans="1:20">
      <c r="A198" s="6"/>
      <c r="B198" s="6"/>
      <c r="C198" s="6"/>
      <c r="D198" s="6"/>
      <c r="E198" s="6"/>
      <c r="F198" s="6"/>
      <c r="G198" s="6"/>
      <c r="H198" s="6"/>
      <c r="I198" s="6"/>
      <c r="J198" s="6"/>
      <c r="K198" s="6"/>
      <c r="L198" s="6"/>
      <c r="M198" s="6"/>
      <c r="N198" s="6"/>
      <c r="O198" s="6"/>
      <c r="P198" s="6"/>
      <c r="Q198" s="6"/>
      <c r="R198" s="6"/>
      <c r="S198" s="6"/>
      <c r="T198" s="5"/>
    </row>
    <row r="199" spans="1:20">
      <c r="A199" s="6"/>
      <c r="B199" s="6"/>
      <c r="C199" s="6"/>
      <c r="D199" s="6"/>
      <c r="E199" s="6"/>
      <c r="F199" s="6"/>
      <c r="G199" s="6"/>
      <c r="H199" s="6"/>
      <c r="I199" s="6"/>
      <c r="J199" s="6"/>
      <c r="K199" s="6"/>
      <c r="L199" s="6"/>
      <c r="M199" s="6"/>
      <c r="N199" s="6"/>
      <c r="O199" s="6"/>
      <c r="P199" s="6"/>
      <c r="Q199" s="6"/>
      <c r="R199" s="6"/>
      <c r="S199" s="6"/>
      <c r="T199" s="5"/>
    </row>
    <row r="200" spans="1:20">
      <c r="A200" s="6"/>
      <c r="B200" s="6"/>
      <c r="C200" s="6"/>
      <c r="D200" s="6"/>
      <c r="E200" s="6"/>
      <c r="F200" s="6"/>
      <c r="G200" s="6"/>
      <c r="H200" s="6"/>
      <c r="I200" s="6"/>
      <c r="J200" s="6"/>
      <c r="K200" s="6"/>
      <c r="L200" s="6"/>
      <c r="M200" s="6"/>
      <c r="N200" s="6"/>
      <c r="O200" s="6"/>
      <c r="P200" s="6"/>
      <c r="Q200" s="6"/>
      <c r="R200" s="6"/>
      <c r="S200" s="6"/>
      <c r="T200" s="5"/>
    </row>
    <row r="201" spans="1:20">
      <c r="A201" s="6"/>
      <c r="B201" s="6"/>
      <c r="C201" s="6"/>
      <c r="D201" s="6"/>
      <c r="E201" s="6"/>
      <c r="F201" s="6"/>
      <c r="G201" s="6"/>
      <c r="H201" s="6"/>
      <c r="I201" s="6"/>
      <c r="J201" s="6"/>
      <c r="K201" s="6"/>
      <c r="L201" s="6"/>
      <c r="M201" s="6"/>
      <c r="N201" s="6"/>
      <c r="O201" s="6"/>
      <c r="P201" s="6"/>
      <c r="Q201" s="6"/>
      <c r="R201" s="6"/>
      <c r="S201" s="6"/>
      <c r="T201" s="5"/>
    </row>
    <row r="202" spans="1:20">
      <c r="A202" s="6"/>
      <c r="B202" s="6"/>
      <c r="C202" s="6"/>
      <c r="D202" s="6"/>
      <c r="E202" s="6"/>
      <c r="F202" s="6"/>
      <c r="G202" s="6"/>
      <c r="H202" s="6"/>
      <c r="I202" s="6"/>
      <c r="J202" s="6"/>
      <c r="K202" s="6"/>
      <c r="L202" s="6"/>
      <c r="M202" s="6"/>
      <c r="N202" s="6"/>
      <c r="O202" s="6"/>
      <c r="P202" s="6"/>
      <c r="Q202" s="6"/>
      <c r="R202" s="6"/>
      <c r="S202" s="6"/>
      <c r="T202" s="5"/>
    </row>
    <row r="203" spans="1:20">
      <c r="A203" s="6"/>
      <c r="B203" s="6"/>
      <c r="C203" s="6"/>
      <c r="D203" s="6"/>
      <c r="E203" s="6"/>
      <c r="F203" s="6"/>
      <c r="G203" s="6"/>
      <c r="H203" s="6"/>
      <c r="I203" s="6"/>
      <c r="J203" s="6"/>
      <c r="K203" s="6"/>
      <c r="L203" s="6"/>
      <c r="M203" s="6"/>
      <c r="N203" s="6"/>
      <c r="O203" s="6"/>
      <c r="P203" s="6"/>
      <c r="Q203" s="6"/>
      <c r="R203" s="6"/>
      <c r="S203" s="6"/>
      <c r="T203" s="5"/>
    </row>
    <row r="204" spans="1:20">
      <c r="A204" s="6"/>
      <c r="B204" s="6"/>
      <c r="C204" s="6"/>
      <c r="D204" s="6"/>
      <c r="E204" s="6"/>
      <c r="F204" s="6"/>
      <c r="G204" s="6"/>
      <c r="H204" s="6"/>
      <c r="I204" s="6"/>
      <c r="J204" s="6"/>
      <c r="K204" s="6"/>
      <c r="L204" s="6"/>
      <c r="M204" s="6"/>
      <c r="N204" s="6"/>
      <c r="O204" s="6"/>
      <c r="P204" s="6"/>
      <c r="Q204" s="6"/>
      <c r="R204" s="6"/>
      <c r="S204" s="6"/>
      <c r="T204" s="5"/>
    </row>
    <row r="205" spans="1:20">
      <c r="A205" s="6"/>
      <c r="B205" s="6"/>
      <c r="C205" s="6"/>
      <c r="D205" s="6"/>
      <c r="E205" s="6"/>
      <c r="F205" s="6"/>
      <c r="G205" s="6"/>
      <c r="H205" s="6"/>
      <c r="I205" s="6"/>
      <c r="J205" s="6"/>
      <c r="K205" s="6"/>
      <c r="L205" s="6"/>
      <c r="M205" s="6"/>
      <c r="N205" s="6"/>
      <c r="O205" s="6"/>
      <c r="P205" s="6"/>
      <c r="Q205" s="6"/>
      <c r="R205" s="6"/>
      <c r="S205" s="6"/>
      <c r="T205" s="5"/>
    </row>
    <row r="206" spans="1:20">
      <c r="A206" s="6"/>
      <c r="B206" s="6"/>
      <c r="C206" s="6"/>
      <c r="D206" s="6"/>
      <c r="E206" s="6"/>
      <c r="F206" s="6"/>
      <c r="G206" s="6"/>
      <c r="H206" s="6"/>
      <c r="I206" s="6"/>
      <c r="J206" s="6"/>
      <c r="K206" s="6"/>
      <c r="L206" s="6"/>
      <c r="M206" s="6"/>
      <c r="N206" s="6"/>
      <c r="O206" s="6"/>
      <c r="P206" s="6"/>
      <c r="Q206" s="6"/>
      <c r="R206" s="6"/>
      <c r="S206" s="6"/>
      <c r="T206" s="5"/>
    </row>
    <row r="207" spans="1:20">
      <c r="A207" s="6"/>
      <c r="B207" s="6"/>
      <c r="C207" s="6"/>
      <c r="D207" s="6"/>
      <c r="E207" s="6"/>
      <c r="F207" s="6"/>
      <c r="G207" s="6"/>
      <c r="H207" s="6"/>
      <c r="I207" s="6"/>
      <c r="J207" s="6"/>
      <c r="K207" s="6"/>
      <c r="L207" s="6"/>
      <c r="M207" s="6"/>
      <c r="N207" s="6"/>
      <c r="O207" s="6"/>
      <c r="P207" s="6"/>
      <c r="Q207" s="6"/>
      <c r="R207" s="6"/>
      <c r="S207" s="6"/>
      <c r="T207" s="5"/>
    </row>
    <row r="208" spans="1:20">
      <c r="A208" s="6"/>
      <c r="B208" s="6"/>
      <c r="C208" s="6"/>
      <c r="D208" s="6"/>
      <c r="E208" s="6"/>
      <c r="F208" s="6"/>
      <c r="G208" s="6"/>
      <c r="H208" s="6"/>
      <c r="I208" s="6"/>
      <c r="J208" s="6"/>
      <c r="K208" s="6"/>
      <c r="L208" s="6"/>
      <c r="M208" s="6"/>
      <c r="N208" s="6"/>
      <c r="O208" s="6"/>
      <c r="P208" s="6"/>
      <c r="Q208" s="6"/>
      <c r="R208" s="6"/>
      <c r="S208" s="6"/>
      <c r="T208" s="5"/>
    </row>
    <row r="209" spans="1:20">
      <c r="A209" s="6"/>
      <c r="B209" s="6"/>
      <c r="C209" s="6"/>
      <c r="D209" s="6"/>
      <c r="E209" s="6"/>
      <c r="F209" s="6"/>
      <c r="G209" s="6"/>
      <c r="H209" s="6"/>
      <c r="I209" s="6"/>
      <c r="J209" s="6"/>
      <c r="K209" s="6"/>
      <c r="L209" s="6"/>
      <c r="M209" s="6"/>
      <c r="N209" s="6"/>
      <c r="O209" s="6"/>
      <c r="P209" s="6"/>
      <c r="Q209" s="6"/>
      <c r="R209" s="6"/>
      <c r="S209" s="6"/>
      <c r="T209" s="5"/>
    </row>
    <row r="210" spans="1:20">
      <c r="A210" s="6"/>
      <c r="B210" s="6"/>
      <c r="C210" s="6"/>
      <c r="D210" s="6"/>
      <c r="E210" s="6"/>
      <c r="F210" s="6"/>
      <c r="G210" s="6"/>
      <c r="H210" s="6"/>
      <c r="I210" s="6"/>
      <c r="J210" s="6"/>
      <c r="K210" s="6"/>
      <c r="L210" s="6"/>
      <c r="M210" s="6"/>
      <c r="N210" s="6"/>
      <c r="O210" s="6"/>
      <c r="P210" s="6"/>
      <c r="Q210" s="6"/>
      <c r="R210" s="6"/>
      <c r="S210" s="6"/>
      <c r="T210" s="5"/>
    </row>
    <row r="211" spans="1:20">
      <c r="A211" s="6"/>
      <c r="B211" s="6"/>
      <c r="C211" s="6"/>
      <c r="D211" s="6"/>
      <c r="E211" s="6"/>
      <c r="F211" s="6"/>
      <c r="G211" s="6"/>
      <c r="H211" s="6"/>
      <c r="I211" s="6"/>
      <c r="J211" s="6"/>
      <c r="K211" s="6"/>
      <c r="L211" s="6"/>
      <c r="M211" s="6"/>
      <c r="N211" s="6"/>
      <c r="O211" s="6"/>
      <c r="P211" s="6"/>
      <c r="Q211" s="6"/>
      <c r="R211" s="6"/>
      <c r="S211" s="6"/>
      <c r="T211" s="5"/>
    </row>
    <row r="212" spans="1:20">
      <c r="A212" s="6"/>
      <c r="B212" s="6"/>
      <c r="C212" s="6"/>
      <c r="D212" s="6"/>
      <c r="E212" s="6"/>
      <c r="F212" s="6"/>
      <c r="G212" s="6"/>
      <c r="H212" s="6"/>
      <c r="I212" s="6"/>
      <c r="J212" s="6"/>
      <c r="K212" s="6"/>
      <c r="L212" s="6"/>
      <c r="M212" s="6"/>
      <c r="N212" s="6"/>
      <c r="O212" s="6"/>
      <c r="P212" s="6"/>
      <c r="Q212" s="6"/>
      <c r="R212" s="6"/>
      <c r="S212" s="6"/>
      <c r="T212" s="5"/>
    </row>
    <row r="213" spans="1:20">
      <c r="A213" s="6"/>
      <c r="B213" s="6"/>
      <c r="C213" s="6"/>
      <c r="D213" s="6"/>
      <c r="E213" s="6"/>
      <c r="F213" s="6"/>
      <c r="G213" s="6"/>
      <c r="H213" s="6"/>
      <c r="I213" s="6"/>
      <c r="J213" s="6"/>
      <c r="K213" s="6"/>
      <c r="L213" s="6"/>
      <c r="M213" s="6"/>
      <c r="N213" s="6"/>
      <c r="O213" s="6"/>
      <c r="P213" s="6"/>
      <c r="Q213" s="6"/>
      <c r="R213" s="6"/>
      <c r="S213" s="6"/>
      <c r="T213" s="5"/>
    </row>
    <row r="214" spans="1:20">
      <c r="A214" s="6"/>
      <c r="B214" s="6"/>
      <c r="C214" s="6"/>
      <c r="D214" s="6"/>
      <c r="E214" s="6"/>
      <c r="F214" s="6"/>
      <c r="G214" s="6"/>
      <c r="H214" s="6"/>
      <c r="I214" s="6"/>
      <c r="J214" s="6"/>
      <c r="K214" s="6"/>
      <c r="L214" s="6"/>
      <c r="M214" s="6"/>
      <c r="N214" s="6"/>
      <c r="O214" s="6"/>
      <c r="P214" s="6"/>
      <c r="Q214" s="6"/>
      <c r="R214" s="6"/>
      <c r="S214" s="6"/>
      <c r="T214" s="5"/>
    </row>
    <row r="215" spans="1:20">
      <c r="A215" s="6"/>
      <c r="B215" s="6"/>
      <c r="C215" s="6"/>
      <c r="D215" s="6"/>
      <c r="E215" s="6"/>
      <c r="F215" s="6"/>
      <c r="G215" s="6"/>
      <c r="H215" s="6"/>
      <c r="I215" s="6"/>
      <c r="J215" s="6"/>
      <c r="K215" s="6"/>
      <c r="L215" s="6"/>
      <c r="M215" s="6"/>
      <c r="N215" s="6"/>
      <c r="O215" s="6"/>
      <c r="P215" s="6"/>
      <c r="Q215" s="6"/>
      <c r="R215" s="6"/>
      <c r="S215" s="6"/>
      <c r="T215" s="5"/>
    </row>
    <row r="216" spans="1:20">
      <c r="A216" s="6"/>
      <c r="B216" s="6"/>
      <c r="C216" s="6"/>
      <c r="D216" s="6"/>
      <c r="E216" s="6"/>
      <c r="F216" s="6"/>
      <c r="G216" s="6"/>
      <c r="H216" s="6"/>
      <c r="I216" s="6"/>
      <c r="J216" s="6"/>
      <c r="K216" s="6"/>
      <c r="L216" s="6"/>
      <c r="M216" s="6"/>
      <c r="N216" s="6"/>
      <c r="O216" s="6"/>
      <c r="P216" s="6"/>
      <c r="Q216" s="6"/>
      <c r="R216" s="6"/>
      <c r="S216" s="6"/>
      <c r="T216" s="5"/>
    </row>
    <row r="217" spans="1:20">
      <c r="A217" s="6"/>
      <c r="B217" s="6"/>
      <c r="C217" s="6"/>
      <c r="D217" s="6"/>
      <c r="E217" s="6"/>
      <c r="F217" s="6"/>
      <c r="G217" s="6"/>
      <c r="H217" s="6"/>
      <c r="I217" s="6"/>
      <c r="J217" s="6"/>
      <c r="K217" s="6"/>
      <c r="L217" s="6"/>
      <c r="M217" s="6"/>
      <c r="N217" s="6"/>
      <c r="O217" s="6"/>
      <c r="P217" s="6"/>
      <c r="Q217" s="6"/>
      <c r="R217" s="6"/>
      <c r="S217" s="6"/>
      <c r="T217" s="5"/>
    </row>
    <row r="218" spans="1:20">
      <c r="A218" s="6"/>
      <c r="B218" s="6"/>
      <c r="C218" s="6"/>
      <c r="D218" s="6"/>
      <c r="E218" s="6"/>
      <c r="F218" s="6"/>
      <c r="G218" s="6"/>
      <c r="H218" s="6"/>
      <c r="I218" s="6"/>
      <c r="J218" s="6"/>
      <c r="K218" s="6"/>
      <c r="L218" s="6"/>
      <c r="M218" s="6"/>
      <c r="N218" s="6"/>
      <c r="O218" s="6"/>
      <c r="P218" s="6"/>
      <c r="Q218" s="6"/>
      <c r="R218" s="6"/>
      <c r="S218" s="6"/>
      <c r="T218" s="5"/>
    </row>
    <row r="219" spans="1:20">
      <c r="A219" s="6"/>
      <c r="B219" s="6"/>
      <c r="C219" s="6"/>
      <c r="D219" s="6"/>
      <c r="E219" s="6"/>
      <c r="F219" s="6"/>
      <c r="G219" s="6"/>
      <c r="H219" s="6"/>
      <c r="I219" s="6"/>
      <c r="J219" s="6"/>
      <c r="K219" s="6"/>
      <c r="L219" s="6"/>
      <c r="M219" s="6"/>
      <c r="N219" s="6"/>
      <c r="O219" s="6"/>
      <c r="P219" s="6"/>
      <c r="Q219" s="6"/>
      <c r="R219" s="6"/>
      <c r="S219" s="6"/>
      <c r="T219" s="5"/>
    </row>
    <row r="220" spans="1:20">
      <c r="A220" s="6"/>
      <c r="B220" s="6"/>
      <c r="C220" s="6"/>
      <c r="D220" s="6"/>
      <c r="E220" s="6"/>
      <c r="F220" s="6"/>
      <c r="G220" s="6"/>
      <c r="H220" s="6"/>
      <c r="I220" s="6"/>
      <c r="J220" s="6"/>
      <c r="K220" s="6"/>
      <c r="L220" s="6"/>
      <c r="M220" s="6"/>
      <c r="N220" s="6"/>
      <c r="O220" s="6"/>
      <c r="P220" s="6"/>
      <c r="Q220" s="6"/>
      <c r="R220" s="6"/>
      <c r="S220" s="6"/>
      <c r="T220" s="5"/>
    </row>
    <row r="221" spans="1:20">
      <c r="A221" s="6"/>
      <c r="B221" s="6"/>
      <c r="C221" s="6"/>
      <c r="D221" s="6"/>
      <c r="E221" s="6"/>
      <c r="F221" s="6"/>
      <c r="G221" s="6"/>
      <c r="H221" s="6"/>
      <c r="I221" s="6"/>
      <c r="J221" s="6"/>
      <c r="K221" s="6"/>
      <c r="L221" s="6"/>
      <c r="M221" s="6"/>
      <c r="N221" s="6"/>
      <c r="O221" s="6"/>
      <c r="P221" s="6"/>
      <c r="Q221" s="6"/>
      <c r="R221" s="6"/>
      <c r="S221" s="6"/>
      <c r="T221" s="5"/>
    </row>
    <row r="222" spans="1:20">
      <c r="A222" s="6"/>
      <c r="B222" s="6"/>
      <c r="C222" s="6"/>
      <c r="D222" s="6"/>
      <c r="E222" s="6"/>
      <c r="F222" s="6"/>
      <c r="G222" s="6"/>
      <c r="H222" s="6"/>
      <c r="I222" s="6"/>
      <c r="J222" s="6"/>
      <c r="K222" s="6"/>
      <c r="L222" s="6"/>
      <c r="M222" s="6"/>
      <c r="N222" s="6"/>
      <c r="O222" s="6"/>
      <c r="P222" s="6"/>
      <c r="Q222" s="6"/>
      <c r="R222" s="6"/>
      <c r="S222" s="6"/>
      <c r="T222" s="5"/>
    </row>
    <row r="223" spans="1:20">
      <c r="A223" s="6"/>
      <c r="B223" s="6"/>
      <c r="C223" s="6"/>
      <c r="D223" s="6"/>
      <c r="E223" s="6"/>
      <c r="F223" s="6"/>
      <c r="G223" s="6"/>
      <c r="H223" s="6"/>
      <c r="I223" s="6"/>
      <c r="J223" s="6"/>
      <c r="K223" s="6"/>
      <c r="L223" s="6"/>
      <c r="M223" s="6"/>
      <c r="N223" s="6"/>
      <c r="O223" s="6"/>
      <c r="P223" s="6"/>
      <c r="Q223" s="6"/>
      <c r="R223" s="6"/>
      <c r="S223" s="6"/>
      <c r="T223" s="5"/>
    </row>
    <row r="224" spans="1:20">
      <c r="A224" s="6"/>
      <c r="B224" s="6"/>
      <c r="C224" s="6"/>
      <c r="D224" s="6"/>
      <c r="E224" s="6"/>
      <c r="F224" s="6"/>
      <c r="G224" s="6"/>
      <c r="H224" s="6"/>
      <c r="I224" s="6"/>
      <c r="J224" s="6"/>
      <c r="K224" s="6"/>
      <c r="L224" s="6"/>
      <c r="M224" s="6"/>
      <c r="N224" s="6"/>
      <c r="O224" s="6"/>
      <c r="P224" s="6"/>
      <c r="Q224" s="6"/>
      <c r="R224" s="6"/>
      <c r="S224" s="6"/>
      <c r="T224" s="5"/>
    </row>
    <row r="225" spans="1:20">
      <c r="A225" s="6"/>
      <c r="B225" s="6"/>
      <c r="C225" s="6"/>
      <c r="D225" s="6"/>
      <c r="E225" s="6"/>
      <c r="F225" s="6"/>
      <c r="G225" s="6"/>
      <c r="H225" s="6"/>
      <c r="I225" s="6"/>
      <c r="J225" s="6"/>
      <c r="K225" s="6"/>
      <c r="L225" s="6"/>
      <c r="M225" s="6"/>
      <c r="N225" s="6"/>
      <c r="O225" s="6"/>
      <c r="P225" s="6"/>
      <c r="Q225" s="6"/>
      <c r="R225" s="6"/>
      <c r="S225" s="6"/>
      <c r="T225" s="5"/>
    </row>
    <row r="226" spans="1:20">
      <c r="A226" s="6"/>
      <c r="B226" s="6"/>
      <c r="C226" s="6"/>
      <c r="D226" s="6"/>
      <c r="E226" s="6"/>
      <c r="F226" s="6"/>
      <c r="G226" s="6"/>
      <c r="H226" s="6"/>
      <c r="I226" s="6"/>
      <c r="J226" s="6"/>
      <c r="K226" s="6"/>
      <c r="L226" s="6"/>
      <c r="M226" s="6"/>
      <c r="N226" s="6"/>
      <c r="O226" s="6"/>
      <c r="P226" s="6"/>
      <c r="Q226" s="6"/>
      <c r="R226" s="6"/>
      <c r="S226" s="6"/>
      <c r="T226" s="5"/>
    </row>
    <row r="227" spans="1:20">
      <c r="A227" s="6"/>
      <c r="B227" s="6"/>
      <c r="C227" s="6"/>
      <c r="D227" s="6"/>
      <c r="E227" s="6"/>
      <c r="F227" s="6"/>
      <c r="G227" s="6"/>
      <c r="H227" s="6"/>
      <c r="I227" s="6"/>
      <c r="J227" s="6"/>
      <c r="K227" s="6"/>
      <c r="L227" s="6"/>
      <c r="M227" s="6"/>
      <c r="N227" s="6"/>
      <c r="O227" s="6"/>
      <c r="P227" s="6"/>
      <c r="Q227" s="6"/>
      <c r="R227" s="6"/>
      <c r="S227" s="6"/>
      <c r="T227" s="5"/>
    </row>
    <row r="228" spans="1:20">
      <c r="A228" s="6"/>
      <c r="B228" s="6"/>
      <c r="C228" s="6"/>
      <c r="D228" s="6"/>
      <c r="E228" s="6"/>
      <c r="F228" s="6"/>
      <c r="G228" s="6"/>
      <c r="H228" s="6"/>
      <c r="I228" s="6"/>
      <c r="J228" s="6"/>
      <c r="K228" s="6"/>
      <c r="L228" s="6"/>
      <c r="M228" s="6"/>
      <c r="N228" s="6"/>
      <c r="O228" s="6"/>
      <c r="P228" s="6"/>
      <c r="Q228" s="6"/>
      <c r="R228" s="6"/>
      <c r="S228" s="6"/>
      <c r="T228" s="5"/>
    </row>
    <row r="229" spans="1:20">
      <c r="A229" s="6"/>
      <c r="B229" s="6"/>
      <c r="C229" s="6"/>
      <c r="D229" s="6"/>
      <c r="E229" s="6"/>
      <c r="F229" s="6"/>
      <c r="G229" s="6"/>
      <c r="H229" s="6"/>
      <c r="I229" s="6"/>
      <c r="J229" s="6"/>
      <c r="K229" s="6"/>
      <c r="L229" s="6"/>
      <c r="M229" s="6"/>
      <c r="N229" s="6"/>
      <c r="O229" s="6"/>
      <c r="P229" s="6"/>
      <c r="Q229" s="6"/>
      <c r="R229" s="6"/>
      <c r="S229" s="6"/>
      <c r="T229" s="5"/>
    </row>
    <row r="230" spans="1:20">
      <c r="A230" s="6"/>
      <c r="B230" s="6"/>
      <c r="C230" s="6"/>
      <c r="D230" s="6"/>
      <c r="E230" s="6"/>
      <c r="F230" s="6"/>
      <c r="G230" s="6"/>
      <c r="H230" s="6"/>
      <c r="I230" s="6"/>
      <c r="J230" s="6"/>
      <c r="K230" s="6"/>
      <c r="L230" s="6"/>
      <c r="M230" s="6"/>
      <c r="N230" s="6"/>
      <c r="O230" s="6"/>
      <c r="P230" s="6"/>
      <c r="Q230" s="6"/>
      <c r="R230" s="6"/>
      <c r="S230" s="6"/>
      <c r="T230" s="5"/>
    </row>
    <row r="231" spans="1:20">
      <c r="A231" s="6"/>
      <c r="B231" s="6"/>
      <c r="C231" s="6"/>
      <c r="D231" s="6"/>
      <c r="E231" s="6"/>
      <c r="F231" s="6"/>
      <c r="G231" s="6"/>
      <c r="H231" s="6"/>
      <c r="I231" s="6"/>
      <c r="J231" s="6"/>
      <c r="K231" s="6"/>
      <c r="L231" s="6"/>
      <c r="M231" s="6"/>
      <c r="N231" s="6"/>
      <c r="O231" s="6"/>
      <c r="P231" s="6"/>
      <c r="Q231" s="6"/>
      <c r="R231" s="6"/>
      <c r="S231" s="6"/>
      <c r="T231" s="5"/>
    </row>
    <row r="232" spans="1:20">
      <c r="A232" s="6"/>
      <c r="B232" s="6"/>
      <c r="C232" s="6"/>
      <c r="D232" s="6"/>
      <c r="E232" s="6"/>
      <c r="F232" s="6"/>
      <c r="G232" s="6"/>
      <c r="H232" s="6"/>
      <c r="I232" s="6"/>
      <c r="J232" s="6"/>
      <c r="K232" s="6"/>
      <c r="L232" s="6"/>
      <c r="M232" s="6"/>
      <c r="N232" s="6"/>
      <c r="O232" s="6"/>
      <c r="P232" s="6"/>
      <c r="Q232" s="6"/>
      <c r="R232" s="6"/>
      <c r="S232" s="6"/>
      <c r="T232" s="5"/>
    </row>
    <row r="233" spans="1:20">
      <c r="A233" s="6"/>
      <c r="B233" s="6"/>
      <c r="C233" s="6"/>
      <c r="D233" s="6"/>
      <c r="E233" s="6"/>
      <c r="F233" s="6"/>
      <c r="G233" s="6"/>
      <c r="H233" s="6"/>
      <c r="I233" s="6"/>
      <c r="J233" s="6"/>
      <c r="K233" s="6"/>
      <c r="L233" s="6"/>
      <c r="M233" s="6"/>
      <c r="N233" s="6"/>
      <c r="O233" s="6"/>
      <c r="P233" s="6"/>
      <c r="Q233" s="6"/>
      <c r="R233" s="6"/>
      <c r="S233" s="6"/>
      <c r="T233" s="5"/>
    </row>
    <row r="234" spans="1:20">
      <c r="A234" s="6"/>
      <c r="B234" s="6"/>
      <c r="C234" s="6"/>
      <c r="D234" s="6"/>
      <c r="E234" s="6"/>
      <c r="F234" s="6"/>
      <c r="G234" s="6"/>
      <c r="H234" s="6"/>
      <c r="I234" s="6"/>
      <c r="J234" s="6"/>
      <c r="K234" s="6"/>
      <c r="L234" s="6"/>
      <c r="M234" s="6"/>
      <c r="N234" s="6"/>
      <c r="O234" s="6"/>
      <c r="P234" s="6"/>
      <c r="Q234" s="6"/>
      <c r="R234" s="6"/>
      <c r="S234" s="6"/>
      <c r="T234" s="5"/>
    </row>
    <row r="235" spans="1:20">
      <c r="A235" s="6"/>
      <c r="B235" s="6"/>
      <c r="C235" s="6"/>
      <c r="D235" s="6"/>
      <c r="E235" s="6"/>
      <c r="F235" s="6"/>
      <c r="G235" s="6"/>
      <c r="H235" s="6"/>
      <c r="I235" s="6"/>
      <c r="J235" s="6"/>
      <c r="K235" s="6"/>
      <c r="L235" s="6"/>
      <c r="M235" s="6"/>
      <c r="N235" s="6"/>
      <c r="O235" s="6"/>
      <c r="P235" s="6"/>
      <c r="Q235" s="6"/>
      <c r="R235" s="6"/>
      <c r="S235" s="6"/>
      <c r="T235" s="5"/>
    </row>
    <row r="236" spans="1:20">
      <c r="A236" s="6"/>
      <c r="B236" s="6"/>
      <c r="C236" s="6"/>
      <c r="D236" s="6"/>
      <c r="E236" s="6"/>
      <c r="F236" s="6"/>
      <c r="G236" s="6"/>
      <c r="H236" s="6"/>
      <c r="I236" s="6"/>
      <c r="J236" s="6"/>
      <c r="K236" s="6"/>
      <c r="L236" s="6"/>
      <c r="M236" s="6"/>
      <c r="N236" s="6"/>
      <c r="O236" s="6"/>
      <c r="P236" s="6"/>
      <c r="Q236" s="6"/>
      <c r="R236" s="6"/>
      <c r="S236" s="6"/>
      <c r="T236" s="5"/>
    </row>
    <row r="237" spans="1:20">
      <c r="A237" s="6"/>
      <c r="B237" s="6"/>
      <c r="C237" s="6"/>
      <c r="D237" s="6"/>
      <c r="E237" s="6"/>
      <c r="F237" s="6"/>
      <c r="G237" s="6"/>
      <c r="H237" s="6"/>
      <c r="I237" s="6"/>
      <c r="J237" s="6"/>
      <c r="K237" s="6"/>
      <c r="L237" s="6"/>
      <c r="M237" s="6"/>
      <c r="N237" s="6"/>
      <c r="O237" s="6"/>
      <c r="P237" s="6"/>
      <c r="Q237" s="6"/>
      <c r="R237" s="6"/>
      <c r="S237" s="6"/>
      <c r="T237" s="5"/>
    </row>
    <row r="238" spans="1:20">
      <c r="A238" s="6"/>
      <c r="B238" s="6"/>
      <c r="C238" s="6"/>
      <c r="D238" s="6"/>
      <c r="E238" s="6"/>
      <c r="F238" s="6"/>
      <c r="G238" s="6"/>
      <c r="H238" s="6"/>
      <c r="I238" s="6"/>
      <c r="J238" s="6"/>
      <c r="K238" s="6"/>
      <c r="L238" s="6"/>
      <c r="M238" s="6"/>
      <c r="N238" s="6"/>
      <c r="O238" s="6"/>
      <c r="P238" s="6"/>
      <c r="Q238" s="6"/>
      <c r="R238" s="6"/>
      <c r="S238" s="6"/>
      <c r="T238" s="5"/>
    </row>
    <row r="239" spans="1:20">
      <c r="A239" s="6"/>
      <c r="B239" s="6"/>
      <c r="C239" s="6"/>
      <c r="D239" s="6"/>
      <c r="E239" s="6"/>
      <c r="F239" s="6"/>
      <c r="G239" s="6"/>
      <c r="H239" s="6"/>
      <c r="I239" s="6"/>
      <c r="J239" s="6"/>
      <c r="K239" s="6"/>
      <c r="L239" s="6"/>
      <c r="M239" s="6"/>
      <c r="N239" s="6"/>
      <c r="O239" s="6"/>
      <c r="P239" s="6"/>
      <c r="Q239" s="6"/>
      <c r="R239" s="6"/>
      <c r="S239" s="6"/>
      <c r="T239" s="5"/>
    </row>
    <row r="240" spans="1:20">
      <c r="A240" s="6"/>
      <c r="B240" s="6"/>
      <c r="C240" s="6"/>
      <c r="D240" s="6"/>
      <c r="E240" s="6"/>
      <c r="F240" s="6"/>
      <c r="G240" s="6"/>
      <c r="H240" s="6"/>
      <c r="I240" s="6"/>
      <c r="J240" s="6"/>
      <c r="K240" s="6"/>
      <c r="L240" s="6"/>
      <c r="M240" s="6"/>
      <c r="N240" s="6"/>
      <c r="O240" s="6"/>
      <c r="P240" s="6"/>
      <c r="Q240" s="6"/>
      <c r="R240" s="6"/>
      <c r="S240" s="6"/>
      <c r="T240" s="5"/>
    </row>
    <row r="241" spans="1:20">
      <c r="A241" s="6"/>
      <c r="B241" s="6"/>
      <c r="C241" s="6"/>
      <c r="D241" s="6"/>
      <c r="E241" s="6"/>
      <c r="F241" s="6"/>
      <c r="G241" s="6"/>
      <c r="H241" s="6"/>
      <c r="I241" s="6"/>
      <c r="J241" s="6"/>
      <c r="K241" s="6"/>
      <c r="L241" s="6"/>
      <c r="M241" s="6"/>
      <c r="N241" s="6"/>
      <c r="O241" s="6"/>
      <c r="P241" s="6"/>
      <c r="Q241" s="6"/>
      <c r="R241" s="6"/>
      <c r="S241" s="6"/>
      <c r="T241" s="5"/>
    </row>
    <row r="242" spans="1:20">
      <c r="A242" s="6"/>
      <c r="B242" s="6"/>
      <c r="C242" s="6"/>
      <c r="D242" s="6"/>
      <c r="E242" s="6"/>
      <c r="F242" s="6"/>
      <c r="G242" s="6"/>
      <c r="H242" s="6"/>
      <c r="I242" s="6"/>
      <c r="J242" s="6"/>
      <c r="K242" s="6"/>
      <c r="L242" s="6"/>
      <c r="M242" s="6"/>
      <c r="N242" s="6"/>
      <c r="O242" s="6"/>
      <c r="P242" s="6"/>
      <c r="Q242" s="6"/>
      <c r="R242" s="6"/>
      <c r="S242" s="6"/>
      <c r="T242" s="5"/>
    </row>
    <row r="243" spans="1:20">
      <c r="A243" s="6"/>
      <c r="B243" s="6"/>
      <c r="C243" s="6"/>
      <c r="D243" s="6"/>
      <c r="E243" s="6"/>
      <c r="F243" s="6"/>
      <c r="G243" s="6"/>
      <c r="H243" s="6"/>
      <c r="I243" s="6"/>
      <c r="J243" s="6"/>
      <c r="K243" s="6"/>
      <c r="L243" s="6"/>
      <c r="M243" s="6"/>
      <c r="N243" s="6"/>
      <c r="O243" s="6"/>
      <c r="P243" s="6"/>
      <c r="Q243" s="6"/>
      <c r="R243" s="6"/>
      <c r="S243" s="6"/>
      <c r="T243" s="5"/>
    </row>
    <row r="244" spans="1:20">
      <c r="A244" s="6"/>
      <c r="B244" s="6"/>
      <c r="C244" s="6"/>
      <c r="D244" s="6"/>
      <c r="E244" s="6"/>
      <c r="F244" s="6"/>
      <c r="G244" s="6"/>
      <c r="H244" s="6"/>
      <c r="I244" s="6"/>
      <c r="J244" s="6"/>
      <c r="K244" s="6"/>
      <c r="L244" s="6"/>
      <c r="M244" s="6"/>
      <c r="N244" s="6"/>
      <c r="O244" s="6"/>
      <c r="P244" s="6"/>
      <c r="Q244" s="6"/>
      <c r="R244" s="6"/>
      <c r="S244" s="6"/>
      <c r="T244" s="5"/>
    </row>
    <row r="245" spans="1:20">
      <c r="A245" s="6"/>
      <c r="B245" s="6"/>
      <c r="C245" s="6"/>
      <c r="D245" s="6"/>
      <c r="E245" s="6"/>
      <c r="F245" s="6"/>
      <c r="G245" s="6"/>
      <c r="H245" s="6"/>
      <c r="I245" s="6"/>
      <c r="J245" s="6"/>
      <c r="K245" s="6"/>
      <c r="L245" s="6"/>
      <c r="M245" s="6"/>
      <c r="N245" s="6"/>
      <c r="O245" s="6"/>
      <c r="P245" s="6"/>
      <c r="Q245" s="6"/>
      <c r="R245" s="6"/>
      <c r="S245" s="6"/>
      <c r="T245" s="5"/>
    </row>
    <row r="246" spans="1:20">
      <c r="A246" s="6"/>
      <c r="B246" s="6"/>
      <c r="C246" s="6"/>
      <c r="D246" s="6"/>
      <c r="E246" s="6"/>
      <c r="F246" s="6"/>
      <c r="G246" s="6"/>
      <c r="H246" s="6"/>
      <c r="I246" s="6"/>
      <c r="J246" s="6"/>
      <c r="K246" s="6"/>
      <c r="L246" s="6"/>
      <c r="M246" s="6"/>
      <c r="N246" s="6"/>
      <c r="O246" s="6"/>
      <c r="P246" s="6"/>
      <c r="Q246" s="6"/>
      <c r="R246" s="6"/>
      <c r="S246" s="6"/>
      <c r="T246" s="5"/>
    </row>
    <row r="247" spans="1:20">
      <c r="A247" s="6"/>
      <c r="B247" s="6"/>
      <c r="C247" s="6"/>
      <c r="D247" s="6"/>
      <c r="E247" s="6"/>
      <c r="F247" s="6"/>
      <c r="G247" s="6"/>
      <c r="H247" s="6"/>
      <c r="I247" s="6"/>
      <c r="J247" s="6"/>
      <c r="K247" s="6"/>
      <c r="L247" s="6"/>
      <c r="M247" s="6"/>
      <c r="N247" s="6"/>
      <c r="O247" s="6"/>
      <c r="P247" s="6"/>
      <c r="Q247" s="6"/>
      <c r="R247" s="6"/>
      <c r="S247" s="6"/>
      <c r="T247" s="5"/>
    </row>
    <row r="248" spans="1:20">
      <c r="A248" s="6"/>
      <c r="B248" s="6"/>
      <c r="C248" s="6"/>
      <c r="D248" s="6"/>
      <c r="E248" s="6"/>
      <c r="F248" s="6"/>
      <c r="G248" s="6"/>
      <c r="H248" s="6"/>
      <c r="I248" s="6"/>
      <c r="J248" s="6"/>
      <c r="K248" s="6"/>
      <c r="L248" s="6"/>
      <c r="M248" s="6"/>
      <c r="N248" s="6"/>
      <c r="O248" s="6"/>
      <c r="P248" s="6"/>
      <c r="Q248" s="6"/>
      <c r="R248" s="6"/>
      <c r="S248" s="6"/>
      <c r="T248" s="5"/>
    </row>
    <row r="249" spans="1:20">
      <c r="A249" s="6"/>
      <c r="B249" s="6"/>
      <c r="C249" s="6"/>
      <c r="D249" s="6"/>
      <c r="E249" s="6"/>
      <c r="F249" s="6"/>
      <c r="G249" s="6"/>
      <c r="H249" s="6"/>
      <c r="I249" s="6"/>
      <c r="J249" s="6"/>
      <c r="K249" s="6"/>
      <c r="L249" s="6"/>
      <c r="M249" s="6"/>
      <c r="N249" s="6"/>
      <c r="O249" s="6"/>
      <c r="P249" s="6"/>
      <c r="Q249" s="6"/>
      <c r="R249" s="6"/>
      <c r="S249" s="6"/>
      <c r="T249" s="5"/>
    </row>
    <row r="250" spans="1:20">
      <c r="A250" s="6"/>
      <c r="B250" s="6"/>
      <c r="C250" s="6"/>
      <c r="D250" s="6"/>
      <c r="E250" s="6"/>
      <c r="F250" s="6"/>
      <c r="G250" s="6"/>
      <c r="H250" s="6"/>
      <c r="I250" s="6"/>
      <c r="J250" s="6"/>
      <c r="K250" s="6"/>
      <c r="L250" s="6"/>
      <c r="M250" s="6"/>
      <c r="N250" s="6"/>
      <c r="O250" s="6"/>
      <c r="P250" s="6"/>
      <c r="Q250" s="6"/>
      <c r="R250" s="6"/>
      <c r="S250" s="6"/>
      <c r="T250" s="5"/>
    </row>
    <row r="251" spans="1:20">
      <c r="A251" s="6"/>
      <c r="B251" s="6"/>
      <c r="C251" s="6"/>
      <c r="D251" s="6"/>
      <c r="E251" s="6"/>
      <c r="F251" s="6"/>
      <c r="G251" s="6"/>
      <c r="H251" s="6"/>
      <c r="I251" s="6"/>
      <c r="J251" s="6"/>
      <c r="K251" s="6"/>
      <c r="L251" s="6"/>
      <c r="M251" s="6"/>
      <c r="N251" s="6"/>
      <c r="O251" s="6"/>
      <c r="P251" s="6"/>
      <c r="Q251" s="6"/>
      <c r="R251" s="6"/>
      <c r="S251" s="6"/>
      <c r="T251" s="5"/>
    </row>
    <row r="252" spans="1:20">
      <c r="A252" s="6"/>
      <c r="B252" s="6"/>
      <c r="C252" s="6"/>
      <c r="D252" s="6"/>
      <c r="E252" s="6"/>
      <c r="F252" s="6"/>
      <c r="G252" s="6"/>
      <c r="H252" s="6"/>
      <c r="I252" s="6"/>
      <c r="J252" s="6"/>
      <c r="K252" s="6"/>
      <c r="L252" s="6"/>
      <c r="M252" s="6"/>
      <c r="N252" s="6"/>
      <c r="O252" s="6"/>
      <c r="P252" s="6"/>
      <c r="Q252" s="6"/>
      <c r="R252" s="6"/>
      <c r="S252" s="6"/>
      <c r="T252" s="5"/>
    </row>
    <row r="253" spans="1:20">
      <c r="A253" s="6"/>
      <c r="B253" s="6"/>
      <c r="C253" s="6"/>
      <c r="D253" s="6"/>
      <c r="E253" s="6"/>
      <c r="F253" s="6"/>
      <c r="G253" s="6"/>
      <c r="H253" s="6"/>
      <c r="I253" s="6"/>
      <c r="J253" s="6"/>
      <c r="K253" s="6"/>
      <c r="L253" s="6"/>
      <c r="M253" s="6"/>
      <c r="N253" s="6"/>
      <c r="O253" s="6"/>
      <c r="P253" s="6"/>
      <c r="Q253" s="6"/>
      <c r="R253" s="6"/>
      <c r="S253" s="6"/>
      <c r="T253" s="5"/>
    </row>
    <row r="254" spans="1:20">
      <c r="A254" s="6"/>
      <c r="B254" s="6"/>
      <c r="C254" s="6"/>
      <c r="D254" s="6"/>
      <c r="E254" s="6"/>
      <c r="F254" s="6"/>
      <c r="G254" s="6"/>
      <c r="H254" s="6"/>
      <c r="I254" s="6"/>
      <c r="J254" s="6"/>
      <c r="K254" s="6"/>
      <c r="L254" s="6"/>
      <c r="M254" s="6"/>
      <c r="N254" s="6"/>
      <c r="O254" s="6"/>
      <c r="P254" s="6"/>
      <c r="Q254" s="6"/>
      <c r="R254" s="6"/>
      <c r="S254" s="6"/>
      <c r="T254" s="5"/>
    </row>
    <row r="255" spans="1:20">
      <c r="A255" s="6"/>
      <c r="B255" s="6"/>
      <c r="C255" s="6"/>
      <c r="D255" s="6"/>
      <c r="E255" s="6"/>
      <c r="F255" s="6"/>
      <c r="G255" s="6"/>
      <c r="H255" s="6"/>
      <c r="I255" s="6"/>
      <c r="J255" s="6"/>
      <c r="K255" s="6"/>
      <c r="L255" s="6"/>
      <c r="M255" s="6"/>
      <c r="N255" s="6"/>
      <c r="O255" s="6"/>
      <c r="P255" s="6"/>
      <c r="Q255" s="6"/>
      <c r="R255" s="6"/>
      <c r="S255" s="6"/>
      <c r="T255" s="5"/>
    </row>
    <row r="256" spans="1:20">
      <c r="A256" s="6"/>
      <c r="B256" s="6"/>
      <c r="C256" s="6"/>
      <c r="D256" s="6"/>
      <c r="E256" s="6"/>
      <c r="F256" s="6"/>
      <c r="G256" s="6"/>
      <c r="H256" s="6"/>
      <c r="I256" s="6"/>
      <c r="J256" s="6"/>
      <c r="K256" s="6"/>
      <c r="L256" s="6"/>
      <c r="M256" s="6"/>
      <c r="N256" s="6"/>
      <c r="O256" s="6"/>
      <c r="P256" s="6"/>
      <c r="Q256" s="6"/>
      <c r="R256" s="6"/>
      <c r="S256" s="6"/>
      <c r="T256" s="5"/>
    </row>
    <row r="257" spans="1:20">
      <c r="A257" s="6"/>
      <c r="B257" s="6"/>
      <c r="C257" s="6"/>
      <c r="D257" s="6"/>
      <c r="E257" s="6"/>
      <c r="F257" s="6"/>
      <c r="G257" s="6"/>
      <c r="H257" s="6"/>
      <c r="I257" s="6"/>
      <c r="J257" s="6"/>
      <c r="K257" s="6"/>
      <c r="L257" s="6"/>
      <c r="M257" s="6"/>
      <c r="N257" s="6"/>
      <c r="O257" s="6"/>
      <c r="P257" s="6"/>
      <c r="Q257" s="6"/>
      <c r="R257" s="6"/>
      <c r="S257" s="6"/>
      <c r="T257" s="5"/>
    </row>
    <row r="258" spans="1:20">
      <c r="A258" s="6"/>
      <c r="B258" s="6"/>
      <c r="C258" s="6"/>
      <c r="D258" s="6"/>
      <c r="E258" s="6"/>
      <c r="F258" s="6"/>
      <c r="G258" s="6"/>
      <c r="H258" s="6"/>
      <c r="I258" s="6"/>
      <c r="J258" s="6"/>
      <c r="K258" s="6"/>
      <c r="L258" s="6"/>
      <c r="M258" s="6"/>
      <c r="N258" s="6"/>
      <c r="O258" s="6"/>
      <c r="P258" s="6"/>
      <c r="Q258" s="6"/>
      <c r="R258" s="6"/>
      <c r="S258" s="6"/>
      <c r="T258" s="5"/>
    </row>
    <row r="259" spans="1:20">
      <c r="A259" s="6"/>
      <c r="B259" s="6"/>
      <c r="C259" s="6"/>
      <c r="D259" s="6"/>
      <c r="E259" s="6"/>
      <c r="F259" s="6"/>
      <c r="G259" s="6"/>
      <c r="H259" s="6"/>
      <c r="I259" s="6"/>
      <c r="J259" s="6"/>
      <c r="K259" s="6"/>
      <c r="L259" s="6"/>
      <c r="M259" s="6"/>
      <c r="N259" s="6"/>
      <c r="O259" s="6"/>
      <c r="P259" s="6"/>
      <c r="Q259" s="6"/>
      <c r="R259" s="6"/>
      <c r="S259" s="6"/>
      <c r="T259" s="5"/>
    </row>
    <row r="260" spans="1:20">
      <c r="A260" s="6"/>
      <c r="B260" s="6"/>
      <c r="C260" s="6"/>
      <c r="D260" s="6"/>
      <c r="E260" s="6"/>
      <c r="F260" s="6"/>
      <c r="G260" s="6"/>
      <c r="H260" s="6"/>
      <c r="I260" s="6"/>
      <c r="J260" s="6"/>
      <c r="K260" s="6"/>
      <c r="L260" s="6"/>
      <c r="M260" s="6"/>
      <c r="N260" s="6"/>
      <c r="O260" s="6"/>
      <c r="P260" s="6"/>
      <c r="Q260" s="6"/>
      <c r="R260" s="6"/>
      <c r="S260" s="6"/>
      <c r="T260" s="5"/>
    </row>
    <row r="261" spans="1:20">
      <c r="A261" s="6"/>
      <c r="B261" s="6"/>
      <c r="C261" s="6"/>
      <c r="D261" s="6"/>
      <c r="E261" s="6"/>
      <c r="F261" s="6"/>
      <c r="G261" s="6"/>
      <c r="H261" s="6"/>
      <c r="I261" s="6"/>
      <c r="J261" s="6"/>
      <c r="K261" s="6"/>
      <c r="L261" s="6"/>
      <c r="M261" s="6"/>
      <c r="N261" s="6"/>
      <c r="O261" s="6"/>
      <c r="P261" s="6"/>
      <c r="Q261" s="6"/>
      <c r="R261" s="6"/>
      <c r="S261" s="6"/>
      <c r="T261" s="5"/>
    </row>
    <row r="262" spans="1:20">
      <c r="A262" s="6"/>
      <c r="B262" s="6"/>
      <c r="C262" s="6"/>
      <c r="D262" s="6"/>
      <c r="E262" s="6"/>
      <c r="F262" s="6"/>
      <c r="G262" s="6"/>
      <c r="H262" s="6"/>
      <c r="I262" s="6"/>
      <c r="J262" s="6"/>
      <c r="K262" s="6"/>
      <c r="L262" s="6"/>
      <c r="M262" s="6"/>
      <c r="N262" s="6"/>
      <c r="O262" s="6"/>
      <c r="P262" s="6"/>
      <c r="Q262" s="6"/>
      <c r="R262" s="6"/>
      <c r="S262" s="6"/>
      <c r="T262" s="5"/>
    </row>
    <row r="263" spans="1:20">
      <c r="A263" s="6"/>
      <c r="B263" s="6"/>
      <c r="C263" s="6"/>
      <c r="D263" s="6"/>
      <c r="E263" s="6"/>
      <c r="F263" s="6"/>
      <c r="G263" s="6"/>
      <c r="H263" s="6"/>
      <c r="I263" s="6"/>
      <c r="J263" s="6"/>
      <c r="K263" s="6"/>
      <c r="L263" s="6"/>
      <c r="M263" s="6"/>
      <c r="N263" s="6"/>
      <c r="O263" s="6"/>
      <c r="P263" s="6"/>
      <c r="Q263" s="6"/>
      <c r="R263" s="6"/>
      <c r="S263" s="6"/>
      <c r="T263" s="5"/>
    </row>
    <row r="264" spans="1:20">
      <c r="A264" s="6"/>
      <c r="B264" s="6"/>
      <c r="C264" s="6"/>
      <c r="D264" s="6"/>
      <c r="E264" s="6"/>
      <c r="F264" s="6"/>
      <c r="G264" s="6"/>
      <c r="H264" s="6"/>
      <c r="I264" s="6"/>
      <c r="J264" s="6"/>
      <c r="K264" s="6"/>
      <c r="L264" s="6"/>
      <c r="M264" s="6"/>
      <c r="N264" s="6"/>
      <c r="O264" s="6"/>
      <c r="P264" s="6"/>
      <c r="Q264" s="6"/>
      <c r="R264" s="6"/>
      <c r="S264" s="6"/>
      <c r="T264" s="5"/>
    </row>
    <row r="265" spans="1:20">
      <c r="A265" s="6"/>
      <c r="B265" s="6"/>
      <c r="C265" s="6"/>
      <c r="D265" s="6"/>
      <c r="E265" s="6"/>
      <c r="F265" s="6"/>
      <c r="G265" s="6"/>
      <c r="H265" s="6"/>
      <c r="I265" s="6"/>
      <c r="J265" s="6"/>
      <c r="K265" s="6"/>
      <c r="L265" s="6"/>
      <c r="M265" s="6"/>
      <c r="N265" s="6"/>
      <c r="O265" s="6"/>
      <c r="P265" s="6"/>
      <c r="Q265" s="6"/>
      <c r="R265" s="6"/>
      <c r="S265" s="6"/>
      <c r="T265" s="5"/>
    </row>
    <row r="266" spans="1:20">
      <c r="A266" s="6"/>
      <c r="B266" s="6"/>
      <c r="C266" s="6"/>
      <c r="D266" s="6"/>
      <c r="E266" s="6"/>
      <c r="F266" s="6"/>
      <c r="G266" s="6"/>
      <c r="H266" s="6"/>
      <c r="I266" s="6"/>
      <c r="J266" s="6"/>
      <c r="K266" s="6"/>
      <c r="L266" s="6"/>
      <c r="M266" s="6"/>
      <c r="N266" s="6"/>
      <c r="O266" s="6"/>
      <c r="P266" s="6"/>
      <c r="Q266" s="6"/>
      <c r="R266" s="6"/>
      <c r="S266" s="6"/>
      <c r="T266" s="5"/>
    </row>
    <row r="267" spans="1:20">
      <c r="A267" s="6"/>
      <c r="B267" s="6"/>
      <c r="C267" s="6"/>
      <c r="D267" s="6"/>
      <c r="E267" s="6"/>
      <c r="F267" s="6"/>
      <c r="G267" s="6"/>
      <c r="H267" s="6"/>
      <c r="I267" s="6"/>
      <c r="J267" s="6"/>
      <c r="K267" s="6"/>
      <c r="L267" s="6"/>
      <c r="M267" s="6"/>
      <c r="N267" s="6"/>
      <c r="O267" s="6"/>
      <c r="P267" s="6"/>
      <c r="Q267" s="6"/>
      <c r="R267" s="6"/>
      <c r="S267" s="6"/>
      <c r="T267" s="5"/>
    </row>
    <row r="268" spans="1:20">
      <c r="A268" s="6"/>
      <c r="B268" s="6"/>
      <c r="C268" s="6"/>
      <c r="D268" s="6"/>
      <c r="E268" s="6"/>
      <c r="F268" s="6"/>
      <c r="G268" s="6"/>
      <c r="H268" s="6"/>
      <c r="I268" s="6"/>
      <c r="J268" s="6"/>
      <c r="K268" s="6"/>
      <c r="L268" s="6"/>
      <c r="M268" s="6"/>
      <c r="N268" s="6"/>
      <c r="O268" s="6"/>
      <c r="P268" s="6"/>
      <c r="Q268" s="6"/>
      <c r="R268" s="6"/>
      <c r="S268" s="6"/>
      <c r="T268" s="5"/>
    </row>
    <row r="269" spans="1:20">
      <c r="A269" s="6"/>
      <c r="B269" s="6"/>
      <c r="C269" s="6"/>
      <c r="D269" s="6"/>
      <c r="E269" s="6"/>
      <c r="F269" s="6"/>
      <c r="G269" s="6"/>
      <c r="H269" s="6"/>
      <c r="I269" s="6"/>
      <c r="J269" s="6"/>
      <c r="K269" s="6"/>
      <c r="L269" s="6"/>
      <c r="M269" s="6"/>
      <c r="N269" s="6"/>
      <c r="O269" s="6"/>
      <c r="P269" s="6"/>
      <c r="Q269" s="6"/>
      <c r="R269" s="6"/>
      <c r="S269" s="6"/>
      <c r="T269" s="5"/>
    </row>
    <row r="270" spans="1:20">
      <c r="A270" s="6"/>
      <c r="B270" s="6"/>
      <c r="C270" s="6"/>
      <c r="D270" s="6"/>
      <c r="E270" s="6"/>
      <c r="F270" s="6"/>
      <c r="G270" s="6"/>
      <c r="H270" s="6"/>
      <c r="I270" s="6"/>
      <c r="J270" s="6"/>
      <c r="K270" s="6"/>
      <c r="L270" s="6"/>
      <c r="M270" s="6"/>
      <c r="N270" s="6"/>
      <c r="O270" s="6"/>
      <c r="P270" s="6"/>
      <c r="Q270" s="6"/>
      <c r="R270" s="6"/>
      <c r="S270" s="6"/>
      <c r="T270" s="5"/>
    </row>
    <row r="271" spans="1:20">
      <c r="A271" s="6"/>
      <c r="B271" s="6"/>
      <c r="C271" s="6"/>
      <c r="D271" s="6"/>
      <c r="E271" s="6"/>
      <c r="F271" s="6"/>
      <c r="G271" s="6"/>
      <c r="H271" s="6"/>
      <c r="I271" s="6"/>
      <c r="J271" s="6"/>
      <c r="K271" s="6"/>
      <c r="L271" s="6"/>
      <c r="M271" s="6"/>
      <c r="N271" s="6"/>
      <c r="O271" s="6"/>
      <c r="P271" s="6"/>
      <c r="Q271" s="6"/>
      <c r="R271" s="6"/>
      <c r="S271" s="6"/>
      <c r="T271" s="5"/>
    </row>
    <row r="272" spans="1:20">
      <c r="A272" s="6"/>
      <c r="B272" s="6"/>
      <c r="C272" s="6"/>
      <c r="D272" s="6"/>
      <c r="E272" s="6"/>
      <c r="F272" s="6"/>
      <c r="G272" s="6"/>
      <c r="H272" s="6"/>
      <c r="I272" s="6"/>
      <c r="J272" s="6"/>
      <c r="K272" s="6"/>
      <c r="L272" s="6"/>
      <c r="M272" s="6"/>
      <c r="N272" s="6"/>
      <c r="O272" s="6"/>
      <c r="P272" s="6"/>
      <c r="Q272" s="6"/>
      <c r="R272" s="6"/>
      <c r="S272" s="6"/>
      <c r="T272" s="5"/>
    </row>
    <row r="273" spans="1:20">
      <c r="A273" s="6"/>
      <c r="B273" s="6"/>
      <c r="C273" s="6"/>
      <c r="D273" s="6"/>
      <c r="E273" s="6"/>
      <c r="F273" s="6"/>
      <c r="G273" s="6"/>
      <c r="H273" s="6"/>
      <c r="I273" s="6"/>
      <c r="J273" s="6"/>
      <c r="K273" s="6"/>
      <c r="L273" s="6"/>
      <c r="M273" s="6"/>
      <c r="N273" s="6"/>
      <c r="O273" s="6"/>
      <c r="P273" s="6"/>
      <c r="Q273" s="6"/>
      <c r="R273" s="6"/>
      <c r="S273" s="6"/>
      <c r="T273" s="5"/>
    </row>
    <row r="274" spans="1:20">
      <c r="A274" s="6"/>
      <c r="B274" s="6"/>
      <c r="C274" s="6"/>
      <c r="D274" s="6"/>
      <c r="E274" s="6"/>
      <c r="F274" s="6"/>
      <c r="G274" s="6"/>
      <c r="H274" s="6"/>
      <c r="I274" s="6"/>
      <c r="J274" s="6"/>
      <c r="K274" s="6"/>
      <c r="L274" s="6"/>
      <c r="M274" s="6"/>
      <c r="N274" s="6"/>
      <c r="O274" s="6"/>
      <c r="P274" s="6"/>
      <c r="Q274" s="6"/>
      <c r="R274" s="6"/>
      <c r="S274" s="6"/>
      <c r="T274" s="5"/>
    </row>
    <row r="275" spans="1:20">
      <c r="A275" s="6"/>
      <c r="B275" s="6"/>
      <c r="C275" s="6"/>
      <c r="D275" s="6"/>
      <c r="E275" s="6"/>
      <c r="F275" s="6"/>
      <c r="G275" s="6"/>
      <c r="H275" s="6"/>
      <c r="I275" s="6"/>
      <c r="J275" s="6"/>
      <c r="K275" s="6"/>
      <c r="L275" s="6"/>
      <c r="M275" s="6"/>
      <c r="N275" s="6"/>
      <c r="O275" s="6"/>
      <c r="P275" s="6"/>
      <c r="Q275" s="6"/>
      <c r="R275" s="6"/>
      <c r="S275" s="6"/>
      <c r="T275" s="5"/>
    </row>
    <row r="276" spans="1:20">
      <c r="A276" s="88"/>
      <c r="B276" s="88"/>
      <c r="C276" s="88"/>
      <c r="D276" s="88"/>
      <c r="E276" s="88"/>
      <c r="F276" s="88"/>
      <c r="G276" s="88"/>
      <c r="H276" s="88"/>
      <c r="I276" s="88"/>
      <c r="J276" s="88"/>
      <c r="K276" s="88"/>
      <c r="L276" s="88"/>
      <c r="M276" s="88"/>
      <c r="N276" s="88"/>
      <c r="O276" s="88"/>
      <c r="P276" s="88"/>
      <c r="Q276" s="88"/>
      <c r="R276" s="88"/>
      <c r="S276" s="88"/>
      <c r="T276" s="5"/>
    </row>
    <row r="277" spans="1:20">
      <c r="A277" s="6"/>
      <c r="B277" s="6"/>
      <c r="C277" s="6"/>
      <c r="D277" s="6"/>
      <c r="E277" s="6"/>
      <c r="F277" s="6"/>
      <c r="G277" s="6"/>
      <c r="H277" s="6"/>
      <c r="I277" s="6"/>
      <c r="J277" s="6"/>
      <c r="K277" s="6"/>
      <c r="L277" s="6"/>
      <c r="M277" s="6"/>
      <c r="N277" s="6"/>
      <c r="O277" s="6"/>
      <c r="P277" s="6"/>
      <c r="Q277" s="6"/>
      <c r="R277" s="6"/>
      <c r="S277" s="6"/>
      <c r="T277" s="5"/>
    </row>
    <row r="278" spans="1:20">
      <c r="A278" s="6"/>
      <c r="B278" s="6"/>
      <c r="C278" s="6"/>
      <c r="D278" s="6"/>
      <c r="E278" s="6"/>
      <c r="F278" s="6"/>
      <c r="G278" s="6"/>
      <c r="H278" s="6"/>
      <c r="I278" s="6"/>
      <c r="J278" s="6"/>
      <c r="K278" s="6"/>
      <c r="L278" s="6"/>
      <c r="M278" s="6"/>
      <c r="N278" s="6"/>
      <c r="O278" s="6"/>
      <c r="P278" s="6"/>
      <c r="Q278" s="6"/>
      <c r="R278" s="6"/>
      <c r="S278" s="6"/>
      <c r="T278" s="5"/>
    </row>
    <row r="279" spans="1:20">
      <c r="A279" s="6"/>
      <c r="B279" s="6"/>
      <c r="C279" s="6"/>
      <c r="D279" s="6"/>
      <c r="E279" s="6"/>
      <c r="F279" s="6"/>
      <c r="G279" s="6"/>
      <c r="H279" s="6"/>
      <c r="I279" s="6"/>
      <c r="J279" s="6"/>
      <c r="K279" s="6"/>
      <c r="L279" s="6"/>
      <c r="M279" s="6"/>
      <c r="N279" s="6"/>
      <c r="O279" s="6"/>
      <c r="P279" s="6"/>
      <c r="Q279" s="6"/>
      <c r="R279" s="6"/>
      <c r="S279" s="6"/>
      <c r="T279" s="5"/>
    </row>
    <row r="280" spans="1:20">
      <c r="A280" s="6"/>
      <c r="B280" s="6"/>
      <c r="C280" s="6"/>
      <c r="D280" s="6"/>
      <c r="E280" s="6"/>
      <c r="F280" s="6"/>
      <c r="G280" s="6"/>
      <c r="H280" s="6"/>
      <c r="I280" s="6"/>
      <c r="J280" s="6"/>
      <c r="K280" s="6"/>
      <c r="L280" s="6"/>
      <c r="M280" s="6"/>
      <c r="N280" s="6"/>
      <c r="O280" s="6"/>
      <c r="P280" s="6"/>
      <c r="Q280" s="6"/>
      <c r="R280" s="6"/>
      <c r="S280" s="6"/>
      <c r="T280" s="5"/>
    </row>
    <row r="281" spans="1:20">
      <c r="A281" s="6"/>
      <c r="B281" s="6"/>
      <c r="C281" s="6"/>
      <c r="D281" s="6"/>
      <c r="E281" s="6"/>
      <c r="F281" s="6"/>
      <c r="G281" s="6"/>
      <c r="H281" s="6"/>
      <c r="I281" s="6"/>
      <c r="J281" s="6"/>
      <c r="K281" s="6"/>
      <c r="L281" s="6"/>
      <c r="M281" s="6"/>
      <c r="N281" s="6"/>
      <c r="O281" s="6"/>
      <c r="P281" s="6"/>
      <c r="Q281" s="6"/>
      <c r="R281" s="6"/>
      <c r="S281" s="6"/>
      <c r="T281" s="5"/>
    </row>
    <row r="282" spans="1:20">
      <c r="A282" s="6"/>
      <c r="B282" s="6"/>
      <c r="C282" s="6"/>
      <c r="D282" s="6"/>
      <c r="E282" s="6"/>
      <c r="F282" s="6"/>
      <c r="G282" s="6"/>
      <c r="H282" s="6"/>
      <c r="I282" s="6"/>
      <c r="J282" s="6"/>
      <c r="K282" s="6"/>
      <c r="L282" s="6"/>
      <c r="M282" s="6"/>
      <c r="N282" s="6"/>
      <c r="O282" s="6"/>
      <c r="P282" s="6"/>
      <c r="Q282" s="6"/>
      <c r="R282" s="6"/>
      <c r="S282" s="6"/>
      <c r="T282" s="5"/>
    </row>
    <row r="283" spans="1:20">
      <c r="A283" s="6"/>
      <c r="B283" s="6"/>
      <c r="C283" s="6"/>
      <c r="D283" s="6"/>
      <c r="E283" s="6"/>
      <c r="F283" s="6"/>
      <c r="G283" s="6"/>
      <c r="H283" s="6"/>
      <c r="I283" s="6"/>
      <c r="J283" s="6"/>
      <c r="K283" s="6"/>
      <c r="L283" s="6"/>
      <c r="M283" s="6"/>
      <c r="N283" s="6"/>
      <c r="O283" s="6"/>
      <c r="P283" s="6"/>
      <c r="Q283" s="6"/>
      <c r="R283" s="6"/>
      <c r="S283" s="6"/>
      <c r="T283" s="5"/>
    </row>
    <row r="284" spans="1:20">
      <c r="A284" s="6"/>
      <c r="B284" s="6"/>
      <c r="C284" s="6"/>
      <c r="D284" s="6"/>
      <c r="E284" s="6"/>
      <c r="F284" s="6"/>
      <c r="G284" s="6"/>
      <c r="H284" s="6"/>
      <c r="I284" s="6"/>
      <c r="J284" s="6"/>
      <c r="K284" s="6"/>
      <c r="L284" s="6"/>
      <c r="M284" s="6"/>
      <c r="N284" s="6"/>
      <c r="O284" s="6"/>
      <c r="P284" s="6"/>
      <c r="Q284" s="6"/>
      <c r="R284" s="6"/>
      <c r="S284" s="6"/>
      <c r="T284" s="5"/>
    </row>
    <row r="285" spans="1:20">
      <c r="A285" s="6"/>
      <c r="B285" s="6"/>
      <c r="C285" s="6"/>
      <c r="D285" s="6"/>
      <c r="E285" s="6"/>
      <c r="F285" s="6"/>
      <c r="G285" s="6"/>
      <c r="H285" s="6"/>
      <c r="I285" s="6"/>
      <c r="J285" s="6"/>
      <c r="K285" s="6"/>
      <c r="L285" s="6"/>
      <c r="M285" s="6"/>
      <c r="N285" s="6"/>
      <c r="O285" s="6"/>
      <c r="P285" s="6"/>
      <c r="Q285" s="6"/>
      <c r="R285" s="6"/>
      <c r="S285" s="6"/>
      <c r="T285" s="5"/>
    </row>
    <row r="286" spans="1:20">
      <c r="A286" s="6"/>
      <c r="B286" s="6"/>
      <c r="C286" s="6"/>
      <c r="D286" s="6"/>
      <c r="E286" s="6"/>
      <c r="F286" s="6"/>
      <c r="G286" s="6"/>
      <c r="H286" s="6"/>
      <c r="I286" s="6"/>
      <c r="J286" s="6"/>
      <c r="K286" s="6"/>
      <c r="L286" s="6"/>
      <c r="M286" s="6"/>
      <c r="N286" s="6"/>
      <c r="O286" s="6"/>
      <c r="P286" s="6"/>
      <c r="Q286" s="6"/>
      <c r="R286" s="6"/>
      <c r="S286" s="6"/>
      <c r="T286" s="5"/>
    </row>
    <row r="287" spans="1:20">
      <c r="A287" s="6"/>
      <c r="B287" s="6"/>
      <c r="C287" s="6"/>
      <c r="D287" s="6"/>
      <c r="E287" s="6"/>
      <c r="F287" s="6"/>
      <c r="G287" s="6"/>
      <c r="H287" s="6"/>
      <c r="I287" s="6"/>
      <c r="J287" s="6"/>
      <c r="K287" s="6"/>
      <c r="L287" s="6"/>
      <c r="M287" s="6"/>
      <c r="N287" s="6"/>
      <c r="O287" s="6"/>
      <c r="P287" s="6"/>
      <c r="Q287" s="6"/>
      <c r="R287" s="6"/>
      <c r="S287" s="6"/>
      <c r="T287" s="5"/>
    </row>
    <row r="288" spans="1:20">
      <c r="A288" s="6"/>
      <c r="B288" s="6"/>
      <c r="C288" s="6"/>
      <c r="D288" s="6"/>
      <c r="E288" s="6"/>
      <c r="F288" s="6"/>
      <c r="G288" s="6"/>
      <c r="H288" s="6"/>
      <c r="I288" s="6"/>
      <c r="J288" s="6"/>
      <c r="K288" s="6"/>
      <c r="L288" s="6"/>
      <c r="M288" s="6"/>
      <c r="N288" s="6"/>
      <c r="O288" s="6"/>
      <c r="P288" s="6"/>
      <c r="Q288" s="6"/>
      <c r="R288" s="6"/>
      <c r="S288" s="6"/>
      <c r="T288" s="5"/>
    </row>
    <row r="289" spans="1:20">
      <c r="A289" s="6"/>
      <c r="B289" s="6"/>
      <c r="C289" s="6"/>
      <c r="D289" s="6"/>
      <c r="E289" s="6"/>
      <c r="F289" s="6"/>
      <c r="G289" s="6"/>
      <c r="H289" s="6"/>
      <c r="I289" s="6"/>
      <c r="J289" s="6"/>
      <c r="K289" s="6"/>
      <c r="L289" s="6"/>
      <c r="M289" s="6"/>
      <c r="N289" s="6"/>
      <c r="O289" s="6"/>
      <c r="P289" s="6"/>
      <c r="Q289" s="6"/>
      <c r="R289" s="6"/>
      <c r="S289" s="6"/>
      <c r="T289" s="5"/>
    </row>
    <row r="290" spans="1:20">
      <c r="A290" s="6"/>
      <c r="B290" s="6"/>
      <c r="C290" s="6"/>
      <c r="D290" s="6"/>
      <c r="E290" s="6"/>
      <c r="F290" s="6"/>
      <c r="G290" s="6"/>
      <c r="H290" s="6"/>
      <c r="I290" s="6"/>
      <c r="J290" s="6"/>
      <c r="K290" s="6"/>
      <c r="L290" s="6"/>
      <c r="M290" s="6"/>
      <c r="N290" s="6"/>
      <c r="O290" s="6"/>
      <c r="P290" s="6"/>
      <c r="Q290" s="6"/>
      <c r="R290" s="6"/>
      <c r="S290" s="6"/>
      <c r="T290" s="5"/>
    </row>
    <row r="291" spans="1:20">
      <c r="A291" s="6"/>
      <c r="B291" s="6"/>
      <c r="C291" s="6"/>
      <c r="D291" s="6"/>
      <c r="E291" s="6"/>
      <c r="F291" s="6"/>
      <c r="G291" s="6"/>
      <c r="H291" s="6"/>
      <c r="I291" s="6"/>
      <c r="J291" s="6"/>
      <c r="K291" s="6"/>
      <c r="L291" s="6"/>
      <c r="M291" s="6"/>
      <c r="N291" s="6"/>
      <c r="O291" s="6"/>
      <c r="P291" s="6"/>
      <c r="Q291" s="6"/>
      <c r="R291" s="6"/>
      <c r="S291" s="6"/>
      <c r="T291" s="5"/>
    </row>
    <row r="292" spans="1:20">
      <c r="A292" s="6"/>
      <c r="B292" s="6"/>
      <c r="C292" s="6"/>
      <c r="D292" s="6"/>
      <c r="E292" s="6"/>
      <c r="F292" s="6"/>
      <c r="G292" s="6"/>
      <c r="H292" s="6"/>
      <c r="I292" s="6"/>
      <c r="J292" s="6"/>
      <c r="K292" s="6"/>
      <c r="L292" s="6"/>
      <c r="M292" s="6"/>
      <c r="N292" s="6"/>
      <c r="O292" s="6"/>
      <c r="P292" s="6"/>
      <c r="Q292" s="6"/>
      <c r="R292" s="6"/>
      <c r="S292" s="6"/>
      <c r="T292" s="5"/>
    </row>
    <row r="293" spans="1:20">
      <c r="A293" s="6"/>
      <c r="B293" s="6"/>
      <c r="C293" s="6"/>
      <c r="D293" s="6"/>
      <c r="E293" s="6"/>
      <c r="F293" s="6"/>
      <c r="G293" s="6"/>
      <c r="H293" s="6"/>
      <c r="I293" s="6"/>
      <c r="J293" s="6"/>
      <c r="K293" s="6"/>
      <c r="L293" s="6"/>
      <c r="M293" s="6"/>
      <c r="N293" s="6"/>
      <c r="O293" s="6"/>
      <c r="P293" s="6"/>
      <c r="Q293" s="6"/>
      <c r="R293" s="6"/>
      <c r="S293" s="6"/>
      <c r="T293" s="5"/>
    </row>
    <row r="294" spans="1:20">
      <c r="A294" s="6"/>
      <c r="B294" s="6"/>
      <c r="C294" s="6"/>
      <c r="D294" s="6"/>
      <c r="E294" s="6"/>
      <c r="F294" s="6"/>
      <c r="G294" s="6"/>
      <c r="H294" s="6"/>
      <c r="I294" s="6"/>
      <c r="J294" s="6"/>
      <c r="K294" s="6"/>
      <c r="L294" s="6"/>
      <c r="M294" s="6"/>
      <c r="N294" s="6"/>
      <c r="O294" s="6"/>
      <c r="P294" s="6"/>
      <c r="Q294" s="6"/>
      <c r="R294" s="6"/>
      <c r="S294" s="6"/>
      <c r="T294" s="5"/>
    </row>
    <row r="295" spans="1:20">
      <c r="A295" s="6"/>
      <c r="B295" s="6"/>
      <c r="C295" s="6"/>
      <c r="D295" s="6"/>
      <c r="E295" s="6"/>
      <c r="F295" s="6"/>
      <c r="G295" s="6"/>
      <c r="H295" s="6"/>
      <c r="I295" s="6"/>
      <c r="J295" s="6"/>
      <c r="K295" s="6"/>
      <c r="L295" s="6"/>
      <c r="M295" s="6"/>
      <c r="N295" s="6"/>
      <c r="O295" s="6"/>
      <c r="P295" s="6"/>
      <c r="Q295" s="6"/>
      <c r="R295" s="6"/>
      <c r="S295" s="6"/>
      <c r="T295" s="5"/>
    </row>
    <row r="296" spans="1:20">
      <c r="A296" s="6"/>
      <c r="B296" s="6"/>
      <c r="C296" s="6"/>
      <c r="D296" s="6"/>
      <c r="E296" s="6"/>
      <c r="F296" s="6"/>
      <c r="G296" s="6"/>
      <c r="H296" s="6"/>
      <c r="I296" s="6"/>
      <c r="J296" s="6"/>
      <c r="K296" s="6"/>
      <c r="L296" s="6"/>
      <c r="M296" s="6"/>
      <c r="N296" s="6"/>
      <c r="O296" s="6"/>
      <c r="P296" s="6"/>
      <c r="Q296" s="6"/>
      <c r="R296" s="6"/>
      <c r="S296" s="6"/>
      <c r="T296" s="5"/>
    </row>
    <row r="297" spans="1:20">
      <c r="A297" s="6"/>
      <c r="B297" s="6"/>
      <c r="C297" s="6"/>
      <c r="D297" s="6"/>
      <c r="E297" s="6"/>
      <c r="F297" s="6"/>
      <c r="G297" s="6"/>
      <c r="H297" s="6"/>
      <c r="I297" s="6"/>
      <c r="J297" s="6"/>
      <c r="K297" s="6"/>
      <c r="L297" s="6"/>
      <c r="M297" s="6"/>
      <c r="N297" s="6"/>
      <c r="O297" s="6"/>
      <c r="P297" s="6"/>
      <c r="Q297" s="6"/>
      <c r="R297" s="6"/>
      <c r="S297" s="6"/>
      <c r="T297" s="5"/>
    </row>
    <row r="298" spans="1:20">
      <c r="A298" s="6"/>
      <c r="B298" s="6"/>
      <c r="C298" s="6"/>
      <c r="D298" s="6"/>
      <c r="E298" s="6"/>
      <c r="F298" s="6"/>
      <c r="G298" s="6"/>
      <c r="H298" s="6"/>
      <c r="I298" s="6"/>
      <c r="J298" s="6"/>
      <c r="K298" s="6"/>
      <c r="L298" s="6"/>
      <c r="M298" s="6"/>
      <c r="N298" s="6"/>
      <c r="O298" s="6"/>
      <c r="P298" s="6"/>
      <c r="Q298" s="6"/>
      <c r="R298" s="6"/>
      <c r="S298" s="6"/>
      <c r="T298" s="5"/>
    </row>
    <row r="299" spans="1:20">
      <c r="A299" s="6"/>
      <c r="B299" s="6"/>
      <c r="C299" s="6"/>
      <c r="D299" s="6"/>
      <c r="E299" s="6"/>
      <c r="F299" s="6"/>
      <c r="G299" s="6"/>
      <c r="H299" s="6"/>
      <c r="I299" s="6"/>
      <c r="J299" s="6"/>
      <c r="K299" s="6"/>
      <c r="L299" s="6"/>
      <c r="M299" s="6"/>
      <c r="N299" s="6"/>
      <c r="O299" s="6"/>
      <c r="P299" s="6"/>
      <c r="Q299" s="6"/>
      <c r="R299" s="6"/>
      <c r="S299" s="6"/>
      <c r="T299" s="5"/>
    </row>
    <row r="300" spans="1:20">
      <c r="A300" s="6"/>
      <c r="B300" s="6"/>
      <c r="C300" s="6"/>
      <c r="D300" s="6"/>
      <c r="E300" s="6"/>
      <c r="F300" s="6"/>
      <c r="G300" s="6"/>
      <c r="H300" s="6"/>
      <c r="I300" s="6"/>
      <c r="J300" s="6"/>
      <c r="K300" s="6"/>
      <c r="L300" s="6"/>
      <c r="M300" s="6"/>
      <c r="N300" s="6"/>
      <c r="O300" s="6"/>
      <c r="P300" s="6"/>
      <c r="Q300" s="6"/>
      <c r="R300" s="6"/>
      <c r="S300" s="6"/>
      <c r="T300" s="5"/>
    </row>
    <row r="301" spans="1:20">
      <c r="A301" s="6"/>
      <c r="B301" s="6"/>
      <c r="C301" s="6"/>
      <c r="D301" s="6"/>
      <c r="E301" s="6"/>
      <c r="F301" s="6"/>
      <c r="G301" s="6"/>
      <c r="H301" s="6"/>
      <c r="I301" s="6"/>
      <c r="J301" s="6"/>
      <c r="K301" s="6"/>
      <c r="L301" s="6"/>
      <c r="M301" s="6"/>
      <c r="N301" s="6"/>
      <c r="O301" s="6"/>
      <c r="P301" s="6"/>
      <c r="Q301" s="6"/>
      <c r="R301" s="6"/>
      <c r="S301" s="6"/>
      <c r="T301" s="5"/>
    </row>
    <row r="302" spans="1:20">
      <c r="A302" s="6"/>
      <c r="B302" s="6"/>
      <c r="C302" s="6"/>
      <c r="D302" s="6"/>
      <c r="E302" s="6"/>
      <c r="F302" s="6"/>
      <c r="G302" s="6"/>
      <c r="H302" s="6"/>
      <c r="I302" s="6"/>
      <c r="J302" s="6"/>
      <c r="K302" s="6"/>
      <c r="L302" s="6"/>
      <c r="M302" s="6"/>
      <c r="N302" s="6"/>
      <c r="O302" s="6"/>
      <c r="P302" s="6"/>
      <c r="Q302" s="6"/>
      <c r="R302" s="6"/>
      <c r="S302" s="6"/>
      <c r="T302" s="5"/>
    </row>
    <row r="303" spans="1:20">
      <c r="A303" s="6"/>
      <c r="B303" s="6"/>
      <c r="C303" s="6"/>
      <c r="D303" s="6"/>
      <c r="E303" s="6"/>
      <c r="F303" s="6"/>
      <c r="G303" s="6"/>
      <c r="H303" s="6"/>
      <c r="I303" s="6"/>
      <c r="J303" s="6"/>
      <c r="K303" s="6"/>
      <c r="L303" s="6"/>
      <c r="M303" s="6"/>
      <c r="N303" s="6"/>
      <c r="O303" s="6"/>
      <c r="P303" s="6"/>
      <c r="Q303" s="6"/>
      <c r="R303" s="6"/>
      <c r="S303" s="6"/>
      <c r="T303" s="5"/>
    </row>
    <row r="304" spans="1:20">
      <c r="A304" s="6"/>
      <c r="B304" s="6"/>
      <c r="C304" s="6"/>
      <c r="D304" s="6"/>
      <c r="E304" s="6"/>
      <c r="F304" s="6"/>
      <c r="G304" s="6"/>
      <c r="H304" s="6"/>
      <c r="I304" s="6"/>
      <c r="J304" s="6"/>
      <c r="K304" s="6"/>
      <c r="L304" s="6"/>
      <c r="M304" s="6"/>
      <c r="N304" s="6"/>
      <c r="O304" s="6"/>
      <c r="P304" s="6"/>
      <c r="Q304" s="6"/>
      <c r="R304" s="6"/>
      <c r="S304" s="6"/>
      <c r="T304" s="5"/>
    </row>
    <row r="305" spans="1:20">
      <c r="A305" s="6"/>
      <c r="B305" s="6"/>
      <c r="C305" s="6"/>
      <c r="D305" s="6"/>
      <c r="E305" s="6"/>
      <c r="F305" s="6"/>
      <c r="G305" s="6"/>
      <c r="H305" s="6"/>
      <c r="I305" s="6"/>
      <c r="J305" s="6"/>
      <c r="K305" s="6"/>
      <c r="L305" s="6"/>
      <c r="M305" s="6"/>
      <c r="N305" s="6"/>
      <c r="O305" s="6"/>
      <c r="P305" s="6"/>
      <c r="Q305" s="6"/>
      <c r="R305" s="6"/>
      <c r="S305" s="6"/>
      <c r="T305" s="5"/>
    </row>
    <row r="306" spans="1:20">
      <c r="A306" s="6"/>
      <c r="B306" s="6"/>
      <c r="C306" s="6"/>
      <c r="D306" s="6"/>
      <c r="E306" s="6"/>
      <c r="F306" s="6"/>
      <c r="G306" s="6"/>
      <c r="H306" s="6"/>
      <c r="I306" s="6"/>
      <c r="J306" s="6"/>
      <c r="K306" s="6"/>
      <c r="L306" s="6"/>
      <c r="M306" s="6"/>
      <c r="N306" s="6"/>
      <c r="O306" s="6"/>
      <c r="P306" s="6"/>
      <c r="Q306" s="6"/>
      <c r="R306" s="6"/>
      <c r="S306" s="6"/>
      <c r="T306" s="5"/>
    </row>
    <row r="307" spans="1:20">
      <c r="A307" s="6"/>
      <c r="B307" s="6"/>
      <c r="C307" s="6"/>
      <c r="D307" s="6"/>
      <c r="E307" s="6"/>
      <c r="F307" s="6"/>
      <c r="G307" s="6"/>
      <c r="H307" s="6"/>
      <c r="I307" s="6"/>
      <c r="J307" s="6"/>
      <c r="K307" s="6"/>
      <c r="L307" s="6"/>
      <c r="M307" s="6"/>
      <c r="N307" s="6"/>
      <c r="O307" s="6"/>
      <c r="P307" s="6"/>
      <c r="Q307" s="6"/>
      <c r="R307" s="6"/>
      <c r="S307" s="6"/>
      <c r="T307" s="5"/>
    </row>
    <row r="308" spans="1:20">
      <c r="A308" s="6"/>
      <c r="B308" s="6"/>
      <c r="C308" s="6"/>
      <c r="D308" s="6"/>
      <c r="E308" s="6"/>
      <c r="F308" s="6"/>
      <c r="G308" s="6"/>
      <c r="H308" s="6"/>
      <c r="I308" s="6"/>
      <c r="J308" s="6"/>
      <c r="K308" s="6"/>
      <c r="L308" s="6"/>
      <c r="M308" s="6"/>
      <c r="N308" s="6"/>
      <c r="O308" s="6"/>
      <c r="P308" s="6"/>
      <c r="Q308" s="6"/>
      <c r="R308" s="6"/>
      <c r="S308" s="6"/>
      <c r="T308" s="5"/>
    </row>
    <row r="309" spans="1:20">
      <c r="A309" s="6"/>
      <c r="B309" s="6"/>
      <c r="C309" s="6"/>
      <c r="D309" s="6"/>
      <c r="E309" s="6"/>
      <c r="F309" s="6"/>
      <c r="G309" s="6"/>
      <c r="H309" s="6"/>
      <c r="I309" s="6"/>
      <c r="J309" s="6"/>
      <c r="K309" s="6"/>
      <c r="L309" s="6"/>
      <c r="M309" s="6"/>
      <c r="N309" s="6"/>
      <c r="O309" s="6"/>
      <c r="P309" s="6"/>
      <c r="Q309" s="6"/>
      <c r="R309" s="6"/>
      <c r="S309" s="6"/>
      <c r="T309" s="5"/>
    </row>
    <row r="310" spans="1:20">
      <c r="A310" s="6"/>
      <c r="B310" s="6"/>
      <c r="C310" s="6"/>
      <c r="D310" s="6"/>
      <c r="E310" s="6"/>
      <c r="F310" s="6"/>
      <c r="G310" s="6"/>
      <c r="H310" s="6"/>
      <c r="I310" s="6"/>
      <c r="J310" s="6"/>
      <c r="K310" s="6"/>
      <c r="L310" s="6"/>
      <c r="M310" s="6"/>
      <c r="N310" s="6"/>
      <c r="O310" s="6"/>
      <c r="P310" s="6"/>
      <c r="Q310" s="6"/>
      <c r="R310" s="6"/>
      <c r="S310" s="6"/>
      <c r="T310" s="5"/>
    </row>
    <row r="311" spans="1:20">
      <c r="A311" s="6"/>
      <c r="B311" s="6"/>
      <c r="C311" s="6"/>
      <c r="D311" s="6"/>
      <c r="E311" s="6"/>
      <c r="F311" s="6"/>
      <c r="G311" s="6"/>
      <c r="H311" s="6"/>
      <c r="I311" s="6"/>
      <c r="J311" s="6"/>
      <c r="K311" s="6"/>
      <c r="L311" s="6"/>
      <c r="M311" s="6"/>
      <c r="N311" s="6"/>
      <c r="O311" s="6"/>
      <c r="P311" s="6"/>
      <c r="Q311" s="6"/>
      <c r="R311" s="6"/>
      <c r="S311" s="6"/>
      <c r="T311" s="5"/>
    </row>
    <row r="312" spans="1:20">
      <c r="A312" s="6"/>
      <c r="B312" s="6"/>
      <c r="C312" s="6"/>
      <c r="D312" s="6"/>
      <c r="E312" s="6"/>
      <c r="F312" s="6"/>
      <c r="G312" s="6"/>
      <c r="H312" s="6"/>
      <c r="I312" s="6"/>
      <c r="J312" s="6"/>
      <c r="K312" s="6"/>
      <c r="L312" s="6"/>
      <c r="M312" s="6"/>
      <c r="N312" s="6"/>
      <c r="O312" s="6"/>
      <c r="P312" s="6"/>
      <c r="Q312" s="6"/>
      <c r="R312" s="6"/>
      <c r="S312" s="6"/>
      <c r="T312" s="5"/>
    </row>
    <row r="313" spans="1:20">
      <c r="A313" s="6"/>
      <c r="B313" s="6"/>
      <c r="C313" s="6"/>
      <c r="D313" s="6"/>
      <c r="E313" s="6"/>
      <c r="F313" s="6"/>
      <c r="G313" s="6"/>
      <c r="H313" s="6"/>
      <c r="I313" s="6"/>
      <c r="J313" s="6"/>
      <c r="K313" s="6"/>
      <c r="L313" s="6"/>
      <c r="M313" s="6"/>
      <c r="N313" s="6"/>
      <c r="O313" s="6"/>
      <c r="P313" s="6"/>
      <c r="Q313" s="6"/>
      <c r="R313" s="6"/>
      <c r="S313" s="6"/>
      <c r="T313" s="5"/>
    </row>
    <row r="314" spans="1:20">
      <c r="A314" s="6"/>
      <c r="B314" s="6"/>
      <c r="C314" s="6"/>
      <c r="D314" s="6"/>
      <c r="E314" s="6"/>
      <c r="F314" s="6"/>
      <c r="G314" s="6"/>
      <c r="H314" s="6"/>
      <c r="I314" s="6"/>
      <c r="J314" s="6"/>
      <c r="K314" s="6"/>
      <c r="L314" s="6"/>
      <c r="M314" s="6"/>
      <c r="N314" s="6"/>
      <c r="O314" s="6"/>
      <c r="P314" s="6"/>
      <c r="Q314" s="6"/>
      <c r="R314" s="6"/>
      <c r="S314" s="6"/>
      <c r="T314" s="5"/>
    </row>
    <row r="315" spans="1:20">
      <c r="A315" s="6"/>
      <c r="B315" s="6"/>
      <c r="C315" s="6"/>
      <c r="D315" s="6"/>
      <c r="E315" s="6"/>
      <c r="F315" s="6"/>
      <c r="G315" s="6"/>
      <c r="H315" s="6"/>
      <c r="I315" s="6"/>
      <c r="J315" s="6"/>
      <c r="K315" s="6"/>
      <c r="L315" s="6"/>
      <c r="M315" s="6"/>
      <c r="N315" s="6"/>
      <c r="O315" s="6"/>
      <c r="P315" s="6"/>
      <c r="Q315" s="6"/>
      <c r="R315" s="6"/>
      <c r="S315" s="6"/>
      <c r="T315" s="5"/>
    </row>
    <row r="316" spans="1:20">
      <c r="A316" s="6"/>
      <c r="B316" s="6"/>
      <c r="C316" s="6"/>
      <c r="D316" s="6"/>
      <c r="E316" s="6"/>
      <c r="F316" s="6"/>
      <c r="G316" s="6"/>
      <c r="H316" s="6"/>
      <c r="I316" s="6"/>
      <c r="J316" s="6"/>
      <c r="K316" s="6"/>
      <c r="L316" s="6"/>
      <c r="M316" s="6"/>
      <c r="N316" s="6"/>
      <c r="O316" s="6"/>
      <c r="P316" s="6"/>
      <c r="Q316" s="6"/>
      <c r="R316" s="6"/>
      <c r="S316" s="6"/>
      <c r="T316" s="5"/>
    </row>
    <row r="317" spans="1:20">
      <c r="A317" s="6"/>
      <c r="B317" s="6"/>
      <c r="C317" s="6"/>
      <c r="D317" s="6"/>
      <c r="E317" s="6"/>
      <c r="F317" s="6"/>
      <c r="G317" s="6"/>
      <c r="H317" s="6"/>
      <c r="I317" s="6"/>
      <c r="J317" s="6"/>
      <c r="K317" s="6"/>
      <c r="L317" s="6"/>
      <c r="M317" s="6"/>
      <c r="N317" s="6"/>
      <c r="O317" s="6"/>
      <c r="P317" s="6"/>
      <c r="Q317" s="6"/>
      <c r="R317" s="6"/>
      <c r="S317" s="6"/>
      <c r="T317" s="5"/>
    </row>
    <row r="318" spans="1:20">
      <c r="A318" s="6"/>
      <c r="B318" s="6"/>
      <c r="C318" s="6"/>
      <c r="D318" s="6"/>
      <c r="E318" s="6"/>
      <c r="F318" s="6"/>
      <c r="G318" s="6"/>
      <c r="H318" s="6"/>
      <c r="I318" s="6"/>
      <c r="J318" s="6"/>
      <c r="K318" s="6"/>
      <c r="L318" s="6"/>
      <c r="M318" s="6"/>
      <c r="N318" s="6"/>
      <c r="O318" s="6"/>
      <c r="P318" s="6"/>
      <c r="Q318" s="6"/>
      <c r="R318" s="6"/>
      <c r="S318" s="6"/>
      <c r="T318" s="5"/>
    </row>
    <row r="319" spans="1:20">
      <c r="A319" s="6"/>
      <c r="B319" s="6"/>
      <c r="C319" s="6"/>
      <c r="D319" s="6"/>
      <c r="E319" s="6"/>
      <c r="F319" s="6"/>
      <c r="G319" s="6"/>
      <c r="H319" s="6"/>
      <c r="I319" s="6"/>
      <c r="J319" s="6"/>
      <c r="K319" s="6"/>
      <c r="L319" s="6"/>
      <c r="M319" s="6"/>
      <c r="N319" s="6"/>
      <c r="O319" s="6"/>
      <c r="P319" s="6"/>
      <c r="Q319" s="6"/>
      <c r="R319" s="6"/>
      <c r="S319" s="6"/>
      <c r="T319" s="5"/>
    </row>
    <row r="320" spans="1:20">
      <c r="A320" s="6"/>
      <c r="B320" s="6"/>
      <c r="C320" s="6"/>
      <c r="D320" s="6"/>
      <c r="E320" s="6"/>
      <c r="F320" s="6"/>
      <c r="G320" s="6"/>
      <c r="H320" s="6"/>
      <c r="I320" s="6"/>
      <c r="J320" s="6"/>
      <c r="K320" s="6"/>
      <c r="L320" s="6"/>
      <c r="M320" s="6"/>
      <c r="N320" s="6"/>
      <c r="O320" s="6"/>
      <c r="P320" s="6"/>
      <c r="Q320" s="6"/>
      <c r="R320" s="6"/>
      <c r="S320" s="6"/>
      <c r="T320" s="5"/>
    </row>
    <row r="321" spans="1:20">
      <c r="A321" s="6"/>
      <c r="B321" s="6"/>
      <c r="C321" s="6"/>
      <c r="D321" s="6"/>
      <c r="E321" s="6"/>
      <c r="F321" s="6"/>
      <c r="G321" s="6"/>
      <c r="H321" s="6"/>
      <c r="I321" s="6"/>
      <c r="J321" s="6"/>
      <c r="K321" s="6"/>
      <c r="L321" s="6"/>
      <c r="M321" s="6"/>
      <c r="N321" s="6"/>
      <c r="O321" s="6"/>
      <c r="P321" s="6"/>
      <c r="Q321" s="6"/>
      <c r="R321" s="6"/>
      <c r="S321" s="6"/>
      <c r="T321" s="5"/>
    </row>
    <row r="322" spans="1:20">
      <c r="A322" s="6"/>
      <c r="B322" s="6"/>
      <c r="C322" s="6"/>
      <c r="D322" s="6"/>
      <c r="E322" s="6"/>
      <c r="F322" s="6"/>
      <c r="G322" s="6"/>
      <c r="H322" s="6"/>
      <c r="I322" s="6"/>
      <c r="J322" s="6"/>
      <c r="K322" s="6"/>
      <c r="L322" s="6"/>
      <c r="M322" s="6"/>
      <c r="N322" s="6"/>
      <c r="O322" s="6"/>
      <c r="P322" s="6"/>
      <c r="Q322" s="6"/>
      <c r="R322" s="6"/>
      <c r="S322" s="6"/>
      <c r="T322" s="5"/>
    </row>
    <row r="323" spans="1:20">
      <c r="A323" s="6"/>
      <c r="B323" s="6"/>
      <c r="C323" s="6"/>
      <c r="D323" s="6"/>
      <c r="E323" s="6"/>
      <c r="F323" s="6"/>
      <c r="G323" s="6"/>
      <c r="H323" s="6"/>
      <c r="I323" s="6"/>
      <c r="J323" s="6"/>
      <c r="K323" s="6"/>
      <c r="L323" s="6"/>
      <c r="M323" s="6"/>
      <c r="N323" s="6"/>
      <c r="O323" s="6"/>
      <c r="P323" s="6"/>
      <c r="Q323" s="6"/>
      <c r="R323" s="6"/>
      <c r="S323" s="6"/>
      <c r="T323" s="5"/>
    </row>
    <row r="324" spans="1:20">
      <c r="A324" s="6"/>
      <c r="B324" s="6"/>
      <c r="C324" s="6"/>
      <c r="D324" s="6"/>
      <c r="E324" s="6"/>
      <c r="F324" s="6"/>
      <c r="G324" s="6"/>
      <c r="H324" s="6"/>
      <c r="I324" s="6"/>
      <c r="J324" s="6"/>
      <c r="K324" s="6"/>
      <c r="L324" s="6"/>
      <c r="M324" s="6"/>
      <c r="N324" s="6"/>
      <c r="O324" s="6"/>
      <c r="P324" s="6"/>
      <c r="Q324" s="6"/>
      <c r="R324" s="6"/>
      <c r="S324" s="6"/>
      <c r="T324" s="5"/>
    </row>
    <row r="325" spans="1:20">
      <c r="A325" s="6"/>
      <c r="B325" s="6"/>
      <c r="C325" s="6"/>
      <c r="D325" s="6"/>
      <c r="E325" s="6"/>
      <c r="F325" s="6"/>
      <c r="G325" s="6"/>
      <c r="H325" s="6"/>
      <c r="I325" s="6"/>
      <c r="J325" s="6"/>
      <c r="K325" s="6"/>
      <c r="L325" s="6"/>
      <c r="M325" s="6"/>
      <c r="N325" s="6"/>
      <c r="O325" s="6"/>
      <c r="P325" s="6"/>
      <c r="Q325" s="6"/>
      <c r="R325" s="6"/>
      <c r="S325" s="6"/>
      <c r="T325" s="5"/>
    </row>
    <row r="326" spans="1:20">
      <c r="A326" s="6"/>
      <c r="B326" s="6"/>
      <c r="C326" s="6"/>
      <c r="D326" s="6"/>
      <c r="E326" s="6"/>
      <c r="F326" s="6"/>
      <c r="G326" s="6"/>
      <c r="H326" s="6"/>
      <c r="I326" s="6"/>
      <c r="J326" s="6"/>
      <c r="K326" s="6"/>
      <c r="L326" s="6"/>
      <c r="M326" s="6"/>
      <c r="N326" s="6"/>
      <c r="O326" s="6"/>
      <c r="P326" s="6"/>
      <c r="Q326" s="6"/>
      <c r="R326" s="6"/>
      <c r="S326" s="6"/>
      <c r="T326" s="5"/>
    </row>
    <row r="327" spans="1:20">
      <c r="A327" s="6"/>
      <c r="B327" s="6"/>
      <c r="C327" s="6"/>
      <c r="D327" s="6"/>
      <c r="E327" s="6"/>
      <c r="F327" s="6"/>
      <c r="G327" s="6"/>
      <c r="H327" s="6"/>
      <c r="I327" s="6"/>
      <c r="J327" s="6"/>
      <c r="K327" s="6"/>
      <c r="L327" s="6"/>
      <c r="M327" s="6"/>
      <c r="N327" s="6"/>
      <c r="O327" s="6"/>
      <c r="P327" s="6"/>
      <c r="Q327" s="6"/>
      <c r="R327" s="6"/>
      <c r="S327" s="6"/>
      <c r="T327" s="5"/>
    </row>
    <row r="328" spans="1:20">
      <c r="A328" s="6"/>
      <c r="B328" s="6"/>
      <c r="C328" s="6"/>
      <c r="D328" s="6"/>
      <c r="E328" s="6"/>
      <c r="F328" s="6"/>
      <c r="G328" s="6"/>
      <c r="H328" s="6"/>
      <c r="I328" s="6"/>
      <c r="J328" s="6"/>
      <c r="K328" s="6"/>
      <c r="L328" s="6"/>
      <c r="M328" s="6"/>
      <c r="N328" s="6"/>
      <c r="O328" s="6"/>
      <c r="P328" s="6"/>
      <c r="Q328" s="6"/>
      <c r="R328" s="6"/>
      <c r="S328" s="6"/>
      <c r="T328" s="5"/>
    </row>
    <row r="329" spans="1:20">
      <c r="A329" s="6"/>
      <c r="B329" s="6"/>
      <c r="C329" s="6"/>
      <c r="D329" s="6"/>
      <c r="E329" s="6"/>
      <c r="F329" s="6"/>
      <c r="G329" s="6"/>
      <c r="H329" s="6"/>
      <c r="I329" s="6"/>
      <c r="J329" s="6"/>
      <c r="K329" s="6"/>
      <c r="L329" s="6"/>
      <c r="M329" s="6"/>
      <c r="N329" s="6"/>
      <c r="O329" s="6"/>
      <c r="P329" s="6"/>
      <c r="Q329" s="6"/>
      <c r="R329" s="6"/>
      <c r="S329" s="6"/>
      <c r="T329" s="5"/>
    </row>
    <row r="330" spans="1:20">
      <c r="A330" s="6"/>
      <c r="B330" s="6"/>
      <c r="C330" s="6"/>
      <c r="D330" s="6"/>
      <c r="E330" s="6"/>
      <c r="F330" s="6"/>
      <c r="G330" s="6"/>
      <c r="H330" s="6"/>
      <c r="I330" s="6"/>
      <c r="J330" s="6"/>
      <c r="K330" s="6"/>
      <c r="L330" s="6"/>
      <c r="M330" s="6"/>
      <c r="N330" s="6"/>
      <c r="O330" s="6"/>
      <c r="P330" s="6"/>
      <c r="Q330" s="6"/>
      <c r="R330" s="6"/>
      <c r="S330" s="6"/>
      <c r="T330" s="5"/>
    </row>
    <row r="331" spans="1:20">
      <c r="A331" s="6"/>
      <c r="B331" s="6"/>
      <c r="C331" s="6"/>
      <c r="D331" s="6"/>
      <c r="E331" s="6"/>
      <c r="F331" s="6"/>
      <c r="G331" s="6"/>
      <c r="H331" s="6"/>
      <c r="I331" s="6"/>
      <c r="J331" s="6"/>
      <c r="K331" s="6"/>
      <c r="L331" s="6"/>
      <c r="M331" s="6"/>
      <c r="N331" s="6"/>
      <c r="O331" s="6"/>
      <c r="P331" s="6"/>
      <c r="Q331" s="6"/>
      <c r="R331" s="6"/>
      <c r="S331" s="6"/>
      <c r="T331" s="5"/>
    </row>
    <row r="332" spans="1:20">
      <c r="A332" s="6"/>
      <c r="B332" s="6"/>
      <c r="C332" s="6"/>
      <c r="D332" s="6"/>
      <c r="E332" s="6"/>
      <c r="F332" s="6"/>
      <c r="G332" s="6"/>
      <c r="H332" s="6"/>
      <c r="I332" s="6"/>
      <c r="J332" s="6"/>
      <c r="K332" s="6"/>
      <c r="L332" s="6"/>
      <c r="M332" s="6"/>
      <c r="N332" s="6"/>
      <c r="O332" s="6"/>
      <c r="P332" s="6"/>
      <c r="Q332" s="6"/>
      <c r="R332" s="6"/>
      <c r="S332" s="6"/>
      <c r="T332" s="5"/>
    </row>
    <row r="333" spans="1:20">
      <c r="A333" s="6"/>
      <c r="B333" s="6"/>
      <c r="C333" s="6"/>
      <c r="D333" s="6"/>
      <c r="E333" s="6"/>
      <c r="F333" s="6"/>
      <c r="G333" s="6"/>
      <c r="H333" s="6"/>
      <c r="I333" s="6"/>
      <c r="J333" s="6"/>
      <c r="K333" s="6"/>
      <c r="L333" s="6"/>
      <c r="M333" s="6"/>
      <c r="N333" s="6"/>
      <c r="O333" s="6"/>
      <c r="P333" s="6"/>
      <c r="Q333" s="6"/>
      <c r="R333" s="6"/>
      <c r="S333" s="6"/>
      <c r="T333" s="5"/>
    </row>
    <row r="334" spans="1:20">
      <c r="A334" s="6"/>
      <c r="B334" s="6"/>
      <c r="C334" s="6"/>
      <c r="D334" s="6"/>
      <c r="E334" s="6"/>
      <c r="F334" s="6"/>
      <c r="G334" s="6"/>
      <c r="H334" s="6"/>
      <c r="I334" s="6"/>
      <c r="J334" s="6"/>
      <c r="K334" s="6"/>
      <c r="L334" s="6"/>
      <c r="M334" s="6"/>
      <c r="N334" s="6"/>
      <c r="O334" s="6"/>
      <c r="P334" s="6"/>
      <c r="Q334" s="6"/>
      <c r="R334" s="6"/>
      <c r="S334" s="6"/>
      <c r="T334" s="5"/>
    </row>
    <row r="335" spans="1:20">
      <c r="A335" s="6"/>
      <c r="B335" s="6"/>
      <c r="C335" s="6"/>
      <c r="D335" s="6"/>
      <c r="E335" s="6"/>
      <c r="F335" s="6"/>
      <c r="G335" s="6"/>
      <c r="H335" s="6"/>
      <c r="I335" s="6"/>
      <c r="J335" s="6"/>
      <c r="K335" s="6"/>
      <c r="L335" s="6"/>
      <c r="M335" s="6"/>
      <c r="N335" s="6"/>
      <c r="O335" s="6"/>
      <c r="P335" s="6"/>
      <c r="Q335" s="6"/>
      <c r="R335" s="6"/>
      <c r="S335" s="6"/>
      <c r="T335" s="5"/>
    </row>
    <row r="336" spans="1:20">
      <c r="A336" s="6"/>
      <c r="B336" s="6"/>
      <c r="C336" s="6"/>
      <c r="D336" s="6"/>
      <c r="E336" s="6"/>
      <c r="F336" s="6"/>
      <c r="G336" s="6"/>
      <c r="H336" s="6"/>
      <c r="I336" s="6"/>
      <c r="J336" s="6"/>
      <c r="K336" s="6"/>
      <c r="L336" s="6"/>
      <c r="M336" s="6"/>
      <c r="N336" s="6"/>
      <c r="O336" s="6"/>
      <c r="P336" s="6"/>
      <c r="Q336" s="6"/>
      <c r="R336" s="6"/>
      <c r="S336" s="6"/>
      <c r="T336" s="5"/>
    </row>
    <row r="337" spans="1:20">
      <c r="A337" s="6"/>
      <c r="B337" s="6"/>
      <c r="C337" s="6"/>
      <c r="D337" s="6"/>
      <c r="E337" s="6"/>
      <c r="F337" s="6"/>
      <c r="G337" s="6"/>
      <c r="H337" s="6"/>
      <c r="I337" s="6"/>
      <c r="J337" s="6"/>
      <c r="K337" s="6"/>
      <c r="L337" s="6"/>
      <c r="M337" s="6"/>
      <c r="N337" s="6"/>
      <c r="O337" s="6"/>
      <c r="P337" s="6"/>
      <c r="Q337" s="6"/>
      <c r="R337" s="6"/>
      <c r="S337" s="6"/>
      <c r="T337" s="5"/>
    </row>
    <row r="338" spans="1:20">
      <c r="A338" s="6"/>
      <c r="B338" s="6"/>
      <c r="C338" s="6"/>
      <c r="D338" s="6"/>
      <c r="E338" s="6"/>
      <c r="F338" s="6"/>
      <c r="G338" s="6"/>
      <c r="H338" s="6"/>
      <c r="I338" s="6"/>
      <c r="J338" s="6"/>
      <c r="K338" s="6"/>
      <c r="L338" s="6"/>
      <c r="M338" s="6"/>
      <c r="N338" s="6"/>
      <c r="O338" s="6"/>
      <c r="P338" s="6"/>
      <c r="Q338" s="6"/>
      <c r="R338" s="6"/>
      <c r="S338" s="6"/>
      <c r="T338" s="5"/>
    </row>
    <row r="339" spans="1:20">
      <c r="A339" s="6"/>
      <c r="B339" s="6"/>
      <c r="C339" s="6"/>
      <c r="D339" s="6"/>
      <c r="E339" s="6"/>
      <c r="F339" s="6"/>
      <c r="G339" s="6"/>
      <c r="H339" s="6"/>
      <c r="I339" s="6"/>
      <c r="J339" s="6"/>
      <c r="K339" s="6"/>
      <c r="L339" s="6"/>
      <c r="M339" s="6"/>
      <c r="N339" s="6"/>
      <c r="O339" s="6"/>
      <c r="P339" s="6"/>
      <c r="Q339" s="6"/>
      <c r="R339" s="6"/>
      <c r="S339" s="6"/>
      <c r="T339" s="5"/>
    </row>
    <row r="340" spans="1:20">
      <c r="A340" s="6"/>
      <c r="B340" s="6"/>
      <c r="C340" s="6"/>
      <c r="D340" s="6"/>
      <c r="E340" s="6"/>
      <c r="F340" s="6"/>
      <c r="G340" s="6"/>
      <c r="H340" s="6"/>
      <c r="I340" s="6"/>
      <c r="J340" s="6"/>
      <c r="K340" s="6"/>
      <c r="L340" s="6"/>
      <c r="M340" s="6"/>
      <c r="N340" s="6"/>
      <c r="O340" s="6"/>
      <c r="P340" s="6"/>
      <c r="Q340" s="6"/>
      <c r="R340" s="6"/>
      <c r="S340" s="6"/>
      <c r="T340" s="5"/>
    </row>
    <row r="341" spans="1:20">
      <c r="A341" s="6"/>
      <c r="B341" s="6"/>
      <c r="C341" s="6"/>
      <c r="D341" s="6"/>
      <c r="E341" s="6"/>
      <c r="F341" s="6"/>
      <c r="G341" s="6"/>
      <c r="H341" s="6"/>
      <c r="I341" s="6"/>
      <c r="J341" s="6"/>
      <c r="K341" s="6"/>
      <c r="L341" s="6"/>
      <c r="M341" s="6"/>
      <c r="N341" s="6"/>
      <c r="O341" s="6"/>
      <c r="P341" s="6"/>
      <c r="Q341" s="6"/>
      <c r="R341" s="6"/>
      <c r="S341" s="6"/>
      <c r="T341" s="5"/>
    </row>
    <row r="342" spans="1:20">
      <c r="A342" s="6"/>
      <c r="B342" s="6"/>
      <c r="C342" s="6"/>
      <c r="D342" s="6"/>
      <c r="E342" s="6"/>
      <c r="F342" s="6"/>
      <c r="G342" s="6"/>
      <c r="H342" s="6"/>
      <c r="I342" s="6"/>
      <c r="J342" s="6"/>
      <c r="K342" s="6"/>
      <c r="L342" s="6"/>
      <c r="M342" s="6"/>
      <c r="N342" s="6"/>
      <c r="O342" s="6"/>
      <c r="P342" s="6"/>
      <c r="Q342" s="6"/>
      <c r="R342" s="6"/>
      <c r="S342" s="6"/>
      <c r="T342" s="5"/>
    </row>
    <row r="343" spans="1:20">
      <c r="A343" s="6"/>
      <c r="B343" s="6"/>
      <c r="C343" s="6"/>
      <c r="D343" s="6"/>
      <c r="E343" s="6"/>
      <c r="F343" s="6"/>
      <c r="G343" s="6"/>
      <c r="H343" s="6"/>
      <c r="I343" s="6"/>
      <c r="J343" s="6"/>
      <c r="K343" s="6"/>
      <c r="L343" s="6"/>
      <c r="M343" s="6"/>
      <c r="N343" s="6"/>
      <c r="O343" s="6"/>
      <c r="P343" s="6"/>
      <c r="Q343" s="6"/>
      <c r="R343" s="6"/>
      <c r="S343" s="6"/>
      <c r="T343" s="5"/>
    </row>
    <row r="344" spans="1:20">
      <c r="A344" s="6"/>
      <c r="B344" s="6"/>
      <c r="C344" s="6"/>
      <c r="D344" s="6"/>
      <c r="E344" s="6"/>
      <c r="F344" s="6"/>
      <c r="G344" s="6"/>
      <c r="H344" s="6"/>
      <c r="I344" s="6"/>
      <c r="J344" s="6"/>
      <c r="K344" s="6"/>
      <c r="L344" s="6"/>
      <c r="M344" s="6"/>
      <c r="N344" s="6"/>
      <c r="O344" s="6"/>
      <c r="P344" s="6"/>
      <c r="Q344" s="6"/>
      <c r="R344" s="6"/>
      <c r="S344" s="6"/>
      <c r="T344" s="5"/>
    </row>
    <row r="345" spans="1:20">
      <c r="A345" s="6"/>
      <c r="B345" s="6"/>
      <c r="C345" s="6"/>
      <c r="D345" s="6"/>
      <c r="E345" s="6"/>
      <c r="F345" s="6"/>
      <c r="G345" s="6"/>
      <c r="H345" s="6"/>
      <c r="I345" s="6"/>
      <c r="J345" s="6"/>
      <c r="K345" s="6"/>
      <c r="L345" s="6"/>
      <c r="M345" s="6"/>
      <c r="N345" s="6"/>
      <c r="O345" s="6"/>
      <c r="P345" s="6"/>
      <c r="Q345" s="6"/>
      <c r="R345" s="6"/>
      <c r="S345" s="6"/>
      <c r="T345" s="5"/>
    </row>
    <row r="346" spans="1:20">
      <c r="A346" s="6"/>
      <c r="B346" s="6"/>
      <c r="C346" s="6"/>
      <c r="D346" s="6"/>
      <c r="E346" s="6"/>
      <c r="F346" s="6"/>
      <c r="G346" s="6"/>
      <c r="H346" s="6"/>
      <c r="I346" s="6"/>
      <c r="J346" s="6"/>
      <c r="K346" s="6"/>
      <c r="L346" s="6"/>
      <c r="M346" s="6"/>
      <c r="N346" s="6"/>
      <c r="O346" s="6"/>
      <c r="P346" s="6"/>
      <c r="Q346" s="6"/>
      <c r="R346" s="6"/>
      <c r="S346" s="6"/>
      <c r="T346" s="5"/>
    </row>
    <row r="347" spans="1:20">
      <c r="A347" s="6"/>
      <c r="B347" s="6"/>
      <c r="C347" s="6"/>
      <c r="D347" s="6"/>
      <c r="E347" s="6"/>
      <c r="F347" s="6"/>
      <c r="G347" s="6"/>
      <c r="H347" s="6"/>
      <c r="I347" s="6"/>
      <c r="J347" s="6"/>
      <c r="K347" s="6"/>
      <c r="L347" s="6"/>
      <c r="M347" s="6"/>
      <c r="N347" s="6"/>
      <c r="O347" s="6"/>
      <c r="P347" s="6"/>
      <c r="Q347" s="6"/>
      <c r="R347" s="6"/>
      <c r="S347" s="6"/>
      <c r="T347" s="5"/>
    </row>
    <row r="348" spans="1:20">
      <c r="A348" s="6"/>
      <c r="B348" s="6"/>
      <c r="C348" s="6"/>
      <c r="D348" s="6"/>
      <c r="E348" s="6"/>
      <c r="F348" s="6"/>
      <c r="G348" s="6"/>
      <c r="H348" s="6"/>
      <c r="I348" s="6"/>
      <c r="J348" s="6"/>
      <c r="K348" s="6"/>
      <c r="L348" s="6"/>
      <c r="M348" s="6"/>
      <c r="N348" s="6"/>
      <c r="O348" s="6"/>
      <c r="P348" s="6"/>
      <c r="Q348" s="6"/>
      <c r="R348" s="6"/>
      <c r="S348" s="6"/>
      <c r="T348" s="5"/>
    </row>
    <row r="349" spans="1:20">
      <c r="A349" s="6"/>
      <c r="B349" s="6"/>
      <c r="C349" s="6"/>
      <c r="D349" s="6"/>
      <c r="E349" s="6"/>
      <c r="F349" s="6"/>
      <c r="G349" s="6"/>
      <c r="H349" s="6"/>
      <c r="I349" s="6"/>
      <c r="J349" s="6"/>
      <c r="K349" s="6"/>
      <c r="L349" s="6"/>
      <c r="M349" s="6"/>
      <c r="N349" s="6"/>
      <c r="O349" s="6"/>
      <c r="P349" s="6"/>
      <c r="Q349" s="6"/>
      <c r="R349" s="6"/>
      <c r="S349" s="6"/>
      <c r="T349" s="5"/>
    </row>
    <row r="350" spans="1:20">
      <c r="A350" s="6"/>
      <c r="B350" s="6"/>
      <c r="C350" s="6"/>
      <c r="D350" s="6"/>
      <c r="E350" s="6"/>
      <c r="F350" s="6"/>
      <c r="G350" s="6"/>
      <c r="H350" s="6"/>
      <c r="I350" s="6"/>
      <c r="J350" s="6"/>
      <c r="K350" s="6"/>
      <c r="L350" s="6"/>
      <c r="M350" s="6"/>
      <c r="N350" s="6"/>
      <c r="O350" s="6"/>
      <c r="P350" s="6"/>
      <c r="Q350" s="6"/>
      <c r="R350" s="6"/>
      <c r="S350" s="6"/>
      <c r="T350" s="5"/>
    </row>
    <row r="351" spans="1:20">
      <c r="A351" s="6"/>
      <c r="B351" s="6"/>
      <c r="C351" s="6"/>
      <c r="D351" s="6"/>
      <c r="E351" s="6"/>
      <c r="F351" s="6"/>
      <c r="G351" s="6"/>
      <c r="H351" s="6"/>
      <c r="I351" s="6"/>
      <c r="J351" s="6"/>
      <c r="K351" s="6"/>
      <c r="L351" s="6"/>
      <c r="M351" s="6"/>
      <c r="N351" s="6"/>
      <c r="O351" s="6"/>
      <c r="P351" s="6"/>
      <c r="Q351" s="6"/>
      <c r="R351" s="6"/>
      <c r="S351" s="6"/>
      <c r="T351" s="5"/>
    </row>
    <row r="352" spans="1:20">
      <c r="A352" s="6"/>
      <c r="B352" s="6"/>
      <c r="C352" s="6"/>
      <c r="D352" s="6"/>
      <c r="E352" s="6"/>
      <c r="F352" s="6"/>
      <c r="G352" s="6"/>
      <c r="H352" s="6"/>
      <c r="I352" s="6"/>
      <c r="J352" s="6"/>
      <c r="K352" s="6"/>
      <c r="L352" s="6"/>
      <c r="M352" s="6"/>
      <c r="N352" s="6"/>
      <c r="O352" s="6"/>
      <c r="P352" s="6"/>
      <c r="Q352" s="6"/>
      <c r="R352" s="6"/>
      <c r="S352" s="6"/>
      <c r="T352" s="5"/>
    </row>
    <row r="353" spans="1:20">
      <c r="A353" s="6"/>
      <c r="B353" s="6"/>
      <c r="C353" s="6"/>
      <c r="D353" s="6"/>
      <c r="E353" s="6"/>
      <c r="F353" s="6"/>
      <c r="G353" s="6"/>
      <c r="H353" s="6"/>
      <c r="I353" s="6"/>
      <c r="J353" s="6"/>
      <c r="K353" s="6"/>
      <c r="L353" s="6"/>
      <c r="M353" s="6"/>
      <c r="N353" s="6"/>
      <c r="O353" s="6"/>
      <c r="P353" s="6"/>
      <c r="Q353" s="6"/>
      <c r="R353" s="6"/>
      <c r="S353" s="6"/>
      <c r="T353" s="5"/>
    </row>
    <row r="354" spans="1:20">
      <c r="A354" s="6"/>
      <c r="B354" s="6"/>
      <c r="C354" s="6"/>
      <c r="D354" s="6"/>
      <c r="E354" s="6"/>
      <c r="F354" s="6"/>
      <c r="G354" s="6"/>
      <c r="H354" s="6"/>
      <c r="I354" s="6"/>
      <c r="J354" s="6"/>
      <c r="K354" s="6"/>
      <c r="L354" s="6"/>
      <c r="M354" s="6"/>
      <c r="N354" s="6"/>
      <c r="O354" s="6"/>
      <c r="P354" s="6"/>
      <c r="Q354" s="6"/>
      <c r="R354" s="6"/>
      <c r="S354" s="6"/>
      <c r="T354" s="5"/>
    </row>
    <row r="355" spans="1:20">
      <c r="A355" s="6"/>
      <c r="B355" s="6"/>
      <c r="C355" s="6"/>
      <c r="D355" s="6"/>
      <c r="E355" s="6"/>
      <c r="F355" s="6"/>
      <c r="G355" s="6"/>
      <c r="H355" s="6"/>
      <c r="I355" s="6"/>
      <c r="J355" s="6"/>
      <c r="K355" s="6"/>
      <c r="L355" s="6"/>
      <c r="M355" s="6"/>
      <c r="N355" s="6"/>
      <c r="O355" s="6"/>
      <c r="P355" s="6"/>
      <c r="Q355" s="6"/>
      <c r="R355" s="6"/>
      <c r="S355" s="6"/>
      <c r="T355" s="5"/>
    </row>
    <row r="356" spans="1:20">
      <c r="A356" s="6"/>
      <c r="B356" s="6"/>
      <c r="C356" s="6"/>
      <c r="D356" s="6"/>
      <c r="E356" s="6"/>
      <c r="F356" s="6"/>
      <c r="G356" s="6"/>
      <c r="H356" s="6"/>
      <c r="I356" s="6"/>
      <c r="J356" s="6"/>
      <c r="K356" s="6"/>
      <c r="L356" s="6"/>
      <c r="M356" s="6"/>
      <c r="N356" s="6"/>
      <c r="O356" s="6"/>
      <c r="P356" s="6"/>
      <c r="Q356" s="6"/>
      <c r="R356" s="6"/>
      <c r="S356" s="6"/>
      <c r="T356" s="5"/>
    </row>
    <row r="357" spans="1:20">
      <c r="A357" s="6"/>
      <c r="B357" s="6"/>
      <c r="C357" s="6"/>
      <c r="D357" s="6"/>
      <c r="E357" s="6"/>
      <c r="F357" s="6"/>
      <c r="G357" s="6"/>
      <c r="H357" s="6"/>
      <c r="I357" s="6"/>
      <c r="J357" s="6"/>
      <c r="K357" s="6"/>
      <c r="L357" s="6"/>
      <c r="M357" s="6"/>
      <c r="N357" s="6"/>
      <c r="O357" s="6"/>
      <c r="P357" s="6"/>
      <c r="Q357" s="6"/>
      <c r="R357" s="6"/>
      <c r="S357" s="6"/>
      <c r="T357" s="5"/>
    </row>
    <row r="358" spans="1:20">
      <c r="A358" s="6"/>
      <c r="B358" s="6"/>
      <c r="C358" s="6"/>
      <c r="D358" s="6"/>
      <c r="E358" s="6"/>
      <c r="F358" s="6"/>
      <c r="G358" s="6"/>
      <c r="H358" s="6"/>
      <c r="I358" s="6"/>
      <c r="J358" s="6"/>
      <c r="K358" s="6"/>
      <c r="L358" s="6"/>
      <c r="M358" s="6"/>
      <c r="N358" s="6"/>
      <c r="O358" s="6"/>
      <c r="P358" s="6"/>
      <c r="Q358" s="6"/>
      <c r="R358" s="6"/>
      <c r="S358" s="6"/>
      <c r="T358" s="5"/>
    </row>
    <row r="359" spans="1:20">
      <c r="A359" s="6"/>
      <c r="B359" s="6"/>
      <c r="C359" s="6"/>
      <c r="D359" s="6"/>
      <c r="E359" s="6"/>
      <c r="F359" s="6"/>
      <c r="G359" s="6"/>
      <c r="H359" s="6"/>
      <c r="I359" s="6"/>
      <c r="J359" s="6"/>
      <c r="K359" s="6"/>
      <c r="L359" s="6"/>
      <c r="M359" s="6"/>
      <c r="N359" s="6"/>
      <c r="O359" s="6"/>
      <c r="P359" s="6"/>
      <c r="Q359" s="6"/>
      <c r="R359" s="6"/>
      <c r="S359" s="6"/>
      <c r="T359" s="5"/>
    </row>
    <row r="360" spans="1:20">
      <c r="A360" s="6"/>
      <c r="B360" s="6"/>
      <c r="C360" s="6"/>
      <c r="D360" s="6"/>
      <c r="E360" s="6"/>
      <c r="F360" s="6"/>
      <c r="G360" s="6"/>
      <c r="H360" s="6"/>
      <c r="I360" s="6"/>
      <c r="J360" s="6"/>
      <c r="K360" s="6"/>
      <c r="L360" s="6"/>
      <c r="M360" s="6"/>
      <c r="N360" s="6"/>
      <c r="O360" s="6"/>
      <c r="P360" s="6"/>
      <c r="Q360" s="6"/>
      <c r="R360" s="6"/>
      <c r="S360" s="6"/>
      <c r="T360" s="5"/>
    </row>
    <row r="361" spans="1:20">
      <c r="A361" s="6"/>
      <c r="B361" s="6"/>
      <c r="C361" s="6"/>
      <c r="D361" s="6"/>
      <c r="E361" s="6"/>
      <c r="F361" s="6"/>
      <c r="G361" s="6"/>
      <c r="H361" s="6"/>
      <c r="I361" s="6"/>
      <c r="J361" s="6"/>
      <c r="K361" s="6"/>
      <c r="L361" s="6"/>
      <c r="M361" s="6"/>
      <c r="N361" s="6"/>
      <c r="O361" s="6"/>
      <c r="P361" s="6"/>
      <c r="Q361" s="6"/>
      <c r="R361" s="6"/>
      <c r="S361" s="6"/>
      <c r="T361" s="5"/>
    </row>
    <row r="362" spans="1:20">
      <c r="A362" s="6"/>
      <c r="B362" s="6"/>
      <c r="C362" s="6"/>
      <c r="D362" s="6"/>
      <c r="E362" s="6"/>
      <c r="F362" s="6"/>
      <c r="G362" s="6"/>
      <c r="H362" s="6"/>
      <c r="I362" s="6"/>
      <c r="J362" s="6"/>
      <c r="K362" s="6"/>
      <c r="L362" s="6"/>
      <c r="M362" s="6"/>
      <c r="N362" s="6"/>
      <c r="O362" s="6"/>
      <c r="P362" s="6"/>
      <c r="Q362" s="6"/>
      <c r="R362" s="6"/>
      <c r="S362" s="6"/>
      <c r="T362" s="5"/>
    </row>
    <row r="363" spans="1:20">
      <c r="A363" s="6"/>
      <c r="B363" s="6"/>
      <c r="C363" s="6"/>
      <c r="D363" s="6"/>
      <c r="E363" s="6"/>
      <c r="F363" s="6"/>
      <c r="G363" s="6"/>
      <c r="H363" s="6"/>
      <c r="I363" s="6"/>
      <c r="J363" s="6"/>
      <c r="K363" s="6"/>
      <c r="L363" s="6"/>
      <c r="M363" s="6"/>
      <c r="N363" s="6"/>
      <c r="O363" s="6"/>
      <c r="P363" s="6"/>
      <c r="Q363" s="6"/>
      <c r="R363" s="6"/>
      <c r="S363" s="6"/>
      <c r="T363" s="5"/>
    </row>
    <row r="364" spans="1:20">
      <c r="A364" s="6"/>
      <c r="B364" s="6"/>
      <c r="C364" s="6"/>
      <c r="D364" s="6"/>
      <c r="E364" s="6"/>
      <c r="F364" s="6"/>
      <c r="G364" s="6"/>
      <c r="H364" s="6"/>
      <c r="I364" s="6"/>
      <c r="J364" s="6"/>
      <c r="K364" s="6"/>
      <c r="L364" s="6"/>
      <c r="M364" s="6"/>
      <c r="N364" s="6"/>
      <c r="O364" s="6"/>
      <c r="P364" s="6"/>
      <c r="Q364" s="6"/>
      <c r="R364" s="6"/>
      <c r="S364" s="6"/>
      <c r="T364" s="5"/>
    </row>
    <row r="365" spans="1:20">
      <c r="A365" s="6"/>
      <c r="B365" s="6"/>
      <c r="C365" s="6"/>
      <c r="D365" s="6"/>
      <c r="E365" s="6"/>
      <c r="F365" s="6"/>
      <c r="G365" s="6"/>
      <c r="H365" s="6"/>
      <c r="I365" s="6"/>
      <c r="J365" s="6"/>
      <c r="K365" s="6"/>
      <c r="L365" s="6"/>
      <c r="M365" s="6"/>
      <c r="N365" s="6"/>
      <c r="O365" s="6"/>
      <c r="P365" s="6"/>
      <c r="Q365" s="6"/>
      <c r="R365" s="6"/>
      <c r="S365" s="6"/>
      <c r="T365" s="5"/>
    </row>
    <row r="366" spans="1:20">
      <c r="A366" s="6"/>
      <c r="B366" s="6"/>
      <c r="C366" s="6"/>
      <c r="D366" s="6"/>
      <c r="E366" s="6"/>
      <c r="F366" s="6"/>
      <c r="G366" s="6"/>
      <c r="H366" s="6"/>
      <c r="I366" s="6"/>
      <c r="J366" s="6"/>
      <c r="K366" s="6"/>
      <c r="L366" s="6"/>
      <c r="M366" s="6"/>
      <c r="N366" s="6"/>
      <c r="O366" s="6"/>
      <c r="P366" s="6"/>
      <c r="Q366" s="6"/>
      <c r="R366" s="6"/>
      <c r="S366" s="6"/>
      <c r="T366" s="5"/>
    </row>
    <row r="367" spans="1:20">
      <c r="A367" s="6"/>
      <c r="B367" s="6"/>
      <c r="C367" s="6"/>
      <c r="D367" s="6"/>
      <c r="E367" s="6"/>
      <c r="F367" s="6"/>
      <c r="G367" s="6"/>
      <c r="H367" s="6"/>
      <c r="I367" s="6"/>
      <c r="J367" s="6"/>
      <c r="K367" s="6"/>
      <c r="L367" s="6"/>
      <c r="M367" s="6"/>
      <c r="N367" s="6"/>
      <c r="O367" s="6"/>
      <c r="P367" s="6"/>
      <c r="Q367" s="6"/>
      <c r="R367" s="6"/>
      <c r="S367" s="6"/>
      <c r="T367" s="5"/>
    </row>
    <row r="368" spans="1:20">
      <c r="A368" s="6"/>
      <c r="B368" s="6"/>
      <c r="C368" s="6"/>
      <c r="D368" s="6"/>
      <c r="E368" s="6"/>
      <c r="F368" s="6"/>
      <c r="G368" s="6"/>
      <c r="H368" s="6"/>
      <c r="I368" s="6"/>
      <c r="J368" s="6"/>
      <c r="K368" s="6"/>
      <c r="L368" s="6"/>
      <c r="M368" s="6"/>
      <c r="N368" s="6"/>
      <c r="O368" s="6"/>
      <c r="P368" s="6"/>
      <c r="Q368" s="6"/>
      <c r="R368" s="6"/>
      <c r="S368" s="6"/>
      <c r="T368" s="5"/>
    </row>
    <row r="369" spans="1:20">
      <c r="A369" s="6"/>
      <c r="B369" s="6"/>
      <c r="C369" s="6"/>
      <c r="D369" s="6"/>
      <c r="E369" s="6"/>
      <c r="F369" s="6"/>
      <c r="G369" s="6"/>
      <c r="H369" s="6"/>
      <c r="I369" s="6"/>
      <c r="J369" s="6"/>
      <c r="K369" s="6"/>
      <c r="L369" s="6"/>
      <c r="M369" s="6"/>
      <c r="N369" s="6"/>
      <c r="O369" s="6"/>
      <c r="P369" s="6"/>
      <c r="Q369" s="6"/>
      <c r="R369" s="6"/>
      <c r="S369" s="6"/>
      <c r="T369" s="5"/>
    </row>
    <row r="370" spans="1:20">
      <c r="A370" s="6"/>
      <c r="B370" s="6"/>
      <c r="C370" s="6"/>
      <c r="D370" s="6"/>
      <c r="E370" s="6"/>
      <c r="F370" s="6"/>
      <c r="G370" s="6"/>
      <c r="H370" s="6"/>
      <c r="I370" s="6"/>
      <c r="J370" s="6"/>
      <c r="K370" s="6"/>
      <c r="L370" s="6"/>
      <c r="M370" s="6"/>
      <c r="N370" s="6"/>
      <c r="O370" s="6"/>
      <c r="P370" s="6"/>
      <c r="Q370" s="6"/>
      <c r="R370" s="6"/>
      <c r="S370" s="6"/>
      <c r="T370" s="5"/>
    </row>
    <row r="371" spans="1:20">
      <c r="A371" s="6"/>
      <c r="B371" s="6"/>
      <c r="C371" s="6"/>
      <c r="D371" s="6"/>
      <c r="E371" s="6"/>
      <c r="F371" s="6"/>
      <c r="G371" s="6"/>
      <c r="H371" s="6"/>
      <c r="I371" s="6"/>
      <c r="J371" s="6"/>
      <c r="K371" s="6"/>
      <c r="L371" s="6"/>
      <c r="M371" s="6"/>
      <c r="N371" s="6"/>
      <c r="O371" s="6"/>
      <c r="P371" s="6"/>
      <c r="Q371" s="6"/>
      <c r="R371" s="6"/>
      <c r="S371" s="6"/>
      <c r="T371" s="5"/>
    </row>
    <row r="372" spans="1:20">
      <c r="A372" s="6"/>
      <c r="B372" s="6"/>
      <c r="C372" s="6"/>
      <c r="D372" s="6"/>
      <c r="E372" s="6"/>
      <c r="F372" s="6"/>
      <c r="G372" s="6"/>
      <c r="H372" s="6"/>
      <c r="I372" s="6"/>
      <c r="J372" s="6"/>
      <c r="K372" s="6"/>
      <c r="L372" s="6"/>
      <c r="M372" s="6"/>
      <c r="N372" s="6"/>
      <c r="O372" s="6"/>
      <c r="P372" s="6"/>
      <c r="Q372" s="6"/>
      <c r="R372" s="6"/>
      <c r="S372" s="6"/>
      <c r="T372" s="5"/>
    </row>
    <row r="373" spans="1:20">
      <c r="A373" s="6"/>
      <c r="B373" s="6"/>
      <c r="C373" s="6"/>
      <c r="D373" s="6"/>
      <c r="E373" s="6"/>
      <c r="F373" s="6"/>
      <c r="G373" s="6"/>
      <c r="H373" s="6"/>
      <c r="I373" s="6"/>
      <c r="J373" s="6"/>
      <c r="K373" s="6"/>
      <c r="L373" s="6"/>
      <c r="M373" s="6"/>
      <c r="N373" s="6"/>
      <c r="O373" s="6"/>
      <c r="P373" s="6"/>
      <c r="Q373" s="6"/>
      <c r="R373" s="6"/>
      <c r="S373" s="6"/>
      <c r="T373" s="5"/>
    </row>
    <row r="374" spans="1:20">
      <c r="A374" s="6"/>
      <c r="B374" s="6"/>
      <c r="C374" s="6"/>
      <c r="D374" s="6"/>
      <c r="E374" s="6"/>
      <c r="F374" s="6"/>
      <c r="G374" s="6"/>
      <c r="H374" s="6"/>
      <c r="I374" s="6"/>
      <c r="J374" s="6"/>
      <c r="K374" s="6"/>
      <c r="L374" s="6"/>
      <c r="M374" s="6"/>
      <c r="N374" s="6"/>
      <c r="O374" s="6"/>
      <c r="P374" s="6"/>
      <c r="Q374" s="6"/>
      <c r="R374" s="6"/>
      <c r="S374" s="6"/>
      <c r="T374" s="5"/>
    </row>
    <row r="375" spans="1:20">
      <c r="A375" s="6"/>
      <c r="B375" s="6"/>
      <c r="C375" s="6"/>
      <c r="D375" s="6"/>
      <c r="E375" s="6"/>
      <c r="F375" s="6"/>
      <c r="G375" s="6"/>
      <c r="H375" s="6"/>
      <c r="I375" s="6"/>
      <c r="J375" s="6"/>
      <c r="K375" s="6"/>
      <c r="L375" s="6"/>
      <c r="M375" s="6"/>
      <c r="N375" s="6"/>
      <c r="O375" s="6"/>
      <c r="P375" s="6"/>
      <c r="Q375" s="6"/>
      <c r="R375" s="6"/>
      <c r="S375" s="6"/>
      <c r="T375" s="5"/>
    </row>
    <row r="376" spans="1:20">
      <c r="A376" s="6"/>
      <c r="B376" s="6"/>
      <c r="C376" s="6"/>
      <c r="D376" s="6"/>
      <c r="E376" s="6"/>
      <c r="F376" s="6"/>
      <c r="G376" s="6"/>
      <c r="H376" s="6"/>
      <c r="I376" s="6"/>
      <c r="J376" s="6"/>
      <c r="K376" s="6"/>
      <c r="L376" s="6"/>
      <c r="M376" s="6"/>
      <c r="N376" s="6"/>
      <c r="O376" s="6"/>
      <c r="P376" s="6"/>
      <c r="Q376" s="6"/>
      <c r="R376" s="6"/>
      <c r="S376" s="6"/>
      <c r="T376" s="5"/>
    </row>
    <row r="377" spans="1:20">
      <c r="A377" s="6"/>
      <c r="B377" s="6"/>
      <c r="C377" s="6"/>
      <c r="D377" s="6"/>
      <c r="E377" s="6"/>
      <c r="F377" s="6"/>
      <c r="G377" s="6"/>
      <c r="H377" s="6"/>
      <c r="I377" s="6"/>
      <c r="J377" s="6"/>
      <c r="K377" s="6"/>
      <c r="L377" s="6"/>
      <c r="M377" s="6"/>
      <c r="N377" s="6"/>
      <c r="O377" s="6"/>
      <c r="P377" s="6"/>
      <c r="Q377" s="6"/>
      <c r="R377" s="6"/>
      <c r="S377" s="6"/>
      <c r="T377" s="5"/>
    </row>
    <row r="378" spans="1:20">
      <c r="A378" s="6"/>
      <c r="B378" s="6"/>
      <c r="C378" s="6"/>
      <c r="D378" s="6"/>
      <c r="E378" s="6"/>
      <c r="F378" s="6"/>
      <c r="G378" s="6"/>
      <c r="H378" s="6"/>
      <c r="I378" s="6"/>
      <c r="J378" s="6"/>
      <c r="K378" s="6"/>
      <c r="L378" s="6"/>
      <c r="M378" s="6"/>
      <c r="N378" s="6"/>
      <c r="O378" s="6"/>
      <c r="P378" s="6"/>
      <c r="Q378" s="6"/>
      <c r="R378" s="6"/>
      <c r="S378" s="6"/>
      <c r="T378" s="5"/>
    </row>
    <row r="379" spans="1:20">
      <c r="A379" s="6"/>
      <c r="B379" s="6"/>
      <c r="C379" s="6"/>
      <c r="D379" s="6"/>
      <c r="E379" s="6"/>
      <c r="F379" s="6"/>
      <c r="G379" s="6"/>
      <c r="H379" s="6"/>
      <c r="I379" s="6"/>
      <c r="J379" s="6"/>
      <c r="K379" s="6"/>
      <c r="L379" s="6"/>
      <c r="M379" s="6"/>
      <c r="N379" s="6"/>
      <c r="O379" s="6"/>
      <c r="P379" s="6"/>
      <c r="Q379" s="6"/>
      <c r="R379" s="6"/>
      <c r="S379" s="6"/>
      <c r="T379" s="5"/>
    </row>
    <row r="380" spans="1:20">
      <c r="A380" s="6"/>
      <c r="B380" s="6"/>
      <c r="C380" s="6"/>
      <c r="D380" s="6"/>
      <c r="E380" s="6"/>
      <c r="F380" s="6"/>
      <c r="G380" s="6"/>
      <c r="H380" s="6"/>
      <c r="I380" s="6"/>
      <c r="J380" s="6"/>
      <c r="K380" s="6"/>
      <c r="L380" s="6"/>
      <c r="M380" s="6"/>
      <c r="N380" s="6"/>
      <c r="O380" s="6"/>
      <c r="P380" s="6"/>
      <c r="Q380" s="6"/>
      <c r="R380" s="6"/>
      <c r="S380" s="6"/>
      <c r="T380" s="5"/>
    </row>
    <row r="381" spans="1:20">
      <c r="A381" s="6"/>
      <c r="B381" s="6"/>
      <c r="C381" s="6"/>
      <c r="D381" s="6"/>
      <c r="E381" s="6"/>
      <c r="F381" s="6"/>
      <c r="G381" s="6"/>
      <c r="H381" s="6"/>
      <c r="I381" s="6"/>
      <c r="J381" s="6"/>
      <c r="K381" s="6"/>
      <c r="L381" s="6"/>
      <c r="M381" s="6"/>
      <c r="N381" s="6"/>
      <c r="O381" s="6"/>
      <c r="P381" s="6"/>
      <c r="Q381" s="6"/>
      <c r="R381" s="6"/>
      <c r="S381" s="6"/>
      <c r="T381" s="5"/>
    </row>
    <row r="382" spans="1:20">
      <c r="A382" s="6"/>
      <c r="B382" s="6"/>
      <c r="C382" s="6"/>
      <c r="D382" s="6"/>
      <c r="E382" s="6"/>
      <c r="F382" s="6"/>
      <c r="G382" s="6"/>
      <c r="H382" s="6"/>
      <c r="I382" s="6"/>
      <c r="J382" s="6"/>
      <c r="K382" s="6"/>
      <c r="L382" s="6"/>
      <c r="M382" s="6"/>
      <c r="N382" s="6"/>
      <c r="O382" s="6"/>
      <c r="P382" s="6"/>
      <c r="Q382" s="6"/>
      <c r="R382" s="6"/>
      <c r="S382" s="6"/>
      <c r="T382" s="5"/>
    </row>
    <row r="383" spans="1:20">
      <c r="A383" s="6"/>
      <c r="B383" s="6"/>
      <c r="C383" s="6"/>
      <c r="D383" s="6"/>
      <c r="E383" s="6"/>
      <c r="F383" s="6"/>
      <c r="G383" s="6"/>
      <c r="H383" s="6"/>
      <c r="I383" s="6"/>
      <c r="J383" s="6"/>
      <c r="K383" s="6"/>
      <c r="L383" s="6"/>
      <c r="M383" s="6"/>
      <c r="N383" s="6"/>
      <c r="O383" s="6"/>
      <c r="P383" s="6"/>
      <c r="Q383" s="6"/>
      <c r="R383" s="6"/>
      <c r="S383" s="6"/>
      <c r="T383" s="5"/>
    </row>
    <row r="384" spans="1:20">
      <c r="A384" s="6"/>
      <c r="B384" s="6"/>
      <c r="C384" s="6"/>
      <c r="D384" s="6"/>
      <c r="E384" s="6"/>
      <c r="F384" s="6"/>
      <c r="G384" s="6"/>
      <c r="H384" s="6"/>
      <c r="I384" s="6"/>
      <c r="J384" s="6"/>
      <c r="K384" s="6"/>
      <c r="L384" s="6"/>
      <c r="M384" s="6"/>
      <c r="N384" s="6"/>
      <c r="O384" s="6"/>
      <c r="P384" s="6"/>
      <c r="Q384" s="6"/>
      <c r="R384" s="6"/>
      <c r="S384" s="6"/>
      <c r="T384" s="5"/>
    </row>
    <row r="385" spans="1:20">
      <c r="A385" s="6"/>
      <c r="B385" s="6"/>
      <c r="C385" s="6"/>
      <c r="D385" s="6"/>
      <c r="E385" s="6"/>
      <c r="F385" s="6"/>
      <c r="G385" s="6"/>
      <c r="H385" s="6"/>
      <c r="I385" s="6"/>
      <c r="J385" s="6"/>
      <c r="K385" s="6"/>
      <c r="L385" s="6"/>
      <c r="M385" s="6"/>
      <c r="N385" s="6"/>
      <c r="O385" s="6"/>
      <c r="P385" s="6"/>
      <c r="Q385" s="6"/>
      <c r="R385" s="6"/>
      <c r="S385" s="6"/>
      <c r="T385" s="5"/>
    </row>
    <row r="386" spans="1:20">
      <c r="A386" s="6"/>
      <c r="B386" s="6"/>
      <c r="C386" s="6"/>
      <c r="D386" s="6"/>
      <c r="E386" s="6"/>
      <c r="F386" s="6"/>
      <c r="G386" s="6"/>
      <c r="H386" s="6"/>
      <c r="I386" s="6"/>
      <c r="J386" s="6"/>
      <c r="K386" s="6"/>
      <c r="L386" s="6"/>
      <c r="M386" s="6"/>
      <c r="N386" s="6"/>
      <c r="O386" s="6"/>
      <c r="P386" s="6"/>
      <c r="Q386" s="6"/>
      <c r="R386" s="6"/>
      <c r="S386" s="6"/>
      <c r="T386" s="5"/>
    </row>
    <row r="387" spans="1:20">
      <c r="A387" s="6"/>
      <c r="B387" s="6"/>
      <c r="C387" s="6"/>
      <c r="D387" s="6"/>
      <c r="E387" s="6"/>
      <c r="F387" s="6"/>
      <c r="G387" s="6"/>
      <c r="H387" s="6"/>
      <c r="I387" s="6"/>
      <c r="J387" s="6"/>
      <c r="K387" s="6"/>
      <c r="L387" s="6"/>
      <c r="M387" s="6"/>
      <c r="N387" s="6"/>
      <c r="O387" s="6"/>
      <c r="P387" s="6"/>
      <c r="Q387" s="6"/>
      <c r="R387" s="6"/>
      <c r="S387" s="6"/>
      <c r="T387" s="5"/>
    </row>
    <row r="388" spans="1:20">
      <c r="A388" s="6"/>
      <c r="B388" s="6"/>
      <c r="C388" s="6"/>
      <c r="D388" s="6"/>
      <c r="E388" s="6"/>
      <c r="F388" s="6"/>
      <c r="G388" s="6"/>
      <c r="H388" s="6"/>
      <c r="I388" s="6"/>
      <c r="J388" s="6"/>
      <c r="K388" s="6"/>
      <c r="L388" s="6"/>
      <c r="M388" s="6"/>
      <c r="N388" s="6"/>
      <c r="O388" s="6"/>
      <c r="P388" s="6"/>
      <c r="Q388" s="6"/>
      <c r="R388" s="6"/>
      <c r="S388" s="6"/>
      <c r="T388" s="5"/>
    </row>
    <row r="389" spans="1:20">
      <c r="A389" s="6"/>
      <c r="B389" s="6"/>
      <c r="C389" s="6"/>
      <c r="D389" s="6"/>
      <c r="E389" s="6"/>
      <c r="F389" s="6"/>
      <c r="G389" s="6"/>
      <c r="H389" s="6"/>
      <c r="I389" s="6"/>
      <c r="J389" s="6"/>
      <c r="K389" s="6"/>
      <c r="L389" s="6"/>
      <c r="M389" s="6"/>
      <c r="N389" s="6"/>
      <c r="O389" s="6"/>
      <c r="P389" s="6"/>
      <c r="Q389" s="6"/>
      <c r="R389" s="6"/>
      <c r="S389" s="6"/>
      <c r="T389" s="5"/>
    </row>
    <row r="390" spans="1:20">
      <c r="A390" s="6"/>
      <c r="B390" s="6"/>
      <c r="C390" s="6"/>
      <c r="D390" s="6"/>
      <c r="E390" s="6"/>
      <c r="F390" s="6"/>
      <c r="G390" s="6"/>
      <c r="H390" s="6"/>
      <c r="I390" s="6"/>
      <c r="J390" s="6"/>
      <c r="K390" s="6"/>
      <c r="L390" s="6"/>
      <c r="M390" s="6"/>
      <c r="N390" s="6"/>
      <c r="O390" s="6"/>
      <c r="P390" s="6"/>
      <c r="Q390" s="6"/>
      <c r="R390" s="6"/>
      <c r="S390" s="6"/>
      <c r="T390" s="5"/>
    </row>
    <row r="391" spans="1:20">
      <c r="A391" s="6"/>
      <c r="B391" s="6"/>
      <c r="C391" s="6"/>
      <c r="D391" s="6"/>
      <c r="E391" s="6"/>
      <c r="F391" s="6"/>
      <c r="G391" s="6"/>
      <c r="H391" s="6"/>
      <c r="I391" s="6"/>
      <c r="J391" s="6"/>
      <c r="K391" s="6"/>
      <c r="L391" s="6"/>
      <c r="M391" s="6"/>
      <c r="N391" s="6"/>
      <c r="O391" s="6"/>
      <c r="P391" s="6"/>
      <c r="Q391" s="6"/>
      <c r="R391" s="6"/>
      <c r="S391" s="6"/>
      <c r="T391" s="5"/>
    </row>
    <row r="392" spans="1:20">
      <c r="A392" s="6"/>
      <c r="B392" s="6"/>
      <c r="C392" s="6"/>
      <c r="D392" s="6"/>
      <c r="E392" s="6"/>
      <c r="F392" s="6"/>
      <c r="G392" s="6"/>
      <c r="H392" s="6"/>
      <c r="I392" s="6"/>
      <c r="J392" s="6"/>
      <c r="K392" s="6"/>
      <c r="L392" s="6"/>
      <c r="M392" s="6"/>
      <c r="N392" s="6"/>
      <c r="O392" s="6"/>
      <c r="P392" s="6"/>
      <c r="Q392" s="6"/>
      <c r="R392" s="6"/>
      <c r="S392" s="6"/>
      <c r="T392" s="5"/>
    </row>
    <row r="393" spans="1:20">
      <c r="A393" s="6"/>
      <c r="B393" s="6"/>
      <c r="C393" s="6"/>
      <c r="D393" s="6"/>
      <c r="E393" s="6"/>
      <c r="F393" s="6"/>
      <c r="G393" s="6"/>
      <c r="H393" s="6"/>
      <c r="I393" s="6"/>
      <c r="J393" s="6"/>
      <c r="K393" s="6"/>
      <c r="L393" s="6"/>
      <c r="M393" s="6"/>
      <c r="N393" s="6"/>
      <c r="O393" s="6"/>
      <c r="P393" s="6"/>
      <c r="Q393" s="6"/>
      <c r="R393" s="6"/>
      <c r="S393" s="6"/>
      <c r="T393" s="5"/>
    </row>
    <row r="394" spans="1:20">
      <c r="A394" s="6"/>
      <c r="B394" s="6"/>
      <c r="C394" s="6"/>
      <c r="D394" s="6"/>
      <c r="E394" s="6"/>
      <c r="F394" s="6"/>
      <c r="G394" s="6"/>
      <c r="H394" s="6"/>
      <c r="I394" s="6"/>
      <c r="J394" s="6"/>
      <c r="K394" s="6"/>
      <c r="L394" s="6"/>
      <c r="M394" s="6"/>
      <c r="N394" s="6"/>
      <c r="O394" s="6"/>
      <c r="P394" s="6"/>
      <c r="Q394" s="6"/>
      <c r="R394" s="6"/>
      <c r="S394" s="6"/>
      <c r="T394" s="5"/>
    </row>
    <row r="395" spans="1:20">
      <c r="A395" s="6"/>
      <c r="B395" s="6"/>
      <c r="C395" s="6"/>
      <c r="D395" s="6"/>
      <c r="E395" s="6"/>
      <c r="F395" s="6"/>
      <c r="G395" s="6"/>
      <c r="H395" s="6"/>
      <c r="I395" s="6"/>
      <c r="J395" s="6"/>
      <c r="K395" s="6"/>
      <c r="L395" s="6"/>
      <c r="M395" s="6"/>
      <c r="N395" s="6"/>
      <c r="O395" s="6"/>
      <c r="P395" s="6"/>
      <c r="Q395" s="6"/>
      <c r="R395" s="6"/>
      <c r="S395" s="6"/>
      <c r="T395" s="5"/>
    </row>
    <row r="396" spans="1:20">
      <c r="A396" s="6"/>
      <c r="B396" s="6"/>
      <c r="C396" s="6"/>
      <c r="D396" s="6"/>
      <c r="E396" s="6"/>
      <c r="F396" s="6"/>
      <c r="G396" s="6"/>
      <c r="H396" s="6"/>
      <c r="I396" s="6"/>
      <c r="J396" s="6"/>
      <c r="K396" s="6"/>
      <c r="L396" s="6"/>
      <c r="M396" s="6"/>
      <c r="N396" s="6"/>
      <c r="O396" s="6"/>
      <c r="P396" s="6"/>
      <c r="Q396" s="6"/>
      <c r="R396" s="6"/>
      <c r="S396" s="6"/>
      <c r="T396" s="5"/>
    </row>
    <row r="397" spans="1:20">
      <c r="A397" s="6"/>
      <c r="B397" s="6"/>
      <c r="C397" s="6"/>
      <c r="D397" s="6"/>
      <c r="E397" s="6"/>
      <c r="F397" s="6"/>
      <c r="G397" s="6"/>
      <c r="H397" s="6"/>
      <c r="I397" s="6"/>
      <c r="J397" s="6"/>
      <c r="K397" s="6"/>
      <c r="L397" s="6"/>
      <c r="M397" s="6"/>
      <c r="N397" s="6"/>
      <c r="O397" s="6"/>
      <c r="P397" s="6"/>
      <c r="Q397" s="6"/>
      <c r="R397" s="6"/>
      <c r="S397" s="6"/>
      <c r="T397" s="5"/>
    </row>
    <row r="398" spans="1:20">
      <c r="A398" s="6"/>
      <c r="B398" s="6"/>
      <c r="C398" s="6"/>
      <c r="D398" s="6"/>
      <c r="E398" s="6"/>
      <c r="F398" s="6"/>
      <c r="G398" s="6"/>
      <c r="H398" s="6"/>
      <c r="I398" s="6"/>
      <c r="J398" s="6"/>
      <c r="K398" s="6"/>
      <c r="L398" s="6"/>
      <c r="M398" s="6"/>
      <c r="N398" s="6"/>
      <c r="O398" s="6"/>
      <c r="P398" s="6"/>
      <c r="Q398" s="6"/>
      <c r="R398" s="6"/>
      <c r="S398" s="6"/>
      <c r="T398" s="5"/>
    </row>
    <row r="399" spans="1:20">
      <c r="A399" s="6"/>
      <c r="B399" s="6"/>
      <c r="C399" s="6"/>
      <c r="D399" s="6"/>
      <c r="E399" s="6"/>
      <c r="F399" s="6"/>
      <c r="G399" s="6"/>
      <c r="H399" s="6"/>
      <c r="I399" s="6"/>
      <c r="J399" s="6"/>
      <c r="K399" s="6"/>
      <c r="L399" s="6"/>
      <c r="M399" s="6"/>
      <c r="N399" s="6"/>
      <c r="O399" s="6"/>
      <c r="P399" s="6"/>
      <c r="Q399" s="6"/>
      <c r="R399" s="6"/>
      <c r="S399" s="6"/>
      <c r="T399" s="5"/>
    </row>
    <row r="400" spans="1:20">
      <c r="A400" s="6"/>
      <c r="B400" s="6"/>
      <c r="C400" s="6"/>
      <c r="D400" s="6"/>
      <c r="E400" s="6"/>
      <c r="F400" s="6"/>
      <c r="G400" s="6"/>
      <c r="H400" s="6"/>
      <c r="I400" s="6"/>
      <c r="J400" s="6"/>
      <c r="K400" s="6"/>
      <c r="L400" s="6"/>
      <c r="M400" s="6"/>
      <c r="N400" s="6"/>
      <c r="O400" s="6"/>
      <c r="P400" s="6"/>
      <c r="Q400" s="6"/>
      <c r="R400" s="6"/>
      <c r="S400" s="6"/>
      <c r="T400" s="5"/>
    </row>
    <row r="401" spans="1:20">
      <c r="A401" s="6"/>
      <c r="B401" s="6"/>
      <c r="C401" s="6"/>
      <c r="D401" s="6"/>
      <c r="E401" s="6"/>
      <c r="F401" s="6"/>
      <c r="G401" s="6"/>
      <c r="H401" s="6"/>
      <c r="I401" s="6"/>
      <c r="J401" s="6"/>
      <c r="K401" s="6"/>
      <c r="L401" s="6"/>
      <c r="M401" s="6"/>
      <c r="N401" s="6"/>
      <c r="O401" s="6"/>
      <c r="P401" s="6"/>
      <c r="Q401" s="6"/>
      <c r="R401" s="6"/>
      <c r="S401" s="6"/>
      <c r="T401" s="5"/>
    </row>
    <row r="402" spans="1:20">
      <c r="A402" s="6"/>
      <c r="B402" s="6"/>
      <c r="C402" s="6"/>
      <c r="D402" s="6"/>
      <c r="E402" s="6"/>
      <c r="F402" s="6"/>
      <c r="G402" s="6"/>
      <c r="H402" s="6"/>
      <c r="I402" s="6"/>
      <c r="J402" s="6"/>
      <c r="K402" s="6"/>
      <c r="L402" s="6"/>
      <c r="M402" s="6"/>
      <c r="N402" s="6"/>
      <c r="O402" s="6"/>
      <c r="P402" s="6"/>
      <c r="Q402" s="6"/>
      <c r="R402" s="6"/>
      <c r="S402" s="6"/>
      <c r="T402" s="5"/>
    </row>
    <row r="403" spans="1:20">
      <c r="A403" s="6"/>
      <c r="B403" s="6"/>
      <c r="C403" s="6"/>
      <c r="D403" s="6"/>
      <c r="E403" s="6"/>
      <c r="F403" s="6"/>
      <c r="G403" s="6"/>
      <c r="H403" s="6"/>
      <c r="I403" s="6"/>
      <c r="J403" s="6"/>
      <c r="K403" s="6"/>
      <c r="L403" s="6"/>
      <c r="M403" s="6"/>
      <c r="N403" s="6"/>
      <c r="O403" s="6"/>
      <c r="P403" s="6"/>
      <c r="Q403" s="6"/>
      <c r="R403" s="6"/>
      <c r="S403" s="6"/>
      <c r="T403" s="5"/>
    </row>
    <row r="404" spans="1:20">
      <c r="A404" s="6"/>
      <c r="B404" s="6"/>
      <c r="C404" s="6"/>
      <c r="D404" s="6"/>
      <c r="E404" s="6"/>
      <c r="F404" s="6"/>
      <c r="G404" s="6"/>
      <c r="H404" s="6"/>
      <c r="I404" s="6"/>
      <c r="J404" s="6"/>
      <c r="K404" s="6"/>
      <c r="L404" s="6"/>
      <c r="M404" s="6"/>
      <c r="N404" s="6"/>
      <c r="O404" s="6"/>
      <c r="P404" s="6"/>
      <c r="Q404" s="6"/>
      <c r="R404" s="6"/>
      <c r="S404" s="6"/>
      <c r="T404" s="5"/>
    </row>
    <row r="405" spans="1:20">
      <c r="A405" s="6"/>
      <c r="B405" s="6"/>
      <c r="C405" s="6"/>
      <c r="D405" s="6"/>
      <c r="E405" s="6"/>
      <c r="F405" s="6"/>
      <c r="G405" s="6"/>
      <c r="H405" s="6"/>
      <c r="I405" s="6"/>
      <c r="J405" s="6"/>
      <c r="K405" s="6"/>
      <c r="L405" s="6"/>
      <c r="M405" s="6"/>
      <c r="N405" s="6"/>
      <c r="O405" s="6"/>
      <c r="P405" s="6"/>
      <c r="Q405" s="6"/>
      <c r="R405" s="6"/>
      <c r="S405" s="6"/>
      <c r="T405" s="5"/>
    </row>
    <row r="406" spans="1:20">
      <c r="A406" s="6"/>
      <c r="B406" s="6"/>
      <c r="C406" s="6"/>
      <c r="D406" s="6"/>
      <c r="E406" s="6"/>
      <c r="F406" s="6"/>
      <c r="G406" s="6"/>
      <c r="H406" s="6"/>
      <c r="I406" s="6"/>
      <c r="J406" s="6"/>
      <c r="K406" s="6"/>
      <c r="L406" s="6"/>
      <c r="M406" s="6"/>
      <c r="N406" s="6"/>
      <c r="O406" s="6"/>
      <c r="P406" s="6"/>
      <c r="Q406" s="6"/>
      <c r="R406" s="6"/>
      <c r="S406" s="6"/>
      <c r="T406" s="5"/>
    </row>
    <row r="407" spans="1:20">
      <c r="A407" s="6"/>
      <c r="B407" s="6"/>
      <c r="C407" s="6"/>
      <c r="D407" s="6"/>
      <c r="E407" s="6"/>
      <c r="F407" s="6"/>
      <c r="G407" s="6"/>
      <c r="H407" s="6"/>
      <c r="I407" s="6"/>
      <c r="J407" s="6"/>
      <c r="K407" s="6"/>
      <c r="L407" s="6"/>
      <c r="M407" s="6"/>
      <c r="N407" s="6"/>
      <c r="O407" s="6"/>
      <c r="P407" s="6"/>
      <c r="Q407" s="6"/>
      <c r="R407" s="6"/>
      <c r="S407" s="6"/>
      <c r="T407" s="5"/>
    </row>
    <row r="408" spans="1:20">
      <c r="A408" s="6"/>
      <c r="B408" s="6"/>
      <c r="C408" s="6"/>
      <c r="D408" s="6"/>
      <c r="E408" s="6"/>
      <c r="F408" s="6"/>
      <c r="G408" s="6"/>
      <c r="H408" s="6"/>
      <c r="I408" s="6"/>
      <c r="J408" s="6"/>
      <c r="K408" s="6"/>
      <c r="L408" s="6"/>
      <c r="M408" s="6"/>
      <c r="N408" s="6"/>
      <c r="O408" s="6"/>
      <c r="P408" s="6"/>
      <c r="Q408" s="6"/>
      <c r="R408" s="6"/>
      <c r="S408" s="6"/>
      <c r="T408" s="5"/>
    </row>
    <row r="409" spans="1:20">
      <c r="A409" s="6"/>
      <c r="B409" s="6"/>
      <c r="C409" s="6"/>
      <c r="D409" s="6"/>
      <c r="E409" s="6"/>
      <c r="F409" s="6"/>
      <c r="G409" s="6"/>
      <c r="H409" s="6"/>
      <c r="I409" s="6"/>
      <c r="J409" s="6"/>
      <c r="K409" s="6"/>
      <c r="L409" s="6"/>
      <c r="M409" s="6"/>
      <c r="N409" s="6"/>
      <c r="O409" s="6"/>
      <c r="P409" s="6"/>
      <c r="Q409" s="6"/>
      <c r="R409" s="6"/>
      <c r="S409" s="6"/>
      <c r="T409" s="5"/>
    </row>
    <row r="410" spans="1:20">
      <c r="A410" s="6"/>
      <c r="B410" s="6"/>
      <c r="C410" s="6"/>
      <c r="D410" s="6"/>
      <c r="E410" s="6"/>
      <c r="F410" s="6"/>
      <c r="G410" s="6"/>
      <c r="H410" s="6"/>
      <c r="I410" s="6"/>
      <c r="J410" s="6"/>
      <c r="K410" s="6"/>
      <c r="L410" s="6"/>
      <c r="M410" s="6"/>
      <c r="N410" s="6"/>
      <c r="O410" s="6"/>
      <c r="P410" s="6"/>
      <c r="Q410" s="6"/>
      <c r="R410" s="6"/>
      <c r="S410" s="6"/>
      <c r="T410" s="5"/>
    </row>
    <row r="411" spans="1:20">
      <c r="A411" s="6"/>
      <c r="B411" s="6"/>
      <c r="C411" s="6"/>
      <c r="D411" s="6"/>
      <c r="E411" s="6"/>
      <c r="F411" s="6"/>
      <c r="G411" s="6"/>
      <c r="H411" s="6"/>
      <c r="I411" s="6"/>
      <c r="J411" s="6"/>
      <c r="K411" s="6"/>
      <c r="L411" s="6"/>
      <c r="M411" s="6"/>
      <c r="N411" s="6"/>
      <c r="O411" s="6"/>
      <c r="P411" s="6"/>
      <c r="Q411" s="6"/>
      <c r="R411" s="6"/>
      <c r="S411" s="6"/>
      <c r="T411" s="5"/>
    </row>
    <row r="412" spans="1:20">
      <c r="A412" s="6"/>
      <c r="B412" s="6"/>
      <c r="C412" s="6"/>
      <c r="D412" s="6"/>
      <c r="E412" s="6"/>
      <c r="F412" s="6"/>
      <c r="G412" s="6"/>
      <c r="H412" s="6"/>
      <c r="I412" s="6"/>
      <c r="J412" s="6"/>
      <c r="K412" s="6"/>
      <c r="L412" s="6"/>
      <c r="M412" s="6"/>
      <c r="N412" s="6"/>
      <c r="O412" s="6"/>
      <c r="P412" s="6"/>
      <c r="Q412" s="6"/>
      <c r="R412" s="6"/>
      <c r="S412" s="6"/>
      <c r="T412" s="5"/>
    </row>
    <row r="413" spans="1:20">
      <c r="A413" s="6"/>
      <c r="B413" s="6"/>
      <c r="C413" s="6"/>
      <c r="D413" s="6"/>
      <c r="E413" s="6"/>
      <c r="F413" s="6"/>
      <c r="G413" s="6"/>
      <c r="H413" s="6"/>
      <c r="I413" s="6"/>
      <c r="J413" s="6"/>
      <c r="K413" s="6"/>
      <c r="L413" s="6"/>
      <c r="M413" s="6"/>
      <c r="N413" s="6"/>
      <c r="O413" s="6"/>
      <c r="P413" s="6"/>
      <c r="Q413" s="6"/>
      <c r="R413" s="6"/>
      <c r="S413" s="6"/>
      <c r="T413" s="5"/>
    </row>
    <row r="414" spans="1:20">
      <c r="A414" s="6"/>
      <c r="B414" s="6"/>
      <c r="C414" s="6"/>
      <c r="D414" s="6"/>
      <c r="E414" s="6"/>
      <c r="F414" s="6"/>
      <c r="G414" s="6"/>
      <c r="H414" s="6"/>
      <c r="I414" s="6"/>
      <c r="J414" s="6"/>
      <c r="K414" s="6"/>
      <c r="L414" s="6"/>
      <c r="M414" s="6"/>
      <c r="N414" s="6"/>
      <c r="O414" s="6"/>
      <c r="P414" s="6"/>
      <c r="Q414" s="6"/>
      <c r="R414" s="6"/>
      <c r="S414" s="6"/>
      <c r="T414" s="5"/>
    </row>
    <row r="415" spans="1:20">
      <c r="A415" s="6"/>
      <c r="B415" s="6"/>
      <c r="C415" s="6"/>
      <c r="D415" s="6"/>
      <c r="E415" s="6"/>
      <c r="F415" s="6"/>
      <c r="G415" s="6"/>
      <c r="H415" s="6"/>
      <c r="I415" s="6"/>
      <c r="J415" s="6"/>
      <c r="K415" s="6"/>
      <c r="L415" s="6"/>
      <c r="M415" s="6"/>
      <c r="N415" s="6"/>
      <c r="O415" s="6"/>
      <c r="P415" s="6"/>
      <c r="Q415" s="6"/>
      <c r="R415" s="6"/>
      <c r="S415" s="6"/>
      <c r="T415" s="5"/>
    </row>
    <row r="416" spans="1:20">
      <c r="A416" s="6"/>
      <c r="B416" s="6"/>
      <c r="C416" s="6"/>
      <c r="D416" s="6"/>
      <c r="E416" s="6"/>
      <c r="F416" s="6"/>
      <c r="G416" s="6"/>
      <c r="H416" s="6"/>
      <c r="I416" s="6"/>
      <c r="J416" s="6"/>
      <c r="K416" s="6"/>
      <c r="L416" s="6"/>
      <c r="M416" s="6"/>
      <c r="N416" s="6"/>
      <c r="O416" s="6"/>
      <c r="P416" s="6"/>
      <c r="Q416" s="6"/>
      <c r="R416" s="6"/>
      <c r="S416" s="6"/>
      <c r="T416" s="5"/>
    </row>
    <row r="417" spans="1:20">
      <c r="A417" s="6"/>
      <c r="B417" s="6"/>
      <c r="C417" s="6"/>
      <c r="D417" s="6"/>
      <c r="E417" s="6"/>
      <c r="F417" s="6"/>
      <c r="G417" s="6"/>
      <c r="H417" s="6"/>
      <c r="I417" s="6"/>
      <c r="J417" s="6"/>
      <c r="K417" s="6"/>
      <c r="L417" s="6"/>
      <c r="M417" s="6"/>
      <c r="N417" s="6"/>
      <c r="O417" s="6"/>
      <c r="P417" s="6"/>
      <c r="Q417" s="6"/>
      <c r="R417" s="6"/>
      <c r="S417" s="6"/>
      <c r="T417" s="5"/>
    </row>
    <row r="418" spans="1:20">
      <c r="A418" s="6"/>
      <c r="B418" s="6"/>
      <c r="C418" s="6"/>
      <c r="D418" s="6"/>
      <c r="E418" s="6"/>
      <c r="F418" s="6"/>
      <c r="G418" s="6"/>
      <c r="H418" s="6"/>
      <c r="I418" s="6"/>
      <c r="J418" s="6"/>
      <c r="K418" s="6"/>
      <c r="L418" s="6"/>
      <c r="M418" s="6"/>
      <c r="N418" s="6"/>
      <c r="O418" s="6"/>
      <c r="P418" s="6"/>
      <c r="Q418" s="6"/>
      <c r="R418" s="6"/>
      <c r="S418" s="6"/>
      <c r="T418" s="5"/>
    </row>
    <row r="419" spans="1:20">
      <c r="A419" s="6"/>
      <c r="B419" s="6"/>
      <c r="C419" s="6"/>
      <c r="D419" s="6"/>
      <c r="E419" s="6"/>
      <c r="F419" s="6"/>
      <c r="G419" s="6"/>
      <c r="H419" s="6"/>
      <c r="I419" s="6"/>
      <c r="J419" s="6"/>
      <c r="K419" s="6"/>
      <c r="L419" s="6"/>
      <c r="M419" s="6"/>
      <c r="N419" s="6"/>
      <c r="O419" s="6"/>
      <c r="P419" s="6"/>
      <c r="Q419" s="6"/>
      <c r="R419" s="6"/>
      <c r="S419" s="6"/>
      <c r="T419" s="5"/>
    </row>
    <row r="420" spans="1:20">
      <c r="A420" s="6"/>
      <c r="B420" s="6"/>
      <c r="C420" s="6"/>
      <c r="D420" s="6"/>
      <c r="E420" s="6"/>
      <c r="F420" s="6"/>
      <c r="G420" s="6"/>
      <c r="H420" s="6"/>
      <c r="I420" s="6"/>
      <c r="J420" s="6"/>
      <c r="K420" s="6"/>
      <c r="L420" s="6"/>
      <c r="M420" s="6"/>
      <c r="N420" s="6"/>
      <c r="O420" s="6"/>
      <c r="P420" s="6"/>
      <c r="Q420" s="6"/>
      <c r="R420" s="6"/>
      <c r="S420" s="6"/>
      <c r="T420" s="5"/>
    </row>
    <row r="421" spans="1:20">
      <c r="A421" s="6"/>
      <c r="B421" s="6"/>
      <c r="C421" s="6"/>
      <c r="D421" s="6"/>
      <c r="E421" s="6"/>
      <c r="F421" s="6"/>
      <c r="G421" s="6"/>
      <c r="H421" s="6"/>
      <c r="I421" s="6"/>
      <c r="J421" s="6"/>
      <c r="K421" s="6"/>
      <c r="L421" s="6"/>
      <c r="M421" s="6"/>
      <c r="N421" s="6"/>
      <c r="O421" s="6"/>
      <c r="P421" s="6"/>
      <c r="Q421" s="6"/>
      <c r="R421" s="6"/>
      <c r="S421" s="6"/>
      <c r="T421" s="5"/>
    </row>
    <row r="422" spans="1:20">
      <c r="A422" s="6"/>
      <c r="B422" s="6"/>
      <c r="C422" s="6"/>
      <c r="D422" s="6"/>
      <c r="E422" s="6"/>
      <c r="F422" s="6"/>
      <c r="G422" s="6"/>
      <c r="H422" s="6"/>
      <c r="I422" s="6"/>
      <c r="J422" s="6"/>
      <c r="K422" s="6"/>
      <c r="L422" s="6"/>
      <c r="M422" s="6"/>
      <c r="N422" s="6"/>
      <c r="O422" s="6"/>
      <c r="P422" s="6"/>
      <c r="Q422" s="6"/>
      <c r="R422" s="6"/>
      <c r="S422" s="6"/>
      <c r="T422" s="5"/>
    </row>
    <row r="423" spans="1:20">
      <c r="A423" s="6"/>
      <c r="B423" s="6"/>
      <c r="C423" s="6"/>
      <c r="D423" s="6"/>
      <c r="E423" s="6"/>
      <c r="F423" s="6"/>
      <c r="G423" s="6"/>
      <c r="H423" s="6"/>
      <c r="I423" s="6"/>
      <c r="J423" s="6"/>
      <c r="K423" s="6"/>
      <c r="L423" s="6"/>
      <c r="M423" s="6"/>
      <c r="N423" s="6"/>
      <c r="O423" s="6"/>
      <c r="P423" s="6"/>
      <c r="Q423" s="6"/>
      <c r="R423" s="6"/>
      <c r="S423" s="6"/>
      <c r="T423" s="5"/>
    </row>
    <row r="424" spans="1:20">
      <c r="A424" s="6"/>
      <c r="B424" s="6"/>
      <c r="C424" s="6"/>
      <c r="D424" s="6"/>
      <c r="E424" s="6"/>
      <c r="F424" s="6"/>
      <c r="G424" s="6"/>
      <c r="H424" s="6"/>
      <c r="I424" s="6"/>
      <c r="J424" s="6"/>
      <c r="K424" s="6"/>
      <c r="L424" s="6"/>
      <c r="M424" s="6"/>
      <c r="N424" s="6"/>
      <c r="O424" s="6"/>
      <c r="P424" s="6"/>
      <c r="Q424" s="6"/>
      <c r="R424" s="6"/>
      <c r="S424" s="6"/>
      <c r="T424" s="5"/>
    </row>
    <row r="425" spans="1:20">
      <c r="A425" s="6"/>
      <c r="B425" s="6"/>
      <c r="C425" s="6"/>
      <c r="D425" s="6"/>
      <c r="E425" s="6"/>
      <c r="F425" s="6"/>
      <c r="G425" s="6"/>
      <c r="H425" s="6"/>
      <c r="I425" s="6"/>
      <c r="J425" s="6"/>
      <c r="K425" s="6"/>
      <c r="L425" s="6"/>
      <c r="M425" s="6"/>
      <c r="N425" s="6"/>
      <c r="O425" s="6"/>
      <c r="P425" s="6"/>
      <c r="Q425" s="6"/>
      <c r="R425" s="6"/>
      <c r="S425" s="6"/>
      <c r="T425" s="5"/>
    </row>
    <row r="426" spans="1:20">
      <c r="A426" s="6"/>
      <c r="B426" s="6"/>
      <c r="C426" s="6"/>
      <c r="D426" s="6"/>
      <c r="E426" s="6"/>
      <c r="F426" s="6"/>
      <c r="G426" s="6"/>
      <c r="H426" s="6"/>
      <c r="I426" s="6"/>
      <c r="J426" s="6"/>
      <c r="K426" s="6"/>
      <c r="L426" s="6"/>
      <c r="M426" s="6"/>
      <c r="N426" s="6"/>
      <c r="O426" s="6"/>
      <c r="P426" s="6"/>
      <c r="Q426" s="6"/>
      <c r="R426" s="6"/>
      <c r="S426" s="6"/>
      <c r="T426" s="5"/>
    </row>
    <row r="427" spans="1:20">
      <c r="A427" s="6"/>
      <c r="B427" s="6"/>
      <c r="C427" s="6"/>
      <c r="D427" s="6"/>
      <c r="E427" s="6"/>
      <c r="F427" s="6"/>
      <c r="G427" s="6"/>
      <c r="H427" s="6"/>
      <c r="I427" s="6"/>
      <c r="J427" s="6"/>
      <c r="K427" s="6"/>
      <c r="L427" s="6"/>
      <c r="M427" s="6"/>
      <c r="N427" s="6"/>
      <c r="O427" s="6"/>
      <c r="P427" s="6"/>
      <c r="Q427" s="6"/>
      <c r="R427" s="6"/>
      <c r="S427" s="6"/>
      <c r="T427" s="5"/>
    </row>
    <row r="428" spans="1:20">
      <c r="A428" s="6"/>
      <c r="B428" s="6"/>
      <c r="C428" s="6"/>
      <c r="D428" s="6"/>
      <c r="E428" s="6"/>
      <c r="F428" s="6"/>
      <c r="G428" s="6"/>
      <c r="H428" s="6"/>
      <c r="I428" s="6"/>
      <c r="J428" s="6"/>
      <c r="K428" s="6"/>
      <c r="L428" s="6"/>
      <c r="M428" s="6"/>
      <c r="N428" s="6"/>
      <c r="O428" s="6"/>
      <c r="P428" s="6"/>
      <c r="Q428" s="6"/>
      <c r="R428" s="6"/>
      <c r="S428" s="6"/>
      <c r="T428" s="5"/>
    </row>
    <row r="429" spans="1:20">
      <c r="A429" s="6"/>
      <c r="B429" s="6"/>
      <c r="C429" s="6"/>
      <c r="D429" s="6"/>
      <c r="E429" s="6"/>
      <c r="F429" s="6"/>
      <c r="G429" s="6"/>
      <c r="H429" s="6"/>
      <c r="I429" s="6"/>
      <c r="J429" s="6"/>
      <c r="K429" s="6"/>
      <c r="L429" s="6"/>
      <c r="M429" s="6"/>
      <c r="N429" s="6"/>
      <c r="O429" s="6"/>
      <c r="P429" s="6"/>
      <c r="Q429" s="6"/>
      <c r="R429" s="6"/>
      <c r="S429" s="6"/>
      <c r="T429" s="5"/>
    </row>
    <row r="430" spans="1:20">
      <c r="A430" s="6"/>
      <c r="B430" s="6"/>
      <c r="C430" s="6"/>
      <c r="D430" s="6"/>
      <c r="E430" s="6"/>
      <c r="F430" s="6"/>
      <c r="G430" s="6"/>
      <c r="H430" s="6"/>
      <c r="I430" s="6"/>
      <c r="J430" s="6"/>
      <c r="K430" s="6"/>
      <c r="L430" s="6"/>
      <c r="M430" s="6"/>
      <c r="N430" s="6"/>
      <c r="O430" s="6"/>
      <c r="P430" s="6"/>
      <c r="Q430" s="6"/>
      <c r="R430" s="6"/>
      <c r="S430" s="6"/>
      <c r="T430" s="5"/>
    </row>
    <row r="431" spans="1:20">
      <c r="A431" s="6"/>
      <c r="B431" s="6"/>
      <c r="C431" s="6"/>
      <c r="D431" s="6"/>
      <c r="E431" s="6"/>
      <c r="F431" s="6"/>
      <c r="G431" s="6"/>
      <c r="H431" s="6"/>
      <c r="I431" s="6"/>
      <c r="J431" s="6"/>
      <c r="K431" s="6"/>
      <c r="L431" s="6"/>
      <c r="M431" s="6"/>
      <c r="N431" s="6"/>
      <c r="O431" s="6"/>
      <c r="P431" s="6"/>
      <c r="Q431" s="6"/>
      <c r="R431" s="6"/>
      <c r="S431" s="6"/>
      <c r="T431" s="5"/>
    </row>
    <row r="432" spans="1:20">
      <c r="A432" s="6"/>
      <c r="B432" s="6"/>
      <c r="C432" s="6"/>
      <c r="D432" s="6"/>
      <c r="E432" s="6"/>
      <c r="F432" s="6"/>
      <c r="G432" s="6"/>
      <c r="H432" s="6"/>
      <c r="I432" s="6"/>
      <c r="J432" s="6"/>
      <c r="K432" s="6"/>
      <c r="L432" s="6"/>
      <c r="M432" s="6"/>
      <c r="N432" s="6"/>
      <c r="O432" s="6"/>
      <c r="P432" s="6"/>
      <c r="Q432" s="6"/>
      <c r="R432" s="6"/>
      <c r="S432" s="6"/>
      <c r="T432" s="5"/>
    </row>
    <row r="433" spans="1:20">
      <c r="A433" s="6"/>
      <c r="B433" s="6"/>
      <c r="C433" s="6"/>
      <c r="D433" s="6"/>
      <c r="E433" s="6"/>
      <c r="F433" s="6"/>
      <c r="G433" s="6"/>
      <c r="H433" s="6"/>
      <c r="I433" s="6"/>
      <c r="J433" s="6"/>
      <c r="K433" s="6"/>
      <c r="L433" s="6"/>
      <c r="M433" s="6"/>
      <c r="N433" s="6"/>
      <c r="O433" s="6"/>
      <c r="P433" s="6"/>
      <c r="Q433" s="6"/>
      <c r="R433" s="6"/>
      <c r="S433" s="6"/>
      <c r="T433" s="5"/>
    </row>
    <row r="434" spans="1:20">
      <c r="A434" s="6"/>
      <c r="B434" s="6"/>
      <c r="C434" s="6"/>
      <c r="D434" s="6"/>
      <c r="E434" s="6"/>
      <c r="F434" s="6"/>
      <c r="G434" s="6"/>
      <c r="H434" s="6"/>
      <c r="I434" s="6"/>
      <c r="J434" s="6"/>
      <c r="K434" s="6"/>
      <c r="L434" s="6"/>
      <c r="M434" s="6"/>
      <c r="N434" s="6"/>
      <c r="O434" s="6"/>
      <c r="P434" s="6"/>
      <c r="Q434" s="6"/>
      <c r="R434" s="6"/>
      <c r="S434" s="6"/>
      <c r="T434" s="5"/>
    </row>
    <row r="435" spans="1:20">
      <c r="A435" s="6"/>
      <c r="B435" s="6"/>
      <c r="C435" s="6"/>
      <c r="D435" s="6"/>
      <c r="E435" s="6"/>
      <c r="F435" s="6"/>
      <c r="G435" s="6"/>
      <c r="H435" s="6"/>
      <c r="I435" s="6"/>
      <c r="J435" s="6"/>
      <c r="K435" s="6"/>
      <c r="L435" s="6"/>
      <c r="M435" s="6"/>
      <c r="N435" s="6"/>
      <c r="O435" s="6"/>
      <c r="P435" s="6"/>
      <c r="Q435" s="6"/>
      <c r="R435" s="6"/>
      <c r="S435" s="6"/>
      <c r="T435" s="5"/>
    </row>
    <row r="436" spans="1:20">
      <c r="A436" s="6"/>
      <c r="B436" s="6"/>
      <c r="C436" s="6"/>
      <c r="D436" s="6"/>
      <c r="E436" s="6"/>
      <c r="F436" s="6"/>
      <c r="G436" s="6"/>
      <c r="H436" s="6"/>
      <c r="I436" s="6"/>
      <c r="J436" s="6"/>
      <c r="K436" s="6"/>
      <c r="L436" s="6"/>
      <c r="M436" s="6"/>
      <c r="N436" s="6"/>
      <c r="O436" s="6"/>
      <c r="P436" s="6"/>
      <c r="Q436" s="6"/>
      <c r="R436" s="6"/>
      <c r="S436" s="6"/>
      <c r="T436" s="5"/>
    </row>
    <row r="437" spans="1:20">
      <c r="A437" s="6"/>
      <c r="B437" s="6"/>
      <c r="C437" s="6"/>
      <c r="D437" s="6"/>
      <c r="E437" s="6"/>
      <c r="F437" s="6"/>
      <c r="G437" s="6"/>
      <c r="H437" s="6"/>
      <c r="I437" s="6"/>
      <c r="J437" s="6"/>
      <c r="K437" s="6"/>
      <c r="L437" s="6"/>
      <c r="M437" s="6"/>
      <c r="N437" s="6"/>
      <c r="O437" s="6"/>
      <c r="P437" s="6"/>
      <c r="Q437" s="6"/>
      <c r="R437" s="6"/>
      <c r="S437" s="6"/>
      <c r="T437" s="5"/>
    </row>
    <row r="438" spans="1:20">
      <c r="A438" s="6"/>
      <c r="B438" s="6"/>
      <c r="C438" s="6"/>
      <c r="D438" s="6"/>
      <c r="E438" s="6"/>
      <c r="F438" s="6"/>
      <c r="G438" s="6"/>
      <c r="H438" s="6"/>
      <c r="I438" s="6"/>
      <c r="J438" s="6"/>
      <c r="K438" s="6"/>
      <c r="L438" s="6"/>
      <c r="M438" s="6"/>
      <c r="N438" s="6"/>
      <c r="O438" s="6"/>
      <c r="P438" s="6"/>
      <c r="Q438" s="6"/>
      <c r="R438" s="6"/>
      <c r="S438" s="6"/>
      <c r="T438" s="5"/>
    </row>
    <row r="439" spans="1:20">
      <c r="A439" s="6"/>
      <c r="B439" s="6"/>
      <c r="C439" s="6"/>
      <c r="D439" s="6"/>
      <c r="E439" s="6"/>
      <c r="F439" s="6"/>
      <c r="G439" s="6"/>
      <c r="H439" s="6"/>
      <c r="I439" s="6"/>
      <c r="J439" s="6"/>
      <c r="K439" s="6"/>
      <c r="L439" s="6"/>
      <c r="M439" s="6"/>
      <c r="N439" s="6"/>
      <c r="O439" s="6"/>
      <c r="P439" s="6"/>
      <c r="Q439" s="6"/>
      <c r="R439" s="6"/>
      <c r="S439" s="6"/>
      <c r="T439" s="5"/>
    </row>
    <row r="440" spans="1:20">
      <c r="A440" s="6"/>
      <c r="B440" s="6"/>
      <c r="C440" s="6"/>
      <c r="D440" s="6"/>
      <c r="E440" s="6"/>
      <c r="F440" s="6"/>
      <c r="G440" s="6"/>
      <c r="H440" s="6"/>
      <c r="I440" s="6"/>
      <c r="J440" s="6"/>
      <c r="K440" s="6"/>
      <c r="L440" s="6"/>
      <c r="M440" s="6"/>
      <c r="N440" s="6"/>
      <c r="O440" s="6"/>
      <c r="P440" s="6"/>
      <c r="Q440" s="6"/>
      <c r="R440" s="6"/>
      <c r="S440" s="6"/>
      <c r="T440" s="5"/>
    </row>
    <row r="441" spans="1:20">
      <c r="A441" s="6"/>
      <c r="B441" s="6"/>
      <c r="C441" s="6"/>
      <c r="D441" s="6"/>
      <c r="E441" s="6"/>
      <c r="F441" s="6"/>
      <c r="G441" s="6"/>
      <c r="H441" s="6"/>
      <c r="I441" s="6"/>
      <c r="J441" s="6"/>
      <c r="K441" s="6"/>
      <c r="L441" s="6"/>
      <c r="M441" s="6"/>
      <c r="N441" s="6"/>
      <c r="O441" s="6"/>
      <c r="P441" s="6"/>
      <c r="Q441" s="6"/>
      <c r="R441" s="6"/>
      <c r="S441" s="6"/>
      <c r="T441" s="5"/>
    </row>
    <row r="442" spans="1:20">
      <c r="A442" s="6"/>
      <c r="B442" s="6"/>
      <c r="C442" s="6"/>
      <c r="D442" s="6"/>
      <c r="E442" s="6"/>
      <c r="F442" s="6"/>
      <c r="G442" s="6"/>
      <c r="H442" s="6"/>
      <c r="I442" s="6"/>
      <c r="J442" s="6"/>
      <c r="K442" s="6"/>
      <c r="L442" s="6"/>
      <c r="M442" s="6"/>
      <c r="N442" s="6"/>
      <c r="O442" s="6"/>
      <c r="P442" s="6"/>
      <c r="Q442" s="6"/>
      <c r="R442" s="6"/>
      <c r="S442" s="6"/>
      <c r="T442" s="5"/>
    </row>
    <row r="443" spans="1:20">
      <c r="A443" s="6"/>
      <c r="B443" s="6"/>
      <c r="C443" s="6"/>
      <c r="D443" s="6"/>
      <c r="E443" s="6"/>
      <c r="F443" s="6"/>
      <c r="G443" s="6"/>
      <c r="H443" s="6"/>
      <c r="I443" s="6"/>
      <c r="J443" s="6"/>
      <c r="K443" s="6"/>
      <c r="L443" s="6"/>
      <c r="M443" s="6"/>
      <c r="N443" s="6"/>
      <c r="O443" s="6"/>
      <c r="P443" s="6"/>
      <c r="Q443" s="6"/>
      <c r="R443" s="6"/>
      <c r="S443" s="6"/>
      <c r="T443" s="5"/>
    </row>
    <row r="444" spans="1:20">
      <c r="A444" s="6"/>
      <c r="B444" s="6"/>
      <c r="C444" s="6"/>
      <c r="D444" s="6"/>
      <c r="E444" s="6"/>
      <c r="F444" s="6"/>
      <c r="G444" s="6"/>
      <c r="H444" s="6"/>
      <c r="I444" s="6"/>
      <c r="J444" s="6"/>
      <c r="K444" s="6"/>
      <c r="L444" s="6"/>
      <c r="M444" s="6"/>
      <c r="N444" s="6"/>
      <c r="O444" s="6"/>
      <c r="P444" s="6"/>
      <c r="Q444" s="6"/>
      <c r="R444" s="6"/>
      <c r="S444" s="6"/>
      <c r="T444" s="5"/>
    </row>
    <row r="445" spans="1:20">
      <c r="A445" s="6"/>
      <c r="B445" s="6"/>
      <c r="C445" s="6"/>
      <c r="D445" s="6"/>
      <c r="E445" s="6"/>
      <c r="F445" s="6"/>
      <c r="G445" s="6"/>
      <c r="H445" s="6"/>
      <c r="I445" s="6"/>
      <c r="J445" s="6"/>
      <c r="K445" s="6"/>
      <c r="L445" s="6"/>
      <c r="M445" s="6"/>
      <c r="N445" s="6"/>
      <c r="O445" s="6"/>
      <c r="P445" s="6"/>
      <c r="Q445" s="6"/>
      <c r="R445" s="6"/>
      <c r="S445" s="6"/>
      <c r="T445" s="5"/>
    </row>
    <row r="446" spans="1:20">
      <c r="A446" s="6"/>
      <c r="B446" s="6"/>
      <c r="C446" s="6"/>
      <c r="D446" s="6"/>
      <c r="E446" s="6"/>
      <c r="F446" s="6"/>
      <c r="G446" s="6"/>
      <c r="H446" s="6"/>
      <c r="I446" s="6"/>
      <c r="J446" s="6"/>
      <c r="K446" s="6"/>
      <c r="L446" s="6"/>
      <c r="M446" s="6"/>
      <c r="N446" s="6"/>
      <c r="O446" s="6"/>
      <c r="P446" s="6"/>
      <c r="Q446" s="6"/>
      <c r="R446" s="6"/>
      <c r="S446" s="6"/>
      <c r="T446" s="5"/>
    </row>
    <row r="447" spans="1:20">
      <c r="A447" s="6"/>
      <c r="B447" s="6"/>
      <c r="C447" s="6"/>
      <c r="D447" s="6"/>
      <c r="E447" s="6"/>
      <c r="F447" s="6"/>
      <c r="G447" s="6"/>
      <c r="H447" s="6"/>
      <c r="I447" s="6"/>
      <c r="J447" s="6"/>
      <c r="K447" s="6"/>
      <c r="L447" s="6"/>
      <c r="M447" s="6"/>
      <c r="N447" s="6"/>
      <c r="O447" s="6"/>
      <c r="P447" s="6"/>
      <c r="Q447" s="6"/>
      <c r="R447" s="6"/>
      <c r="S447" s="6"/>
      <c r="T447" s="5"/>
    </row>
    <row r="448" spans="1:20">
      <c r="A448" s="6"/>
      <c r="B448" s="6"/>
      <c r="C448" s="6"/>
      <c r="D448" s="6"/>
      <c r="E448" s="6"/>
      <c r="F448" s="6"/>
      <c r="G448" s="6"/>
      <c r="H448" s="6"/>
      <c r="I448" s="6"/>
      <c r="J448" s="6"/>
      <c r="K448" s="6"/>
      <c r="L448" s="6"/>
      <c r="M448" s="6"/>
      <c r="N448" s="6"/>
      <c r="O448" s="6"/>
      <c r="P448" s="6"/>
      <c r="Q448" s="6"/>
      <c r="R448" s="6"/>
      <c r="S448" s="6"/>
      <c r="T448" s="5"/>
    </row>
    <row r="449" spans="1:20">
      <c r="A449" s="6"/>
      <c r="B449" s="6"/>
      <c r="C449" s="6"/>
      <c r="D449" s="6"/>
      <c r="E449" s="6"/>
      <c r="F449" s="6"/>
      <c r="G449" s="6"/>
      <c r="H449" s="6"/>
      <c r="I449" s="6"/>
      <c r="J449" s="6"/>
      <c r="K449" s="6"/>
      <c r="L449" s="6"/>
      <c r="M449" s="6"/>
      <c r="N449" s="6"/>
      <c r="O449" s="6"/>
      <c r="P449" s="6"/>
      <c r="Q449" s="6"/>
      <c r="R449" s="6"/>
      <c r="S449" s="6"/>
      <c r="T449" s="5"/>
    </row>
    <row r="450" spans="1:20">
      <c r="A450" s="6"/>
      <c r="B450" s="6"/>
      <c r="C450" s="6"/>
      <c r="D450" s="6"/>
      <c r="E450" s="6"/>
      <c r="F450" s="6"/>
      <c r="G450" s="6"/>
      <c r="H450" s="6"/>
      <c r="I450" s="6"/>
      <c r="J450" s="6"/>
      <c r="K450" s="6"/>
      <c r="L450" s="6"/>
      <c r="M450" s="6"/>
      <c r="N450" s="6"/>
      <c r="O450" s="6"/>
      <c r="P450" s="6"/>
      <c r="Q450" s="6"/>
      <c r="R450" s="6"/>
      <c r="S450" s="6"/>
      <c r="T450" s="5"/>
    </row>
    <row r="451" spans="1:20">
      <c r="A451" s="6"/>
      <c r="B451" s="6"/>
      <c r="C451" s="6"/>
      <c r="D451" s="6"/>
      <c r="E451" s="6"/>
      <c r="F451" s="6"/>
      <c r="G451" s="6"/>
      <c r="H451" s="6"/>
      <c r="I451" s="6"/>
      <c r="J451" s="6"/>
      <c r="K451" s="6"/>
      <c r="L451" s="6"/>
      <c r="M451" s="6"/>
      <c r="N451" s="6"/>
      <c r="O451" s="6"/>
      <c r="P451" s="6"/>
      <c r="Q451" s="6"/>
      <c r="R451" s="6"/>
      <c r="S451" s="6"/>
      <c r="T451" s="5"/>
    </row>
    <row r="452" spans="1:20">
      <c r="A452" s="6"/>
      <c r="B452" s="6"/>
      <c r="C452" s="6"/>
      <c r="D452" s="6"/>
      <c r="E452" s="6"/>
      <c r="F452" s="6"/>
      <c r="G452" s="6"/>
      <c r="H452" s="6"/>
      <c r="I452" s="6"/>
      <c r="J452" s="6"/>
      <c r="K452" s="6"/>
      <c r="L452" s="6"/>
      <c r="M452" s="6"/>
      <c r="N452" s="6"/>
      <c r="O452" s="6"/>
      <c r="P452" s="6"/>
      <c r="Q452" s="6"/>
      <c r="R452" s="6"/>
      <c r="S452" s="6"/>
      <c r="T452" s="5"/>
    </row>
    <row r="453" spans="1:20">
      <c r="A453" s="6"/>
      <c r="B453" s="6"/>
      <c r="C453" s="6"/>
      <c r="D453" s="6"/>
      <c r="E453" s="6"/>
      <c r="F453" s="6"/>
      <c r="G453" s="6"/>
      <c r="H453" s="6"/>
      <c r="I453" s="6"/>
      <c r="J453" s="6"/>
      <c r="K453" s="6"/>
      <c r="L453" s="6"/>
      <c r="M453" s="6"/>
      <c r="N453" s="6"/>
      <c r="O453" s="6"/>
      <c r="P453" s="6"/>
      <c r="Q453" s="6"/>
      <c r="R453" s="6"/>
      <c r="S453" s="6"/>
      <c r="T453" s="5"/>
    </row>
    <row r="454" spans="1:20">
      <c r="A454" s="6"/>
      <c r="B454" s="6"/>
      <c r="C454" s="6"/>
      <c r="D454" s="6"/>
      <c r="E454" s="6"/>
      <c r="F454" s="6"/>
      <c r="G454" s="6"/>
      <c r="H454" s="6"/>
      <c r="I454" s="6"/>
      <c r="J454" s="6"/>
      <c r="K454" s="6"/>
      <c r="L454" s="6"/>
      <c r="M454" s="6"/>
      <c r="N454" s="6"/>
      <c r="O454" s="6"/>
      <c r="P454" s="6"/>
      <c r="Q454" s="6"/>
      <c r="R454" s="6"/>
      <c r="S454" s="6"/>
      <c r="T454" s="5"/>
    </row>
    <row r="455" spans="1:20">
      <c r="A455" s="6"/>
      <c r="B455" s="6"/>
      <c r="C455" s="6"/>
      <c r="D455" s="6"/>
      <c r="E455" s="6"/>
      <c r="F455" s="6"/>
      <c r="G455" s="6"/>
      <c r="H455" s="6"/>
      <c r="I455" s="6"/>
      <c r="J455" s="6"/>
      <c r="K455" s="6"/>
      <c r="L455" s="6"/>
      <c r="M455" s="6"/>
      <c r="N455" s="6"/>
      <c r="O455" s="6"/>
      <c r="P455" s="6"/>
      <c r="Q455" s="6"/>
      <c r="R455" s="6"/>
      <c r="S455" s="6"/>
      <c r="T455" s="5"/>
    </row>
    <row r="456" spans="1:20">
      <c r="A456" s="6"/>
      <c r="B456" s="6"/>
      <c r="C456" s="6"/>
      <c r="D456" s="6"/>
      <c r="E456" s="6"/>
      <c r="F456" s="6"/>
      <c r="G456" s="6"/>
      <c r="H456" s="6"/>
      <c r="I456" s="6"/>
      <c r="J456" s="6"/>
      <c r="K456" s="6"/>
      <c r="L456" s="6"/>
      <c r="M456" s="6"/>
      <c r="N456" s="6"/>
      <c r="O456" s="6"/>
      <c r="P456" s="6"/>
      <c r="Q456" s="6"/>
      <c r="R456" s="6"/>
      <c r="S456" s="6"/>
      <c r="T456" s="5"/>
    </row>
    <row r="457" spans="1:20">
      <c r="A457" s="6"/>
      <c r="B457" s="6"/>
      <c r="C457" s="6"/>
      <c r="D457" s="6"/>
      <c r="E457" s="6"/>
      <c r="F457" s="6"/>
      <c r="G457" s="6"/>
      <c r="H457" s="6"/>
      <c r="I457" s="6"/>
      <c r="J457" s="6"/>
      <c r="K457" s="6"/>
      <c r="L457" s="6"/>
      <c r="M457" s="6"/>
      <c r="N457" s="6"/>
      <c r="O457" s="6"/>
      <c r="P457" s="6"/>
      <c r="Q457" s="6"/>
      <c r="R457" s="6"/>
      <c r="S457" s="6"/>
      <c r="T457" s="5"/>
    </row>
    <row r="458" spans="1:20">
      <c r="A458" s="6"/>
      <c r="B458" s="6"/>
      <c r="C458" s="6"/>
      <c r="D458" s="6"/>
      <c r="E458" s="6"/>
      <c r="F458" s="6"/>
      <c r="G458" s="6"/>
      <c r="H458" s="6"/>
      <c r="I458" s="6"/>
      <c r="J458" s="6"/>
      <c r="K458" s="6"/>
      <c r="L458" s="6"/>
      <c r="M458" s="6"/>
      <c r="N458" s="6"/>
      <c r="O458" s="6"/>
      <c r="P458" s="6"/>
      <c r="Q458" s="6"/>
      <c r="R458" s="6"/>
      <c r="S458" s="6"/>
      <c r="T458" s="5"/>
    </row>
    <row r="459" spans="1:20">
      <c r="A459" s="6"/>
      <c r="B459" s="6"/>
      <c r="C459" s="6"/>
      <c r="D459" s="6"/>
      <c r="E459" s="6"/>
      <c r="F459" s="6"/>
      <c r="G459" s="6"/>
      <c r="H459" s="6"/>
      <c r="I459" s="6"/>
      <c r="J459" s="6"/>
      <c r="K459" s="6"/>
      <c r="L459" s="6"/>
      <c r="M459" s="6"/>
      <c r="N459" s="6"/>
      <c r="O459" s="6"/>
      <c r="P459" s="6"/>
      <c r="Q459" s="6"/>
      <c r="R459" s="6"/>
      <c r="S459" s="6"/>
      <c r="T459" s="5"/>
    </row>
    <row r="460" spans="1:20">
      <c r="A460" s="6"/>
      <c r="B460" s="6"/>
      <c r="C460" s="6"/>
      <c r="D460" s="6"/>
      <c r="E460" s="6"/>
      <c r="F460" s="6"/>
      <c r="G460" s="6"/>
      <c r="H460" s="6"/>
      <c r="I460" s="6"/>
      <c r="J460" s="6"/>
      <c r="K460" s="6"/>
      <c r="L460" s="6"/>
      <c r="M460" s="6"/>
      <c r="N460" s="6"/>
      <c r="O460" s="6"/>
      <c r="P460" s="6"/>
      <c r="Q460" s="6"/>
      <c r="R460" s="6"/>
      <c r="S460" s="6"/>
      <c r="T460" s="5"/>
    </row>
    <row r="461" spans="1:20">
      <c r="A461" s="6"/>
      <c r="B461" s="6"/>
      <c r="C461" s="6"/>
      <c r="D461" s="6"/>
      <c r="E461" s="6"/>
      <c r="F461" s="6"/>
      <c r="G461" s="6"/>
      <c r="H461" s="6"/>
      <c r="I461" s="6"/>
      <c r="J461" s="6"/>
      <c r="K461" s="6"/>
      <c r="L461" s="6"/>
      <c r="M461" s="6"/>
      <c r="N461" s="6"/>
      <c r="O461" s="6"/>
      <c r="P461" s="6"/>
      <c r="Q461" s="6"/>
      <c r="R461" s="6"/>
      <c r="S461" s="6"/>
      <c r="T461" s="5"/>
    </row>
    <row r="462" spans="1:20">
      <c r="A462" s="6"/>
      <c r="B462" s="6"/>
      <c r="C462" s="6"/>
      <c r="D462" s="6"/>
      <c r="E462" s="6"/>
      <c r="F462" s="6"/>
      <c r="G462" s="6"/>
      <c r="H462" s="6"/>
      <c r="I462" s="6"/>
      <c r="J462" s="6"/>
      <c r="K462" s="6"/>
      <c r="L462" s="6"/>
      <c r="M462" s="6"/>
      <c r="N462" s="6"/>
      <c r="O462" s="6"/>
      <c r="P462" s="6"/>
      <c r="Q462" s="6"/>
      <c r="R462" s="6"/>
      <c r="S462" s="6"/>
      <c r="T462" s="5"/>
    </row>
    <row r="463" spans="1:20">
      <c r="A463" s="6"/>
      <c r="B463" s="6"/>
      <c r="C463" s="6"/>
      <c r="D463" s="6"/>
      <c r="E463" s="6"/>
      <c r="F463" s="6"/>
      <c r="G463" s="6"/>
      <c r="H463" s="6"/>
      <c r="I463" s="6"/>
      <c r="J463" s="6"/>
      <c r="K463" s="6"/>
      <c r="L463" s="6"/>
      <c r="M463" s="6"/>
      <c r="N463" s="6"/>
      <c r="O463" s="6"/>
      <c r="P463" s="6"/>
      <c r="Q463" s="6"/>
      <c r="R463" s="6"/>
      <c r="S463" s="6"/>
      <c r="T463" s="5"/>
    </row>
    <row r="464" spans="1:20">
      <c r="A464" s="6"/>
      <c r="B464" s="6"/>
      <c r="C464" s="6"/>
      <c r="D464" s="6"/>
      <c r="E464" s="6"/>
      <c r="F464" s="6"/>
      <c r="G464" s="6"/>
      <c r="H464" s="6"/>
      <c r="I464" s="6"/>
      <c r="J464" s="6"/>
      <c r="K464" s="6"/>
      <c r="L464" s="6"/>
      <c r="M464" s="6"/>
      <c r="N464" s="6"/>
      <c r="O464" s="6"/>
      <c r="P464" s="6"/>
      <c r="Q464" s="6"/>
      <c r="R464" s="6"/>
      <c r="S464" s="6"/>
      <c r="T464" s="5"/>
    </row>
    <row r="465" spans="1:20">
      <c r="A465" s="6"/>
      <c r="B465" s="6"/>
      <c r="C465" s="6"/>
      <c r="D465" s="6"/>
      <c r="E465" s="6"/>
      <c r="F465" s="6"/>
      <c r="G465" s="6"/>
      <c r="H465" s="6"/>
      <c r="I465" s="6"/>
      <c r="J465" s="6"/>
      <c r="K465" s="6"/>
      <c r="L465" s="6"/>
      <c r="M465" s="6"/>
      <c r="N465" s="6"/>
      <c r="O465" s="6"/>
      <c r="P465" s="6"/>
      <c r="Q465" s="6"/>
      <c r="R465" s="6"/>
      <c r="S465" s="6"/>
      <c r="T465" s="5"/>
    </row>
    <row r="466" spans="1:20">
      <c r="A466" s="6"/>
      <c r="B466" s="6"/>
      <c r="C466" s="6"/>
      <c r="D466" s="6"/>
      <c r="E466" s="6"/>
      <c r="F466" s="6"/>
      <c r="G466" s="6"/>
      <c r="H466" s="6"/>
      <c r="I466" s="6"/>
      <c r="J466" s="6"/>
      <c r="K466" s="6"/>
      <c r="L466" s="6"/>
      <c r="M466" s="6"/>
      <c r="N466" s="6"/>
      <c r="O466" s="6"/>
      <c r="P466" s="6"/>
      <c r="Q466" s="6"/>
      <c r="R466" s="6"/>
      <c r="S466" s="6"/>
      <c r="T466" s="5"/>
    </row>
    <row r="467" spans="1:20">
      <c r="A467" s="6"/>
      <c r="B467" s="6"/>
      <c r="C467" s="6"/>
      <c r="D467" s="6"/>
      <c r="E467" s="6"/>
      <c r="F467" s="6"/>
      <c r="G467" s="6"/>
      <c r="H467" s="6"/>
      <c r="I467" s="6"/>
      <c r="J467" s="6"/>
      <c r="K467" s="6"/>
      <c r="L467" s="6"/>
      <c r="M467" s="6"/>
      <c r="N467" s="6"/>
      <c r="O467" s="6"/>
      <c r="P467" s="6"/>
      <c r="Q467" s="6"/>
      <c r="R467" s="6"/>
      <c r="S467" s="6"/>
      <c r="T467" s="5"/>
    </row>
    <row r="468" spans="1:20">
      <c r="A468" s="6"/>
      <c r="B468" s="6"/>
      <c r="C468" s="6"/>
      <c r="D468" s="6"/>
      <c r="E468" s="6"/>
      <c r="F468" s="6"/>
      <c r="G468" s="6"/>
      <c r="H468" s="6"/>
      <c r="I468" s="6"/>
      <c r="J468" s="6"/>
      <c r="K468" s="6"/>
      <c r="L468" s="6"/>
      <c r="M468" s="6"/>
      <c r="N468" s="6"/>
      <c r="O468" s="6"/>
      <c r="P468" s="6"/>
      <c r="Q468" s="6"/>
      <c r="R468" s="6"/>
      <c r="S468" s="6"/>
      <c r="T468" s="5"/>
    </row>
    <row r="469" spans="1:20">
      <c r="A469" s="6"/>
      <c r="B469" s="6"/>
      <c r="C469" s="6"/>
      <c r="D469" s="6"/>
      <c r="E469" s="6"/>
      <c r="F469" s="6"/>
      <c r="G469" s="6"/>
      <c r="H469" s="6"/>
      <c r="I469" s="6"/>
      <c r="J469" s="6"/>
      <c r="K469" s="6"/>
      <c r="L469" s="6"/>
      <c r="M469" s="6"/>
      <c r="N469" s="6"/>
      <c r="O469" s="6"/>
      <c r="P469" s="6"/>
      <c r="Q469" s="6"/>
      <c r="R469" s="6"/>
      <c r="S469" s="6"/>
      <c r="T469" s="5"/>
    </row>
    <row r="470" spans="1:20">
      <c r="A470" s="6"/>
      <c r="B470" s="6"/>
      <c r="C470" s="6"/>
      <c r="D470" s="6"/>
      <c r="E470" s="6"/>
      <c r="F470" s="6"/>
      <c r="G470" s="6"/>
      <c r="H470" s="6"/>
      <c r="I470" s="6"/>
      <c r="J470" s="6"/>
      <c r="K470" s="6"/>
      <c r="L470" s="6"/>
      <c r="M470" s="6"/>
      <c r="N470" s="6"/>
      <c r="O470" s="6"/>
      <c r="P470" s="6"/>
      <c r="Q470" s="6"/>
      <c r="R470" s="6"/>
      <c r="S470" s="6"/>
      <c r="T470" s="5"/>
    </row>
    <row r="471" spans="1:20">
      <c r="A471" s="6"/>
      <c r="B471" s="6"/>
      <c r="C471" s="6"/>
      <c r="D471" s="6"/>
      <c r="E471" s="6"/>
      <c r="F471" s="6"/>
      <c r="G471" s="6"/>
      <c r="H471" s="6"/>
      <c r="I471" s="6"/>
      <c r="J471" s="6"/>
      <c r="K471" s="6"/>
      <c r="L471" s="6"/>
      <c r="M471" s="6"/>
      <c r="N471" s="6"/>
      <c r="O471" s="6"/>
      <c r="P471" s="6"/>
      <c r="Q471" s="6"/>
      <c r="R471" s="6"/>
      <c r="S471" s="6"/>
      <c r="T471" s="5"/>
    </row>
    <row r="472" spans="1:20">
      <c r="A472" s="6"/>
      <c r="B472" s="6"/>
      <c r="C472" s="6"/>
      <c r="D472" s="6"/>
      <c r="E472" s="6"/>
      <c r="F472" s="6"/>
      <c r="G472" s="6"/>
      <c r="H472" s="6"/>
      <c r="I472" s="6"/>
      <c r="J472" s="6"/>
      <c r="K472" s="6"/>
      <c r="L472" s="6"/>
      <c r="M472" s="6"/>
      <c r="N472" s="6"/>
      <c r="O472" s="6"/>
      <c r="P472" s="6"/>
      <c r="Q472" s="6"/>
      <c r="R472" s="6"/>
      <c r="S472" s="6"/>
      <c r="T472" s="5"/>
    </row>
    <row r="473" spans="1:20">
      <c r="A473" s="6"/>
      <c r="B473" s="6"/>
      <c r="C473" s="6"/>
      <c r="D473" s="6"/>
      <c r="E473" s="6"/>
      <c r="F473" s="6"/>
      <c r="G473" s="6"/>
      <c r="H473" s="6"/>
      <c r="I473" s="6"/>
      <c r="J473" s="6"/>
      <c r="K473" s="6"/>
      <c r="L473" s="6"/>
      <c r="M473" s="6"/>
      <c r="N473" s="6"/>
      <c r="O473" s="6"/>
      <c r="P473" s="6"/>
      <c r="Q473" s="6"/>
      <c r="R473" s="6"/>
      <c r="S473" s="6"/>
      <c r="T473" s="5"/>
    </row>
    <row r="474" spans="1:20">
      <c r="A474" s="6"/>
      <c r="B474" s="6"/>
      <c r="C474" s="6"/>
      <c r="D474" s="6"/>
      <c r="E474" s="6"/>
      <c r="F474" s="6"/>
      <c r="G474" s="6"/>
      <c r="H474" s="6"/>
      <c r="I474" s="6"/>
      <c r="J474" s="6"/>
      <c r="K474" s="6"/>
      <c r="L474" s="6"/>
      <c r="M474" s="6"/>
      <c r="N474" s="6"/>
      <c r="O474" s="6"/>
      <c r="P474" s="6"/>
      <c r="Q474" s="6"/>
      <c r="R474" s="6"/>
      <c r="S474" s="6"/>
      <c r="T474" s="5"/>
    </row>
    <row r="475" spans="1:20">
      <c r="A475" s="6"/>
      <c r="B475" s="6"/>
      <c r="C475" s="6"/>
      <c r="D475" s="6"/>
      <c r="E475" s="6"/>
      <c r="F475" s="6"/>
      <c r="G475" s="6"/>
      <c r="H475" s="6"/>
      <c r="I475" s="6"/>
      <c r="J475" s="6"/>
      <c r="K475" s="6"/>
      <c r="L475" s="6"/>
      <c r="M475" s="6"/>
      <c r="N475" s="6"/>
      <c r="O475" s="6"/>
      <c r="P475" s="6"/>
      <c r="Q475" s="6"/>
      <c r="R475" s="6"/>
      <c r="S475" s="6"/>
      <c r="T475" s="5"/>
    </row>
    <row r="476" spans="1:20">
      <c r="A476" s="6"/>
      <c r="B476" s="6"/>
      <c r="C476" s="6"/>
      <c r="D476" s="6"/>
      <c r="E476" s="6"/>
      <c r="F476" s="6"/>
      <c r="G476" s="6"/>
      <c r="H476" s="6"/>
      <c r="I476" s="6"/>
      <c r="J476" s="6"/>
      <c r="K476" s="6"/>
      <c r="L476" s="6"/>
      <c r="M476" s="6"/>
      <c r="N476" s="6"/>
      <c r="O476" s="6"/>
      <c r="P476" s="6"/>
      <c r="Q476" s="6"/>
      <c r="R476" s="6"/>
      <c r="S476" s="6"/>
      <c r="T476" s="5"/>
    </row>
    <row r="477" spans="1:20">
      <c r="A477" s="6"/>
      <c r="B477" s="6"/>
      <c r="C477" s="6"/>
      <c r="D477" s="6"/>
      <c r="E477" s="6"/>
      <c r="F477" s="6"/>
      <c r="G477" s="6"/>
      <c r="H477" s="6"/>
      <c r="I477" s="6"/>
      <c r="J477" s="6"/>
      <c r="K477" s="6"/>
      <c r="L477" s="6"/>
      <c r="M477" s="6"/>
      <c r="N477" s="6"/>
      <c r="O477" s="6"/>
      <c r="P477" s="6"/>
      <c r="Q477" s="6"/>
      <c r="R477" s="6"/>
      <c r="S477" s="6"/>
      <c r="T477" s="5"/>
    </row>
    <row r="478" spans="1:20">
      <c r="A478" s="6"/>
      <c r="B478" s="6"/>
      <c r="C478" s="6"/>
      <c r="D478" s="6"/>
      <c r="E478" s="6"/>
      <c r="F478" s="6"/>
      <c r="G478" s="6"/>
      <c r="H478" s="6"/>
      <c r="I478" s="6"/>
      <c r="J478" s="6"/>
      <c r="K478" s="6"/>
      <c r="L478" s="6"/>
      <c r="M478" s="6"/>
      <c r="N478" s="6"/>
      <c r="O478" s="6"/>
      <c r="P478" s="6"/>
      <c r="Q478" s="6"/>
      <c r="R478" s="6"/>
      <c r="S478" s="6"/>
      <c r="T478" s="5"/>
    </row>
    <row r="479" spans="1:20">
      <c r="A479" s="6"/>
      <c r="B479" s="6"/>
      <c r="C479" s="6"/>
      <c r="D479" s="6"/>
      <c r="E479" s="6"/>
      <c r="F479" s="6"/>
      <c r="G479" s="6"/>
      <c r="H479" s="6"/>
      <c r="I479" s="6"/>
      <c r="J479" s="6"/>
      <c r="K479" s="6"/>
      <c r="L479" s="6"/>
      <c r="M479" s="6"/>
      <c r="N479" s="6"/>
      <c r="O479" s="6"/>
      <c r="P479" s="6"/>
      <c r="Q479" s="6"/>
      <c r="R479" s="6"/>
      <c r="S479" s="6"/>
      <c r="T479" s="5"/>
    </row>
    <row r="480" spans="1:20">
      <c r="A480" s="6"/>
      <c r="B480" s="6"/>
      <c r="C480" s="6"/>
      <c r="D480" s="6"/>
      <c r="E480" s="6"/>
      <c r="F480" s="6"/>
      <c r="G480" s="6"/>
      <c r="H480" s="6"/>
      <c r="I480" s="6"/>
      <c r="J480" s="6"/>
      <c r="K480" s="6"/>
      <c r="L480" s="6"/>
      <c r="M480" s="6"/>
      <c r="N480" s="6"/>
      <c r="O480" s="6"/>
      <c r="P480" s="6"/>
      <c r="Q480" s="6"/>
      <c r="R480" s="6"/>
      <c r="S480" s="6"/>
      <c r="T480" s="5"/>
    </row>
    <row r="481" spans="1:20">
      <c r="A481" s="6"/>
      <c r="B481" s="6"/>
      <c r="C481" s="6"/>
      <c r="D481" s="6"/>
      <c r="E481" s="6"/>
      <c r="F481" s="6"/>
      <c r="G481" s="6"/>
      <c r="H481" s="6"/>
      <c r="I481" s="6"/>
      <c r="J481" s="6"/>
      <c r="K481" s="6"/>
      <c r="L481" s="6"/>
      <c r="M481" s="6"/>
      <c r="N481" s="6"/>
      <c r="O481" s="6"/>
      <c r="P481" s="6"/>
      <c r="Q481" s="6"/>
      <c r="R481" s="6"/>
      <c r="S481" s="6"/>
      <c r="T481" s="5"/>
    </row>
    <row r="482" spans="1:20">
      <c r="A482" s="6"/>
      <c r="B482" s="6"/>
      <c r="C482" s="6"/>
      <c r="D482" s="6"/>
      <c r="E482" s="6"/>
      <c r="F482" s="6"/>
      <c r="G482" s="6"/>
      <c r="H482" s="6"/>
      <c r="I482" s="6"/>
      <c r="J482" s="6"/>
      <c r="K482" s="6"/>
      <c r="L482" s="6"/>
      <c r="M482" s="6"/>
      <c r="N482" s="6"/>
      <c r="O482" s="6"/>
      <c r="P482" s="6"/>
      <c r="Q482" s="6"/>
      <c r="R482" s="6"/>
      <c r="S482" s="6"/>
      <c r="T482" s="5"/>
    </row>
    <row r="483" spans="1:20">
      <c r="A483" s="6"/>
      <c r="B483" s="6"/>
      <c r="C483" s="6"/>
      <c r="D483" s="6"/>
      <c r="E483" s="6"/>
      <c r="F483" s="6"/>
      <c r="G483" s="6"/>
      <c r="H483" s="6"/>
      <c r="I483" s="6"/>
      <c r="J483" s="6"/>
      <c r="K483" s="6"/>
      <c r="L483" s="6"/>
      <c r="M483" s="6"/>
      <c r="N483" s="6"/>
      <c r="O483" s="6"/>
      <c r="P483" s="6"/>
      <c r="Q483" s="6"/>
      <c r="R483" s="6"/>
      <c r="S483" s="6"/>
      <c r="T483" s="5"/>
    </row>
    <row r="484" spans="1:20">
      <c r="A484" s="6"/>
      <c r="B484" s="6"/>
      <c r="C484" s="6"/>
      <c r="D484" s="6"/>
      <c r="E484" s="6"/>
      <c r="F484" s="6"/>
      <c r="G484" s="6"/>
      <c r="H484" s="6"/>
      <c r="I484" s="6"/>
      <c r="J484" s="6"/>
      <c r="K484" s="6"/>
      <c r="L484" s="6"/>
      <c r="M484" s="6"/>
      <c r="N484" s="6"/>
      <c r="O484" s="6"/>
      <c r="P484" s="6"/>
      <c r="Q484" s="6"/>
      <c r="R484" s="6"/>
      <c r="S484" s="6"/>
      <c r="T484" s="5"/>
    </row>
    <row r="485" spans="1:20">
      <c r="A485" s="6"/>
      <c r="B485" s="6"/>
      <c r="C485" s="6"/>
      <c r="D485" s="6"/>
      <c r="E485" s="6"/>
      <c r="F485" s="6"/>
      <c r="G485" s="6"/>
      <c r="H485" s="6"/>
      <c r="I485" s="6"/>
      <c r="J485" s="6"/>
      <c r="K485" s="6"/>
      <c r="L485" s="6"/>
      <c r="M485" s="6"/>
      <c r="N485" s="6"/>
      <c r="O485" s="6"/>
      <c r="P485" s="6"/>
      <c r="Q485" s="6"/>
      <c r="R485" s="6"/>
      <c r="S485" s="6"/>
      <c r="T485" s="5"/>
    </row>
    <row r="486" spans="1:20">
      <c r="A486" s="6"/>
      <c r="B486" s="6"/>
      <c r="C486" s="6"/>
      <c r="D486" s="6"/>
      <c r="E486" s="6"/>
      <c r="F486" s="6"/>
      <c r="G486" s="6"/>
      <c r="H486" s="6"/>
      <c r="I486" s="6"/>
      <c r="J486" s="6"/>
      <c r="K486" s="6"/>
      <c r="L486" s="6"/>
      <c r="M486" s="6"/>
      <c r="N486" s="6"/>
      <c r="O486" s="6"/>
      <c r="P486" s="6"/>
      <c r="Q486" s="6"/>
      <c r="R486" s="6"/>
      <c r="S486" s="6"/>
      <c r="T486" s="5"/>
    </row>
    <row r="487" spans="1:20">
      <c r="A487" s="6"/>
      <c r="B487" s="6"/>
      <c r="C487" s="6"/>
      <c r="D487" s="6"/>
      <c r="E487" s="6"/>
      <c r="F487" s="6"/>
      <c r="G487" s="6"/>
      <c r="H487" s="6"/>
      <c r="I487" s="6"/>
      <c r="J487" s="6"/>
      <c r="K487" s="6"/>
      <c r="L487" s="6"/>
      <c r="M487" s="6"/>
      <c r="N487" s="6"/>
      <c r="O487" s="6"/>
      <c r="P487" s="6"/>
      <c r="Q487" s="6"/>
      <c r="R487" s="6"/>
      <c r="S487" s="6"/>
      <c r="T487" s="5"/>
    </row>
    <row r="488" spans="1:20">
      <c r="A488" s="6"/>
      <c r="B488" s="6"/>
      <c r="C488" s="6"/>
      <c r="D488" s="6"/>
      <c r="E488" s="6"/>
      <c r="F488" s="6"/>
      <c r="G488" s="6"/>
      <c r="H488" s="6"/>
      <c r="I488" s="6"/>
      <c r="J488" s="6"/>
      <c r="K488" s="6"/>
      <c r="L488" s="6"/>
      <c r="M488" s="6"/>
      <c r="N488" s="6"/>
      <c r="O488" s="6"/>
      <c r="P488" s="6"/>
      <c r="Q488" s="6"/>
      <c r="R488" s="6"/>
      <c r="S488" s="6"/>
      <c r="T488" s="5"/>
    </row>
    <row r="489" spans="1:20">
      <c r="A489" s="6"/>
      <c r="B489" s="6"/>
      <c r="C489" s="6"/>
      <c r="D489" s="6"/>
      <c r="E489" s="6"/>
      <c r="F489" s="6"/>
      <c r="G489" s="6"/>
      <c r="H489" s="6"/>
      <c r="I489" s="6"/>
      <c r="J489" s="6"/>
      <c r="K489" s="6"/>
      <c r="L489" s="6"/>
      <c r="M489" s="6"/>
      <c r="N489" s="6"/>
      <c r="O489" s="6"/>
      <c r="P489" s="6"/>
      <c r="Q489" s="6"/>
      <c r="R489" s="6"/>
      <c r="S489" s="6"/>
      <c r="T489" s="5"/>
    </row>
    <row r="490" spans="1:20">
      <c r="A490" s="6"/>
      <c r="B490" s="6"/>
      <c r="C490" s="6"/>
      <c r="D490" s="6"/>
      <c r="E490" s="6"/>
      <c r="F490" s="6"/>
      <c r="G490" s="6"/>
      <c r="H490" s="6"/>
      <c r="I490" s="6"/>
      <c r="J490" s="6"/>
      <c r="K490" s="6"/>
      <c r="L490" s="6"/>
      <c r="M490" s="6"/>
      <c r="N490" s="6"/>
      <c r="O490" s="6"/>
      <c r="P490" s="6"/>
      <c r="Q490" s="6"/>
      <c r="R490" s="6"/>
      <c r="S490" s="6"/>
      <c r="T490" s="5"/>
    </row>
    <row r="491" spans="1:20">
      <c r="A491" s="6"/>
      <c r="B491" s="6"/>
      <c r="C491" s="6"/>
      <c r="D491" s="6"/>
      <c r="E491" s="6"/>
      <c r="F491" s="6"/>
      <c r="G491" s="6"/>
      <c r="H491" s="6"/>
      <c r="I491" s="6"/>
      <c r="J491" s="6"/>
      <c r="K491" s="6"/>
      <c r="L491" s="6"/>
      <c r="M491" s="6"/>
      <c r="N491" s="6"/>
      <c r="O491" s="6"/>
      <c r="P491" s="6"/>
      <c r="Q491" s="6"/>
      <c r="R491" s="6"/>
      <c r="S491" s="6"/>
      <c r="T491" s="5"/>
    </row>
    <row r="492" spans="1:20">
      <c r="A492" s="6"/>
      <c r="B492" s="6"/>
      <c r="C492" s="6"/>
      <c r="D492" s="6"/>
      <c r="E492" s="6"/>
      <c r="F492" s="6"/>
      <c r="G492" s="6"/>
      <c r="H492" s="6"/>
      <c r="I492" s="6"/>
      <c r="J492" s="6"/>
      <c r="K492" s="6"/>
      <c r="L492" s="6"/>
      <c r="M492" s="6"/>
      <c r="N492" s="6"/>
      <c r="O492" s="6"/>
      <c r="P492" s="6"/>
      <c r="Q492" s="6"/>
      <c r="R492" s="6"/>
      <c r="S492" s="6"/>
      <c r="T492" s="5"/>
    </row>
    <row r="493" spans="1:20">
      <c r="A493" s="6"/>
      <c r="B493" s="6"/>
      <c r="C493" s="6"/>
      <c r="D493" s="6"/>
      <c r="E493" s="6"/>
      <c r="F493" s="6"/>
      <c r="G493" s="6"/>
      <c r="H493" s="6"/>
      <c r="I493" s="6"/>
      <c r="J493" s="6"/>
      <c r="K493" s="6"/>
      <c r="L493" s="6"/>
      <c r="M493" s="6"/>
      <c r="N493" s="6"/>
      <c r="O493" s="6"/>
      <c r="P493" s="6"/>
      <c r="Q493" s="6"/>
      <c r="R493" s="6"/>
      <c r="S493" s="6"/>
      <c r="T493" s="5"/>
    </row>
    <row r="494" spans="1:20">
      <c r="A494" s="6"/>
      <c r="B494" s="6"/>
      <c r="C494" s="6"/>
      <c r="D494" s="6"/>
      <c r="E494" s="6"/>
      <c r="F494" s="6"/>
      <c r="G494" s="6"/>
      <c r="H494" s="6"/>
      <c r="I494" s="6"/>
      <c r="J494" s="6"/>
      <c r="K494" s="6"/>
      <c r="L494" s="6"/>
      <c r="M494" s="6"/>
      <c r="N494" s="6"/>
      <c r="O494" s="6"/>
      <c r="P494" s="6"/>
      <c r="Q494" s="6"/>
      <c r="R494" s="6"/>
      <c r="S494" s="6"/>
      <c r="T494" s="5"/>
    </row>
    <row r="495" spans="1:20">
      <c r="A495" s="6"/>
      <c r="B495" s="6"/>
      <c r="C495" s="6"/>
      <c r="D495" s="6"/>
      <c r="E495" s="6"/>
      <c r="F495" s="6"/>
      <c r="G495" s="6"/>
      <c r="H495" s="6"/>
      <c r="I495" s="6"/>
      <c r="J495" s="6"/>
      <c r="K495" s="6"/>
      <c r="L495" s="6"/>
      <c r="M495" s="6"/>
      <c r="N495" s="6"/>
      <c r="O495" s="6"/>
      <c r="P495" s="6"/>
      <c r="Q495" s="6"/>
      <c r="R495" s="6"/>
      <c r="S495" s="6"/>
      <c r="T495" s="5"/>
    </row>
    <row r="496" spans="1:20">
      <c r="A496" s="6"/>
      <c r="B496" s="6"/>
      <c r="C496" s="6"/>
      <c r="D496" s="6"/>
      <c r="E496" s="6"/>
      <c r="F496" s="6"/>
      <c r="G496" s="6"/>
      <c r="H496" s="6"/>
      <c r="I496" s="6"/>
      <c r="J496" s="6"/>
      <c r="K496" s="6"/>
      <c r="L496" s="6"/>
      <c r="M496" s="6"/>
      <c r="N496" s="6"/>
      <c r="O496" s="6"/>
      <c r="P496" s="6"/>
      <c r="Q496" s="6"/>
      <c r="R496" s="6"/>
      <c r="S496" s="6"/>
      <c r="T496" s="5"/>
    </row>
    <row r="497" spans="1:20">
      <c r="A497" s="6"/>
      <c r="B497" s="6"/>
      <c r="C497" s="6"/>
      <c r="D497" s="6"/>
      <c r="E497" s="6"/>
      <c r="F497" s="6"/>
      <c r="G497" s="6"/>
      <c r="H497" s="6"/>
      <c r="I497" s="6"/>
      <c r="J497" s="6"/>
      <c r="K497" s="6"/>
      <c r="L497" s="6"/>
      <c r="M497" s="6"/>
      <c r="N497" s="6"/>
      <c r="O497" s="6"/>
      <c r="P497" s="6"/>
      <c r="Q497" s="6"/>
      <c r="R497" s="6"/>
      <c r="S497" s="6"/>
      <c r="T497" s="5"/>
    </row>
    <row r="498" spans="1:20">
      <c r="A498" s="6"/>
      <c r="B498" s="6"/>
      <c r="C498" s="6"/>
      <c r="D498" s="6"/>
      <c r="E498" s="6"/>
      <c r="F498" s="6"/>
      <c r="G498" s="6"/>
      <c r="H498" s="6"/>
      <c r="I498" s="6"/>
      <c r="J498" s="6"/>
      <c r="K498" s="6"/>
      <c r="L498" s="6"/>
      <c r="M498" s="6"/>
      <c r="N498" s="6"/>
      <c r="O498" s="6"/>
      <c r="P498" s="6"/>
      <c r="Q498" s="6"/>
      <c r="R498" s="6"/>
      <c r="S498" s="6"/>
      <c r="T498" s="5"/>
    </row>
    <row r="499" spans="1:20">
      <c r="A499" s="6"/>
      <c r="B499" s="6"/>
      <c r="C499" s="6"/>
      <c r="D499" s="6"/>
      <c r="E499" s="6"/>
      <c r="F499" s="6"/>
      <c r="G499" s="6"/>
      <c r="H499" s="6"/>
      <c r="I499" s="6"/>
      <c r="J499" s="6"/>
      <c r="K499" s="6"/>
      <c r="L499" s="6"/>
      <c r="M499" s="6"/>
      <c r="N499" s="6"/>
      <c r="O499" s="6"/>
      <c r="P499" s="6"/>
      <c r="Q499" s="6"/>
      <c r="R499" s="6"/>
      <c r="S499" s="6"/>
      <c r="T499" s="5"/>
    </row>
    <row r="500" spans="1:20">
      <c r="A500" s="6"/>
      <c r="B500" s="6"/>
      <c r="C500" s="6"/>
      <c r="D500" s="6"/>
      <c r="E500" s="6"/>
      <c r="F500" s="6"/>
      <c r="G500" s="6"/>
      <c r="H500" s="6"/>
      <c r="I500" s="6"/>
      <c r="J500" s="6"/>
      <c r="K500" s="6"/>
      <c r="L500" s="6"/>
      <c r="M500" s="6"/>
      <c r="N500" s="6"/>
      <c r="O500" s="6"/>
      <c r="P500" s="6"/>
      <c r="Q500" s="6"/>
      <c r="R500" s="6"/>
      <c r="S500" s="6"/>
      <c r="T500" s="5"/>
    </row>
    <row r="501" spans="1:20">
      <c r="A501" s="6"/>
      <c r="B501" s="6"/>
      <c r="C501" s="6"/>
      <c r="D501" s="6"/>
      <c r="E501" s="6"/>
      <c r="F501" s="6"/>
      <c r="G501" s="6"/>
      <c r="H501" s="6"/>
      <c r="I501" s="6"/>
      <c r="J501" s="6"/>
      <c r="K501" s="6"/>
      <c r="L501" s="6"/>
      <c r="M501" s="6"/>
      <c r="N501" s="6"/>
      <c r="O501" s="6"/>
      <c r="P501" s="6"/>
      <c r="Q501" s="6"/>
      <c r="R501" s="6"/>
      <c r="S501" s="6"/>
      <c r="T501" s="5"/>
    </row>
    <row r="502" spans="1:20">
      <c r="A502" s="6"/>
      <c r="B502" s="6"/>
      <c r="C502" s="6"/>
      <c r="D502" s="6"/>
      <c r="E502" s="6"/>
      <c r="F502" s="6"/>
      <c r="G502" s="6"/>
      <c r="H502" s="6"/>
      <c r="I502" s="6"/>
      <c r="J502" s="6"/>
      <c r="K502" s="6"/>
      <c r="L502" s="6"/>
      <c r="M502" s="6"/>
      <c r="N502" s="6"/>
      <c r="O502" s="6"/>
      <c r="P502" s="6"/>
      <c r="Q502" s="6"/>
      <c r="R502" s="6"/>
      <c r="S502" s="6"/>
      <c r="T502" s="5"/>
    </row>
    <row r="503" spans="1:20">
      <c r="A503" s="6"/>
      <c r="B503" s="6"/>
      <c r="C503" s="6"/>
      <c r="D503" s="6"/>
      <c r="E503" s="6"/>
      <c r="F503" s="6"/>
      <c r="G503" s="6"/>
      <c r="H503" s="6"/>
      <c r="I503" s="6"/>
      <c r="J503" s="6"/>
      <c r="K503" s="6"/>
      <c r="L503" s="6"/>
      <c r="M503" s="6"/>
      <c r="N503" s="6"/>
      <c r="O503" s="6"/>
      <c r="P503" s="6"/>
      <c r="Q503" s="6"/>
      <c r="R503" s="6"/>
      <c r="S503" s="6"/>
      <c r="T503" s="5"/>
    </row>
    <row r="504" spans="1:20">
      <c r="A504" s="6"/>
      <c r="B504" s="6"/>
      <c r="C504" s="6"/>
      <c r="D504" s="6"/>
      <c r="E504" s="6"/>
      <c r="F504" s="6"/>
      <c r="G504" s="6"/>
      <c r="H504" s="6"/>
      <c r="I504" s="6"/>
      <c r="J504" s="6"/>
      <c r="K504" s="6"/>
      <c r="L504" s="6"/>
      <c r="M504" s="6"/>
      <c r="N504" s="6"/>
      <c r="O504" s="6"/>
      <c r="P504" s="6"/>
      <c r="Q504" s="6"/>
      <c r="R504" s="6"/>
      <c r="S504" s="6"/>
      <c r="T504" s="5"/>
    </row>
    <row r="505" spans="1:20">
      <c r="A505" s="6"/>
      <c r="B505" s="6"/>
      <c r="C505" s="6"/>
      <c r="D505" s="6"/>
      <c r="E505" s="6"/>
      <c r="F505" s="6"/>
      <c r="G505" s="6"/>
      <c r="H505" s="6"/>
      <c r="I505" s="6"/>
      <c r="J505" s="6"/>
      <c r="K505" s="6"/>
      <c r="L505" s="6"/>
      <c r="M505" s="6"/>
      <c r="N505" s="6"/>
      <c r="O505" s="6"/>
      <c r="P505" s="6"/>
      <c r="Q505" s="6"/>
      <c r="R505" s="6"/>
      <c r="S505" s="6"/>
      <c r="T505" s="5"/>
    </row>
    <row r="506" spans="1:20">
      <c r="A506" s="6"/>
      <c r="B506" s="6"/>
      <c r="C506" s="6"/>
      <c r="D506" s="6"/>
      <c r="E506" s="6"/>
      <c r="F506" s="6"/>
      <c r="G506" s="6"/>
      <c r="H506" s="6"/>
      <c r="I506" s="6"/>
      <c r="J506" s="6"/>
      <c r="K506" s="6"/>
      <c r="L506" s="6"/>
      <c r="M506" s="6"/>
      <c r="N506" s="6"/>
      <c r="O506" s="6"/>
      <c r="P506" s="6"/>
      <c r="Q506" s="6"/>
      <c r="R506" s="6"/>
      <c r="S506" s="6"/>
      <c r="T506" s="5"/>
    </row>
    <row r="507" spans="1:20">
      <c r="A507" s="6"/>
      <c r="B507" s="6"/>
      <c r="C507" s="6"/>
      <c r="D507" s="6"/>
      <c r="E507" s="6"/>
      <c r="F507" s="6"/>
      <c r="G507" s="6"/>
      <c r="H507" s="6"/>
      <c r="I507" s="6"/>
      <c r="J507" s="6"/>
      <c r="K507" s="6"/>
      <c r="L507" s="6"/>
      <c r="M507" s="6"/>
      <c r="N507" s="6"/>
      <c r="O507" s="6"/>
      <c r="P507" s="6"/>
      <c r="Q507" s="6"/>
      <c r="R507" s="6"/>
      <c r="S507" s="6"/>
      <c r="T507" s="5"/>
    </row>
    <row r="508" spans="1:20">
      <c r="A508" s="6"/>
      <c r="B508" s="6"/>
      <c r="C508" s="6"/>
      <c r="D508" s="6"/>
      <c r="E508" s="6"/>
      <c r="F508" s="6"/>
      <c r="G508" s="6"/>
      <c r="H508" s="6"/>
      <c r="I508" s="6"/>
      <c r="J508" s="6"/>
      <c r="K508" s="6"/>
      <c r="L508" s="6"/>
      <c r="M508" s="6"/>
      <c r="N508" s="6"/>
      <c r="O508" s="6"/>
      <c r="P508" s="6"/>
      <c r="Q508" s="6"/>
      <c r="R508" s="6"/>
      <c r="S508" s="6"/>
      <c r="T508" s="5"/>
    </row>
    <row r="509" spans="1:20">
      <c r="A509" s="6"/>
      <c r="B509" s="6"/>
      <c r="C509" s="6"/>
      <c r="D509" s="6"/>
      <c r="E509" s="6"/>
      <c r="F509" s="6"/>
      <c r="G509" s="6"/>
      <c r="H509" s="6"/>
      <c r="I509" s="6"/>
      <c r="J509" s="6"/>
      <c r="K509" s="6"/>
      <c r="L509" s="6"/>
      <c r="M509" s="6"/>
      <c r="N509" s="6"/>
      <c r="O509" s="6"/>
      <c r="P509" s="6"/>
      <c r="Q509" s="6"/>
      <c r="R509" s="6"/>
      <c r="S509" s="6"/>
      <c r="T509" s="5"/>
    </row>
    <row r="510" spans="1:20">
      <c r="A510" s="6"/>
      <c r="B510" s="6"/>
      <c r="C510" s="6"/>
      <c r="D510" s="6"/>
      <c r="E510" s="6"/>
      <c r="F510" s="6"/>
      <c r="G510" s="6"/>
      <c r="H510" s="6"/>
      <c r="I510" s="6"/>
      <c r="J510" s="6"/>
      <c r="K510" s="6"/>
      <c r="L510" s="6"/>
      <c r="M510" s="6"/>
      <c r="N510" s="6"/>
      <c r="O510" s="6"/>
      <c r="P510" s="6"/>
      <c r="Q510" s="6"/>
      <c r="R510" s="6"/>
      <c r="S510" s="6"/>
      <c r="T510" s="5"/>
    </row>
    <row r="511" spans="1:20">
      <c r="A511" s="6"/>
      <c r="B511" s="6"/>
      <c r="C511" s="6"/>
      <c r="D511" s="6"/>
      <c r="E511" s="6"/>
      <c r="F511" s="6"/>
      <c r="G511" s="6"/>
      <c r="H511" s="6"/>
      <c r="I511" s="6"/>
      <c r="J511" s="6"/>
      <c r="K511" s="6"/>
      <c r="L511" s="6"/>
      <c r="M511" s="6"/>
      <c r="N511" s="6"/>
      <c r="O511" s="6"/>
      <c r="P511" s="6"/>
      <c r="Q511" s="6"/>
      <c r="R511" s="6"/>
      <c r="S511" s="6"/>
      <c r="T511" s="5"/>
    </row>
    <row r="512" spans="1:20">
      <c r="A512" s="6"/>
      <c r="B512" s="6"/>
      <c r="C512" s="6"/>
      <c r="D512" s="6"/>
      <c r="E512" s="6"/>
      <c r="F512" s="6"/>
      <c r="G512" s="6"/>
      <c r="H512" s="6"/>
      <c r="I512" s="6"/>
      <c r="J512" s="6"/>
      <c r="K512" s="6"/>
      <c r="L512" s="6"/>
      <c r="M512" s="6"/>
      <c r="N512" s="6"/>
      <c r="O512" s="6"/>
      <c r="P512" s="6"/>
      <c r="Q512" s="6"/>
      <c r="R512" s="6"/>
      <c r="S512" s="6"/>
      <c r="T512" s="5"/>
    </row>
    <row r="513" spans="1:20">
      <c r="A513" s="6"/>
      <c r="B513" s="6"/>
      <c r="C513" s="6"/>
      <c r="D513" s="6"/>
      <c r="E513" s="6"/>
      <c r="F513" s="6"/>
      <c r="G513" s="6"/>
      <c r="H513" s="6"/>
      <c r="I513" s="6"/>
      <c r="J513" s="6"/>
      <c r="K513" s="6"/>
      <c r="L513" s="6"/>
      <c r="M513" s="6"/>
      <c r="N513" s="6"/>
      <c r="O513" s="6"/>
      <c r="P513" s="6"/>
      <c r="Q513" s="6"/>
      <c r="R513" s="6"/>
      <c r="S513" s="6"/>
      <c r="T513" s="5"/>
    </row>
    <row r="514" spans="1:20">
      <c r="A514" s="6"/>
      <c r="B514" s="6"/>
      <c r="C514" s="6"/>
      <c r="D514" s="6"/>
      <c r="E514" s="6"/>
      <c r="F514" s="6"/>
      <c r="G514" s="6"/>
      <c r="H514" s="6"/>
      <c r="I514" s="6"/>
      <c r="J514" s="6"/>
      <c r="K514" s="6"/>
      <c r="L514" s="6"/>
      <c r="M514" s="6"/>
      <c r="N514" s="6"/>
      <c r="O514" s="6"/>
      <c r="P514" s="6"/>
      <c r="Q514" s="6"/>
      <c r="R514" s="6"/>
      <c r="S514" s="6"/>
      <c r="T514" s="5"/>
    </row>
    <row r="515" spans="1:20">
      <c r="A515" s="6"/>
      <c r="B515" s="6"/>
      <c r="C515" s="6"/>
      <c r="D515" s="6"/>
      <c r="E515" s="6"/>
      <c r="F515" s="6"/>
      <c r="G515" s="6"/>
      <c r="H515" s="6"/>
      <c r="I515" s="6"/>
      <c r="J515" s="6"/>
      <c r="K515" s="6"/>
      <c r="L515" s="6"/>
      <c r="M515" s="6"/>
      <c r="N515" s="6"/>
      <c r="O515" s="6"/>
      <c r="P515" s="6"/>
      <c r="Q515" s="6"/>
      <c r="R515" s="6"/>
      <c r="S515" s="6"/>
      <c r="T515" s="5"/>
    </row>
    <row r="516" spans="1:20">
      <c r="A516" s="6"/>
      <c r="B516" s="6"/>
      <c r="C516" s="6"/>
      <c r="D516" s="6"/>
      <c r="E516" s="6"/>
      <c r="F516" s="6"/>
      <c r="G516" s="6"/>
      <c r="H516" s="6"/>
      <c r="I516" s="6"/>
      <c r="J516" s="6"/>
      <c r="K516" s="6"/>
      <c r="L516" s="6"/>
      <c r="M516" s="6"/>
      <c r="N516" s="6"/>
      <c r="O516" s="6"/>
      <c r="P516" s="6"/>
      <c r="Q516" s="6"/>
      <c r="R516" s="6"/>
      <c r="S516" s="6"/>
      <c r="T516" s="5"/>
    </row>
    <row r="517" spans="1:20">
      <c r="A517" s="6"/>
      <c r="B517" s="6"/>
      <c r="C517" s="6"/>
      <c r="D517" s="6"/>
      <c r="E517" s="6"/>
      <c r="F517" s="6"/>
      <c r="G517" s="6"/>
      <c r="H517" s="6"/>
      <c r="I517" s="6"/>
      <c r="J517" s="6"/>
      <c r="K517" s="6"/>
      <c r="L517" s="6"/>
      <c r="M517" s="6"/>
      <c r="N517" s="6"/>
      <c r="O517" s="6"/>
      <c r="P517" s="6"/>
      <c r="Q517" s="6"/>
      <c r="R517" s="6"/>
      <c r="S517" s="6"/>
      <c r="T517" s="5"/>
    </row>
    <row r="518" spans="1:20">
      <c r="A518" s="6"/>
      <c r="B518" s="6"/>
      <c r="C518" s="6"/>
      <c r="D518" s="6"/>
      <c r="E518" s="6"/>
      <c r="F518" s="6"/>
      <c r="G518" s="6"/>
      <c r="H518" s="6"/>
      <c r="I518" s="6"/>
      <c r="J518" s="6"/>
      <c r="K518" s="6"/>
      <c r="L518" s="6"/>
      <c r="M518" s="6"/>
      <c r="N518" s="6"/>
      <c r="O518" s="6"/>
      <c r="P518" s="6"/>
      <c r="Q518" s="6"/>
      <c r="R518" s="6"/>
      <c r="S518" s="6"/>
      <c r="T518" s="5"/>
    </row>
    <row r="519" spans="1:20">
      <c r="A519" s="6"/>
      <c r="B519" s="6"/>
      <c r="C519" s="6"/>
      <c r="D519" s="6"/>
      <c r="E519" s="6"/>
      <c r="F519" s="6"/>
      <c r="G519" s="6"/>
      <c r="H519" s="6"/>
      <c r="I519" s="6"/>
      <c r="J519" s="6"/>
      <c r="K519" s="6"/>
      <c r="L519" s="6"/>
      <c r="M519" s="6"/>
      <c r="N519" s="6"/>
      <c r="O519" s="6"/>
      <c r="P519" s="6"/>
      <c r="Q519" s="6"/>
      <c r="R519" s="6"/>
      <c r="S519" s="6"/>
      <c r="T519" s="5"/>
    </row>
    <row r="520" spans="1:20">
      <c r="A520" s="6"/>
      <c r="B520" s="6"/>
      <c r="C520" s="6"/>
      <c r="D520" s="6"/>
      <c r="E520" s="6"/>
      <c r="F520" s="6"/>
      <c r="G520" s="6"/>
      <c r="H520" s="6"/>
      <c r="I520" s="6"/>
      <c r="J520" s="6"/>
      <c r="K520" s="6"/>
      <c r="L520" s="6"/>
      <c r="M520" s="6"/>
      <c r="N520" s="6"/>
      <c r="O520" s="6"/>
      <c r="P520" s="6"/>
      <c r="Q520" s="6"/>
      <c r="R520" s="6"/>
      <c r="S520" s="6"/>
      <c r="T520" s="5"/>
    </row>
    <row r="521" spans="1:20">
      <c r="A521" s="6"/>
      <c r="B521" s="6"/>
      <c r="C521" s="6"/>
      <c r="D521" s="6"/>
      <c r="E521" s="6"/>
      <c r="F521" s="6"/>
      <c r="G521" s="6"/>
      <c r="H521" s="6"/>
      <c r="I521" s="6"/>
      <c r="J521" s="6"/>
      <c r="K521" s="6"/>
      <c r="L521" s="6"/>
      <c r="M521" s="6"/>
      <c r="N521" s="6"/>
      <c r="O521" s="6"/>
      <c r="P521" s="6"/>
      <c r="Q521" s="6"/>
      <c r="R521" s="6"/>
      <c r="S521" s="6"/>
      <c r="T521" s="5"/>
    </row>
    <row r="522" spans="1:20">
      <c r="A522" s="6"/>
      <c r="B522" s="6"/>
      <c r="C522" s="6"/>
      <c r="D522" s="6"/>
      <c r="E522" s="6"/>
      <c r="F522" s="6"/>
      <c r="G522" s="6"/>
      <c r="H522" s="6"/>
      <c r="I522" s="6"/>
      <c r="J522" s="6"/>
      <c r="K522" s="6"/>
      <c r="L522" s="6"/>
      <c r="M522" s="6"/>
      <c r="N522" s="6"/>
      <c r="O522" s="6"/>
      <c r="P522" s="6"/>
      <c r="Q522" s="6"/>
      <c r="R522" s="6"/>
      <c r="S522" s="6"/>
      <c r="T522" s="5"/>
    </row>
    <row r="523" spans="1:20">
      <c r="A523" s="6"/>
      <c r="B523" s="6"/>
      <c r="C523" s="6"/>
      <c r="D523" s="6"/>
      <c r="E523" s="6"/>
      <c r="F523" s="6"/>
      <c r="G523" s="6"/>
      <c r="H523" s="6"/>
      <c r="I523" s="6"/>
      <c r="J523" s="6"/>
      <c r="K523" s="6"/>
      <c r="L523" s="6"/>
      <c r="M523" s="6"/>
      <c r="N523" s="6"/>
      <c r="O523" s="6"/>
      <c r="P523" s="6"/>
      <c r="Q523" s="6"/>
      <c r="R523" s="6"/>
      <c r="S523" s="6"/>
      <c r="T523" s="5"/>
    </row>
    <row r="524" spans="1:20">
      <c r="A524" s="6"/>
      <c r="B524" s="6"/>
      <c r="C524" s="6"/>
      <c r="D524" s="6"/>
      <c r="E524" s="6"/>
      <c r="F524" s="6"/>
      <c r="G524" s="6"/>
      <c r="H524" s="6"/>
      <c r="I524" s="6"/>
      <c r="J524" s="6"/>
      <c r="K524" s="6"/>
      <c r="L524" s="6"/>
      <c r="M524" s="6"/>
      <c r="N524" s="6"/>
      <c r="O524" s="6"/>
      <c r="P524" s="6"/>
      <c r="Q524" s="6"/>
      <c r="R524" s="6"/>
      <c r="S524" s="6"/>
      <c r="T524" s="5"/>
    </row>
    <row r="525" spans="1:20">
      <c r="A525" s="6"/>
      <c r="B525" s="6"/>
      <c r="C525" s="6"/>
      <c r="D525" s="6"/>
      <c r="E525" s="6"/>
      <c r="F525" s="6"/>
      <c r="G525" s="6"/>
      <c r="H525" s="6"/>
      <c r="I525" s="6"/>
      <c r="J525" s="6"/>
      <c r="K525" s="6"/>
      <c r="L525" s="6"/>
      <c r="M525" s="6"/>
      <c r="N525" s="6"/>
      <c r="O525" s="6"/>
      <c r="P525" s="6"/>
      <c r="Q525" s="6"/>
      <c r="R525" s="6"/>
      <c r="S525" s="6"/>
      <c r="T525" s="5"/>
    </row>
    <row r="526" spans="1:20">
      <c r="A526" s="6"/>
      <c r="B526" s="6"/>
      <c r="C526" s="6"/>
      <c r="D526" s="6"/>
      <c r="E526" s="6"/>
      <c r="F526" s="6"/>
      <c r="G526" s="6"/>
      <c r="H526" s="6"/>
      <c r="I526" s="6"/>
      <c r="J526" s="6"/>
      <c r="K526" s="6"/>
      <c r="L526" s="6"/>
      <c r="M526" s="6"/>
      <c r="N526" s="6"/>
      <c r="O526" s="6"/>
      <c r="P526" s="6"/>
      <c r="Q526" s="6"/>
      <c r="R526" s="6"/>
      <c r="S526" s="6"/>
      <c r="T526" s="5"/>
    </row>
    <row r="527" spans="1:20">
      <c r="A527" s="6"/>
      <c r="B527" s="6"/>
      <c r="C527" s="6"/>
      <c r="D527" s="6"/>
      <c r="E527" s="6"/>
      <c r="F527" s="6"/>
      <c r="G527" s="6"/>
      <c r="H527" s="6"/>
      <c r="I527" s="6"/>
      <c r="J527" s="6"/>
      <c r="K527" s="6"/>
      <c r="L527" s="6"/>
      <c r="M527" s="6"/>
      <c r="N527" s="6"/>
      <c r="O527" s="6"/>
      <c r="P527" s="6"/>
      <c r="Q527" s="6"/>
      <c r="R527" s="6"/>
      <c r="S527" s="6"/>
      <c r="T527" s="5"/>
    </row>
    <row r="528" spans="1:20">
      <c r="A528" s="6"/>
      <c r="B528" s="6"/>
      <c r="C528" s="6"/>
      <c r="D528" s="6"/>
      <c r="E528" s="6"/>
      <c r="F528" s="6"/>
      <c r="G528" s="6"/>
      <c r="H528" s="6"/>
      <c r="I528" s="6"/>
      <c r="J528" s="6"/>
      <c r="K528" s="6"/>
      <c r="L528" s="6"/>
      <c r="M528" s="6"/>
      <c r="N528" s="6"/>
      <c r="O528" s="6"/>
      <c r="P528" s="6"/>
      <c r="Q528" s="6"/>
      <c r="R528" s="6"/>
      <c r="S528" s="6"/>
      <c r="T528" s="5"/>
    </row>
    <row r="529" spans="1:20">
      <c r="A529" s="6"/>
      <c r="B529" s="6"/>
      <c r="C529" s="6"/>
      <c r="D529" s="6"/>
      <c r="E529" s="6"/>
      <c r="F529" s="6"/>
      <c r="G529" s="6"/>
      <c r="H529" s="6"/>
      <c r="I529" s="6"/>
      <c r="J529" s="6"/>
      <c r="K529" s="6"/>
      <c r="L529" s="6"/>
      <c r="M529" s="6"/>
      <c r="N529" s="6"/>
      <c r="O529" s="6"/>
      <c r="P529" s="6"/>
      <c r="Q529" s="6"/>
      <c r="R529" s="6"/>
      <c r="S529" s="6"/>
      <c r="T529" s="5"/>
    </row>
    <row r="530" spans="1:20">
      <c r="A530" s="6"/>
      <c r="B530" s="6"/>
      <c r="C530" s="6"/>
      <c r="D530" s="6"/>
      <c r="E530" s="6"/>
      <c r="F530" s="6"/>
      <c r="G530" s="6"/>
      <c r="H530" s="6"/>
      <c r="I530" s="6"/>
      <c r="J530" s="6"/>
      <c r="K530" s="6"/>
      <c r="L530" s="6"/>
      <c r="M530" s="6"/>
      <c r="N530" s="6"/>
      <c r="O530" s="6"/>
      <c r="P530" s="6"/>
      <c r="Q530" s="6"/>
      <c r="R530" s="6"/>
      <c r="S530" s="6"/>
      <c r="T530" s="5"/>
    </row>
    <row r="531" spans="1:20">
      <c r="A531" s="6"/>
      <c r="B531" s="6"/>
      <c r="C531" s="6"/>
      <c r="D531" s="6"/>
      <c r="E531" s="6"/>
      <c r="F531" s="6"/>
      <c r="G531" s="6"/>
      <c r="H531" s="6"/>
      <c r="I531" s="6"/>
      <c r="J531" s="6"/>
      <c r="K531" s="6"/>
      <c r="L531" s="6"/>
      <c r="M531" s="6"/>
      <c r="N531" s="6"/>
      <c r="O531" s="6"/>
      <c r="P531" s="6"/>
      <c r="Q531" s="6"/>
      <c r="R531" s="6"/>
      <c r="S531" s="6"/>
      <c r="T531" s="5"/>
    </row>
    <row r="532" spans="1:20">
      <c r="A532" s="6"/>
      <c r="B532" s="6"/>
      <c r="C532" s="6"/>
      <c r="D532" s="6"/>
      <c r="E532" s="6"/>
      <c r="F532" s="6"/>
      <c r="G532" s="6"/>
      <c r="H532" s="6"/>
      <c r="I532" s="6"/>
      <c r="J532" s="6"/>
      <c r="K532" s="6"/>
      <c r="L532" s="6"/>
      <c r="M532" s="6"/>
      <c r="N532" s="6"/>
      <c r="O532" s="6"/>
      <c r="P532" s="6"/>
      <c r="Q532" s="6"/>
      <c r="R532" s="6"/>
      <c r="S532" s="6"/>
      <c r="T532" s="5"/>
    </row>
    <row r="533" spans="1:20">
      <c r="A533" s="6"/>
      <c r="B533" s="6"/>
      <c r="C533" s="6"/>
      <c r="D533" s="6"/>
      <c r="E533" s="6"/>
      <c r="F533" s="6"/>
      <c r="G533" s="6"/>
      <c r="H533" s="6"/>
      <c r="I533" s="6"/>
      <c r="J533" s="6"/>
      <c r="K533" s="6"/>
      <c r="L533" s="6"/>
      <c r="M533" s="6"/>
      <c r="N533" s="6"/>
      <c r="O533" s="6"/>
      <c r="P533" s="6"/>
      <c r="Q533" s="6"/>
      <c r="R533" s="6"/>
      <c r="S533" s="6"/>
      <c r="T533" s="5"/>
    </row>
    <row r="534" spans="1:20">
      <c r="A534" s="6"/>
      <c r="B534" s="6"/>
      <c r="C534" s="6"/>
      <c r="D534" s="6"/>
      <c r="E534" s="6"/>
      <c r="F534" s="6"/>
      <c r="G534" s="6"/>
      <c r="H534" s="6"/>
      <c r="I534" s="6"/>
      <c r="J534" s="6"/>
      <c r="K534" s="6"/>
      <c r="L534" s="6"/>
      <c r="M534" s="6"/>
      <c r="N534" s="6"/>
      <c r="O534" s="6"/>
      <c r="P534" s="6"/>
      <c r="Q534" s="6"/>
      <c r="R534" s="6"/>
      <c r="S534" s="6"/>
      <c r="T534" s="5"/>
    </row>
    <row r="535" spans="1:20">
      <c r="A535" s="6"/>
      <c r="B535" s="6"/>
      <c r="C535" s="6"/>
      <c r="D535" s="6"/>
      <c r="E535" s="6"/>
      <c r="F535" s="6"/>
      <c r="G535" s="6"/>
      <c r="H535" s="6"/>
      <c r="I535" s="6"/>
      <c r="J535" s="6"/>
      <c r="K535" s="6"/>
      <c r="L535" s="6"/>
      <c r="M535" s="6"/>
      <c r="N535" s="6"/>
      <c r="O535" s="6"/>
      <c r="P535" s="6"/>
      <c r="Q535" s="6"/>
      <c r="R535" s="6"/>
      <c r="S535" s="6"/>
      <c r="T535" s="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
  <sheetViews>
    <sheetView workbookViewId="0">
      <selection activeCell="B15" sqref="B15"/>
    </sheetView>
  </sheetViews>
  <sheetFormatPr defaultRowHeight="15"/>
  <cols>
    <col min="5" max="5" width="9.140625" style="73"/>
  </cols>
  <sheetData>
    <row r="1" spans="1:5">
      <c r="A1" s="70" t="s">
        <v>1312</v>
      </c>
      <c r="B1" s="71" t="s">
        <v>1313</v>
      </c>
    </row>
    <row r="2" spans="1:5">
      <c r="A2" s="84" t="s">
        <v>301</v>
      </c>
      <c r="B2" s="5" t="s">
        <v>1402</v>
      </c>
      <c r="E2" s="87"/>
    </row>
    <row r="3" spans="1:5">
      <c r="A3" s="84" t="s">
        <v>0</v>
      </c>
      <c r="B3" s="5" t="s">
        <v>1394</v>
      </c>
      <c r="E3" s="87"/>
    </row>
    <row r="4" spans="1:5">
      <c r="A4" s="84" t="s">
        <v>4</v>
      </c>
      <c r="B4" s="5" t="s">
        <v>1387</v>
      </c>
      <c r="E4" s="87"/>
    </row>
    <row r="5" spans="1:5">
      <c r="A5" s="84" t="s">
        <v>5</v>
      </c>
      <c r="B5" s="5" t="s">
        <v>1388</v>
      </c>
      <c r="E5" s="87"/>
    </row>
    <row r="6" spans="1:5">
      <c r="A6" s="84" t="s">
        <v>6</v>
      </c>
      <c r="B6" s="5" t="s">
        <v>1389</v>
      </c>
      <c r="E6" s="87"/>
    </row>
    <row r="7" spans="1:5">
      <c r="A7" s="84" t="s">
        <v>7</v>
      </c>
      <c r="B7" s="5" t="s">
        <v>1390</v>
      </c>
      <c r="E7" s="87"/>
    </row>
    <row r="8" spans="1:5">
      <c r="A8" s="84" t="s">
        <v>8</v>
      </c>
      <c r="B8" s="5" t="s">
        <v>1391</v>
      </c>
      <c r="E8" s="87"/>
    </row>
    <row r="9" spans="1:5">
      <c r="A9" s="84" t="s">
        <v>9</v>
      </c>
      <c r="B9" s="5" t="s">
        <v>1392</v>
      </c>
      <c r="E9" s="87"/>
    </row>
    <row r="10" spans="1:5">
      <c r="A10" s="84" t="s">
        <v>10</v>
      </c>
      <c r="B10" s="5" t="s">
        <v>1393</v>
      </c>
      <c r="E10" s="87"/>
    </row>
    <row r="11" spans="1:5">
      <c r="A11" s="84" t="s">
        <v>271</v>
      </c>
      <c r="B11" s="5" t="s">
        <v>1396</v>
      </c>
      <c r="E11" s="87"/>
    </row>
    <row r="12" spans="1:5">
      <c r="A12" s="84" t="s">
        <v>1</v>
      </c>
      <c r="B12" s="5" t="s">
        <v>1403</v>
      </c>
      <c r="E12" s="87"/>
    </row>
    <row r="13" spans="1:5">
      <c r="A13" s="84" t="s">
        <v>2</v>
      </c>
      <c r="B13" s="5" t="s">
        <v>1395</v>
      </c>
      <c r="E13" s="87"/>
    </row>
    <row r="14" spans="1:5">
      <c r="A14" s="84" t="s">
        <v>270</v>
      </c>
      <c r="B14" s="5" t="s">
        <v>1449</v>
      </c>
      <c r="E14" s="87"/>
    </row>
    <row r="15" spans="1:5">
      <c r="A15" s="84" t="s">
        <v>11</v>
      </c>
      <c r="B15" s="5" t="s">
        <v>1404</v>
      </c>
      <c r="E15" s="87"/>
    </row>
    <row r="16" spans="1:5">
      <c r="A16" s="84" t="s">
        <v>12</v>
      </c>
      <c r="B16" s="5" t="s">
        <v>1398</v>
      </c>
      <c r="E16" s="87"/>
    </row>
    <row r="17" spans="1:5">
      <c r="A17" s="84" t="s">
        <v>272</v>
      </c>
      <c r="B17" s="86" t="s">
        <v>1397</v>
      </c>
    </row>
    <row r="18" spans="1:5">
      <c r="A18" s="84" t="s">
        <v>14</v>
      </c>
      <c r="B18" s="5" t="s">
        <v>1399</v>
      </c>
    </row>
    <row r="19" spans="1:5">
      <c r="A19" s="84" t="s">
        <v>15</v>
      </c>
      <c r="B19" s="5" t="s">
        <v>1400</v>
      </c>
      <c r="E19" s="87"/>
    </row>
    <row r="20" spans="1:5">
      <c r="A20" s="84" t="s">
        <v>269</v>
      </c>
      <c r="B20" s="5" t="s">
        <v>1401</v>
      </c>
      <c r="E20" s="87"/>
    </row>
    <row r="21" spans="1:5">
      <c r="A21" s="84"/>
      <c r="B21" s="5"/>
      <c r="E21" s="87"/>
    </row>
    <row r="22" spans="1:5">
      <c r="B22" s="5"/>
    </row>
    <row r="23" spans="1:5">
      <c r="B23" s="5"/>
    </row>
  </sheetData>
  <hyperlinks>
    <hyperlink ref="B17" location="_ENREF_9" tooltip="Dell, 2011 #2222" display="_ENREF_9"/>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1"/>
  <sheetViews>
    <sheetView workbookViewId="0">
      <pane ySplit="3" topLeftCell="A47" activePane="bottomLeft" state="frozen"/>
      <selection activeCell="B1" sqref="B1"/>
      <selection pane="bottomLeft" activeCell="L73" sqref="L73"/>
    </sheetView>
  </sheetViews>
  <sheetFormatPr defaultRowHeight="15"/>
  <cols>
    <col min="1" max="1" width="9.140625" style="5"/>
  </cols>
  <sheetData>
    <row r="1" spans="1:22">
      <c r="A1" s="1" t="s">
        <v>4254</v>
      </c>
    </row>
    <row r="3" spans="1:22" s="89" customFormat="1">
      <c r="A3" s="87" t="s">
        <v>301</v>
      </c>
      <c r="B3" s="87" t="s">
        <v>0</v>
      </c>
      <c r="C3" s="87" t="s">
        <v>4</v>
      </c>
      <c r="D3" s="87" t="s">
        <v>5</v>
      </c>
      <c r="E3" s="87" t="s">
        <v>6</v>
      </c>
      <c r="F3" s="87" t="s">
        <v>7</v>
      </c>
      <c r="G3" s="87" t="s">
        <v>8</v>
      </c>
      <c r="H3" s="87" t="s">
        <v>9</v>
      </c>
      <c r="I3" s="87" t="s">
        <v>10</v>
      </c>
      <c r="J3" s="87" t="s">
        <v>271</v>
      </c>
      <c r="K3" s="87" t="s">
        <v>1</v>
      </c>
      <c r="L3" s="87" t="s">
        <v>2</v>
      </c>
      <c r="M3" s="87" t="s">
        <v>270</v>
      </c>
      <c r="N3" s="87" t="s">
        <v>11</v>
      </c>
      <c r="O3" s="87" t="s">
        <v>12</v>
      </c>
      <c r="P3" s="87" t="s">
        <v>272</v>
      </c>
      <c r="Q3" s="87" t="s">
        <v>14</v>
      </c>
      <c r="R3" s="87" t="s">
        <v>15</v>
      </c>
      <c r="S3" s="85" t="s">
        <v>273</v>
      </c>
      <c r="T3" s="87" t="s">
        <v>300</v>
      </c>
      <c r="U3" s="89" t="s">
        <v>16</v>
      </c>
      <c r="V3" s="89" t="s">
        <v>274</v>
      </c>
    </row>
    <row r="4" spans="1:22">
      <c r="A4" s="5" t="s">
        <v>168</v>
      </c>
      <c r="B4" s="7" t="s">
        <v>30</v>
      </c>
      <c r="C4" s="7" t="s">
        <v>32</v>
      </c>
      <c r="D4" s="7" t="s">
        <v>22</v>
      </c>
      <c r="E4" s="7" t="s">
        <v>33</v>
      </c>
      <c r="F4" s="7" t="s">
        <v>34</v>
      </c>
      <c r="G4" s="7" t="s">
        <v>35</v>
      </c>
      <c r="H4" s="7" t="s">
        <v>36</v>
      </c>
      <c r="I4" s="7" t="s">
        <v>37</v>
      </c>
      <c r="J4" s="7" t="s">
        <v>39</v>
      </c>
      <c r="K4" s="7">
        <v>55.666742300000003</v>
      </c>
      <c r="L4" s="7">
        <v>55.666742300000003</v>
      </c>
      <c r="M4" s="7">
        <v>11</v>
      </c>
      <c r="N4" s="7"/>
      <c r="O4" s="7"/>
      <c r="P4" s="8">
        <v>2.0892307692307694E-6</v>
      </c>
      <c r="Q4" s="8">
        <v>9.0734043178067099E-7</v>
      </c>
      <c r="R4" s="8">
        <v>13</v>
      </c>
      <c r="S4" s="7">
        <v>11.68722369</v>
      </c>
      <c r="T4" s="7">
        <f t="shared" ref="T4:T35" si="0">LOG(S4)</f>
        <v>1.0677113563873715</v>
      </c>
      <c r="U4" s="8">
        <v>12.264300000000002</v>
      </c>
      <c r="V4" s="7" t="s">
        <v>276</v>
      </c>
    </row>
    <row r="5" spans="1:22">
      <c r="A5" s="5" t="s">
        <v>64</v>
      </c>
      <c r="B5" s="7" t="s">
        <v>19</v>
      </c>
      <c r="C5" s="7" t="s">
        <v>65</v>
      </c>
      <c r="D5" s="7" t="s">
        <v>22</v>
      </c>
      <c r="E5" s="7" t="s">
        <v>33</v>
      </c>
      <c r="F5" s="7" t="s">
        <v>34</v>
      </c>
      <c r="G5" s="7" t="s">
        <v>66</v>
      </c>
      <c r="H5" s="7" t="s">
        <v>67</v>
      </c>
      <c r="I5" s="7" t="s">
        <v>68</v>
      </c>
      <c r="J5" s="7" t="s">
        <v>31</v>
      </c>
      <c r="K5" s="7">
        <v>42.2708333</v>
      </c>
      <c r="L5" s="7">
        <v>42.2708333</v>
      </c>
      <c r="M5" s="7">
        <v>25.5</v>
      </c>
      <c r="N5" s="7">
        <v>10800</v>
      </c>
      <c r="O5" s="7">
        <v>4.033463966077405</v>
      </c>
      <c r="P5" s="8">
        <v>3.2800000000000003E-7</v>
      </c>
      <c r="Q5" s="8">
        <v>1.4244856672415702E-7</v>
      </c>
      <c r="R5" s="8">
        <v>7</v>
      </c>
      <c r="S5" s="7">
        <v>6.2808375569999999</v>
      </c>
      <c r="T5" s="7">
        <f t="shared" si="0"/>
        <v>0.79801756127370882</v>
      </c>
      <c r="U5" s="8">
        <v>8.9344999999999999</v>
      </c>
      <c r="V5" s="7" t="s">
        <v>276</v>
      </c>
    </row>
    <row r="6" spans="1:22">
      <c r="A6" s="5" t="s">
        <v>196</v>
      </c>
      <c r="B6" s="7" t="s">
        <v>19</v>
      </c>
      <c r="C6" s="7" t="s">
        <v>193</v>
      </c>
      <c r="D6" s="7" t="s">
        <v>22</v>
      </c>
      <c r="E6" s="7" t="s">
        <v>23</v>
      </c>
      <c r="F6" s="7" t="s">
        <v>24</v>
      </c>
      <c r="G6" s="7" t="s">
        <v>119</v>
      </c>
      <c r="H6" s="7" t="s">
        <v>194</v>
      </c>
      <c r="I6" s="7" t="s">
        <v>195</v>
      </c>
      <c r="J6" s="7" t="s">
        <v>20</v>
      </c>
      <c r="K6" s="7">
        <v>44.323848069999997</v>
      </c>
      <c r="L6" s="7">
        <v>44.323848069999997</v>
      </c>
      <c r="M6" s="7">
        <v>15</v>
      </c>
      <c r="N6" s="7"/>
      <c r="O6" s="7"/>
      <c r="P6" s="8">
        <v>7.7000000000000001E-8</v>
      </c>
      <c r="Q6" s="8">
        <v>3.3440673789428685E-8</v>
      </c>
      <c r="R6" s="8">
        <v>3</v>
      </c>
      <c r="S6" s="7">
        <v>17.348899629999998</v>
      </c>
      <c r="T6" s="7">
        <f t="shared" si="0"/>
        <v>1.2392719344713381</v>
      </c>
      <c r="U6" s="8">
        <v>15.800000000000004</v>
      </c>
      <c r="V6" s="7" t="s">
        <v>278</v>
      </c>
    </row>
    <row r="7" spans="1:22">
      <c r="A7" s="5" t="s">
        <v>81</v>
      </c>
      <c r="B7" s="7" t="s">
        <v>41</v>
      </c>
      <c r="C7" s="7" t="s">
        <v>82</v>
      </c>
      <c r="D7" s="7" t="s">
        <v>22</v>
      </c>
      <c r="E7" s="7" t="s">
        <v>23</v>
      </c>
      <c r="F7" s="7" t="s">
        <v>24</v>
      </c>
      <c r="G7" s="7" t="s">
        <v>83</v>
      </c>
      <c r="H7" s="7" t="s">
        <v>84</v>
      </c>
      <c r="I7" s="7" t="s">
        <v>85</v>
      </c>
      <c r="J7" s="7" t="s">
        <v>39</v>
      </c>
      <c r="K7" s="7">
        <v>39.183608</v>
      </c>
      <c r="L7" s="7">
        <v>39.183608</v>
      </c>
      <c r="M7" s="7">
        <v>30</v>
      </c>
      <c r="N7" s="7">
        <v>1728000</v>
      </c>
      <c r="O7" s="7">
        <v>6.2375439894706268</v>
      </c>
      <c r="P7" s="8">
        <v>4.0399999999999996E-7</v>
      </c>
      <c r="Q7" s="8">
        <v>1.7545493520288385E-7</v>
      </c>
      <c r="R7" s="8">
        <v>4</v>
      </c>
      <c r="S7" s="7">
        <v>3.290671981</v>
      </c>
      <c r="T7" s="7">
        <f t="shared" si="0"/>
        <v>0.517284593342208</v>
      </c>
      <c r="U7" s="8">
        <v>12.5</v>
      </c>
      <c r="V7" s="7" t="s">
        <v>276</v>
      </c>
    </row>
    <row r="8" spans="1:22">
      <c r="A8" s="5" t="s">
        <v>86</v>
      </c>
      <c r="B8" s="7" t="s">
        <v>41</v>
      </c>
      <c r="C8" s="7" t="s">
        <v>82</v>
      </c>
      <c r="D8" s="7" t="s">
        <v>22</v>
      </c>
      <c r="E8" s="7" t="s">
        <v>23</v>
      </c>
      <c r="F8" s="7" t="s">
        <v>24</v>
      </c>
      <c r="G8" s="7" t="s">
        <v>83</v>
      </c>
      <c r="H8" s="7" t="s">
        <v>84</v>
      </c>
      <c r="I8" s="7" t="s">
        <v>85</v>
      </c>
      <c r="J8" s="7" t="s">
        <v>39</v>
      </c>
      <c r="K8" s="7">
        <v>39.183608</v>
      </c>
      <c r="L8" s="7">
        <v>39.183608</v>
      </c>
      <c r="M8" s="7">
        <v>30</v>
      </c>
      <c r="N8" s="7">
        <v>1728000</v>
      </c>
      <c r="O8" s="7">
        <v>6.2375439894706268</v>
      </c>
      <c r="P8" s="8">
        <v>4.0399999999999996E-7</v>
      </c>
      <c r="Q8" s="8">
        <v>1.7545493520288385E-7</v>
      </c>
      <c r="R8" s="8">
        <v>4</v>
      </c>
      <c r="S8" s="7">
        <v>2.666635399</v>
      </c>
      <c r="T8" s="7">
        <f t="shared" si="0"/>
        <v>0.42596363997676578</v>
      </c>
      <c r="U8" s="8">
        <v>12.5</v>
      </c>
      <c r="V8" s="7" t="s">
        <v>276</v>
      </c>
    </row>
    <row r="9" spans="1:22">
      <c r="A9" s="5" t="s">
        <v>87</v>
      </c>
      <c r="B9" s="7" t="s">
        <v>41</v>
      </c>
      <c r="C9" s="7" t="s">
        <v>82</v>
      </c>
      <c r="D9" s="7" t="s">
        <v>22</v>
      </c>
      <c r="E9" s="7" t="s">
        <v>23</v>
      </c>
      <c r="F9" s="7" t="s">
        <v>24</v>
      </c>
      <c r="G9" s="7" t="s">
        <v>83</v>
      </c>
      <c r="H9" s="7" t="s">
        <v>84</v>
      </c>
      <c r="I9" s="7" t="s">
        <v>85</v>
      </c>
      <c r="J9" s="7" t="s">
        <v>39</v>
      </c>
      <c r="K9" s="7">
        <v>39.183608</v>
      </c>
      <c r="L9" s="7">
        <v>39.183608</v>
      </c>
      <c r="M9" s="7">
        <v>30</v>
      </c>
      <c r="N9" s="7">
        <v>1728000</v>
      </c>
      <c r="O9" s="7">
        <v>6.2375439894706268</v>
      </c>
      <c r="P9" s="8">
        <v>4.0399999999999991E-7</v>
      </c>
      <c r="Q9" s="8">
        <v>1.7545493520288385E-7</v>
      </c>
      <c r="R9" s="8">
        <v>4</v>
      </c>
      <c r="S9" s="7">
        <v>5.9772528740000004</v>
      </c>
      <c r="T9" s="7">
        <f t="shared" si="0"/>
        <v>0.77650162950939194</v>
      </c>
      <c r="U9" s="8">
        <v>12.5</v>
      </c>
      <c r="V9" s="7" t="s">
        <v>276</v>
      </c>
    </row>
    <row r="10" spans="1:22">
      <c r="A10" s="5" t="s">
        <v>187</v>
      </c>
      <c r="B10" s="7" t="s">
        <v>41</v>
      </c>
      <c r="C10" s="7" t="s">
        <v>188</v>
      </c>
      <c r="D10" s="7" t="s">
        <v>22</v>
      </c>
      <c r="E10" s="7" t="s">
        <v>23</v>
      </c>
      <c r="F10" s="7" t="s">
        <v>24</v>
      </c>
      <c r="G10" s="7" t="s">
        <v>189</v>
      </c>
      <c r="H10" s="7" t="s">
        <v>190</v>
      </c>
      <c r="I10" s="7" t="s">
        <v>191</v>
      </c>
      <c r="J10" s="7" t="s">
        <v>20</v>
      </c>
      <c r="K10" s="7">
        <v>48.421910109999999</v>
      </c>
      <c r="L10" s="7">
        <v>48.421910109999999</v>
      </c>
      <c r="M10" s="7">
        <v>22</v>
      </c>
      <c r="N10" s="7"/>
      <c r="O10" s="7"/>
      <c r="P10" s="8">
        <v>5.8300000000000007E-7</v>
      </c>
      <c r="Q10" s="8">
        <v>2.5319360916709919E-7</v>
      </c>
      <c r="R10" s="8">
        <v>7</v>
      </c>
      <c r="S10" s="7">
        <v>9.1107214869999993</v>
      </c>
      <c r="T10" s="7">
        <f t="shared" si="0"/>
        <v>0.95955277054223775</v>
      </c>
      <c r="U10" s="8">
        <v>24</v>
      </c>
      <c r="V10" s="7" t="s">
        <v>276</v>
      </c>
    </row>
    <row r="11" spans="1:22">
      <c r="A11" s="5" t="s">
        <v>122</v>
      </c>
      <c r="B11" s="7" t="s">
        <v>41</v>
      </c>
      <c r="C11" s="7" t="s">
        <v>118</v>
      </c>
      <c r="D11" s="7" t="s">
        <v>22</v>
      </c>
      <c r="E11" s="7" t="s">
        <v>23</v>
      </c>
      <c r="F11" s="7" t="s">
        <v>24</v>
      </c>
      <c r="G11" s="7" t="s">
        <v>119</v>
      </c>
      <c r="H11" s="7" t="s">
        <v>120</v>
      </c>
      <c r="I11" s="7" t="s">
        <v>121</v>
      </c>
      <c r="J11" s="7" t="s">
        <v>39</v>
      </c>
      <c r="K11" s="7">
        <v>35.696111000000002</v>
      </c>
      <c r="L11" s="7">
        <v>35.696111000000002</v>
      </c>
      <c r="M11" s="7">
        <v>25</v>
      </c>
      <c r="N11" s="7">
        <v>43200</v>
      </c>
      <c r="O11" s="7">
        <v>4.6354937998115657</v>
      </c>
      <c r="P11" s="8">
        <v>1.24E-7</v>
      </c>
      <c r="Q11" s="8">
        <v>5.38525124370183E-8</v>
      </c>
      <c r="R11" s="8">
        <v>5</v>
      </c>
      <c r="S11" s="7">
        <v>11.68295262</v>
      </c>
      <c r="T11" s="7">
        <f t="shared" si="0"/>
        <v>1.0675526154237718</v>
      </c>
      <c r="U11" s="8">
        <v>20</v>
      </c>
      <c r="V11" s="7" t="s">
        <v>276</v>
      </c>
    </row>
    <row r="12" spans="1:22">
      <c r="A12" s="5" t="s">
        <v>248</v>
      </c>
      <c r="B12" s="7" t="s">
        <v>41</v>
      </c>
      <c r="C12" s="7" t="s">
        <v>235</v>
      </c>
      <c r="D12" s="7" t="s">
        <v>22</v>
      </c>
      <c r="E12" s="7" t="s">
        <v>23</v>
      </c>
      <c r="F12" s="7" t="s">
        <v>24</v>
      </c>
      <c r="G12" s="7" t="s">
        <v>189</v>
      </c>
      <c r="H12" s="7" t="s">
        <v>236</v>
      </c>
      <c r="I12" s="7" t="s">
        <v>237</v>
      </c>
      <c r="J12" s="7" t="s">
        <v>20</v>
      </c>
      <c r="K12" s="7">
        <v>8.9718972939999997</v>
      </c>
      <c r="L12" s="7">
        <v>8.9718972939999997</v>
      </c>
      <c r="M12" s="7">
        <v>25</v>
      </c>
      <c r="N12" s="7">
        <v>108000</v>
      </c>
      <c r="O12" s="7">
        <v>5.0334277767135358</v>
      </c>
      <c r="P12" s="8">
        <v>5.489999999999999E-9</v>
      </c>
      <c r="Q12" s="8">
        <v>2.384276703514459E-9</v>
      </c>
      <c r="R12" s="8">
        <v>6</v>
      </c>
      <c r="S12" s="7">
        <v>8.1085229559999998</v>
      </c>
      <c r="T12" s="7">
        <f t="shared" si="0"/>
        <v>0.90894175057610338</v>
      </c>
      <c r="U12" s="8">
        <v>14</v>
      </c>
      <c r="V12" s="7" t="s">
        <v>276</v>
      </c>
    </row>
    <row r="13" spans="1:22">
      <c r="A13" s="5" t="s">
        <v>249</v>
      </c>
      <c r="B13" s="7" t="s">
        <v>41</v>
      </c>
      <c r="C13" s="7" t="s">
        <v>246</v>
      </c>
      <c r="D13" s="7" t="s">
        <v>22</v>
      </c>
      <c r="E13" s="7" t="s">
        <v>23</v>
      </c>
      <c r="F13" s="7" t="s">
        <v>24</v>
      </c>
      <c r="G13" s="7" t="s">
        <v>241</v>
      </c>
      <c r="H13" s="7" t="s">
        <v>242</v>
      </c>
      <c r="I13" s="7" t="s">
        <v>247</v>
      </c>
      <c r="J13" s="7" t="s">
        <v>239</v>
      </c>
      <c r="K13" s="7">
        <v>8.9718972939999997</v>
      </c>
      <c r="L13" s="7">
        <v>8.9718972939999997</v>
      </c>
      <c r="M13" s="7">
        <v>25</v>
      </c>
      <c r="N13" s="7">
        <v>108000</v>
      </c>
      <c r="O13" s="7">
        <v>5.0334277767135358</v>
      </c>
      <c r="P13" s="8">
        <v>1.2599999999999999E-8</v>
      </c>
      <c r="Q13" s="8">
        <v>5.4721104081073946E-9</v>
      </c>
      <c r="R13" s="8">
        <v>6</v>
      </c>
      <c r="S13" s="7">
        <v>8.1085229559999998</v>
      </c>
      <c r="T13" s="7">
        <f t="shared" si="0"/>
        <v>0.90894175057610338</v>
      </c>
      <c r="U13" s="8">
        <v>14</v>
      </c>
      <c r="V13" s="7" t="s">
        <v>276</v>
      </c>
    </row>
    <row r="14" spans="1:22">
      <c r="A14" s="5" t="s">
        <v>254</v>
      </c>
      <c r="B14" s="7" t="s">
        <v>41</v>
      </c>
      <c r="C14" s="7" t="s">
        <v>235</v>
      </c>
      <c r="D14" s="7" t="s">
        <v>22</v>
      </c>
      <c r="E14" s="7" t="s">
        <v>23</v>
      </c>
      <c r="F14" s="7" t="s">
        <v>24</v>
      </c>
      <c r="G14" s="7" t="s">
        <v>189</v>
      </c>
      <c r="H14" s="7" t="s">
        <v>236</v>
      </c>
      <c r="I14" s="7" t="s">
        <v>237</v>
      </c>
      <c r="J14" s="7" t="s">
        <v>20</v>
      </c>
      <c r="K14" s="7">
        <v>8.9718972939999997</v>
      </c>
      <c r="L14" s="7">
        <v>8.9718972939999997</v>
      </c>
      <c r="M14" s="7">
        <v>25</v>
      </c>
      <c r="N14" s="7">
        <v>108000</v>
      </c>
      <c r="O14" s="7">
        <v>5.0334277767135358</v>
      </c>
      <c r="P14" s="8">
        <v>5.489999999999999E-9</v>
      </c>
      <c r="Q14" s="8">
        <v>2.384276703514459E-9</v>
      </c>
      <c r="R14" s="8">
        <v>6</v>
      </c>
      <c r="S14" s="7">
        <v>10.006090479999999</v>
      </c>
      <c r="T14" s="7">
        <f t="shared" si="0"/>
        <v>1.0002644256698228</v>
      </c>
      <c r="U14" s="8">
        <v>14</v>
      </c>
      <c r="V14" s="7" t="s">
        <v>276</v>
      </c>
    </row>
    <row r="15" spans="1:22">
      <c r="A15" s="5" t="s">
        <v>255</v>
      </c>
      <c r="B15" s="7" t="s">
        <v>41</v>
      </c>
      <c r="C15" s="7" t="s">
        <v>252</v>
      </c>
      <c r="D15" s="7" t="s">
        <v>22</v>
      </c>
      <c r="E15" s="7" t="s">
        <v>23</v>
      </c>
      <c r="F15" s="7" t="s">
        <v>24</v>
      </c>
      <c r="G15" s="7" t="s">
        <v>241</v>
      </c>
      <c r="H15" s="7" t="s">
        <v>242</v>
      </c>
      <c r="I15" s="7" t="s">
        <v>253</v>
      </c>
      <c r="J15" s="7" t="s">
        <v>239</v>
      </c>
      <c r="K15" s="7">
        <v>8.9718972939999997</v>
      </c>
      <c r="L15" s="7">
        <v>8.9718972939999997</v>
      </c>
      <c r="M15" s="7">
        <v>25</v>
      </c>
      <c r="N15" s="7">
        <v>108000</v>
      </c>
      <c r="O15" s="7">
        <v>5.0334277767135358</v>
      </c>
      <c r="P15" s="8">
        <v>1.2599999999999999E-8</v>
      </c>
      <c r="Q15" s="8">
        <v>5.4721104081073946E-9</v>
      </c>
      <c r="R15" s="8">
        <v>6</v>
      </c>
      <c r="S15" s="7">
        <v>10.006090479999999</v>
      </c>
      <c r="T15" s="7">
        <f t="shared" si="0"/>
        <v>1.0002644256698228</v>
      </c>
      <c r="U15" s="8">
        <v>14</v>
      </c>
      <c r="V15" s="7" t="s">
        <v>276</v>
      </c>
    </row>
    <row r="16" spans="1:22">
      <c r="A16" s="5" t="s">
        <v>256</v>
      </c>
      <c r="B16" s="7" t="s">
        <v>41</v>
      </c>
      <c r="C16" s="7" t="s">
        <v>235</v>
      </c>
      <c r="D16" s="7" t="s">
        <v>22</v>
      </c>
      <c r="E16" s="7" t="s">
        <v>23</v>
      </c>
      <c r="F16" s="7" t="s">
        <v>24</v>
      </c>
      <c r="G16" s="7" t="s">
        <v>189</v>
      </c>
      <c r="H16" s="7" t="s">
        <v>236</v>
      </c>
      <c r="I16" s="7" t="s">
        <v>237</v>
      </c>
      <c r="J16" s="7" t="s">
        <v>20</v>
      </c>
      <c r="K16" s="7">
        <v>8.9718972939999997</v>
      </c>
      <c r="L16" s="7">
        <v>8.9718972939999997</v>
      </c>
      <c r="M16" s="7">
        <v>25</v>
      </c>
      <c r="N16" s="7">
        <v>108000</v>
      </c>
      <c r="O16" s="7">
        <v>5.0334277767135358</v>
      </c>
      <c r="P16" s="8">
        <v>3.3500000000000002E-8</v>
      </c>
      <c r="Q16" s="8">
        <v>1.4548864946650988E-8</v>
      </c>
      <c r="R16" s="8">
        <v>6</v>
      </c>
      <c r="S16" s="7">
        <v>9.5564112520000002</v>
      </c>
      <c r="T16" s="7">
        <f t="shared" si="0"/>
        <v>0.9802948309722701</v>
      </c>
      <c r="U16" s="8">
        <v>14</v>
      </c>
      <c r="V16" s="7" t="s">
        <v>276</v>
      </c>
    </row>
    <row r="17" spans="1:22">
      <c r="A17" s="5" t="s">
        <v>257</v>
      </c>
      <c r="B17" s="7" t="s">
        <v>41</v>
      </c>
      <c r="C17" s="7" t="s">
        <v>240</v>
      </c>
      <c r="D17" s="7" t="s">
        <v>22</v>
      </c>
      <c r="E17" s="7" t="s">
        <v>23</v>
      </c>
      <c r="F17" s="7" t="s">
        <v>24</v>
      </c>
      <c r="G17" s="7" t="s">
        <v>241</v>
      </c>
      <c r="H17" s="7" t="s">
        <v>242</v>
      </c>
      <c r="I17" s="7" t="s">
        <v>243</v>
      </c>
      <c r="J17" s="7" t="s">
        <v>239</v>
      </c>
      <c r="K17" s="7">
        <v>8.9718972939999997</v>
      </c>
      <c r="L17" s="7">
        <v>8.9718972939999997</v>
      </c>
      <c r="M17" s="7">
        <v>25</v>
      </c>
      <c r="N17" s="7">
        <v>108000</v>
      </c>
      <c r="O17" s="7">
        <v>5.0334277767135358</v>
      </c>
      <c r="P17" s="8">
        <v>2.18E-8</v>
      </c>
      <c r="Q17" s="8">
        <v>9.4676196141862322E-9</v>
      </c>
      <c r="R17" s="8">
        <v>6</v>
      </c>
      <c r="S17" s="7">
        <v>9.5564112520000002</v>
      </c>
      <c r="T17" s="7">
        <f t="shared" si="0"/>
        <v>0.9802948309722701</v>
      </c>
      <c r="U17" s="8">
        <v>14</v>
      </c>
      <c r="V17" s="7" t="s">
        <v>276</v>
      </c>
    </row>
    <row r="18" spans="1:22">
      <c r="A18" s="5" t="s">
        <v>258</v>
      </c>
      <c r="B18" s="7" t="s">
        <v>41</v>
      </c>
      <c r="C18" s="7" t="s">
        <v>235</v>
      </c>
      <c r="D18" s="7" t="s">
        <v>22</v>
      </c>
      <c r="E18" s="7" t="s">
        <v>23</v>
      </c>
      <c r="F18" s="7" t="s">
        <v>24</v>
      </c>
      <c r="G18" s="7" t="s">
        <v>189</v>
      </c>
      <c r="H18" s="7" t="s">
        <v>236</v>
      </c>
      <c r="I18" s="7" t="s">
        <v>237</v>
      </c>
      <c r="J18" s="7" t="s">
        <v>20</v>
      </c>
      <c r="K18" s="7">
        <v>8.9718972939999997</v>
      </c>
      <c r="L18" s="7">
        <v>8.9718972939999997</v>
      </c>
      <c r="M18" s="7">
        <v>25</v>
      </c>
      <c r="N18" s="7">
        <v>108000</v>
      </c>
      <c r="O18" s="7">
        <v>5.0334277767135358</v>
      </c>
      <c r="P18" s="8">
        <v>3.3500000000000002E-8</v>
      </c>
      <c r="Q18" s="8">
        <v>1.4548864946650988E-8</v>
      </c>
      <c r="R18" s="8">
        <v>6</v>
      </c>
      <c r="S18" s="7">
        <v>6.990888795</v>
      </c>
      <c r="T18" s="7">
        <f t="shared" si="0"/>
        <v>0.84453239380373524</v>
      </c>
      <c r="U18" s="8">
        <v>14</v>
      </c>
      <c r="V18" s="7" t="s">
        <v>276</v>
      </c>
    </row>
    <row r="19" spans="1:22">
      <c r="A19" s="5" t="s">
        <v>259</v>
      </c>
      <c r="B19" s="7" t="s">
        <v>41</v>
      </c>
      <c r="C19" s="7" t="s">
        <v>240</v>
      </c>
      <c r="D19" s="7" t="s">
        <v>22</v>
      </c>
      <c r="E19" s="7" t="s">
        <v>23</v>
      </c>
      <c r="F19" s="7" t="s">
        <v>24</v>
      </c>
      <c r="G19" s="7" t="s">
        <v>241</v>
      </c>
      <c r="H19" s="7" t="s">
        <v>242</v>
      </c>
      <c r="I19" s="7" t="s">
        <v>243</v>
      </c>
      <c r="J19" s="7" t="s">
        <v>239</v>
      </c>
      <c r="K19" s="7">
        <v>8.9718972939999997</v>
      </c>
      <c r="L19" s="7">
        <v>8.9718972939999997</v>
      </c>
      <c r="M19" s="7">
        <v>25</v>
      </c>
      <c r="N19" s="7">
        <v>108000</v>
      </c>
      <c r="O19" s="7">
        <v>5.0334277767135358</v>
      </c>
      <c r="P19" s="8">
        <v>2.18E-8</v>
      </c>
      <c r="Q19" s="8">
        <v>9.4676196141862322E-9</v>
      </c>
      <c r="R19" s="8">
        <v>6</v>
      </c>
      <c r="S19" s="7">
        <v>6.990888795</v>
      </c>
      <c r="T19" s="7">
        <f t="shared" si="0"/>
        <v>0.84453239380373524</v>
      </c>
      <c r="U19" s="8">
        <v>14</v>
      </c>
      <c r="V19" s="7" t="s">
        <v>276</v>
      </c>
    </row>
    <row r="20" spans="1:22">
      <c r="A20" s="5" t="s">
        <v>260</v>
      </c>
      <c r="B20" s="7" t="s">
        <v>41</v>
      </c>
      <c r="C20" s="7" t="s">
        <v>235</v>
      </c>
      <c r="D20" s="7" t="s">
        <v>22</v>
      </c>
      <c r="E20" s="7" t="s">
        <v>23</v>
      </c>
      <c r="F20" s="7" t="s">
        <v>24</v>
      </c>
      <c r="G20" s="7" t="s">
        <v>189</v>
      </c>
      <c r="H20" s="7" t="s">
        <v>236</v>
      </c>
      <c r="I20" s="7" t="s">
        <v>237</v>
      </c>
      <c r="J20" s="7" t="s">
        <v>20</v>
      </c>
      <c r="K20" s="7">
        <v>8.9718972939999997</v>
      </c>
      <c r="L20" s="7">
        <v>8.9718972939999997</v>
      </c>
      <c r="M20" s="7">
        <v>25</v>
      </c>
      <c r="N20" s="7">
        <v>108000</v>
      </c>
      <c r="O20" s="7">
        <v>5.0334277767135358</v>
      </c>
      <c r="P20" s="8">
        <v>3.3500000000000002E-8</v>
      </c>
      <c r="Q20" s="8">
        <v>1.4548864946650988E-8</v>
      </c>
      <c r="R20" s="8">
        <v>6</v>
      </c>
      <c r="S20" s="7">
        <v>12.54410262</v>
      </c>
      <c r="T20" s="7">
        <f t="shared" si="0"/>
        <v>1.0984395982036792</v>
      </c>
      <c r="U20" s="8">
        <v>14</v>
      </c>
      <c r="V20" s="7" t="s">
        <v>276</v>
      </c>
    </row>
    <row r="21" spans="1:22">
      <c r="A21" s="5" t="s">
        <v>261</v>
      </c>
      <c r="B21" s="7" t="s">
        <v>41</v>
      </c>
      <c r="C21" s="7" t="s">
        <v>246</v>
      </c>
      <c r="D21" s="7" t="s">
        <v>22</v>
      </c>
      <c r="E21" s="7" t="s">
        <v>23</v>
      </c>
      <c r="F21" s="7" t="s">
        <v>24</v>
      </c>
      <c r="G21" s="7" t="s">
        <v>241</v>
      </c>
      <c r="H21" s="7" t="s">
        <v>242</v>
      </c>
      <c r="I21" s="7" t="s">
        <v>247</v>
      </c>
      <c r="J21" s="7" t="s">
        <v>239</v>
      </c>
      <c r="K21" s="7">
        <v>8.9718972939999997</v>
      </c>
      <c r="L21" s="7">
        <v>8.9718972939999997</v>
      </c>
      <c r="M21" s="7">
        <v>25</v>
      </c>
      <c r="N21" s="7">
        <v>108000</v>
      </c>
      <c r="O21" s="7">
        <v>5.0334277767135358</v>
      </c>
      <c r="P21" s="8">
        <v>1.2599999999999999E-8</v>
      </c>
      <c r="Q21" s="8">
        <v>5.4721104081073946E-9</v>
      </c>
      <c r="R21" s="8">
        <v>6</v>
      </c>
      <c r="S21" s="7">
        <v>12.54410262</v>
      </c>
      <c r="T21" s="7">
        <f t="shared" si="0"/>
        <v>1.0984395982036792</v>
      </c>
      <c r="U21" s="8">
        <v>14</v>
      </c>
      <c r="V21" s="7" t="s">
        <v>276</v>
      </c>
    </row>
    <row r="22" spans="1:22">
      <c r="A22" s="5" t="s">
        <v>262</v>
      </c>
      <c r="B22" s="7" t="s">
        <v>41</v>
      </c>
      <c r="C22" s="7" t="s">
        <v>235</v>
      </c>
      <c r="D22" s="7" t="s">
        <v>22</v>
      </c>
      <c r="E22" s="7" t="s">
        <v>23</v>
      </c>
      <c r="F22" s="7" t="s">
        <v>24</v>
      </c>
      <c r="G22" s="7" t="s">
        <v>189</v>
      </c>
      <c r="H22" s="7" t="s">
        <v>236</v>
      </c>
      <c r="I22" s="7" t="s">
        <v>237</v>
      </c>
      <c r="J22" s="7" t="s">
        <v>20</v>
      </c>
      <c r="K22" s="7">
        <v>8.9718972939999997</v>
      </c>
      <c r="L22" s="7">
        <v>8.9718972939999997</v>
      </c>
      <c r="M22" s="7">
        <v>25</v>
      </c>
      <c r="N22" s="7">
        <v>108000</v>
      </c>
      <c r="O22" s="7">
        <v>5.0334277767135358</v>
      </c>
      <c r="P22" s="8">
        <v>3.3500000000000002E-8</v>
      </c>
      <c r="Q22" s="8">
        <v>1.4548864946650988E-8</v>
      </c>
      <c r="R22" s="8">
        <v>6</v>
      </c>
      <c r="S22" s="7">
        <v>7.6475408900000001</v>
      </c>
      <c r="T22" s="7">
        <f t="shared" si="0"/>
        <v>0.88352180775595002</v>
      </c>
      <c r="U22" s="8">
        <v>14</v>
      </c>
      <c r="V22" s="7" t="s">
        <v>276</v>
      </c>
    </row>
    <row r="23" spans="1:22">
      <c r="A23" s="5" t="s">
        <v>263</v>
      </c>
      <c r="B23" s="7" t="s">
        <v>41</v>
      </c>
      <c r="C23" s="7" t="s">
        <v>246</v>
      </c>
      <c r="D23" s="7" t="s">
        <v>22</v>
      </c>
      <c r="E23" s="7" t="s">
        <v>23</v>
      </c>
      <c r="F23" s="7" t="s">
        <v>24</v>
      </c>
      <c r="G23" s="7" t="s">
        <v>241</v>
      </c>
      <c r="H23" s="7" t="s">
        <v>242</v>
      </c>
      <c r="I23" s="7" t="s">
        <v>247</v>
      </c>
      <c r="J23" s="7" t="s">
        <v>239</v>
      </c>
      <c r="K23" s="7">
        <v>8.9718972939999997</v>
      </c>
      <c r="L23" s="7">
        <v>8.9718972939999997</v>
      </c>
      <c r="M23" s="7">
        <v>25</v>
      </c>
      <c r="N23" s="7">
        <v>108000</v>
      </c>
      <c r="O23" s="7">
        <v>5.0334277767135358</v>
      </c>
      <c r="P23" s="8">
        <v>1.2599999999999999E-8</v>
      </c>
      <c r="Q23" s="8">
        <v>5.4721104081073946E-9</v>
      </c>
      <c r="R23" s="8">
        <v>6</v>
      </c>
      <c r="S23" s="7">
        <v>7.6475408900000001</v>
      </c>
      <c r="T23" s="7">
        <f t="shared" si="0"/>
        <v>0.88352180775595002</v>
      </c>
      <c r="U23" s="8">
        <v>14</v>
      </c>
      <c r="V23" s="7" t="s">
        <v>276</v>
      </c>
    </row>
    <row r="24" spans="1:22">
      <c r="A24" s="5" t="s">
        <v>266</v>
      </c>
      <c r="B24" s="7" t="s">
        <v>41</v>
      </c>
      <c r="C24" s="7" t="s">
        <v>235</v>
      </c>
      <c r="D24" s="7" t="s">
        <v>22</v>
      </c>
      <c r="E24" s="7" t="s">
        <v>23</v>
      </c>
      <c r="F24" s="7" t="s">
        <v>24</v>
      </c>
      <c r="G24" s="7" t="s">
        <v>189</v>
      </c>
      <c r="H24" s="7" t="s">
        <v>236</v>
      </c>
      <c r="I24" s="7" t="s">
        <v>237</v>
      </c>
      <c r="J24" s="7" t="s">
        <v>20</v>
      </c>
      <c r="K24" s="7">
        <v>8.9718972939999997</v>
      </c>
      <c r="L24" s="7">
        <v>8.9718972939999997</v>
      </c>
      <c r="M24" s="7">
        <v>25</v>
      </c>
      <c r="N24" s="7">
        <v>108000</v>
      </c>
      <c r="O24" s="7">
        <v>5.0334277767135358</v>
      </c>
      <c r="P24" s="8">
        <v>3.3500000000000002E-8</v>
      </c>
      <c r="Q24" s="8">
        <v>1.4548864946650988E-8</v>
      </c>
      <c r="R24" s="8">
        <v>6</v>
      </c>
      <c r="S24" s="7">
        <v>7.3816373149999999</v>
      </c>
      <c r="T24" s="7">
        <f t="shared" si="0"/>
        <v>0.86815270301573988</v>
      </c>
      <c r="U24" s="8">
        <v>14</v>
      </c>
      <c r="V24" s="7" t="s">
        <v>276</v>
      </c>
    </row>
    <row r="25" spans="1:22">
      <c r="A25" s="5" t="s">
        <v>267</v>
      </c>
      <c r="B25" s="7" t="s">
        <v>41</v>
      </c>
      <c r="C25" s="7" t="s">
        <v>252</v>
      </c>
      <c r="D25" s="7" t="s">
        <v>22</v>
      </c>
      <c r="E25" s="7" t="s">
        <v>23</v>
      </c>
      <c r="F25" s="7" t="s">
        <v>24</v>
      </c>
      <c r="G25" s="7" t="s">
        <v>241</v>
      </c>
      <c r="H25" s="7" t="s">
        <v>242</v>
      </c>
      <c r="I25" s="7" t="s">
        <v>253</v>
      </c>
      <c r="J25" s="7" t="s">
        <v>239</v>
      </c>
      <c r="K25" s="7">
        <v>8.9718972939999997</v>
      </c>
      <c r="L25" s="7">
        <v>8.9718972939999997</v>
      </c>
      <c r="M25" s="7">
        <v>25</v>
      </c>
      <c r="N25" s="7">
        <v>108000</v>
      </c>
      <c r="O25" s="7">
        <v>5.0334277767135358</v>
      </c>
      <c r="P25" s="8">
        <v>1.2599999999999999E-8</v>
      </c>
      <c r="Q25" s="8">
        <v>5.4721104081073946E-9</v>
      </c>
      <c r="R25" s="8">
        <v>6</v>
      </c>
      <c r="S25" s="7">
        <v>7.3816373149999999</v>
      </c>
      <c r="T25" s="7">
        <f t="shared" si="0"/>
        <v>0.86815270301573988</v>
      </c>
      <c r="U25" s="8">
        <v>14</v>
      </c>
      <c r="V25" s="7" t="s">
        <v>276</v>
      </c>
    </row>
    <row r="26" spans="1:22">
      <c r="A26" s="5" t="s">
        <v>123</v>
      </c>
      <c r="B26" s="7" t="s">
        <v>41</v>
      </c>
      <c r="C26" s="7" t="s">
        <v>124</v>
      </c>
      <c r="D26" s="7" t="s">
        <v>125</v>
      </c>
      <c r="E26" s="7" t="s">
        <v>126</v>
      </c>
      <c r="F26" s="7" t="s">
        <v>127</v>
      </c>
      <c r="G26" s="7" t="s">
        <v>128</v>
      </c>
      <c r="H26" s="7" t="s">
        <v>129</v>
      </c>
      <c r="I26" s="7" t="s">
        <v>130</v>
      </c>
      <c r="J26" s="7" t="s">
        <v>20</v>
      </c>
      <c r="K26" s="7">
        <v>27.664826999999999</v>
      </c>
      <c r="L26" s="7">
        <v>27.664826999999999</v>
      </c>
      <c r="M26" s="7">
        <v>25</v>
      </c>
      <c r="N26" s="7">
        <v>259200</v>
      </c>
      <c r="O26" s="7">
        <v>5.4136366727141585</v>
      </c>
      <c r="P26" s="8">
        <v>2.2400000000000004E-14</v>
      </c>
      <c r="Q26" s="8">
        <v>9.7397074121880906E-15</v>
      </c>
      <c r="R26" s="8">
        <v>9</v>
      </c>
      <c r="S26" s="7">
        <v>8.0898498609999994</v>
      </c>
      <c r="T26" s="7">
        <f t="shared" si="0"/>
        <v>0.90794046164388187</v>
      </c>
      <c r="U26" s="8">
        <v>27</v>
      </c>
      <c r="V26" s="7" t="s">
        <v>276</v>
      </c>
    </row>
    <row r="27" spans="1:22">
      <c r="A27" s="5" t="s">
        <v>131</v>
      </c>
      <c r="B27" s="7" t="s">
        <v>41</v>
      </c>
      <c r="C27" s="7" t="s">
        <v>124</v>
      </c>
      <c r="D27" s="7" t="s">
        <v>125</v>
      </c>
      <c r="E27" s="7" t="s">
        <v>126</v>
      </c>
      <c r="F27" s="7" t="s">
        <v>127</v>
      </c>
      <c r="G27" s="7" t="s">
        <v>128</v>
      </c>
      <c r="H27" s="7" t="s">
        <v>129</v>
      </c>
      <c r="I27" s="7" t="s">
        <v>130</v>
      </c>
      <c r="J27" s="7" t="s">
        <v>20</v>
      </c>
      <c r="K27" s="7">
        <v>31.970803929999999</v>
      </c>
      <c r="L27" s="7">
        <v>31.970803929999999</v>
      </c>
      <c r="M27" s="7">
        <v>25</v>
      </c>
      <c r="N27" s="7">
        <v>259200</v>
      </c>
      <c r="O27" s="7">
        <v>5.4136366727141585</v>
      </c>
      <c r="P27" s="8">
        <v>2.2400000000000004E-14</v>
      </c>
      <c r="Q27" s="8">
        <v>9.7397074121880906E-15</v>
      </c>
      <c r="R27" s="8">
        <v>9</v>
      </c>
      <c r="S27" s="7">
        <v>7.7046156119999996</v>
      </c>
      <c r="T27" s="7">
        <f t="shared" si="0"/>
        <v>0.88675097637675482</v>
      </c>
      <c r="U27" s="8">
        <v>27</v>
      </c>
      <c r="V27" s="7" t="s">
        <v>276</v>
      </c>
    </row>
    <row r="28" spans="1:22">
      <c r="A28" s="5" t="s">
        <v>132</v>
      </c>
      <c r="B28" s="7" t="s">
        <v>41</v>
      </c>
      <c r="C28" s="7" t="s">
        <v>124</v>
      </c>
      <c r="D28" s="7" t="s">
        <v>125</v>
      </c>
      <c r="E28" s="7" t="s">
        <v>126</v>
      </c>
      <c r="F28" s="7" t="s">
        <v>127</v>
      </c>
      <c r="G28" s="7" t="s">
        <v>128</v>
      </c>
      <c r="H28" s="7" t="s">
        <v>129</v>
      </c>
      <c r="I28" s="7" t="s">
        <v>130</v>
      </c>
      <c r="J28" s="7" t="s">
        <v>20</v>
      </c>
      <c r="K28" s="7">
        <v>31.970803929999999</v>
      </c>
      <c r="L28" s="7">
        <v>31.970803929999999</v>
      </c>
      <c r="M28" s="7">
        <v>25</v>
      </c>
      <c r="N28" s="7">
        <v>259200</v>
      </c>
      <c r="O28" s="7">
        <v>5.4136366727141585</v>
      </c>
      <c r="P28" s="8">
        <v>2.2400000000000004E-14</v>
      </c>
      <c r="Q28" s="8">
        <v>9.7397074121880906E-15</v>
      </c>
      <c r="R28" s="8">
        <v>9</v>
      </c>
      <c r="S28" s="7">
        <v>9.4690512449999993</v>
      </c>
      <c r="T28" s="7">
        <f t="shared" si="0"/>
        <v>0.97630646689105693</v>
      </c>
      <c r="U28" s="8">
        <v>27</v>
      </c>
      <c r="V28" s="7" t="s">
        <v>276</v>
      </c>
    </row>
    <row r="29" spans="1:22">
      <c r="A29" s="5" t="s">
        <v>133</v>
      </c>
      <c r="B29" s="7" t="s">
        <v>41</v>
      </c>
      <c r="C29" s="7" t="s">
        <v>124</v>
      </c>
      <c r="D29" s="7" t="s">
        <v>125</v>
      </c>
      <c r="E29" s="7" t="s">
        <v>126</v>
      </c>
      <c r="F29" s="7" t="s">
        <v>127</v>
      </c>
      <c r="G29" s="7" t="s">
        <v>128</v>
      </c>
      <c r="H29" s="7" t="s">
        <v>129</v>
      </c>
      <c r="I29" s="7" t="s">
        <v>130</v>
      </c>
      <c r="J29" s="7" t="s">
        <v>20</v>
      </c>
      <c r="K29" s="7">
        <v>36.778261000000001</v>
      </c>
      <c r="L29" s="7">
        <v>36.778261000000001</v>
      </c>
      <c r="M29" s="7">
        <v>25</v>
      </c>
      <c r="N29" s="7">
        <v>259200</v>
      </c>
      <c r="O29" s="7">
        <v>5.4136366727141585</v>
      </c>
      <c r="P29" s="8">
        <v>2.2400000000000004E-14</v>
      </c>
      <c r="Q29" s="8">
        <v>9.7397074121880906E-15</v>
      </c>
      <c r="R29" s="8">
        <v>9</v>
      </c>
      <c r="S29" s="7">
        <v>9.2084647180000001</v>
      </c>
      <c r="T29" s="7">
        <f t="shared" si="0"/>
        <v>0.96418722845082738</v>
      </c>
      <c r="U29" s="8">
        <v>27</v>
      </c>
      <c r="V29" s="7" t="s">
        <v>276</v>
      </c>
    </row>
    <row r="30" spans="1:22">
      <c r="A30" s="5" t="s">
        <v>134</v>
      </c>
      <c r="B30" s="7" t="s">
        <v>41</v>
      </c>
      <c r="C30" s="7" t="s">
        <v>124</v>
      </c>
      <c r="D30" s="7" t="s">
        <v>125</v>
      </c>
      <c r="E30" s="7" t="s">
        <v>126</v>
      </c>
      <c r="F30" s="7" t="s">
        <v>127</v>
      </c>
      <c r="G30" s="7" t="s">
        <v>128</v>
      </c>
      <c r="H30" s="7" t="s">
        <v>129</v>
      </c>
      <c r="I30" s="7" t="s">
        <v>130</v>
      </c>
      <c r="J30" s="7" t="s">
        <v>20</v>
      </c>
      <c r="K30" s="7">
        <v>36.778261000000001</v>
      </c>
      <c r="L30" s="7">
        <v>36.778261000000001</v>
      </c>
      <c r="M30" s="7">
        <v>25</v>
      </c>
      <c r="N30" s="7">
        <v>259200</v>
      </c>
      <c r="O30" s="7">
        <v>5.4136366727141585</v>
      </c>
      <c r="P30" s="8">
        <v>2.2400000000000004E-14</v>
      </c>
      <c r="Q30" s="8">
        <v>9.7397074121880906E-15</v>
      </c>
      <c r="R30" s="8">
        <v>9</v>
      </c>
      <c r="S30" s="7">
        <v>9.4498806589999997</v>
      </c>
      <c r="T30" s="7">
        <f t="shared" si="0"/>
        <v>0.97542632390978845</v>
      </c>
      <c r="U30" s="8">
        <v>27</v>
      </c>
      <c r="V30" s="7" t="s">
        <v>276</v>
      </c>
    </row>
    <row r="31" spans="1:22">
      <c r="A31" s="5" t="s">
        <v>135</v>
      </c>
      <c r="B31" s="7" t="s">
        <v>41</v>
      </c>
      <c r="C31" s="7" t="s">
        <v>124</v>
      </c>
      <c r="D31" s="7" t="s">
        <v>125</v>
      </c>
      <c r="E31" s="7" t="s">
        <v>126</v>
      </c>
      <c r="F31" s="7" t="s">
        <v>127</v>
      </c>
      <c r="G31" s="7" t="s">
        <v>128</v>
      </c>
      <c r="H31" s="7" t="s">
        <v>129</v>
      </c>
      <c r="I31" s="7" t="s">
        <v>130</v>
      </c>
      <c r="J31" s="7" t="s">
        <v>20</v>
      </c>
      <c r="K31" s="7">
        <v>36.778261000000001</v>
      </c>
      <c r="L31" s="7">
        <v>36.778261000000001</v>
      </c>
      <c r="M31" s="7">
        <v>25</v>
      </c>
      <c r="N31" s="7">
        <v>259200</v>
      </c>
      <c r="O31" s="7">
        <v>5.4136366727141585</v>
      </c>
      <c r="P31" s="8">
        <v>2.2400000000000004E-14</v>
      </c>
      <c r="Q31" s="8">
        <v>9.7397074121880906E-15</v>
      </c>
      <c r="R31" s="8">
        <v>9</v>
      </c>
      <c r="S31" s="7">
        <v>8.7110295410000003</v>
      </c>
      <c r="T31" s="7">
        <f t="shared" si="0"/>
        <v>0.94006948652910527</v>
      </c>
      <c r="U31" s="8">
        <v>27</v>
      </c>
      <c r="V31" s="7" t="s">
        <v>276</v>
      </c>
    </row>
    <row r="32" spans="1:22">
      <c r="A32" s="5" t="s">
        <v>225</v>
      </c>
      <c r="B32" s="7" t="s">
        <v>41</v>
      </c>
      <c r="C32" s="7" t="s">
        <v>124</v>
      </c>
      <c r="D32" s="7" t="s">
        <v>125</v>
      </c>
      <c r="E32" s="7" t="s">
        <v>126</v>
      </c>
      <c r="F32" s="7" t="s">
        <v>127</v>
      </c>
      <c r="G32" s="7" t="s">
        <v>128</v>
      </c>
      <c r="H32" s="7" t="s">
        <v>129</v>
      </c>
      <c r="I32" s="7" t="s">
        <v>130</v>
      </c>
      <c r="J32" s="7" t="s">
        <v>20</v>
      </c>
      <c r="K32" s="7">
        <v>21.521757000000001</v>
      </c>
      <c r="L32" s="7">
        <v>21.521757000000001</v>
      </c>
      <c r="M32" s="7">
        <v>25</v>
      </c>
      <c r="N32" s="7">
        <v>259200</v>
      </c>
      <c r="O32" s="7">
        <v>5.4136366727141585</v>
      </c>
      <c r="P32" s="8">
        <v>2.2400000000000004E-14</v>
      </c>
      <c r="Q32" s="8">
        <v>9.7397074121880906E-15</v>
      </c>
      <c r="R32" s="8">
        <v>9</v>
      </c>
      <c r="S32" s="7">
        <v>8.9611135189999995</v>
      </c>
      <c r="T32" s="7">
        <f t="shared" si="0"/>
        <v>0.95236197898242481</v>
      </c>
      <c r="U32" s="8">
        <v>27</v>
      </c>
      <c r="V32" s="7" t="s">
        <v>276</v>
      </c>
    </row>
    <row r="33" spans="1:22">
      <c r="A33" s="5" t="s">
        <v>136</v>
      </c>
      <c r="B33" s="7" t="s">
        <v>41</v>
      </c>
      <c r="C33" s="7" t="s">
        <v>124</v>
      </c>
      <c r="D33" s="7" t="s">
        <v>125</v>
      </c>
      <c r="E33" s="7" t="s">
        <v>126</v>
      </c>
      <c r="F33" s="7" t="s">
        <v>127</v>
      </c>
      <c r="G33" s="7" t="s">
        <v>128</v>
      </c>
      <c r="H33" s="7" t="s">
        <v>129</v>
      </c>
      <c r="I33" s="7" t="s">
        <v>130</v>
      </c>
      <c r="J33" s="7" t="s">
        <v>20</v>
      </c>
      <c r="K33" s="7">
        <v>48.849919999999997</v>
      </c>
      <c r="L33" s="7">
        <v>48.849919999999997</v>
      </c>
      <c r="M33" s="7">
        <v>25</v>
      </c>
      <c r="N33" s="7">
        <v>259200</v>
      </c>
      <c r="O33" s="7">
        <v>5.4136366727141585</v>
      </c>
      <c r="P33" s="8">
        <v>2.2400000000000004E-14</v>
      </c>
      <c r="Q33" s="8">
        <v>9.7397074121880906E-15</v>
      </c>
      <c r="R33" s="8">
        <v>9</v>
      </c>
      <c r="S33" s="7">
        <v>7.6613175050000004</v>
      </c>
      <c r="T33" s="7">
        <f t="shared" si="0"/>
        <v>0.88430346100984403</v>
      </c>
      <c r="U33" s="8">
        <v>27</v>
      </c>
      <c r="V33" s="7" t="s">
        <v>276</v>
      </c>
    </row>
    <row r="34" spans="1:22">
      <c r="A34" s="5" t="s">
        <v>137</v>
      </c>
      <c r="B34" s="7" t="s">
        <v>41</v>
      </c>
      <c r="C34" s="7" t="s">
        <v>124</v>
      </c>
      <c r="D34" s="7" t="s">
        <v>125</v>
      </c>
      <c r="E34" s="7" t="s">
        <v>126</v>
      </c>
      <c r="F34" s="7" t="s">
        <v>127</v>
      </c>
      <c r="G34" s="7" t="s">
        <v>128</v>
      </c>
      <c r="H34" s="7" t="s">
        <v>129</v>
      </c>
      <c r="I34" s="7" t="s">
        <v>130</v>
      </c>
      <c r="J34" s="7" t="s">
        <v>20</v>
      </c>
      <c r="K34" s="7">
        <v>43.492782810000001</v>
      </c>
      <c r="L34" s="7">
        <v>43.492782810000001</v>
      </c>
      <c r="M34" s="7">
        <v>25</v>
      </c>
      <c r="N34" s="7">
        <v>259200</v>
      </c>
      <c r="O34" s="7">
        <v>5.4136366727141585</v>
      </c>
      <c r="P34" s="8">
        <v>2.2400000000000004E-14</v>
      </c>
      <c r="Q34" s="8">
        <v>9.7397074121880906E-15</v>
      </c>
      <c r="R34" s="8">
        <v>9</v>
      </c>
      <c r="S34" s="7">
        <v>8.9617084449999993</v>
      </c>
      <c r="T34" s="7">
        <f t="shared" si="0"/>
        <v>0.95239081072326948</v>
      </c>
      <c r="U34" s="8">
        <v>27</v>
      </c>
      <c r="V34" s="7" t="s">
        <v>276</v>
      </c>
    </row>
    <row r="35" spans="1:22">
      <c r="A35" s="5" t="s">
        <v>138</v>
      </c>
      <c r="B35" s="7" t="s">
        <v>41</v>
      </c>
      <c r="C35" s="7" t="s">
        <v>124</v>
      </c>
      <c r="D35" s="7" t="s">
        <v>125</v>
      </c>
      <c r="E35" s="7" t="s">
        <v>126</v>
      </c>
      <c r="F35" s="7" t="s">
        <v>127</v>
      </c>
      <c r="G35" s="7" t="s">
        <v>128</v>
      </c>
      <c r="H35" s="7" t="s">
        <v>129</v>
      </c>
      <c r="I35" s="7" t="s">
        <v>130</v>
      </c>
      <c r="J35" s="7" t="s">
        <v>20</v>
      </c>
      <c r="K35" s="7">
        <v>48.849919999999997</v>
      </c>
      <c r="L35" s="7">
        <v>48.849919999999997</v>
      </c>
      <c r="M35" s="7">
        <v>25</v>
      </c>
      <c r="N35" s="7">
        <v>259200</v>
      </c>
      <c r="O35" s="7">
        <v>5.4136366727141585</v>
      </c>
      <c r="P35" s="8">
        <v>2.2400000000000004E-14</v>
      </c>
      <c r="Q35" s="8">
        <v>9.7397074121880906E-15</v>
      </c>
      <c r="R35" s="8">
        <v>9</v>
      </c>
      <c r="S35" s="7">
        <v>8.8224297870000008</v>
      </c>
      <c r="T35" s="7">
        <f t="shared" si="0"/>
        <v>0.94558821072826116</v>
      </c>
      <c r="U35" s="8">
        <v>27</v>
      </c>
      <c r="V35" s="7" t="s">
        <v>276</v>
      </c>
    </row>
    <row r="36" spans="1:22">
      <c r="A36" s="5" t="s">
        <v>139</v>
      </c>
      <c r="B36" s="7" t="s">
        <v>41</v>
      </c>
      <c r="C36" s="7" t="s">
        <v>124</v>
      </c>
      <c r="D36" s="7" t="s">
        <v>125</v>
      </c>
      <c r="E36" s="7" t="s">
        <v>126</v>
      </c>
      <c r="F36" s="7" t="s">
        <v>127</v>
      </c>
      <c r="G36" s="7" t="s">
        <v>128</v>
      </c>
      <c r="H36" s="7" t="s">
        <v>129</v>
      </c>
      <c r="I36" s="7" t="s">
        <v>130</v>
      </c>
      <c r="J36" s="7" t="s">
        <v>20</v>
      </c>
      <c r="K36" s="7">
        <v>48.849919999999997</v>
      </c>
      <c r="L36" s="7">
        <v>48.849919999999997</v>
      </c>
      <c r="M36" s="7">
        <v>25</v>
      </c>
      <c r="N36" s="7">
        <v>259200</v>
      </c>
      <c r="O36" s="7">
        <v>5.4136366727141585</v>
      </c>
      <c r="P36" s="8">
        <v>2.2400000000000004E-14</v>
      </c>
      <c r="Q36" s="8">
        <v>9.7397074121880906E-15</v>
      </c>
      <c r="R36" s="8">
        <v>9</v>
      </c>
      <c r="S36" s="7">
        <v>7.4656333420000003</v>
      </c>
      <c r="T36" s="7">
        <f t="shared" ref="T36:T67" si="1">LOG(S36)</f>
        <v>0.87306665670515571</v>
      </c>
      <c r="U36" s="8">
        <v>27</v>
      </c>
      <c r="V36" s="7" t="s">
        <v>276</v>
      </c>
    </row>
    <row r="37" spans="1:22">
      <c r="A37" s="5" t="s">
        <v>140</v>
      </c>
      <c r="B37" s="7" t="s">
        <v>41</v>
      </c>
      <c r="C37" s="7" t="s">
        <v>124</v>
      </c>
      <c r="D37" s="7" t="s">
        <v>125</v>
      </c>
      <c r="E37" s="7" t="s">
        <v>126</v>
      </c>
      <c r="F37" s="7" t="s">
        <v>127</v>
      </c>
      <c r="G37" s="7" t="s">
        <v>128</v>
      </c>
      <c r="H37" s="7" t="s">
        <v>129</v>
      </c>
      <c r="I37" s="7" t="s">
        <v>130</v>
      </c>
      <c r="J37" s="7" t="s">
        <v>20</v>
      </c>
      <c r="K37" s="7">
        <v>48.849919999999997</v>
      </c>
      <c r="L37" s="7">
        <v>48.849919999999997</v>
      </c>
      <c r="M37" s="7">
        <v>25</v>
      </c>
      <c r="N37" s="7">
        <v>259200</v>
      </c>
      <c r="O37" s="7">
        <v>5.4136366727141585</v>
      </c>
      <c r="P37" s="8">
        <v>2.2400000000000004E-14</v>
      </c>
      <c r="Q37" s="8">
        <v>9.7397074121880906E-15</v>
      </c>
      <c r="R37" s="8">
        <v>9</v>
      </c>
      <c r="S37" s="7">
        <v>9.2439869259999998</v>
      </c>
      <c r="T37" s="7">
        <f t="shared" si="1"/>
        <v>0.96585932257404794</v>
      </c>
      <c r="U37" s="8">
        <v>27</v>
      </c>
      <c r="V37" s="7" t="s">
        <v>276</v>
      </c>
    </row>
    <row r="38" spans="1:22">
      <c r="A38" s="5" t="s">
        <v>141</v>
      </c>
      <c r="B38" s="7" t="s">
        <v>41</v>
      </c>
      <c r="C38" s="7" t="s">
        <v>124</v>
      </c>
      <c r="D38" s="7" t="s">
        <v>125</v>
      </c>
      <c r="E38" s="7" t="s">
        <v>126</v>
      </c>
      <c r="F38" s="7" t="s">
        <v>127</v>
      </c>
      <c r="G38" s="7" t="s">
        <v>128</v>
      </c>
      <c r="H38" s="7" t="s">
        <v>129</v>
      </c>
      <c r="I38" s="7" t="s">
        <v>130</v>
      </c>
      <c r="J38" s="7" t="s">
        <v>20</v>
      </c>
      <c r="K38" s="7">
        <v>48.849919999999997</v>
      </c>
      <c r="L38" s="7">
        <v>48.849919999999997</v>
      </c>
      <c r="M38" s="7">
        <v>25</v>
      </c>
      <c r="N38" s="7">
        <v>259200</v>
      </c>
      <c r="O38" s="7">
        <v>5.4136366727141585</v>
      </c>
      <c r="P38" s="8">
        <v>2.2400000000000004E-14</v>
      </c>
      <c r="Q38" s="8">
        <v>9.7397074121880906E-15</v>
      </c>
      <c r="R38" s="8">
        <v>9</v>
      </c>
      <c r="S38" s="7">
        <v>9.2447893560000001</v>
      </c>
      <c r="T38" s="7">
        <f t="shared" si="1"/>
        <v>0.9658970201388859</v>
      </c>
      <c r="U38" s="8">
        <v>27</v>
      </c>
      <c r="V38" s="7" t="s">
        <v>276</v>
      </c>
    </row>
    <row r="39" spans="1:22">
      <c r="A39" s="5" t="s">
        <v>143</v>
      </c>
      <c r="B39" s="7" t="s">
        <v>41</v>
      </c>
      <c r="C39" s="7" t="s">
        <v>124</v>
      </c>
      <c r="D39" s="7" t="s">
        <v>125</v>
      </c>
      <c r="E39" s="7" t="s">
        <v>126</v>
      </c>
      <c r="F39" s="7" t="s">
        <v>127</v>
      </c>
      <c r="G39" s="7" t="s">
        <v>128</v>
      </c>
      <c r="H39" s="7" t="s">
        <v>129</v>
      </c>
      <c r="I39" s="7" t="s">
        <v>130</v>
      </c>
      <c r="J39" s="7" t="s">
        <v>20</v>
      </c>
      <c r="K39" s="7">
        <v>48.849919999999997</v>
      </c>
      <c r="L39" s="7">
        <v>48.849919999999997</v>
      </c>
      <c r="M39" s="7">
        <v>25</v>
      </c>
      <c r="N39" s="7">
        <v>259200</v>
      </c>
      <c r="O39" s="7">
        <v>5.4136366727141585</v>
      </c>
      <c r="P39" s="8">
        <v>2.2400000000000004E-14</v>
      </c>
      <c r="Q39" s="8">
        <v>9.7397074121880906E-15</v>
      </c>
      <c r="R39" s="8">
        <v>9</v>
      </c>
      <c r="S39" s="7">
        <v>7.9224121219999999</v>
      </c>
      <c r="T39" s="7">
        <f t="shared" si="1"/>
        <v>0.89885743055187439</v>
      </c>
      <c r="U39" s="8">
        <v>27</v>
      </c>
      <c r="V39" s="7" t="s">
        <v>276</v>
      </c>
    </row>
    <row r="40" spans="1:22">
      <c r="A40" s="5" t="s">
        <v>144</v>
      </c>
      <c r="B40" s="7" t="s">
        <v>41</v>
      </c>
      <c r="C40" s="7" t="s">
        <v>124</v>
      </c>
      <c r="D40" s="7" t="s">
        <v>125</v>
      </c>
      <c r="E40" s="7" t="s">
        <v>126</v>
      </c>
      <c r="F40" s="7" t="s">
        <v>127</v>
      </c>
      <c r="G40" s="7" t="s">
        <v>128</v>
      </c>
      <c r="H40" s="7" t="s">
        <v>129</v>
      </c>
      <c r="I40" s="7" t="s">
        <v>130</v>
      </c>
      <c r="J40" s="7" t="s">
        <v>20</v>
      </c>
      <c r="K40" s="7">
        <v>41.871940000000002</v>
      </c>
      <c r="L40" s="7">
        <v>41.871940000000002</v>
      </c>
      <c r="M40" s="7">
        <v>25</v>
      </c>
      <c r="N40" s="7">
        <v>259200</v>
      </c>
      <c r="O40" s="7">
        <v>5.4136366727141585</v>
      </c>
      <c r="P40" s="8">
        <v>2.2400000000000004E-14</v>
      </c>
      <c r="Q40" s="8">
        <v>9.7397074121880906E-15</v>
      </c>
      <c r="R40" s="8">
        <v>9</v>
      </c>
      <c r="S40" s="7">
        <v>9.2944193790000007</v>
      </c>
      <c r="T40" s="7">
        <f t="shared" si="1"/>
        <v>0.9682222646434282</v>
      </c>
      <c r="U40" s="8">
        <v>27</v>
      </c>
      <c r="V40" s="7" t="s">
        <v>276</v>
      </c>
    </row>
    <row r="41" spans="1:22">
      <c r="A41" s="5" t="s">
        <v>145</v>
      </c>
      <c r="B41" s="7" t="s">
        <v>41</v>
      </c>
      <c r="C41" s="7" t="s">
        <v>124</v>
      </c>
      <c r="D41" s="7" t="s">
        <v>125</v>
      </c>
      <c r="E41" s="7" t="s">
        <v>126</v>
      </c>
      <c r="F41" s="7" t="s">
        <v>127</v>
      </c>
      <c r="G41" s="7" t="s">
        <v>128</v>
      </c>
      <c r="H41" s="7" t="s">
        <v>129</v>
      </c>
      <c r="I41" s="7" t="s">
        <v>130</v>
      </c>
      <c r="J41" s="7" t="s">
        <v>20</v>
      </c>
      <c r="K41" s="7">
        <v>46.227637999999999</v>
      </c>
      <c r="L41" s="7">
        <v>46.227637999999999</v>
      </c>
      <c r="M41" s="7">
        <v>25</v>
      </c>
      <c r="N41" s="7">
        <v>259200</v>
      </c>
      <c r="O41" s="7">
        <v>5.4136366727141585</v>
      </c>
      <c r="P41" s="8">
        <v>2.2400000000000004E-14</v>
      </c>
      <c r="Q41" s="8">
        <v>9.7397074121880906E-15</v>
      </c>
      <c r="R41" s="8">
        <v>9</v>
      </c>
      <c r="S41" s="7">
        <v>8.1684817009999993</v>
      </c>
      <c r="T41" s="7">
        <f t="shared" si="1"/>
        <v>0.91214134047916839</v>
      </c>
      <c r="U41" s="8">
        <v>27</v>
      </c>
      <c r="V41" s="7" t="s">
        <v>276</v>
      </c>
    </row>
    <row r="42" spans="1:22">
      <c r="A42" s="5" t="s">
        <v>226</v>
      </c>
      <c r="B42" s="7" t="s">
        <v>41</v>
      </c>
      <c r="C42" s="7" t="s">
        <v>124</v>
      </c>
      <c r="D42" s="7" t="s">
        <v>125</v>
      </c>
      <c r="E42" s="7" t="s">
        <v>126</v>
      </c>
      <c r="F42" s="7" t="s">
        <v>127</v>
      </c>
      <c r="G42" s="7" t="s">
        <v>128</v>
      </c>
      <c r="H42" s="7" t="s">
        <v>129</v>
      </c>
      <c r="I42" s="7" t="s">
        <v>130</v>
      </c>
      <c r="J42" s="7" t="s">
        <v>20</v>
      </c>
      <c r="K42" s="7">
        <v>13.060420000000001</v>
      </c>
      <c r="L42" s="7">
        <v>13.060420000000001</v>
      </c>
      <c r="M42" s="7">
        <v>25</v>
      </c>
      <c r="N42" s="7">
        <v>259200</v>
      </c>
      <c r="O42" s="7">
        <v>5.4136366727141585</v>
      </c>
      <c r="P42" s="8">
        <v>2.2400000000000004E-14</v>
      </c>
      <c r="Q42" s="8">
        <v>9.7397074121880906E-15</v>
      </c>
      <c r="R42" s="8">
        <v>9</v>
      </c>
      <c r="S42" s="7">
        <v>10.315105389999999</v>
      </c>
      <c r="T42" s="7">
        <f t="shared" si="1"/>
        <v>1.0134736695424837</v>
      </c>
      <c r="U42" s="8">
        <v>27</v>
      </c>
      <c r="V42" s="7" t="s">
        <v>276</v>
      </c>
    </row>
    <row r="43" spans="1:22">
      <c r="A43" s="5" t="s">
        <v>227</v>
      </c>
      <c r="B43" s="7" t="s">
        <v>41</v>
      </c>
      <c r="C43" s="7" t="s">
        <v>124</v>
      </c>
      <c r="D43" s="7" t="s">
        <v>125</v>
      </c>
      <c r="E43" s="7" t="s">
        <v>126</v>
      </c>
      <c r="F43" s="7" t="s">
        <v>127</v>
      </c>
      <c r="G43" s="7" t="s">
        <v>128</v>
      </c>
      <c r="H43" s="7" t="s">
        <v>129</v>
      </c>
      <c r="I43" s="7" t="s">
        <v>130</v>
      </c>
      <c r="J43" s="7" t="s">
        <v>20</v>
      </c>
      <c r="K43" s="7">
        <v>13.060420000000001</v>
      </c>
      <c r="L43" s="7">
        <v>13.060420000000001</v>
      </c>
      <c r="M43" s="7">
        <v>25</v>
      </c>
      <c r="N43" s="7">
        <v>259200</v>
      </c>
      <c r="O43" s="7">
        <v>5.4136366727141585</v>
      </c>
      <c r="P43" s="8">
        <v>2.2400000000000004E-14</v>
      </c>
      <c r="Q43" s="8">
        <v>9.7397074121880906E-15</v>
      </c>
      <c r="R43" s="8">
        <v>9</v>
      </c>
      <c r="S43" s="7">
        <v>8.8087537830000002</v>
      </c>
      <c r="T43" s="7">
        <f t="shared" si="1"/>
        <v>0.94491447101710813</v>
      </c>
      <c r="U43" s="8">
        <v>27</v>
      </c>
      <c r="V43" s="7" t="s">
        <v>276</v>
      </c>
    </row>
    <row r="44" spans="1:22">
      <c r="A44" s="5" t="s">
        <v>228</v>
      </c>
      <c r="B44" s="7" t="s">
        <v>41</v>
      </c>
      <c r="C44" s="7" t="s">
        <v>124</v>
      </c>
      <c r="D44" s="7" t="s">
        <v>125</v>
      </c>
      <c r="E44" s="7" t="s">
        <v>126</v>
      </c>
      <c r="F44" s="7" t="s">
        <v>127</v>
      </c>
      <c r="G44" s="7" t="s">
        <v>128</v>
      </c>
      <c r="H44" s="7" t="s">
        <v>129</v>
      </c>
      <c r="I44" s="7" t="s">
        <v>130</v>
      </c>
      <c r="J44" s="7" t="s">
        <v>20</v>
      </c>
      <c r="K44" s="7">
        <v>13.060420000000001</v>
      </c>
      <c r="L44" s="7">
        <v>13.060420000000001</v>
      </c>
      <c r="M44" s="7">
        <v>25</v>
      </c>
      <c r="N44" s="7">
        <v>259200</v>
      </c>
      <c r="O44" s="7">
        <v>5.4136366727141585</v>
      </c>
      <c r="P44" s="8">
        <v>2.2400000000000004E-14</v>
      </c>
      <c r="Q44" s="8">
        <v>9.7397074121880906E-15</v>
      </c>
      <c r="R44" s="8">
        <v>9</v>
      </c>
      <c r="S44" s="7">
        <v>8.9146717629999994</v>
      </c>
      <c r="T44" s="7">
        <f t="shared" si="1"/>
        <v>0.95010535714208699</v>
      </c>
      <c r="U44" s="8">
        <v>27</v>
      </c>
      <c r="V44" s="7" t="s">
        <v>276</v>
      </c>
    </row>
    <row r="45" spans="1:22">
      <c r="A45" s="5" t="s">
        <v>229</v>
      </c>
      <c r="B45" s="7" t="s">
        <v>41</v>
      </c>
      <c r="C45" s="7" t="s">
        <v>124</v>
      </c>
      <c r="D45" s="7" t="s">
        <v>125</v>
      </c>
      <c r="E45" s="7" t="s">
        <v>126</v>
      </c>
      <c r="F45" s="7" t="s">
        <v>127</v>
      </c>
      <c r="G45" s="7" t="s">
        <v>128</v>
      </c>
      <c r="H45" s="7" t="s">
        <v>129</v>
      </c>
      <c r="I45" s="7" t="s">
        <v>130</v>
      </c>
      <c r="J45" s="7" t="s">
        <v>20</v>
      </c>
      <c r="K45" s="7">
        <v>13.060420000000001</v>
      </c>
      <c r="L45" s="7">
        <v>13.060420000000001</v>
      </c>
      <c r="M45" s="7">
        <v>25</v>
      </c>
      <c r="N45" s="7">
        <v>259200</v>
      </c>
      <c r="O45" s="7">
        <v>5.4136366727141585</v>
      </c>
      <c r="P45" s="8">
        <v>2.2400000000000004E-14</v>
      </c>
      <c r="Q45" s="8">
        <v>9.7397074121880906E-15</v>
      </c>
      <c r="R45" s="8">
        <v>9</v>
      </c>
      <c r="S45" s="7">
        <v>9.6833223149999998</v>
      </c>
      <c r="T45" s="7">
        <f t="shared" si="1"/>
        <v>0.98602438783759017</v>
      </c>
      <c r="U45" s="8">
        <v>27</v>
      </c>
      <c r="V45" s="7" t="s">
        <v>276</v>
      </c>
    </row>
    <row r="46" spans="1:22">
      <c r="A46" s="5" t="s">
        <v>230</v>
      </c>
      <c r="B46" s="7" t="s">
        <v>41</v>
      </c>
      <c r="C46" s="7" t="s">
        <v>124</v>
      </c>
      <c r="D46" s="7" t="s">
        <v>125</v>
      </c>
      <c r="E46" s="7" t="s">
        <v>126</v>
      </c>
      <c r="F46" s="7" t="s">
        <v>127</v>
      </c>
      <c r="G46" s="7" t="s">
        <v>128</v>
      </c>
      <c r="H46" s="7" t="s">
        <v>129</v>
      </c>
      <c r="I46" s="7" t="s">
        <v>130</v>
      </c>
      <c r="J46" s="7" t="s">
        <v>20</v>
      </c>
      <c r="K46" s="7">
        <v>13.060420000000001</v>
      </c>
      <c r="L46" s="7">
        <v>13.060420000000001</v>
      </c>
      <c r="M46" s="7">
        <v>25</v>
      </c>
      <c r="N46" s="7">
        <v>259200</v>
      </c>
      <c r="O46" s="7">
        <v>5.4136366727141585</v>
      </c>
      <c r="P46" s="8">
        <v>2.2400000000000004E-14</v>
      </c>
      <c r="Q46" s="8">
        <v>9.7397074121880906E-15</v>
      </c>
      <c r="R46" s="8">
        <v>9</v>
      </c>
      <c r="S46" s="7">
        <v>10.10446181</v>
      </c>
      <c r="T46" s="7">
        <f t="shared" si="1"/>
        <v>1.0045131868100841</v>
      </c>
      <c r="U46" s="8">
        <v>27</v>
      </c>
      <c r="V46" s="7" t="s">
        <v>276</v>
      </c>
    </row>
    <row r="47" spans="1:22">
      <c r="A47" s="5" t="s">
        <v>231</v>
      </c>
      <c r="B47" s="7" t="s">
        <v>41</v>
      </c>
      <c r="C47" s="7" t="s">
        <v>124</v>
      </c>
      <c r="D47" s="7" t="s">
        <v>125</v>
      </c>
      <c r="E47" s="7" t="s">
        <v>126</v>
      </c>
      <c r="F47" s="7" t="s">
        <v>127</v>
      </c>
      <c r="G47" s="7" t="s">
        <v>128</v>
      </c>
      <c r="H47" s="7" t="s">
        <v>129</v>
      </c>
      <c r="I47" s="7" t="s">
        <v>130</v>
      </c>
      <c r="J47" s="7" t="s">
        <v>20</v>
      </c>
      <c r="K47" s="7">
        <v>13.060420000000001</v>
      </c>
      <c r="L47" s="7">
        <v>13.060420000000001</v>
      </c>
      <c r="M47" s="7">
        <v>25</v>
      </c>
      <c r="N47" s="7">
        <v>259200</v>
      </c>
      <c r="O47" s="7">
        <v>5.4136366727141585</v>
      </c>
      <c r="P47" s="8">
        <v>2.2400000000000004E-14</v>
      </c>
      <c r="Q47" s="8">
        <v>9.7397074121880906E-15</v>
      </c>
      <c r="R47" s="8">
        <v>9</v>
      </c>
      <c r="S47" s="7">
        <v>10.116122669999999</v>
      </c>
      <c r="T47" s="7">
        <f t="shared" si="1"/>
        <v>1.0050140870406039</v>
      </c>
      <c r="U47" s="8">
        <v>27</v>
      </c>
      <c r="V47" s="7" t="s">
        <v>276</v>
      </c>
    </row>
    <row r="48" spans="1:22">
      <c r="A48" s="5" t="s">
        <v>232</v>
      </c>
      <c r="B48" s="7" t="s">
        <v>41</v>
      </c>
      <c r="C48" s="7" t="s">
        <v>124</v>
      </c>
      <c r="D48" s="7" t="s">
        <v>125</v>
      </c>
      <c r="E48" s="7" t="s">
        <v>126</v>
      </c>
      <c r="F48" s="7" t="s">
        <v>127</v>
      </c>
      <c r="G48" s="7" t="s">
        <v>128</v>
      </c>
      <c r="H48" s="7" t="s">
        <v>129</v>
      </c>
      <c r="I48" s="7" t="s">
        <v>130</v>
      </c>
      <c r="J48" s="7" t="s">
        <v>20</v>
      </c>
      <c r="K48" s="7">
        <v>13.060420000000001</v>
      </c>
      <c r="L48" s="7">
        <v>13.060420000000001</v>
      </c>
      <c r="M48" s="7">
        <v>25</v>
      </c>
      <c r="N48" s="7">
        <v>259200</v>
      </c>
      <c r="O48" s="7">
        <v>5.4136366727141585</v>
      </c>
      <c r="P48" s="8">
        <v>2.2400000000000004E-14</v>
      </c>
      <c r="Q48" s="8">
        <v>9.7397074121880906E-15</v>
      </c>
      <c r="R48" s="8">
        <v>9</v>
      </c>
      <c r="S48" s="7">
        <v>9.4829911720000002</v>
      </c>
      <c r="T48" s="7">
        <f t="shared" si="1"/>
        <v>0.97694534626171281</v>
      </c>
      <c r="U48" s="8">
        <v>27</v>
      </c>
      <c r="V48" s="7" t="s">
        <v>276</v>
      </c>
    </row>
    <row r="49" spans="1:22">
      <c r="A49" s="5" t="s">
        <v>233</v>
      </c>
      <c r="B49" s="7" t="s">
        <v>41</v>
      </c>
      <c r="C49" s="7" t="s">
        <v>124</v>
      </c>
      <c r="D49" s="7" t="s">
        <v>125</v>
      </c>
      <c r="E49" s="7" t="s">
        <v>126</v>
      </c>
      <c r="F49" s="7" t="s">
        <v>127</v>
      </c>
      <c r="G49" s="7" t="s">
        <v>128</v>
      </c>
      <c r="H49" s="7" t="s">
        <v>129</v>
      </c>
      <c r="I49" s="7" t="s">
        <v>130</v>
      </c>
      <c r="J49" s="7" t="s">
        <v>20</v>
      </c>
      <c r="K49" s="7">
        <v>13.060420000000001</v>
      </c>
      <c r="L49" s="7">
        <v>13.060420000000001</v>
      </c>
      <c r="M49" s="7">
        <v>25</v>
      </c>
      <c r="N49" s="7">
        <v>259200</v>
      </c>
      <c r="O49" s="7">
        <v>5.4136366727141585</v>
      </c>
      <c r="P49" s="8">
        <v>2.2400000000000004E-14</v>
      </c>
      <c r="Q49" s="8">
        <v>9.7397074121880906E-15</v>
      </c>
      <c r="R49" s="8">
        <v>9</v>
      </c>
      <c r="S49" s="7">
        <v>9.6285008439999995</v>
      </c>
      <c r="T49" s="7">
        <f t="shared" si="1"/>
        <v>0.98355867280866416</v>
      </c>
      <c r="U49" s="8">
        <v>27</v>
      </c>
      <c r="V49" s="7" t="s">
        <v>276</v>
      </c>
    </row>
    <row r="50" spans="1:22">
      <c r="A50" s="5" t="s">
        <v>146</v>
      </c>
      <c r="B50" s="7" t="s">
        <v>41</v>
      </c>
      <c r="C50" s="7" t="s">
        <v>124</v>
      </c>
      <c r="D50" s="7" t="s">
        <v>125</v>
      </c>
      <c r="E50" s="7" t="s">
        <v>126</v>
      </c>
      <c r="F50" s="7" t="s">
        <v>127</v>
      </c>
      <c r="G50" s="7" t="s">
        <v>128</v>
      </c>
      <c r="H50" s="7" t="s">
        <v>129</v>
      </c>
      <c r="I50" s="7" t="s">
        <v>130</v>
      </c>
      <c r="J50" s="7" t="s">
        <v>20</v>
      </c>
      <c r="K50" s="7">
        <v>27.702870999999998</v>
      </c>
      <c r="L50" s="7">
        <v>27.702870999999998</v>
      </c>
      <c r="M50" s="7">
        <v>25</v>
      </c>
      <c r="N50" s="7">
        <v>259200</v>
      </c>
      <c r="O50" s="7">
        <v>5.4136366727141585</v>
      </c>
      <c r="P50" s="8">
        <v>2.2400000000000004E-14</v>
      </c>
      <c r="Q50" s="8">
        <v>9.7397074121880906E-15</v>
      </c>
      <c r="R50" s="8">
        <v>9</v>
      </c>
      <c r="S50" s="7">
        <v>9.3373504809999996</v>
      </c>
      <c r="T50" s="7">
        <f t="shared" si="1"/>
        <v>0.97022366052128206</v>
      </c>
      <c r="U50" s="8">
        <v>27</v>
      </c>
      <c r="V50" s="7" t="s">
        <v>276</v>
      </c>
    </row>
    <row r="51" spans="1:22">
      <c r="A51" s="5" t="s">
        <v>147</v>
      </c>
      <c r="B51" s="7" t="s">
        <v>41</v>
      </c>
      <c r="C51" s="7" t="s">
        <v>124</v>
      </c>
      <c r="D51" s="7" t="s">
        <v>125</v>
      </c>
      <c r="E51" s="7" t="s">
        <v>126</v>
      </c>
      <c r="F51" s="7" t="s">
        <v>127</v>
      </c>
      <c r="G51" s="7" t="s">
        <v>128</v>
      </c>
      <c r="H51" s="7" t="s">
        <v>129</v>
      </c>
      <c r="I51" s="7" t="s">
        <v>130</v>
      </c>
      <c r="J51" s="7" t="s">
        <v>20</v>
      </c>
      <c r="K51" s="7">
        <v>27.702870999999998</v>
      </c>
      <c r="L51" s="7">
        <v>27.702870999999998</v>
      </c>
      <c r="M51" s="7">
        <v>25</v>
      </c>
      <c r="N51" s="7">
        <v>259200</v>
      </c>
      <c r="O51" s="7">
        <v>5.4136366727141585</v>
      </c>
      <c r="P51" s="8">
        <v>2.2400000000000004E-14</v>
      </c>
      <c r="Q51" s="8">
        <v>9.7397074121880906E-15</v>
      </c>
      <c r="R51" s="8">
        <v>9</v>
      </c>
      <c r="S51" s="7">
        <v>9.3590472580000004</v>
      </c>
      <c r="T51" s="7">
        <f t="shared" si="1"/>
        <v>0.97123164022813868</v>
      </c>
      <c r="U51" s="8">
        <v>27</v>
      </c>
      <c r="V51" s="7" t="s">
        <v>276</v>
      </c>
    </row>
    <row r="52" spans="1:22">
      <c r="A52" s="5" t="s">
        <v>148</v>
      </c>
      <c r="B52" s="7" t="s">
        <v>41</v>
      </c>
      <c r="C52" s="7" t="s">
        <v>124</v>
      </c>
      <c r="D52" s="7" t="s">
        <v>125</v>
      </c>
      <c r="E52" s="7" t="s">
        <v>126</v>
      </c>
      <c r="F52" s="7" t="s">
        <v>127</v>
      </c>
      <c r="G52" s="7" t="s">
        <v>128</v>
      </c>
      <c r="H52" s="7" t="s">
        <v>129</v>
      </c>
      <c r="I52" s="7" t="s">
        <v>130</v>
      </c>
      <c r="J52" s="7" t="s">
        <v>20</v>
      </c>
      <c r="K52" s="7">
        <v>27.702870999999998</v>
      </c>
      <c r="L52" s="7">
        <v>27.702870999999998</v>
      </c>
      <c r="M52" s="7">
        <v>25</v>
      </c>
      <c r="N52" s="7">
        <v>259200</v>
      </c>
      <c r="O52" s="7">
        <v>5.4136366727141585</v>
      </c>
      <c r="P52" s="8">
        <v>2.2400000000000004E-14</v>
      </c>
      <c r="Q52" s="8">
        <v>9.7397074121880906E-15</v>
      </c>
      <c r="R52" s="8">
        <v>9</v>
      </c>
      <c r="S52" s="7">
        <v>9.5217495589999999</v>
      </c>
      <c r="T52" s="7">
        <f t="shared" si="1"/>
        <v>0.97871675447784279</v>
      </c>
      <c r="U52" s="8">
        <v>27</v>
      </c>
      <c r="V52" s="7" t="s">
        <v>276</v>
      </c>
    </row>
    <row r="53" spans="1:22">
      <c r="A53" s="5" t="s">
        <v>149</v>
      </c>
      <c r="B53" s="7" t="s">
        <v>41</v>
      </c>
      <c r="C53" s="7" t="s">
        <v>124</v>
      </c>
      <c r="D53" s="7" t="s">
        <v>125</v>
      </c>
      <c r="E53" s="7" t="s">
        <v>126</v>
      </c>
      <c r="F53" s="7" t="s">
        <v>127</v>
      </c>
      <c r="G53" s="7" t="s">
        <v>128</v>
      </c>
      <c r="H53" s="7" t="s">
        <v>129</v>
      </c>
      <c r="I53" s="7" t="s">
        <v>130</v>
      </c>
      <c r="J53" s="7" t="s">
        <v>20</v>
      </c>
      <c r="K53" s="7">
        <v>27.702870999999998</v>
      </c>
      <c r="L53" s="7">
        <v>27.702870999999998</v>
      </c>
      <c r="M53" s="7">
        <v>25</v>
      </c>
      <c r="N53" s="7">
        <v>259200</v>
      </c>
      <c r="O53" s="7">
        <v>5.4136366727141585</v>
      </c>
      <c r="P53" s="8">
        <v>2.2400000000000004E-14</v>
      </c>
      <c r="Q53" s="8">
        <v>9.7397074121880906E-15</v>
      </c>
      <c r="R53" s="8">
        <v>9</v>
      </c>
      <c r="S53" s="7">
        <v>9.0674260289999999</v>
      </c>
      <c r="T53" s="7">
        <f t="shared" si="1"/>
        <v>0.95748402134338373</v>
      </c>
      <c r="U53" s="8">
        <v>27</v>
      </c>
      <c r="V53" s="7" t="s">
        <v>276</v>
      </c>
    </row>
    <row r="54" spans="1:22">
      <c r="A54" s="5" t="s">
        <v>150</v>
      </c>
      <c r="B54" s="7" t="s">
        <v>41</v>
      </c>
      <c r="C54" s="7" t="s">
        <v>124</v>
      </c>
      <c r="D54" s="7" t="s">
        <v>125</v>
      </c>
      <c r="E54" s="7" t="s">
        <v>126</v>
      </c>
      <c r="F54" s="7" t="s">
        <v>127</v>
      </c>
      <c r="G54" s="7" t="s">
        <v>128</v>
      </c>
      <c r="H54" s="7" t="s">
        <v>129</v>
      </c>
      <c r="I54" s="7" t="s">
        <v>130</v>
      </c>
      <c r="J54" s="7" t="s">
        <v>20</v>
      </c>
      <c r="K54" s="7">
        <v>27.702870999999998</v>
      </c>
      <c r="L54" s="7">
        <v>27.702870999999998</v>
      </c>
      <c r="M54" s="7">
        <v>25</v>
      </c>
      <c r="N54" s="7">
        <v>259200</v>
      </c>
      <c r="O54" s="7">
        <v>5.4136366727141585</v>
      </c>
      <c r="P54" s="8">
        <v>2.2400000000000004E-14</v>
      </c>
      <c r="Q54" s="8">
        <v>9.7397074121880906E-15</v>
      </c>
      <c r="R54" s="8">
        <v>9</v>
      </c>
      <c r="S54" s="7">
        <v>9.7304097269999996</v>
      </c>
      <c r="T54" s="7">
        <f t="shared" si="1"/>
        <v>0.98813112787665092</v>
      </c>
      <c r="U54" s="8">
        <v>27</v>
      </c>
      <c r="V54" s="7" t="s">
        <v>276</v>
      </c>
    </row>
    <row r="55" spans="1:22">
      <c r="A55" s="5" t="s">
        <v>151</v>
      </c>
      <c r="B55" s="7" t="s">
        <v>41</v>
      </c>
      <c r="C55" s="7" t="s">
        <v>124</v>
      </c>
      <c r="D55" s="7" t="s">
        <v>125</v>
      </c>
      <c r="E55" s="7" t="s">
        <v>126</v>
      </c>
      <c r="F55" s="7" t="s">
        <v>127</v>
      </c>
      <c r="G55" s="7" t="s">
        <v>128</v>
      </c>
      <c r="H55" s="7" t="s">
        <v>129</v>
      </c>
      <c r="I55" s="7" t="s">
        <v>130</v>
      </c>
      <c r="J55" s="7" t="s">
        <v>20</v>
      </c>
      <c r="K55" s="7">
        <v>30.190189</v>
      </c>
      <c r="L55" s="7">
        <v>30.190189</v>
      </c>
      <c r="M55" s="7">
        <v>25</v>
      </c>
      <c r="N55" s="7">
        <v>259200</v>
      </c>
      <c r="O55" s="7">
        <v>5.4136366727141585</v>
      </c>
      <c r="P55" s="8">
        <v>2.2400000000000004E-14</v>
      </c>
      <c r="Q55" s="8">
        <v>9.7397074121880906E-15</v>
      </c>
      <c r="R55" s="8">
        <v>9</v>
      </c>
      <c r="S55" s="7">
        <v>7.9768405619999996</v>
      </c>
      <c r="T55" s="7">
        <f t="shared" si="1"/>
        <v>0.9018309116280625</v>
      </c>
      <c r="U55" s="8">
        <v>27</v>
      </c>
      <c r="V55" s="7" t="s">
        <v>276</v>
      </c>
    </row>
    <row r="56" spans="1:22">
      <c r="A56" s="5" t="s">
        <v>152</v>
      </c>
      <c r="B56" s="7" t="s">
        <v>41</v>
      </c>
      <c r="C56" s="7" t="s">
        <v>124</v>
      </c>
      <c r="D56" s="7" t="s">
        <v>125</v>
      </c>
      <c r="E56" s="7" t="s">
        <v>126</v>
      </c>
      <c r="F56" s="7" t="s">
        <v>127</v>
      </c>
      <c r="G56" s="7" t="s">
        <v>128</v>
      </c>
      <c r="H56" s="7" t="s">
        <v>129</v>
      </c>
      <c r="I56" s="7" t="s">
        <v>130</v>
      </c>
      <c r="J56" s="7" t="s">
        <v>20</v>
      </c>
      <c r="K56" s="7">
        <v>30.190189</v>
      </c>
      <c r="L56" s="7">
        <v>30.190189</v>
      </c>
      <c r="M56" s="7">
        <v>25</v>
      </c>
      <c r="N56" s="7">
        <v>259200</v>
      </c>
      <c r="O56" s="7">
        <v>5.4136366727141585</v>
      </c>
      <c r="P56" s="8">
        <v>2.2400000000000004E-14</v>
      </c>
      <c r="Q56" s="8">
        <v>9.7397074121880906E-15</v>
      </c>
      <c r="R56" s="8">
        <v>9</v>
      </c>
      <c r="S56" s="7">
        <v>8.8691121309999996</v>
      </c>
      <c r="T56" s="7">
        <f t="shared" si="1"/>
        <v>0.94788014565953249</v>
      </c>
      <c r="U56" s="8">
        <v>27</v>
      </c>
      <c r="V56" s="7" t="s">
        <v>276</v>
      </c>
    </row>
    <row r="57" spans="1:22">
      <c r="A57" s="5" t="s">
        <v>153</v>
      </c>
      <c r="B57" s="7" t="s">
        <v>41</v>
      </c>
      <c r="C57" s="7" t="s">
        <v>124</v>
      </c>
      <c r="D57" s="7" t="s">
        <v>125</v>
      </c>
      <c r="E57" s="7" t="s">
        <v>126</v>
      </c>
      <c r="F57" s="7" t="s">
        <v>127</v>
      </c>
      <c r="G57" s="7" t="s">
        <v>128</v>
      </c>
      <c r="H57" s="7" t="s">
        <v>129</v>
      </c>
      <c r="I57" s="7" t="s">
        <v>130</v>
      </c>
      <c r="J57" s="7" t="s">
        <v>20</v>
      </c>
      <c r="K57" s="7">
        <v>30.190189</v>
      </c>
      <c r="L57" s="7">
        <v>30.190189</v>
      </c>
      <c r="M57" s="7">
        <v>25</v>
      </c>
      <c r="N57" s="7">
        <v>259200</v>
      </c>
      <c r="O57" s="7">
        <v>5.4136366727141585</v>
      </c>
      <c r="P57" s="8">
        <v>2.2400000000000004E-14</v>
      </c>
      <c r="Q57" s="8">
        <v>9.7397074121880906E-15</v>
      </c>
      <c r="R57" s="8">
        <v>9</v>
      </c>
      <c r="S57" s="7">
        <v>9.333678871</v>
      </c>
      <c r="T57" s="7">
        <f t="shared" si="1"/>
        <v>0.97005285472871516</v>
      </c>
      <c r="U57" s="8">
        <v>27</v>
      </c>
      <c r="V57" s="7" t="s">
        <v>276</v>
      </c>
    </row>
    <row r="58" spans="1:22">
      <c r="A58" s="5" t="s">
        <v>154</v>
      </c>
      <c r="B58" s="7" t="s">
        <v>41</v>
      </c>
      <c r="C58" s="7" t="s">
        <v>124</v>
      </c>
      <c r="D58" s="7" t="s">
        <v>125</v>
      </c>
      <c r="E58" s="7" t="s">
        <v>126</v>
      </c>
      <c r="F58" s="7" t="s">
        <v>127</v>
      </c>
      <c r="G58" s="7" t="s">
        <v>128</v>
      </c>
      <c r="H58" s="7" t="s">
        <v>129</v>
      </c>
      <c r="I58" s="7" t="s">
        <v>130</v>
      </c>
      <c r="J58" s="7" t="s">
        <v>20</v>
      </c>
      <c r="K58" s="7">
        <v>30.190189</v>
      </c>
      <c r="L58" s="7">
        <v>30.190189</v>
      </c>
      <c r="M58" s="7">
        <v>25</v>
      </c>
      <c r="N58" s="7">
        <v>259200</v>
      </c>
      <c r="O58" s="7">
        <v>5.4136366727141585</v>
      </c>
      <c r="P58" s="8">
        <v>2.2400000000000004E-14</v>
      </c>
      <c r="Q58" s="8">
        <v>9.7397074121880906E-15</v>
      </c>
      <c r="R58" s="8">
        <v>9</v>
      </c>
      <c r="S58" s="7">
        <v>8.7866800789999999</v>
      </c>
      <c r="T58" s="7">
        <f t="shared" si="1"/>
        <v>0.94382481412695818</v>
      </c>
      <c r="U58" s="8">
        <v>27</v>
      </c>
      <c r="V58" s="7" t="s">
        <v>276</v>
      </c>
    </row>
    <row r="59" spans="1:22">
      <c r="A59" s="5" t="s">
        <v>155</v>
      </c>
      <c r="B59" s="7" t="s">
        <v>41</v>
      </c>
      <c r="C59" s="7" t="s">
        <v>124</v>
      </c>
      <c r="D59" s="7" t="s">
        <v>125</v>
      </c>
      <c r="E59" s="7" t="s">
        <v>126</v>
      </c>
      <c r="F59" s="7" t="s">
        <v>127</v>
      </c>
      <c r="G59" s="7" t="s">
        <v>128</v>
      </c>
      <c r="H59" s="7" t="s">
        <v>129</v>
      </c>
      <c r="I59" s="7" t="s">
        <v>130</v>
      </c>
      <c r="J59" s="7" t="s">
        <v>20</v>
      </c>
      <c r="K59" s="7">
        <v>30.190189</v>
      </c>
      <c r="L59" s="7">
        <v>30.190189</v>
      </c>
      <c r="M59" s="7">
        <v>25</v>
      </c>
      <c r="N59" s="7">
        <v>259200</v>
      </c>
      <c r="O59" s="7">
        <v>5.4136366727141585</v>
      </c>
      <c r="P59" s="8">
        <v>2.2400000000000004E-14</v>
      </c>
      <c r="Q59" s="8">
        <v>9.7397074121880906E-15</v>
      </c>
      <c r="R59" s="8">
        <v>9</v>
      </c>
      <c r="S59" s="7">
        <v>8.7751357639999998</v>
      </c>
      <c r="T59" s="7">
        <f t="shared" si="1"/>
        <v>0.94325384435152881</v>
      </c>
      <c r="U59" s="8">
        <v>27</v>
      </c>
      <c r="V59" s="7" t="s">
        <v>276</v>
      </c>
    </row>
    <row r="60" spans="1:22">
      <c r="A60" s="5" t="s">
        <v>156</v>
      </c>
      <c r="B60" s="7" t="s">
        <v>41</v>
      </c>
      <c r="C60" s="7" t="s">
        <v>124</v>
      </c>
      <c r="D60" s="7" t="s">
        <v>125</v>
      </c>
      <c r="E60" s="7" t="s">
        <v>126</v>
      </c>
      <c r="F60" s="7" t="s">
        <v>127</v>
      </c>
      <c r="G60" s="7" t="s">
        <v>128</v>
      </c>
      <c r="H60" s="7" t="s">
        <v>129</v>
      </c>
      <c r="I60" s="7" t="s">
        <v>130</v>
      </c>
      <c r="J60" s="7" t="s">
        <v>20</v>
      </c>
      <c r="K60" s="7">
        <v>30.190189</v>
      </c>
      <c r="L60" s="7">
        <v>30.190189</v>
      </c>
      <c r="M60" s="7">
        <v>25</v>
      </c>
      <c r="N60" s="7">
        <v>259200</v>
      </c>
      <c r="O60" s="7">
        <v>5.4136366727141585</v>
      </c>
      <c r="P60" s="8">
        <v>2.2400000000000004E-14</v>
      </c>
      <c r="Q60" s="8">
        <v>9.7397074121880906E-15</v>
      </c>
      <c r="R60" s="8">
        <v>9</v>
      </c>
      <c r="S60" s="7">
        <v>8.843299386</v>
      </c>
      <c r="T60" s="7">
        <f t="shared" si="1"/>
        <v>0.9466143281121383</v>
      </c>
      <c r="U60" s="8">
        <v>27</v>
      </c>
      <c r="V60" s="7" t="s">
        <v>276</v>
      </c>
    </row>
    <row r="61" spans="1:22">
      <c r="A61" s="5" t="s">
        <v>157</v>
      </c>
      <c r="B61" s="7" t="s">
        <v>41</v>
      </c>
      <c r="C61" s="7" t="s">
        <v>124</v>
      </c>
      <c r="D61" s="7" t="s">
        <v>125</v>
      </c>
      <c r="E61" s="7" t="s">
        <v>126</v>
      </c>
      <c r="F61" s="7" t="s">
        <v>127</v>
      </c>
      <c r="G61" s="7" t="s">
        <v>128</v>
      </c>
      <c r="H61" s="7" t="s">
        <v>129</v>
      </c>
      <c r="I61" s="7" t="s">
        <v>130</v>
      </c>
      <c r="J61" s="7" t="s">
        <v>20</v>
      </c>
      <c r="K61" s="7">
        <v>30.190189</v>
      </c>
      <c r="L61" s="7">
        <v>30.190189</v>
      </c>
      <c r="M61" s="7">
        <v>25</v>
      </c>
      <c r="N61" s="7">
        <v>259200</v>
      </c>
      <c r="O61" s="7">
        <v>5.4136366727141585</v>
      </c>
      <c r="P61" s="8">
        <v>2.2400000000000004E-14</v>
      </c>
      <c r="Q61" s="8">
        <v>9.7397074121880906E-15</v>
      </c>
      <c r="R61" s="8">
        <v>9</v>
      </c>
      <c r="S61" s="7">
        <v>9.0741699960000002</v>
      </c>
      <c r="T61" s="7">
        <f t="shared" si="1"/>
        <v>0.95780691110293037</v>
      </c>
      <c r="U61" s="8">
        <v>27</v>
      </c>
      <c r="V61" s="7" t="s">
        <v>276</v>
      </c>
    </row>
    <row r="62" spans="1:22">
      <c r="A62" s="5" t="s">
        <v>192</v>
      </c>
      <c r="B62" s="7" t="s">
        <v>41</v>
      </c>
      <c r="C62" s="7" t="s">
        <v>188</v>
      </c>
      <c r="D62" s="7" t="s">
        <v>22</v>
      </c>
      <c r="E62" s="7" t="s">
        <v>23</v>
      </c>
      <c r="F62" s="7" t="s">
        <v>24</v>
      </c>
      <c r="G62" s="7" t="s">
        <v>189</v>
      </c>
      <c r="H62" s="7" t="s">
        <v>190</v>
      </c>
      <c r="I62" s="7" t="s">
        <v>191</v>
      </c>
      <c r="J62" s="7" t="s">
        <v>20</v>
      </c>
      <c r="K62" s="7">
        <v>48.421910109999999</v>
      </c>
      <c r="L62" s="7">
        <v>48.421910109999999</v>
      </c>
      <c r="M62" s="7">
        <v>22</v>
      </c>
      <c r="N62" s="7"/>
      <c r="O62" s="7"/>
      <c r="P62" s="8">
        <v>4.7100000000000013E-7</v>
      </c>
      <c r="Q62" s="8">
        <v>2.0455265275688863E-7</v>
      </c>
      <c r="R62" s="8">
        <v>7</v>
      </c>
      <c r="S62" s="7">
        <v>9.6085537859999999</v>
      </c>
      <c r="T62" s="7">
        <f t="shared" si="1"/>
        <v>0.98265802554317105</v>
      </c>
      <c r="U62" s="8">
        <v>24</v>
      </c>
      <c r="V62" s="7" t="s">
        <v>276</v>
      </c>
    </row>
    <row r="63" spans="1:22">
      <c r="A63" s="5" t="s">
        <v>208</v>
      </c>
      <c r="B63" s="7" t="s">
        <v>41</v>
      </c>
      <c r="C63" s="7" t="s">
        <v>209</v>
      </c>
      <c r="D63" s="7" t="s">
        <v>22</v>
      </c>
      <c r="E63" s="7" t="s">
        <v>23</v>
      </c>
      <c r="F63" s="7" t="s">
        <v>24</v>
      </c>
      <c r="G63" s="7" t="s">
        <v>204</v>
      </c>
      <c r="H63" s="7" t="s">
        <v>205</v>
      </c>
      <c r="I63" s="7" t="s">
        <v>206</v>
      </c>
      <c r="J63" s="7" t="s">
        <v>39</v>
      </c>
      <c r="K63" s="7">
        <v>40.416691</v>
      </c>
      <c r="L63" s="7">
        <v>40.416691</v>
      </c>
      <c r="M63" s="7">
        <v>4</v>
      </c>
      <c r="N63" s="7"/>
      <c r="O63" s="7"/>
      <c r="P63" s="8">
        <v>1.5699999999999999E-5</v>
      </c>
      <c r="Q63" s="8">
        <v>6.8183698418451601E-6</v>
      </c>
      <c r="R63" s="8">
        <v>3</v>
      </c>
      <c r="S63" s="7">
        <v>13.50020466</v>
      </c>
      <c r="T63" s="7">
        <f t="shared" si="1"/>
        <v>1.1303403523494462</v>
      </c>
      <c r="U63" s="8">
        <v>9.5</v>
      </c>
      <c r="V63" s="7" t="s">
        <v>278</v>
      </c>
    </row>
    <row r="64" spans="1:22">
      <c r="A64" s="5" t="s">
        <v>18</v>
      </c>
      <c r="B64" s="7" t="s">
        <v>19</v>
      </c>
      <c r="C64" s="7" t="s">
        <v>21</v>
      </c>
      <c r="D64" s="7" t="s">
        <v>22</v>
      </c>
      <c r="E64" s="7" t="s">
        <v>23</v>
      </c>
      <c r="F64" s="7" t="s">
        <v>24</v>
      </c>
      <c r="G64" s="7" t="s">
        <v>25</v>
      </c>
      <c r="H64" s="7" t="s">
        <v>26</v>
      </c>
      <c r="I64" s="7" t="s">
        <v>27</v>
      </c>
      <c r="J64" s="7" t="s">
        <v>20</v>
      </c>
      <c r="K64" s="7">
        <v>33.833919950000002</v>
      </c>
      <c r="L64" s="7">
        <v>33.833919950000002</v>
      </c>
      <c r="M64" s="7">
        <v>10</v>
      </c>
      <c r="N64" s="7">
        <v>1814400</v>
      </c>
      <c r="O64" s="7">
        <v>6.2587332765725803</v>
      </c>
      <c r="P64" s="8">
        <v>1.66E-5</v>
      </c>
      <c r="Q64" s="8">
        <v>7.2092285631286794E-6</v>
      </c>
      <c r="R64" s="8">
        <v>4</v>
      </c>
      <c r="S64" s="7">
        <v>7.6002549459999997</v>
      </c>
      <c r="T64" s="7">
        <f t="shared" si="1"/>
        <v>0.88082816067341196</v>
      </c>
      <c r="U64" s="8">
        <v>15</v>
      </c>
      <c r="V64" s="7" t="s">
        <v>276</v>
      </c>
    </row>
    <row r="65" spans="1:22">
      <c r="A65" s="5" t="s">
        <v>217</v>
      </c>
      <c r="B65" s="7" t="s">
        <v>19</v>
      </c>
      <c r="C65" s="7" t="s">
        <v>218</v>
      </c>
      <c r="D65" s="7" t="s">
        <v>22</v>
      </c>
      <c r="E65" s="7" t="s">
        <v>23</v>
      </c>
      <c r="F65" s="7" t="s">
        <v>24</v>
      </c>
      <c r="G65" s="7" t="s">
        <v>204</v>
      </c>
      <c r="H65" s="7" t="s">
        <v>219</v>
      </c>
      <c r="I65" s="7" t="s">
        <v>220</v>
      </c>
      <c r="J65" s="7" t="s">
        <v>31</v>
      </c>
      <c r="K65" s="7">
        <v>33.833919950000002</v>
      </c>
      <c r="L65" s="7">
        <v>33.833919950000002</v>
      </c>
      <c r="M65" s="7">
        <v>10</v>
      </c>
      <c r="N65" s="7"/>
      <c r="O65" s="7"/>
      <c r="P65" s="8">
        <v>4.6600000000000002E-7</v>
      </c>
      <c r="Q65" s="8">
        <v>2.0238118137790379E-7</v>
      </c>
      <c r="R65" s="8">
        <v>4</v>
      </c>
      <c r="S65" s="7">
        <v>7.6002549459999997</v>
      </c>
      <c r="T65" s="7">
        <f t="shared" si="1"/>
        <v>0.88082816067341196</v>
      </c>
      <c r="U65" s="8">
        <v>15</v>
      </c>
      <c r="V65" s="7" t="s">
        <v>276</v>
      </c>
    </row>
    <row r="66" spans="1:22">
      <c r="A66" s="5" t="s">
        <v>28</v>
      </c>
      <c r="B66" s="7" t="s">
        <v>19</v>
      </c>
      <c r="C66" s="7" t="s">
        <v>21</v>
      </c>
      <c r="D66" s="7" t="s">
        <v>22</v>
      </c>
      <c r="E66" s="7" t="s">
        <v>23</v>
      </c>
      <c r="F66" s="7" t="s">
        <v>24</v>
      </c>
      <c r="G66" s="7" t="s">
        <v>25</v>
      </c>
      <c r="H66" s="7" t="s">
        <v>26</v>
      </c>
      <c r="I66" s="7" t="s">
        <v>27</v>
      </c>
      <c r="J66" s="7" t="s">
        <v>20</v>
      </c>
      <c r="K66" s="7">
        <v>33.833919950000002</v>
      </c>
      <c r="L66" s="7">
        <v>33.833919950000002</v>
      </c>
      <c r="M66" s="7">
        <v>10</v>
      </c>
      <c r="N66" s="7">
        <v>1814400</v>
      </c>
      <c r="O66" s="7">
        <v>6.2587332765725803</v>
      </c>
      <c r="P66" s="8">
        <v>1.66E-5</v>
      </c>
      <c r="Q66" s="8">
        <v>7.2092285631286794E-6</v>
      </c>
      <c r="R66" s="8">
        <v>4</v>
      </c>
      <c r="S66" s="7">
        <v>16.73043715</v>
      </c>
      <c r="T66" s="7">
        <f t="shared" si="1"/>
        <v>1.2235072888017502</v>
      </c>
      <c r="U66" s="8">
        <v>15</v>
      </c>
      <c r="V66" s="7" t="s">
        <v>278</v>
      </c>
    </row>
    <row r="67" spans="1:22">
      <c r="A67" s="5" t="s">
        <v>221</v>
      </c>
      <c r="B67" s="7" t="s">
        <v>19</v>
      </c>
      <c r="C67" s="7" t="s">
        <v>218</v>
      </c>
      <c r="D67" s="7" t="s">
        <v>22</v>
      </c>
      <c r="E67" s="7" t="s">
        <v>23</v>
      </c>
      <c r="F67" s="7" t="s">
        <v>24</v>
      </c>
      <c r="G67" s="7" t="s">
        <v>204</v>
      </c>
      <c r="H67" s="7" t="s">
        <v>219</v>
      </c>
      <c r="I67" s="7" t="s">
        <v>220</v>
      </c>
      <c r="J67" s="7" t="s">
        <v>31</v>
      </c>
      <c r="K67" s="7">
        <v>33.833919950000002</v>
      </c>
      <c r="L67" s="7">
        <v>33.833919950000002</v>
      </c>
      <c r="M67" s="7">
        <v>10</v>
      </c>
      <c r="N67" s="7"/>
      <c r="O67" s="7"/>
      <c r="P67" s="8">
        <v>4.6600000000000002E-7</v>
      </c>
      <c r="Q67" s="8">
        <v>2.0238118137790379E-7</v>
      </c>
      <c r="R67" s="8">
        <v>4</v>
      </c>
      <c r="S67" s="7">
        <v>16.73043715</v>
      </c>
      <c r="T67" s="7">
        <f t="shared" si="1"/>
        <v>1.2235072888017502</v>
      </c>
      <c r="U67" s="8">
        <v>15</v>
      </c>
      <c r="V67" s="7" t="s">
        <v>278</v>
      </c>
    </row>
    <row r="68" spans="1:22">
      <c r="B68" s="7"/>
      <c r="C68" s="7"/>
      <c r="D68" s="7"/>
      <c r="E68" s="7"/>
      <c r="F68" s="7"/>
      <c r="G68" s="7"/>
      <c r="H68" s="7"/>
      <c r="I68" s="7"/>
      <c r="J68" s="7"/>
      <c r="K68" s="7"/>
      <c r="L68" s="7"/>
      <c r="M68" s="7"/>
      <c r="N68" s="7"/>
      <c r="O68" s="7"/>
      <c r="P68" s="8"/>
      <c r="Q68" s="8"/>
      <c r="R68" s="8"/>
      <c r="S68" s="7"/>
      <c r="T68" s="7"/>
      <c r="U68" s="8"/>
      <c r="V68" s="7"/>
    </row>
    <row r="69" spans="1:22">
      <c r="B69" s="7"/>
      <c r="C69" s="7"/>
      <c r="D69" s="7"/>
      <c r="E69" s="7"/>
      <c r="F69" s="7"/>
      <c r="G69" s="7"/>
      <c r="H69" s="7"/>
      <c r="I69" s="7"/>
      <c r="J69" s="7"/>
      <c r="K69" s="7"/>
      <c r="L69" s="7"/>
      <c r="M69" s="7"/>
      <c r="N69" s="7"/>
      <c r="O69" s="7"/>
      <c r="P69" s="8"/>
      <c r="Q69" s="8"/>
      <c r="R69" s="8"/>
      <c r="S69" s="7"/>
      <c r="T69" s="7"/>
      <c r="U69" s="8"/>
      <c r="V69" s="7"/>
    </row>
    <row r="70" spans="1:22">
      <c r="A70" s="7" t="s">
        <v>302</v>
      </c>
      <c r="C70" s="7"/>
      <c r="D70" s="7"/>
      <c r="E70" s="7"/>
      <c r="F70" s="7"/>
      <c r="G70" s="7"/>
      <c r="H70" s="7"/>
      <c r="I70" s="7"/>
      <c r="J70" s="7"/>
      <c r="K70" s="7"/>
      <c r="L70" s="7"/>
      <c r="M70" s="7"/>
      <c r="N70" s="7"/>
      <c r="O70" s="7"/>
      <c r="P70" s="8"/>
      <c r="Q70" s="8"/>
      <c r="R70" s="8"/>
      <c r="S70" s="7"/>
      <c r="T70" s="7"/>
      <c r="U70" s="8"/>
      <c r="V70" s="7"/>
    </row>
    <row r="71" spans="1:22">
      <c r="A71" s="5" t="s">
        <v>284</v>
      </c>
      <c r="B71" s="7" t="s">
        <v>19</v>
      </c>
      <c r="C71" s="7" t="s">
        <v>286</v>
      </c>
      <c r="D71" s="7" t="s">
        <v>22</v>
      </c>
      <c r="E71" s="7" t="s">
        <v>33</v>
      </c>
      <c r="F71" s="7" t="s">
        <v>34</v>
      </c>
      <c r="G71" s="7" t="s">
        <v>61</v>
      </c>
      <c r="H71" s="7" t="s">
        <v>62</v>
      </c>
      <c r="I71" s="7" t="s">
        <v>285</v>
      </c>
      <c r="J71" s="7" t="s">
        <v>20</v>
      </c>
      <c r="K71" s="7">
        <v>43.452918889999999</v>
      </c>
      <c r="L71" s="7">
        <v>43.452918889999999</v>
      </c>
      <c r="M71" s="7">
        <v>7</v>
      </c>
      <c r="N71" s="7">
        <v>2073600</v>
      </c>
      <c r="O71" s="7">
        <v>6.3167251936303028</v>
      </c>
      <c r="P71" s="8">
        <v>1.3999999999999999E-4</v>
      </c>
      <c r="Q71" s="8">
        <v>6.0796971777738173E-5</v>
      </c>
      <c r="R71" s="8">
        <v>4</v>
      </c>
      <c r="S71" s="7">
        <v>7.1636503789999999</v>
      </c>
      <c r="T71" s="7">
        <f t="shared" ref="T71:T111" si="2">LOG(S71)</f>
        <v>0.85513438201001657</v>
      </c>
      <c r="U71" s="8">
        <v>13</v>
      </c>
      <c r="V71" s="7" t="s">
        <v>276</v>
      </c>
    </row>
    <row r="72" spans="1:22">
      <c r="A72" s="5" t="s">
        <v>288</v>
      </c>
      <c r="B72" s="7" t="s">
        <v>19</v>
      </c>
      <c r="C72" s="7" t="s">
        <v>286</v>
      </c>
      <c r="D72" s="7" t="s">
        <v>22</v>
      </c>
      <c r="E72" s="7" t="s">
        <v>33</v>
      </c>
      <c r="F72" s="7" t="s">
        <v>34</v>
      </c>
      <c r="G72" s="7" t="s">
        <v>61</v>
      </c>
      <c r="H72" s="7" t="s">
        <v>62</v>
      </c>
      <c r="I72" s="7" t="s">
        <v>285</v>
      </c>
      <c r="J72" s="7" t="s">
        <v>20</v>
      </c>
      <c r="K72" s="7">
        <v>43.452918889999999</v>
      </c>
      <c r="L72" s="7">
        <v>43.452918889999999</v>
      </c>
      <c r="M72" s="7">
        <v>7</v>
      </c>
      <c r="N72" s="7">
        <v>2073600</v>
      </c>
      <c r="O72" s="7">
        <v>6.3167251936303028</v>
      </c>
      <c r="P72" s="8">
        <v>1.3999999999999999E-4</v>
      </c>
      <c r="Q72" s="8">
        <v>6.0796971777738173E-5</v>
      </c>
      <c r="R72" s="8">
        <v>4</v>
      </c>
      <c r="S72" s="7">
        <v>7.5903765559999998</v>
      </c>
      <c r="T72" s="7">
        <f t="shared" si="2"/>
        <v>0.8802633216314979</v>
      </c>
      <c r="U72" s="8">
        <v>13</v>
      </c>
      <c r="V72" s="7" t="s">
        <v>276</v>
      </c>
    </row>
    <row r="73" spans="1:22">
      <c r="A73" s="5" t="s">
        <v>299</v>
      </c>
      <c r="B73" s="7" t="s">
        <v>19</v>
      </c>
      <c r="C73" s="7" t="s">
        <v>286</v>
      </c>
      <c r="D73" s="7" t="s">
        <v>22</v>
      </c>
      <c r="E73" s="7" t="s">
        <v>33</v>
      </c>
      <c r="F73" s="7" t="s">
        <v>34</v>
      </c>
      <c r="G73" s="7" t="s">
        <v>61</v>
      </c>
      <c r="H73" s="7" t="s">
        <v>62</v>
      </c>
      <c r="I73" s="7" t="s">
        <v>285</v>
      </c>
      <c r="J73" s="7" t="s">
        <v>20</v>
      </c>
      <c r="K73" s="7">
        <v>43.452918889999999</v>
      </c>
      <c r="L73" s="7">
        <v>43.452918889999999</v>
      </c>
      <c r="M73" s="7">
        <v>7</v>
      </c>
      <c r="N73" s="7">
        <v>2073600</v>
      </c>
      <c r="O73" s="7">
        <v>6.3167251936303028</v>
      </c>
      <c r="P73" s="8">
        <v>1.3999999999999999E-4</v>
      </c>
      <c r="Q73" s="8">
        <v>6.0796971777738173E-5</v>
      </c>
      <c r="R73" s="8">
        <v>4</v>
      </c>
      <c r="S73" s="7">
        <v>19.974714460000001</v>
      </c>
      <c r="T73" s="7">
        <f t="shared" si="2"/>
        <v>1.3004805797591097</v>
      </c>
      <c r="U73" s="8">
        <v>13</v>
      </c>
      <c r="V73" s="7" t="s">
        <v>278</v>
      </c>
    </row>
    <row r="74" spans="1:22">
      <c r="A74" s="5" t="s">
        <v>184</v>
      </c>
      <c r="B74" s="7" t="s">
        <v>30</v>
      </c>
      <c r="C74" s="7" t="s">
        <v>178</v>
      </c>
      <c r="D74" s="7" t="s">
        <v>22</v>
      </c>
      <c r="E74" s="7" t="s">
        <v>179</v>
      </c>
      <c r="F74" s="7" t="s">
        <v>180</v>
      </c>
      <c r="G74" s="7" t="s">
        <v>181</v>
      </c>
      <c r="H74" s="7" t="s">
        <v>182</v>
      </c>
      <c r="I74" s="7" t="s">
        <v>183</v>
      </c>
      <c r="J74" s="7" t="s">
        <v>20</v>
      </c>
      <c r="K74" s="7">
        <v>55.493135000000002</v>
      </c>
      <c r="L74" s="7">
        <v>55.493135000000002</v>
      </c>
      <c r="M74" s="7">
        <v>15</v>
      </c>
      <c r="N74" s="7"/>
      <c r="O74" s="7"/>
      <c r="P74" s="8">
        <v>1.4614599999999999E-4</v>
      </c>
      <c r="Q74" s="8">
        <v>6.346576383145592E-5</v>
      </c>
      <c r="R74" s="8">
        <v>10</v>
      </c>
      <c r="S74" s="7">
        <v>11.281576019999999</v>
      </c>
      <c r="T74" s="7">
        <f t="shared" si="2"/>
        <v>1.0523697742021396</v>
      </c>
      <c r="U74" s="8">
        <v>22.705500000000001</v>
      </c>
      <c r="V74" s="7" t="s">
        <v>276</v>
      </c>
    </row>
    <row r="75" spans="1:22">
      <c r="A75" s="5" t="s">
        <v>185</v>
      </c>
      <c r="B75" s="7" t="s">
        <v>30</v>
      </c>
      <c r="C75" s="7" t="s">
        <v>178</v>
      </c>
      <c r="D75" s="7" t="s">
        <v>22</v>
      </c>
      <c r="E75" s="7" t="s">
        <v>179</v>
      </c>
      <c r="F75" s="7" t="s">
        <v>180</v>
      </c>
      <c r="G75" s="7" t="s">
        <v>181</v>
      </c>
      <c r="H75" s="7" t="s">
        <v>182</v>
      </c>
      <c r="I75" s="7" t="s">
        <v>183</v>
      </c>
      <c r="J75" s="7" t="s">
        <v>20</v>
      </c>
      <c r="K75" s="7">
        <v>55.493135000000002</v>
      </c>
      <c r="L75" s="7">
        <v>55.493135000000002</v>
      </c>
      <c r="M75" s="7">
        <v>15</v>
      </c>
      <c r="N75" s="7"/>
      <c r="O75" s="7"/>
      <c r="P75" s="8">
        <v>1.4984599999999997E-4</v>
      </c>
      <c r="Q75" s="8">
        <v>6.5072415636433125E-5</v>
      </c>
      <c r="R75" s="8">
        <v>18</v>
      </c>
      <c r="S75" s="7">
        <v>10.25220333</v>
      </c>
      <c r="T75" s="7">
        <f t="shared" si="2"/>
        <v>1.0108172108775333</v>
      </c>
      <c r="U75" s="8">
        <v>17.894799999999996</v>
      </c>
      <c r="V75" s="7" t="s">
        <v>276</v>
      </c>
    </row>
    <row r="76" spans="1:22">
      <c r="A76" s="5" t="s">
        <v>186</v>
      </c>
      <c r="B76" s="7" t="s">
        <v>30</v>
      </c>
      <c r="C76" s="7" t="s">
        <v>178</v>
      </c>
      <c r="D76" s="7" t="s">
        <v>22</v>
      </c>
      <c r="E76" s="7" t="s">
        <v>179</v>
      </c>
      <c r="F76" s="7" t="s">
        <v>180</v>
      </c>
      <c r="G76" s="7" t="s">
        <v>181</v>
      </c>
      <c r="H76" s="7" t="s">
        <v>182</v>
      </c>
      <c r="I76" s="7" t="s">
        <v>183</v>
      </c>
      <c r="J76" s="7" t="s">
        <v>20</v>
      </c>
      <c r="K76" s="7">
        <v>55.493135000000002</v>
      </c>
      <c r="L76" s="7">
        <v>55.493135000000002</v>
      </c>
      <c r="M76" s="7">
        <v>15</v>
      </c>
      <c r="N76" s="7"/>
      <c r="O76" s="7"/>
      <c r="P76" s="8">
        <v>1.6836399999999992E-4</v>
      </c>
      <c r="Q76" s="8">
        <v>7.3113401491526849E-5</v>
      </c>
      <c r="R76" s="8">
        <v>6</v>
      </c>
      <c r="S76" s="7">
        <v>19.051017850000001</v>
      </c>
      <c r="T76" s="7">
        <f t="shared" si="2"/>
        <v>1.2799181839396934</v>
      </c>
      <c r="U76" s="8">
        <v>13</v>
      </c>
      <c r="V76" s="7" t="s">
        <v>278</v>
      </c>
    </row>
    <row r="77" spans="1:22">
      <c r="A77" s="5" t="s">
        <v>177</v>
      </c>
      <c r="B77" s="7" t="s">
        <v>30</v>
      </c>
      <c r="C77" s="7" t="s">
        <v>178</v>
      </c>
      <c r="D77" s="7" t="s">
        <v>22</v>
      </c>
      <c r="E77" s="7" t="s">
        <v>179</v>
      </c>
      <c r="F77" s="7" t="s">
        <v>180</v>
      </c>
      <c r="G77" s="7" t="s">
        <v>181</v>
      </c>
      <c r="H77" s="7" t="s">
        <v>182</v>
      </c>
      <c r="I77" s="7" t="s">
        <v>183</v>
      </c>
      <c r="J77" s="7" t="s">
        <v>20</v>
      </c>
      <c r="K77" s="7">
        <v>55.493135000000002</v>
      </c>
      <c r="L77" s="7">
        <v>55.493135000000002</v>
      </c>
      <c r="M77" s="7">
        <v>15</v>
      </c>
      <c r="N77" s="7"/>
      <c r="O77" s="7"/>
      <c r="P77" s="8">
        <v>1.7207100000000001E-4</v>
      </c>
      <c r="Q77" s="8">
        <v>7.4723057144319085E-5</v>
      </c>
      <c r="R77" s="8">
        <v>6</v>
      </c>
      <c r="S77" s="7">
        <v>14.76776843</v>
      </c>
      <c r="T77" s="7">
        <f t="shared" si="2"/>
        <v>1.1693148736627637</v>
      </c>
      <c r="U77" s="8">
        <v>19.976399999999998</v>
      </c>
      <c r="V77" s="7" t="s">
        <v>276</v>
      </c>
    </row>
    <row r="78" spans="1:22">
      <c r="A78" s="5" t="s">
        <v>80</v>
      </c>
      <c r="B78" s="7" t="s">
        <v>19</v>
      </c>
      <c r="C78" s="7" t="s">
        <v>74</v>
      </c>
      <c r="D78" s="7" t="s">
        <v>22</v>
      </c>
      <c r="E78" s="7" t="s">
        <v>33</v>
      </c>
      <c r="F78" s="7" t="s">
        <v>75</v>
      </c>
      <c r="G78" s="7" t="s">
        <v>76</v>
      </c>
      <c r="H78" s="7" t="s">
        <v>77</v>
      </c>
      <c r="I78" s="7" t="s">
        <v>78</v>
      </c>
      <c r="J78" s="7" t="s">
        <v>31</v>
      </c>
      <c r="K78" s="7">
        <v>44.323848069999997</v>
      </c>
      <c r="L78" s="7">
        <v>44.323848069999997</v>
      </c>
      <c r="M78" s="7">
        <v>15</v>
      </c>
      <c r="N78" s="7">
        <v>1209600</v>
      </c>
      <c r="O78" s="7">
        <v>6.082642137196733</v>
      </c>
      <c r="P78" s="8">
        <v>1.730333333333333E-4</v>
      </c>
      <c r="Q78" s="8">
        <v>7.5138616750032391E-5</v>
      </c>
      <c r="R78" s="8">
        <v>3</v>
      </c>
      <c r="S78" s="7">
        <v>17.348899629999998</v>
      </c>
      <c r="T78" s="7">
        <f t="shared" si="2"/>
        <v>1.2392719344713381</v>
      </c>
      <c r="U78" s="8">
        <v>15.800000000000004</v>
      </c>
      <c r="V78" s="7" t="s">
        <v>278</v>
      </c>
    </row>
    <row r="79" spans="1:22">
      <c r="A79" s="5" t="s">
        <v>224</v>
      </c>
      <c r="B79" s="7" t="s">
        <v>30</v>
      </c>
      <c r="C79" s="7" t="s">
        <v>211</v>
      </c>
      <c r="D79" s="7" t="s">
        <v>22</v>
      </c>
      <c r="E79" s="7" t="s">
        <v>91</v>
      </c>
      <c r="F79" s="7" t="s">
        <v>212</v>
      </c>
      <c r="G79" s="7" t="s">
        <v>213</v>
      </c>
      <c r="H79" s="7" t="s">
        <v>214</v>
      </c>
      <c r="I79" s="7" t="s">
        <v>215</v>
      </c>
      <c r="J79" s="7" t="s">
        <v>39</v>
      </c>
      <c r="K79" s="7">
        <v>-30.562260949999999</v>
      </c>
      <c r="L79" s="7">
        <v>30.562260949999999</v>
      </c>
      <c r="M79" s="7">
        <v>12</v>
      </c>
      <c r="N79" s="7"/>
      <c r="O79" s="7"/>
      <c r="P79" s="8">
        <v>3.8500000000000003E-4</v>
      </c>
      <c r="Q79" s="8">
        <v>1.67171197141852E-4</v>
      </c>
      <c r="R79" s="8">
        <v>7</v>
      </c>
      <c r="S79" s="7">
        <v>6.7184222069999997</v>
      </c>
      <c r="T79" s="7">
        <f t="shared" si="2"/>
        <v>0.82726729280851385</v>
      </c>
      <c r="U79" s="8">
        <v>12</v>
      </c>
      <c r="V79" s="7" t="s">
        <v>276</v>
      </c>
    </row>
    <row r="80" spans="1:22">
      <c r="A80" s="5" t="s">
        <v>222</v>
      </c>
      <c r="B80" s="7" t="s">
        <v>30</v>
      </c>
      <c r="C80" s="7" t="s">
        <v>211</v>
      </c>
      <c r="D80" s="7" t="s">
        <v>22</v>
      </c>
      <c r="E80" s="7" t="s">
        <v>91</v>
      </c>
      <c r="F80" s="7" t="s">
        <v>212</v>
      </c>
      <c r="G80" s="7" t="s">
        <v>213</v>
      </c>
      <c r="H80" s="7" t="s">
        <v>214</v>
      </c>
      <c r="I80" s="7" t="s">
        <v>215</v>
      </c>
      <c r="J80" s="7" t="s">
        <v>39</v>
      </c>
      <c r="K80" s="7">
        <v>-30.562260949999999</v>
      </c>
      <c r="L80" s="7">
        <v>30.562260949999999</v>
      </c>
      <c r="M80" s="7">
        <v>12</v>
      </c>
      <c r="N80" s="7"/>
      <c r="O80" s="7"/>
      <c r="P80" s="8">
        <v>1.0349999999999999E-3</v>
      </c>
      <c r="Q80" s="8">
        <v>4.4926233559549656E-4</v>
      </c>
      <c r="R80" s="8">
        <v>7</v>
      </c>
      <c r="S80" s="7">
        <v>5.9130254190000002</v>
      </c>
      <c r="T80" s="7">
        <f t="shared" si="2"/>
        <v>0.77180974595457796</v>
      </c>
      <c r="U80" s="8">
        <v>12</v>
      </c>
      <c r="V80" s="7" t="s">
        <v>276</v>
      </c>
    </row>
    <row r="81" spans="1:22">
      <c r="A81" s="5" t="s">
        <v>223</v>
      </c>
      <c r="B81" s="7" t="s">
        <v>30</v>
      </c>
      <c r="C81" s="7" t="s">
        <v>211</v>
      </c>
      <c r="D81" s="7" t="s">
        <v>22</v>
      </c>
      <c r="E81" s="7" t="s">
        <v>91</v>
      </c>
      <c r="F81" s="7" t="s">
        <v>212</v>
      </c>
      <c r="G81" s="7" t="s">
        <v>213</v>
      </c>
      <c r="H81" s="7" t="s">
        <v>214</v>
      </c>
      <c r="I81" s="7" t="s">
        <v>215</v>
      </c>
      <c r="J81" s="7" t="s">
        <v>39</v>
      </c>
      <c r="K81" s="7">
        <v>-30.562260949999999</v>
      </c>
      <c r="L81" s="7">
        <v>30.562260949999999</v>
      </c>
      <c r="M81" s="7">
        <v>12</v>
      </c>
      <c r="N81" s="7"/>
      <c r="O81" s="7"/>
      <c r="P81" s="8">
        <v>3.2350000000000009E-3</v>
      </c>
      <c r="Q81" s="8">
        <v>1.4026750433756255E-3</v>
      </c>
      <c r="R81" s="8">
        <v>7</v>
      </c>
      <c r="S81" s="7">
        <v>6.8632405959999998</v>
      </c>
      <c r="T81" s="7">
        <f t="shared" si="2"/>
        <v>0.83652922367337101</v>
      </c>
      <c r="U81" s="8">
        <v>12</v>
      </c>
      <c r="V81" s="7" t="s">
        <v>276</v>
      </c>
    </row>
    <row r="82" spans="1:22">
      <c r="A82" s="5" t="s">
        <v>111</v>
      </c>
      <c r="B82" s="7" t="s">
        <v>41</v>
      </c>
      <c r="C82" s="7" t="s">
        <v>112</v>
      </c>
      <c r="D82" s="7" t="s">
        <v>22</v>
      </c>
      <c r="E82" s="7" t="s">
        <v>33</v>
      </c>
      <c r="F82" s="7" t="s">
        <v>43</v>
      </c>
      <c r="G82" s="7" t="s">
        <v>44</v>
      </c>
      <c r="H82" s="7" t="s">
        <v>113</v>
      </c>
      <c r="I82" s="7" t="s">
        <v>114</v>
      </c>
      <c r="J82" s="7" t="s">
        <v>31</v>
      </c>
      <c r="K82" s="7">
        <v>26.012360959999999</v>
      </c>
      <c r="L82" s="7">
        <v>26.012360959999999</v>
      </c>
      <c r="M82" s="7">
        <v>28</v>
      </c>
      <c r="N82" s="7">
        <v>1209600</v>
      </c>
      <c r="O82" s="7">
        <v>6.082642137196733</v>
      </c>
      <c r="P82" s="8">
        <v>4.1000000000000003E-3</v>
      </c>
      <c r="Q82" s="8">
        <v>1.7769670774395734E-3</v>
      </c>
      <c r="R82" s="8">
        <v>5</v>
      </c>
      <c r="S82" s="7">
        <v>11.694613</v>
      </c>
      <c r="T82" s="7">
        <f t="shared" si="2"/>
        <v>1.0679858546406487</v>
      </c>
      <c r="U82" s="8">
        <v>20</v>
      </c>
      <c r="V82" s="7" t="s">
        <v>276</v>
      </c>
    </row>
    <row r="83" spans="1:22">
      <c r="A83" s="5" t="s">
        <v>115</v>
      </c>
      <c r="B83" s="7" t="s">
        <v>41</v>
      </c>
      <c r="C83" s="7" t="s">
        <v>112</v>
      </c>
      <c r="D83" s="7" t="s">
        <v>22</v>
      </c>
      <c r="E83" s="7" t="s">
        <v>33</v>
      </c>
      <c r="F83" s="7" t="s">
        <v>43</v>
      </c>
      <c r="G83" s="7" t="s">
        <v>44</v>
      </c>
      <c r="H83" s="7" t="s">
        <v>113</v>
      </c>
      <c r="I83" s="7" t="s">
        <v>114</v>
      </c>
      <c r="J83" s="7" t="s">
        <v>31</v>
      </c>
      <c r="K83" s="7">
        <v>26.012360959999999</v>
      </c>
      <c r="L83" s="7">
        <v>26.012360959999999</v>
      </c>
      <c r="M83" s="7">
        <v>28</v>
      </c>
      <c r="N83" s="7">
        <v>1209600</v>
      </c>
      <c r="O83" s="7">
        <v>6.082642137196733</v>
      </c>
      <c r="P83" s="8">
        <v>4.1000000000000003E-3</v>
      </c>
      <c r="Q83" s="8">
        <v>1.7769670774395734E-3</v>
      </c>
      <c r="R83" s="8">
        <v>5</v>
      </c>
      <c r="S83" s="7">
        <v>12.22425316</v>
      </c>
      <c r="T83" s="7">
        <f t="shared" si="2"/>
        <v>1.0872223354113071</v>
      </c>
      <c r="U83" s="8">
        <v>20</v>
      </c>
      <c r="V83" s="7" t="s">
        <v>276</v>
      </c>
    </row>
    <row r="84" spans="1:22">
      <c r="A84" s="5" t="s">
        <v>50</v>
      </c>
      <c r="B84" s="7" t="s">
        <v>19</v>
      </c>
      <c r="C84" s="7" t="s">
        <v>51</v>
      </c>
      <c r="D84" s="7" t="s">
        <v>22</v>
      </c>
      <c r="E84" s="7" t="s">
        <v>33</v>
      </c>
      <c r="F84" s="7" t="s">
        <v>34</v>
      </c>
      <c r="G84" s="7" t="s">
        <v>52</v>
      </c>
      <c r="H84" s="7" t="s">
        <v>53</v>
      </c>
      <c r="I84" s="7" t="s">
        <v>54</v>
      </c>
      <c r="J84" s="7" t="s">
        <v>20</v>
      </c>
      <c r="K84" s="7">
        <v>43.500752439999999</v>
      </c>
      <c r="L84" s="7">
        <v>43.500752439999999</v>
      </c>
      <c r="M84" s="7">
        <v>25</v>
      </c>
      <c r="N84" s="7">
        <v>7884000</v>
      </c>
      <c r="O84" s="7">
        <v>6.896746670692953</v>
      </c>
      <c r="P84" s="8">
        <v>4.2950000000000002E-3</v>
      </c>
      <c r="Q84" s="8">
        <v>1.861227908780883E-3</v>
      </c>
      <c r="R84" s="8">
        <v>4</v>
      </c>
      <c r="S84" s="7">
        <v>5.5881158639999997</v>
      </c>
      <c r="T84" s="7">
        <f t="shared" si="2"/>
        <v>0.74726540219772575</v>
      </c>
      <c r="U84" s="8">
        <v>15</v>
      </c>
      <c r="V84" s="7" t="s">
        <v>276</v>
      </c>
    </row>
    <row r="85" spans="1:22">
      <c r="A85" s="5" t="s">
        <v>197</v>
      </c>
      <c r="B85" s="7" t="s">
        <v>19</v>
      </c>
      <c r="C85" s="7" t="s">
        <v>198</v>
      </c>
      <c r="D85" s="7" t="s">
        <v>22</v>
      </c>
      <c r="E85" s="7" t="s">
        <v>91</v>
      </c>
      <c r="F85" s="7" t="s">
        <v>92</v>
      </c>
      <c r="G85" s="7" t="s">
        <v>160</v>
      </c>
      <c r="H85" s="7" t="s">
        <v>199</v>
      </c>
      <c r="I85" s="7" t="s">
        <v>200</v>
      </c>
      <c r="J85" s="7" t="s">
        <v>31</v>
      </c>
      <c r="K85" s="7">
        <v>42.875964099999997</v>
      </c>
      <c r="L85" s="7">
        <v>42.875964099999997</v>
      </c>
      <c r="M85" s="7">
        <v>20</v>
      </c>
      <c r="N85" s="7"/>
      <c r="O85" s="7"/>
      <c r="P85" s="8">
        <v>4.8040507500000003E-3</v>
      </c>
      <c r="Q85" s="8">
        <v>2.0813756611129629E-3</v>
      </c>
      <c r="R85" s="8">
        <v>4</v>
      </c>
      <c r="S85" s="7">
        <v>5.329734116</v>
      </c>
      <c r="T85" s="7">
        <f t="shared" si="2"/>
        <v>0.72670554395448062</v>
      </c>
      <c r="U85" s="8">
        <v>12</v>
      </c>
      <c r="V85" s="7" t="s">
        <v>276</v>
      </c>
    </row>
    <row r="86" spans="1:22">
      <c r="A86" s="5" t="s">
        <v>40</v>
      </c>
      <c r="B86" s="7" t="s">
        <v>41</v>
      </c>
      <c r="C86" s="7" t="s">
        <v>42</v>
      </c>
      <c r="D86" s="7" t="s">
        <v>22</v>
      </c>
      <c r="E86" s="7" t="s">
        <v>33</v>
      </c>
      <c r="F86" s="7" t="s">
        <v>43</v>
      </c>
      <c r="G86" s="7" t="s">
        <v>44</v>
      </c>
      <c r="H86" s="7" t="s">
        <v>45</v>
      </c>
      <c r="I86" s="7" t="s">
        <v>46</v>
      </c>
      <c r="J86" s="7" t="s">
        <v>31</v>
      </c>
      <c r="K86" s="7">
        <v>33.560277800000001</v>
      </c>
      <c r="L86" s="7">
        <v>33.560277800000001</v>
      </c>
      <c r="M86" s="7">
        <v>26.5</v>
      </c>
      <c r="N86" s="7">
        <v>1209600</v>
      </c>
      <c r="O86" s="7">
        <v>6.082642137196733</v>
      </c>
      <c r="P86" s="8">
        <v>5.5300000000000002E-3</v>
      </c>
      <c r="Q86" s="8">
        <v>2.3950323072982498E-3</v>
      </c>
      <c r="R86" s="8">
        <v>9</v>
      </c>
      <c r="S86" s="7">
        <v>9.2837970839999997</v>
      </c>
      <c r="T86" s="7">
        <f t="shared" si="2"/>
        <v>0.96772563951092005</v>
      </c>
      <c r="U86" s="8">
        <v>29.153500000000001</v>
      </c>
      <c r="V86" s="7" t="s">
        <v>276</v>
      </c>
    </row>
    <row r="87" spans="1:22">
      <c r="A87" s="5" t="s">
        <v>55</v>
      </c>
      <c r="B87" s="7" t="s">
        <v>19</v>
      </c>
      <c r="C87" s="7" t="s">
        <v>56</v>
      </c>
      <c r="D87" s="7" t="s">
        <v>22</v>
      </c>
      <c r="E87" s="7" t="s">
        <v>33</v>
      </c>
      <c r="F87" s="7" t="s">
        <v>34</v>
      </c>
      <c r="G87" s="7" t="s">
        <v>52</v>
      </c>
      <c r="H87" s="7" t="s">
        <v>57</v>
      </c>
      <c r="I87" s="7" t="s">
        <v>58</v>
      </c>
      <c r="J87" s="7" t="s">
        <v>31</v>
      </c>
      <c r="K87" s="7">
        <v>43.500752439999999</v>
      </c>
      <c r="L87" s="7">
        <v>43.500752439999999</v>
      </c>
      <c r="M87" s="7">
        <v>25</v>
      </c>
      <c r="N87" s="7">
        <v>7884000</v>
      </c>
      <c r="O87" s="7">
        <v>6.896746670692953</v>
      </c>
      <c r="P87" s="8">
        <v>6.1425000000000004E-3</v>
      </c>
      <c r="Q87" s="8">
        <v>2.6590930998470338E-3</v>
      </c>
      <c r="R87" s="8">
        <v>4</v>
      </c>
      <c r="S87" s="7">
        <v>5.145279435</v>
      </c>
      <c r="T87" s="7">
        <f t="shared" si="2"/>
        <v>0.71140896583957902</v>
      </c>
      <c r="U87" s="8">
        <v>12</v>
      </c>
      <c r="V87" s="7" t="s">
        <v>276</v>
      </c>
    </row>
    <row r="88" spans="1:22">
      <c r="A88" s="5" t="s">
        <v>103</v>
      </c>
      <c r="B88" s="7" t="s">
        <v>41</v>
      </c>
      <c r="C88" s="7" t="s">
        <v>100</v>
      </c>
      <c r="D88" s="7" t="s">
        <v>22</v>
      </c>
      <c r="E88" s="7" t="s">
        <v>33</v>
      </c>
      <c r="F88" s="7" t="s">
        <v>75</v>
      </c>
      <c r="G88" s="7" t="s">
        <v>76</v>
      </c>
      <c r="H88" s="7" t="s">
        <v>101</v>
      </c>
      <c r="I88" s="7" t="s">
        <v>102</v>
      </c>
      <c r="J88" s="7" t="s">
        <v>20</v>
      </c>
      <c r="K88" s="7">
        <v>-34.903331000000001</v>
      </c>
      <c r="L88" s="7">
        <v>34.903331000000001</v>
      </c>
      <c r="M88" s="7">
        <v>9</v>
      </c>
      <c r="N88" s="7">
        <v>21600</v>
      </c>
      <c r="O88" s="7">
        <v>4.3344738569115373</v>
      </c>
      <c r="P88" s="8">
        <v>7.6600000000000001E-3</v>
      </c>
      <c r="Q88" s="8">
        <v>3.3140191804931123E-3</v>
      </c>
      <c r="R88" s="8">
        <v>7</v>
      </c>
      <c r="S88" s="7">
        <v>21.788773410000001</v>
      </c>
      <c r="T88" s="7">
        <f t="shared" si="2"/>
        <v>1.3382327825058988</v>
      </c>
      <c r="U88" s="8">
        <v>31.299600000000002</v>
      </c>
      <c r="V88" s="7" t="s">
        <v>276</v>
      </c>
    </row>
    <row r="89" spans="1:22">
      <c r="A89" s="5" t="s">
        <v>99</v>
      </c>
      <c r="B89" s="7" t="s">
        <v>41</v>
      </c>
      <c r="C89" s="7" t="s">
        <v>100</v>
      </c>
      <c r="D89" s="7" t="s">
        <v>22</v>
      </c>
      <c r="E89" s="7" t="s">
        <v>33</v>
      </c>
      <c r="F89" s="7" t="s">
        <v>75</v>
      </c>
      <c r="G89" s="7" t="s">
        <v>76</v>
      </c>
      <c r="H89" s="7" t="s">
        <v>101</v>
      </c>
      <c r="I89" s="7" t="s">
        <v>102</v>
      </c>
      <c r="J89" s="7" t="s">
        <v>20</v>
      </c>
      <c r="K89" s="7">
        <v>-34.903331000000001</v>
      </c>
      <c r="L89" s="7">
        <v>34.903331000000001</v>
      </c>
      <c r="M89" s="7">
        <v>30</v>
      </c>
      <c r="N89" s="7">
        <v>21600</v>
      </c>
      <c r="O89" s="7">
        <v>4.3344738569115373</v>
      </c>
      <c r="P89" s="8">
        <v>7.6600000000000001E-3</v>
      </c>
      <c r="Q89" s="8">
        <v>3.3140191804931127E-3</v>
      </c>
      <c r="R89" s="8">
        <v>6</v>
      </c>
      <c r="S89" s="7">
        <v>21.787498620000001</v>
      </c>
      <c r="T89" s="7">
        <f t="shared" si="2"/>
        <v>1.3382073726102399</v>
      </c>
      <c r="U89" s="8">
        <v>31.299600000000002</v>
      </c>
      <c r="V89" s="7" t="s">
        <v>276</v>
      </c>
    </row>
    <row r="90" spans="1:22">
      <c r="A90" s="5" t="s">
        <v>210</v>
      </c>
      <c r="B90" s="7" t="s">
        <v>30</v>
      </c>
      <c r="C90" s="7" t="s">
        <v>211</v>
      </c>
      <c r="D90" s="7" t="s">
        <v>22</v>
      </c>
      <c r="E90" s="7" t="s">
        <v>91</v>
      </c>
      <c r="F90" s="7" t="s">
        <v>212</v>
      </c>
      <c r="G90" s="7" t="s">
        <v>213</v>
      </c>
      <c r="H90" s="7" t="s">
        <v>214</v>
      </c>
      <c r="I90" s="7" t="s">
        <v>215</v>
      </c>
      <c r="J90" s="7" t="s">
        <v>39</v>
      </c>
      <c r="K90" s="7">
        <v>-34.021933160000003</v>
      </c>
      <c r="L90" s="7">
        <v>34.021933160000003</v>
      </c>
      <c r="M90" s="7">
        <v>12</v>
      </c>
      <c r="N90" s="7"/>
      <c r="O90" s="7"/>
      <c r="P90" s="8">
        <v>8.4950000000000008E-3</v>
      </c>
      <c r="Q90" s="8">
        <v>3.6737493729860301E-3</v>
      </c>
      <c r="R90" s="8">
        <v>7</v>
      </c>
      <c r="S90" s="7">
        <v>6.6676869009999997</v>
      </c>
      <c r="T90" s="7">
        <f t="shared" si="2"/>
        <v>0.82397519818048415</v>
      </c>
      <c r="U90" s="8">
        <v>12</v>
      </c>
      <c r="V90" s="7" t="s">
        <v>276</v>
      </c>
    </row>
    <row r="91" spans="1:22">
      <c r="A91" s="5" t="s">
        <v>207</v>
      </c>
      <c r="B91" s="7" t="s">
        <v>41</v>
      </c>
      <c r="C91" s="7" t="s">
        <v>201</v>
      </c>
      <c r="D91" s="7" t="s">
        <v>22</v>
      </c>
      <c r="E91" s="7" t="s">
        <v>33</v>
      </c>
      <c r="F91" s="7" t="s">
        <v>43</v>
      </c>
      <c r="G91" s="7" t="s">
        <v>44</v>
      </c>
      <c r="H91" s="7" t="s">
        <v>202</v>
      </c>
      <c r="I91" s="7" t="s">
        <v>203</v>
      </c>
      <c r="J91" s="7" t="s">
        <v>20</v>
      </c>
      <c r="K91" s="7">
        <v>40.416691</v>
      </c>
      <c r="L91" s="7">
        <v>40.416691</v>
      </c>
      <c r="M91" s="7">
        <v>29</v>
      </c>
      <c r="N91" s="7"/>
      <c r="O91" s="7"/>
      <c r="P91" s="8">
        <v>9.9000000000000008E-3</v>
      </c>
      <c r="Q91" s="8">
        <v>4.2783722001624534E-3</v>
      </c>
      <c r="R91" s="8">
        <v>3</v>
      </c>
      <c r="S91" s="7">
        <v>13.50020466</v>
      </c>
      <c r="T91" s="7">
        <f t="shared" si="2"/>
        <v>1.1303403523494462</v>
      </c>
      <c r="U91" s="8">
        <v>9.5</v>
      </c>
      <c r="V91" s="7" t="s">
        <v>278</v>
      </c>
    </row>
    <row r="92" spans="1:22">
      <c r="A92" s="5" t="s">
        <v>176</v>
      </c>
      <c r="B92" s="7" t="s">
        <v>30</v>
      </c>
      <c r="C92" s="7" t="s">
        <v>170</v>
      </c>
      <c r="D92" s="7" t="s">
        <v>22</v>
      </c>
      <c r="E92" s="7" t="s">
        <v>171</v>
      </c>
      <c r="F92" s="7" t="s">
        <v>172</v>
      </c>
      <c r="G92" s="7" t="s">
        <v>173</v>
      </c>
      <c r="H92" s="7" t="s">
        <v>174</v>
      </c>
      <c r="I92" s="7" t="s">
        <v>175</v>
      </c>
      <c r="J92" s="7" t="s">
        <v>31</v>
      </c>
      <c r="K92" s="7">
        <v>55.516192160000003</v>
      </c>
      <c r="L92" s="7">
        <v>55.516192160000003</v>
      </c>
      <c r="M92" s="7">
        <v>6.5</v>
      </c>
      <c r="N92" s="7"/>
      <c r="O92" s="7"/>
      <c r="P92" s="8">
        <v>1.0030450999999998E-2</v>
      </c>
      <c r="Q92" s="8">
        <v>4.3344673488934088E-3</v>
      </c>
      <c r="R92" s="8">
        <v>9</v>
      </c>
      <c r="S92" s="7">
        <v>5.2843387980000003</v>
      </c>
      <c r="T92" s="7">
        <f t="shared" si="2"/>
        <v>0.72299065401913654</v>
      </c>
      <c r="U92" s="8">
        <v>8.822000000000001</v>
      </c>
      <c r="V92" s="7" t="s">
        <v>276</v>
      </c>
    </row>
    <row r="93" spans="1:22">
      <c r="A93" s="5" t="s">
        <v>89</v>
      </c>
      <c r="B93" s="7" t="s">
        <v>30</v>
      </c>
      <c r="C93" s="7" t="s">
        <v>90</v>
      </c>
      <c r="D93" s="7" t="s">
        <v>22</v>
      </c>
      <c r="E93" s="7" t="s">
        <v>91</v>
      </c>
      <c r="F93" s="7" t="s">
        <v>92</v>
      </c>
      <c r="G93" s="7" t="s">
        <v>93</v>
      </c>
      <c r="H93" s="7" t="s">
        <v>94</v>
      </c>
      <c r="I93" s="7" t="s">
        <v>95</v>
      </c>
      <c r="J93" s="7" t="s">
        <v>31</v>
      </c>
      <c r="K93" s="7">
        <v>55.329144409999998</v>
      </c>
      <c r="L93" s="7">
        <v>55.329144409999998</v>
      </c>
      <c r="M93" s="7">
        <v>14</v>
      </c>
      <c r="N93" s="7">
        <v>1900800</v>
      </c>
      <c r="O93" s="7">
        <v>6.2789366517808807</v>
      </c>
      <c r="P93" s="8">
        <v>1.0981488000000005E-2</v>
      </c>
      <c r="Q93" s="8">
        <v>4.7432033327861481E-3</v>
      </c>
      <c r="R93" s="8">
        <v>9</v>
      </c>
      <c r="S93" s="7">
        <v>14.891275200000001</v>
      </c>
      <c r="T93" s="7">
        <f t="shared" si="2"/>
        <v>1.1729318897340468</v>
      </c>
      <c r="U93" s="8">
        <v>18.5</v>
      </c>
      <c r="V93" s="7" t="s">
        <v>276</v>
      </c>
    </row>
    <row r="94" spans="1:22">
      <c r="A94" s="5" t="s">
        <v>279</v>
      </c>
      <c r="B94" s="7" t="s">
        <v>19</v>
      </c>
      <c r="C94" s="7" t="s">
        <v>281</v>
      </c>
      <c r="D94" s="7" t="s">
        <v>22</v>
      </c>
      <c r="E94" s="7" t="s">
        <v>33</v>
      </c>
      <c r="F94" s="7" t="s">
        <v>34</v>
      </c>
      <c r="G94" s="7" t="s">
        <v>282</v>
      </c>
      <c r="H94" s="7" t="s">
        <v>283</v>
      </c>
      <c r="I94" s="7" t="s">
        <v>280</v>
      </c>
      <c r="J94" s="7" t="s">
        <v>31</v>
      </c>
      <c r="K94" s="7">
        <v>43.452918889999999</v>
      </c>
      <c r="L94" s="7">
        <v>43.452918889999999</v>
      </c>
      <c r="M94" s="7">
        <v>7</v>
      </c>
      <c r="N94" s="7">
        <v>604800</v>
      </c>
      <c r="O94" s="7">
        <v>5.7816125005720567</v>
      </c>
      <c r="P94" s="8">
        <v>1.24E-2</v>
      </c>
      <c r="Q94" s="8">
        <v>5.3521364862166125E-3</v>
      </c>
      <c r="R94" s="8">
        <v>4</v>
      </c>
      <c r="S94" s="7">
        <v>7.1636503789999999</v>
      </c>
      <c r="T94" s="7">
        <f t="shared" si="2"/>
        <v>0.85513438201001657</v>
      </c>
      <c r="U94" s="8">
        <v>13</v>
      </c>
      <c r="V94" s="7" t="s">
        <v>276</v>
      </c>
    </row>
    <row r="95" spans="1:22">
      <c r="A95" s="5" t="s">
        <v>287</v>
      </c>
      <c r="B95" s="7" t="s">
        <v>19</v>
      </c>
      <c r="C95" s="7" t="s">
        <v>281</v>
      </c>
      <c r="D95" s="7" t="s">
        <v>22</v>
      </c>
      <c r="E95" s="7" t="s">
        <v>33</v>
      </c>
      <c r="F95" s="7" t="s">
        <v>34</v>
      </c>
      <c r="G95" s="7" t="s">
        <v>282</v>
      </c>
      <c r="H95" s="7" t="s">
        <v>283</v>
      </c>
      <c r="I95" s="7" t="s">
        <v>280</v>
      </c>
      <c r="J95" s="7" t="s">
        <v>31</v>
      </c>
      <c r="K95" s="7">
        <v>43.452918889999999</v>
      </c>
      <c r="L95" s="7">
        <v>43.452918889999999</v>
      </c>
      <c r="M95" s="7">
        <v>7</v>
      </c>
      <c r="N95" s="7">
        <v>604800</v>
      </c>
      <c r="O95" s="7">
        <v>5.7816125005720567</v>
      </c>
      <c r="P95" s="8">
        <v>1.24E-2</v>
      </c>
      <c r="Q95" s="8">
        <v>5.3521364862166125E-3</v>
      </c>
      <c r="R95" s="8">
        <v>4</v>
      </c>
      <c r="S95" s="7">
        <v>7.5903765559999998</v>
      </c>
      <c r="T95" s="7">
        <f t="shared" si="2"/>
        <v>0.8802633216314979</v>
      </c>
      <c r="U95" s="8">
        <v>13</v>
      </c>
      <c r="V95" s="7" t="s">
        <v>276</v>
      </c>
    </row>
    <row r="96" spans="1:22">
      <c r="A96" s="5" t="s">
        <v>298</v>
      </c>
      <c r="B96" s="7" t="s">
        <v>19</v>
      </c>
      <c r="C96" s="7" t="s">
        <v>281</v>
      </c>
      <c r="D96" s="7" t="s">
        <v>22</v>
      </c>
      <c r="E96" s="7" t="s">
        <v>33</v>
      </c>
      <c r="F96" s="7" t="s">
        <v>34</v>
      </c>
      <c r="G96" s="7" t="s">
        <v>282</v>
      </c>
      <c r="H96" s="7" t="s">
        <v>283</v>
      </c>
      <c r="I96" s="7" t="s">
        <v>280</v>
      </c>
      <c r="J96" s="7" t="s">
        <v>31</v>
      </c>
      <c r="K96" s="7">
        <v>43.452918889999999</v>
      </c>
      <c r="L96" s="7">
        <v>43.452918889999999</v>
      </c>
      <c r="M96" s="7">
        <v>7</v>
      </c>
      <c r="N96" s="7">
        <v>604800</v>
      </c>
      <c r="O96" s="7">
        <v>5.7816125005720567</v>
      </c>
      <c r="P96" s="8">
        <v>1.24E-2</v>
      </c>
      <c r="Q96" s="8">
        <v>5.3521364862166125E-3</v>
      </c>
      <c r="R96" s="8">
        <v>4</v>
      </c>
      <c r="S96" s="7">
        <v>19.974714460000001</v>
      </c>
      <c r="T96" s="7">
        <f t="shared" si="2"/>
        <v>1.3004805797591097</v>
      </c>
      <c r="U96" s="8">
        <v>13</v>
      </c>
      <c r="V96" s="7" t="s">
        <v>278</v>
      </c>
    </row>
    <row r="97" spans="1:22">
      <c r="A97" s="5" t="s">
        <v>275</v>
      </c>
      <c r="B97" s="7" t="s">
        <v>30</v>
      </c>
      <c r="C97" s="7" t="s">
        <v>159</v>
      </c>
      <c r="D97" s="7" t="s">
        <v>22</v>
      </c>
      <c r="E97" s="7" t="s">
        <v>91</v>
      </c>
      <c r="F97" s="7" t="s">
        <v>92</v>
      </c>
      <c r="G97" s="7" t="s">
        <v>160</v>
      </c>
      <c r="H97" s="7" t="s">
        <v>161</v>
      </c>
      <c r="I97" s="7" t="s">
        <v>162</v>
      </c>
      <c r="J97" s="7" t="s">
        <v>31</v>
      </c>
      <c r="K97" s="7">
        <v>57.027652779999997</v>
      </c>
      <c r="L97" s="7">
        <v>57.027652779999997</v>
      </c>
      <c r="M97" s="7">
        <v>23</v>
      </c>
      <c r="N97" s="7"/>
      <c r="O97" s="7"/>
      <c r="P97" s="8">
        <v>1.7699863E-2</v>
      </c>
      <c r="Q97" s="8">
        <v>7.6197160538600409E-3</v>
      </c>
      <c r="R97" s="8">
        <v>7</v>
      </c>
      <c r="S97" s="7">
        <v>6.8892409649999999</v>
      </c>
      <c r="T97" s="7">
        <f t="shared" si="2"/>
        <v>0.83817137533708652</v>
      </c>
      <c r="U97" s="8">
        <v>24</v>
      </c>
      <c r="V97" s="7" t="s">
        <v>276</v>
      </c>
    </row>
    <row r="98" spans="1:22">
      <c r="A98" s="5" t="s">
        <v>166</v>
      </c>
      <c r="B98" s="7" t="s">
        <v>30</v>
      </c>
      <c r="C98" s="7" t="s">
        <v>159</v>
      </c>
      <c r="D98" s="7" t="s">
        <v>22</v>
      </c>
      <c r="E98" s="7" t="s">
        <v>91</v>
      </c>
      <c r="F98" s="7" t="s">
        <v>92</v>
      </c>
      <c r="G98" s="7" t="s">
        <v>160</v>
      </c>
      <c r="H98" s="7" t="s">
        <v>161</v>
      </c>
      <c r="I98" s="7" t="s">
        <v>162</v>
      </c>
      <c r="J98" s="7" t="s">
        <v>31</v>
      </c>
      <c r="K98" s="7">
        <v>57.027652779999997</v>
      </c>
      <c r="L98" s="7">
        <v>57.027652779999997</v>
      </c>
      <c r="M98" s="7">
        <v>18.5</v>
      </c>
      <c r="N98" s="7"/>
      <c r="O98" s="7"/>
      <c r="P98" s="8">
        <v>1.7699863E-2</v>
      </c>
      <c r="Q98" s="8">
        <v>7.6197160538600409E-3</v>
      </c>
      <c r="R98" s="8">
        <v>7</v>
      </c>
      <c r="S98" s="7">
        <v>6.983352462</v>
      </c>
      <c r="T98" s="7">
        <f t="shared" si="2"/>
        <v>0.84406396219549196</v>
      </c>
      <c r="U98" s="8">
        <v>24</v>
      </c>
      <c r="V98" s="7" t="s">
        <v>276</v>
      </c>
    </row>
    <row r="99" spans="1:22">
      <c r="A99" s="5" t="s">
        <v>158</v>
      </c>
      <c r="B99" s="7" t="s">
        <v>30</v>
      </c>
      <c r="C99" s="7" t="s">
        <v>159</v>
      </c>
      <c r="D99" s="7" t="s">
        <v>22</v>
      </c>
      <c r="E99" s="7" t="s">
        <v>91</v>
      </c>
      <c r="F99" s="7" t="s">
        <v>92</v>
      </c>
      <c r="G99" s="7" t="s">
        <v>160</v>
      </c>
      <c r="H99" s="7" t="s">
        <v>161</v>
      </c>
      <c r="I99" s="7" t="s">
        <v>162</v>
      </c>
      <c r="J99" s="7" t="s">
        <v>31</v>
      </c>
      <c r="K99" s="7">
        <v>57.027652779999997</v>
      </c>
      <c r="L99" s="7">
        <v>57.027652779999997</v>
      </c>
      <c r="M99" s="7">
        <v>23</v>
      </c>
      <c r="N99" s="7"/>
      <c r="O99" s="7"/>
      <c r="P99" s="8">
        <v>1.7699863E-2</v>
      </c>
      <c r="Q99" s="8">
        <v>7.6197160538600409E-3</v>
      </c>
      <c r="R99" s="8">
        <v>7</v>
      </c>
      <c r="S99" s="7">
        <v>7.3670812049999999</v>
      </c>
      <c r="T99" s="7">
        <f t="shared" si="2"/>
        <v>0.86729545697162558</v>
      </c>
      <c r="U99" s="8">
        <v>24</v>
      </c>
      <c r="V99" s="7" t="s">
        <v>276</v>
      </c>
    </row>
    <row r="100" spans="1:22">
      <c r="A100" s="5" t="s">
        <v>277</v>
      </c>
      <c r="B100" s="7" t="s">
        <v>30</v>
      </c>
      <c r="C100" s="7" t="s">
        <v>164</v>
      </c>
      <c r="D100" s="7" t="s">
        <v>22</v>
      </c>
      <c r="E100" s="7" t="s">
        <v>91</v>
      </c>
      <c r="F100" s="7" t="s">
        <v>92</v>
      </c>
      <c r="G100" s="7" t="s">
        <v>160</v>
      </c>
      <c r="H100" s="7" t="s">
        <v>161</v>
      </c>
      <c r="I100" s="7" t="s">
        <v>165</v>
      </c>
      <c r="J100" s="7" t="s">
        <v>31</v>
      </c>
      <c r="K100" s="7">
        <v>57.027652779999997</v>
      </c>
      <c r="L100" s="7">
        <v>57.027652779999997</v>
      </c>
      <c r="M100" s="7">
        <v>18.5</v>
      </c>
      <c r="N100" s="7"/>
      <c r="O100" s="7"/>
      <c r="P100" s="8">
        <v>1.7699863E-2</v>
      </c>
      <c r="Q100" s="8">
        <v>7.6197160538600409E-3</v>
      </c>
      <c r="R100" s="8">
        <v>7</v>
      </c>
      <c r="S100" s="7">
        <v>12.03339238</v>
      </c>
      <c r="T100" s="7">
        <f t="shared" si="2"/>
        <v>1.080388078231308</v>
      </c>
      <c r="U100" s="8">
        <v>24</v>
      </c>
      <c r="V100" s="7" t="s">
        <v>276</v>
      </c>
    </row>
    <row r="101" spans="1:22">
      <c r="A101" s="5" t="s">
        <v>163</v>
      </c>
      <c r="B101" s="7" t="s">
        <v>30</v>
      </c>
      <c r="C101" s="7" t="s">
        <v>164</v>
      </c>
      <c r="D101" s="7" t="s">
        <v>22</v>
      </c>
      <c r="E101" s="7" t="s">
        <v>91</v>
      </c>
      <c r="F101" s="7" t="s">
        <v>92</v>
      </c>
      <c r="G101" s="7" t="s">
        <v>160</v>
      </c>
      <c r="H101" s="7" t="s">
        <v>161</v>
      </c>
      <c r="I101" s="7" t="s">
        <v>165</v>
      </c>
      <c r="J101" s="7" t="s">
        <v>31</v>
      </c>
      <c r="K101" s="7">
        <v>57.027652779999997</v>
      </c>
      <c r="L101" s="7">
        <v>57.027652779999997</v>
      </c>
      <c r="M101" s="7">
        <v>18.5</v>
      </c>
      <c r="N101" s="7"/>
      <c r="O101" s="7"/>
      <c r="P101" s="8">
        <v>1.7699863E-2</v>
      </c>
      <c r="Q101" s="8">
        <v>7.6197160538600409E-3</v>
      </c>
      <c r="R101" s="8">
        <v>7</v>
      </c>
      <c r="S101" s="7">
        <v>19.026653379999999</v>
      </c>
      <c r="T101" s="7">
        <f t="shared" si="2"/>
        <v>1.2793624064471218</v>
      </c>
      <c r="U101" s="8">
        <v>24</v>
      </c>
      <c r="V101" s="7" t="s">
        <v>276</v>
      </c>
    </row>
    <row r="102" spans="1:22">
      <c r="A102" s="5" t="s">
        <v>167</v>
      </c>
      <c r="B102" s="7" t="s">
        <v>30</v>
      </c>
      <c r="C102" s="7" t="s">
        <v>164</v>
      </c>
      <c r="D102" s="7" t="s">
        <v>22</v>
      </c>
      <c r="E102" s="7" t="s">
        <v>91</v>
      </c>
      <c r="F102" s="7" t="s">
        <v>92</v>
      </c>
      <c r="G102" s="7" t="s">
        <v>160</v>
      </c>
      <c r="H102" s="7" t="s">
        <v>161</v>
      </c>
      <c r="I102" s="7" t="s">
        <v>165</v>
      </c>
      <c r="J102" s="7" t="s">
        <v>31</v>
      </c>
      <c r="K102" s="7">
        <v>57.027652779999997</v>
      </c>
      <c r="L102" s="7">
        <v>57.027652779999997</v>
      </c>
      <c r="M102" s="7">
        <v>23</v>
      </c>
      <c r="N102" s="7"/>
      <c r="O102" s="7"/>
      <c r="P102" s="8">
        <v>1.7699863E-2</v>
      </c>
      <c r="Q102" s="8">
        <v>7.6197160538600409E-3</v>
      </c>
      <c r="R102" s="8">
        <v>7</v>
      </c>
      <c r="S102" s="7">
        <v>26.76745086</v>
      </c>
      <c r="T102" s="7">
        <f t="shared" si="2"/>
        <v>1.4276070140651926</v>
      </c>
      <c r="U102" s="8">
        <v>24</v>
      </c>
      <c r="V102" s="7" t="s">
        <v>278</v>
      </c>
    </row>
    <row r="103" spans="1:22">
      <c r="A103" s="5" t="s">
        <v>169</v>
      </c>
      <c r="B103" s="7" t="s">
        <v>30</v>
      </c>
      <c r="C103" s="7" t="s">
        <v>170</v>
      </c>
      <c r="D103" s="7" t="s">
        <v>22</v>
      </c>
      <c r="E103" s="7" t="s">
        <v>171</v>
      </c>
      <c r="F103" s="7" t="s">
        <v>172</v>
      </c>
      <c r="G103" s="7" t="s">
        <v>173</v>
      </c>
      <c r="H103" s="7" t="s">
        <v>174</v>
      </c>
      <c r="I103" s="7" t="s">
        <v>175</v>
      </c>
      <c r="J103" s="7" t="s">
        <v>31</v>
      </c>
      <c r="K103" s="7">
        <v>55.516192160000003</v>
      </c>
      <c r="L103" s="7">
        <v>55.516192160000003</v>
      </c>
      <c r="M103" s="7">
        <v>6.5</v>
      </c>
      <c r="N103" s="7"/>
      <c r="O103" s="7"/>
      <c r="P103" s="8">
        <v>1.8819620000000002E-2</v>
      </c>
      <c r="Q103" s="8">
        <v>8.0972998326933592E-3</v>
      </c>
      <c r="R103" s="8">
        <v>10</v>
      </c>
      <c r="S103" s="7">
        <v>6.1016993709999996</v>
      </c>
      <c r="T103" s="7">
        <f t="shared" si="2"/>
        <v>0.7854508062673663</v>
      </c>
      <c r="U103" s="8">
        <v>8.9216999999999995</v>
      </c>
      <c r="V103" s="7" t="s">
        <v>276</v>
      </c>
    </row>
    <row r="104" spans="1:22">
      <c r="A104" s="5" t="s">
        <v>110</v>
      </c>
      <c r="B104" s="7" t="s">
        <v>30</v>
      </c>
      <c r="C104" s="7" t="s">
        <v>105</v>
      </c>
      <c r="D104" s="7" t="s">
        <v>22</v>
      </c>
      <c r="E104" s="7" t="s">
        <v>91</v>
      </c>
      <c r="F104" s="7" t="s">
        <v>92</v>
      </c>
      <c r="G104" s="7" t="s">
        <v>106</v>
      </c>
      <c r="H104" s="7" t="s">
        <v>107</v>
      </c>
      <c r="I104" s="7" t="s">
        <v>108</v>
      </c>
      <c r="J104" s="7" t="s">
        <v>31</v>
      </c>
      <c r="K104" s="7">
        <v>52.90248295</v>
      </c>
      <c r="L104" s="7">
        <v>52.90248295</v>
      </c>
      <c r="M104" s="7">
        <v>15</v>
      </c>
      <c r="N104" s="7">
        <v>2419200</v>
      </c>
      <c r="O104" s="7">
        <v>6.3836719533409507</v>
      </c>
      <c r="P104" s="8">
        <v>3.3284223000000002E-2</v>
      </c>
      <c r="Q104" s="8">
        <v>1.4219798288532098E-2</v>
      </c>
      <c r="R104" s="8">
        <v>4</v>
      </c>
      <c r="S104" s="7">
        <v>2.3478560110000002</v>
      </c>
      <c r="T104" s="7">
        <f t="shared" si="2"/>
        <v>0.37067145903825044</v>
      </c>
      <c r="U104" s="8">
        <v>15</v>
      </c>
      <c r="V104" s="7" t="s">
        <v>276</v>
      </c>
    </row>
    <row r="105" spans="1:22">
      <c r="A105" s="5" t="s">
        <v>104</v>
      </c>
      <c r="B105" s="7" t="s">
        <v>30</v>
      </c>
      <c r="C105" s="7" t="s">
        <v>105</v>
      </c>
      <c r="D105" s="7" t="s">
        <v>22</v>
      </c>
      <c r="E105" s="7" t="s">
        <v>91</v>
      </c>
      <c r="F105" s="7" t="s">
        <v>92</v>
      </c>
      <c r="G105" s="7" t="s">
        <v>106</v>
      </c>
      <c r="H105" s="7" t="s">
        <v>107</v>
      </c>
      <c r="I105" s="7" t="s">
        <v>108</v>
      </c>
      <c r="J105" s="7" t="s">
        <v>31</v>
      </c>
      <c r="K105" s="7">
        <v>52.90248295</v>
      </c>
      <c r="L105" s="7">
        <v>52.90248295</v>
      </c>
      <c r="M105" s="7">
        <v>15</v>
      </c>
      <c r="N105" s="7">
        <v>2419200</v>
      </c>
      <c r="O105" s="7">
        <v>6.3836719533409507</v>
      </c>
      <c r="P105" s="8">
        <v>3.3284223000000002E-2</v>
      </c>
      <c r="Q105" s="8">
        <v>1.4219798288532098E-2</v>
      </c>
      <c r="R105" s="8">
        <v>4</v>
      </c>
      <c r="S105" s="7">
        <v>2.4440868509999998</v>
      </c>
      <c r="T105" s="7">
        <f t="shared" si="2"/>
        <v>0.38811663456555184</v>
      </c>
      <c r="U105" s="8">
        <v>15</v>
      </c>
      <c r="V105" s="7" t="s">
        <v>276</v>
      </c>
    </row>
    <row r="106" spans="1:22">
      <c r="A106" s="5" t="s">
        <v>109</v>
      </c>
      <c r="B106" s="7" t="s">
        <v>30</v>
      </c>
      <c r="C106" s="7" t="s">
        <v>105</v>
      </c>
      <c r="D106" s="7" t="s">
        <v>22</v>
      </c>
      <c r="E106" s="7" t="s">
        <v>91</v>
      </c>
      <c r="F106" s="7" t="s">
        <v>92</v>
      </c>
      <c r="G106" s="7" t="s">
        <v>106</v>
      </c>
      <c r="H106" s="7" t="s">
        <v>107</v>
      </c>
      <c r="I106" s="7" t="s">
        <v>108</v>
      </c>
      <c r="J106" s="7" t="s">
        <v>31</v>
      </c>
      <c r="K106" s="7">
        <v>52.90248295</v>
      </c>
      <c r="L106" s="7">
        <v>52.90248295</v>
      </c>
      <c r="M106" s="7">
        <v>15</v>
      </c>
      <c r="N106" s="7">
        <v>2419200</v>
      </c>
      <c r="O106" s="7">
        <v>6.3836719533409507</v>
      </c>
      <c r="P106" s="8">
        <v>3.3284223000000002E-2</v>
      </c>
      <c r="Q106" s="8">
        <v>1.4219798288532098E-2</v>
      </c>
      <c r="R106" s="8">
        <v>4</v>
      </c>
      <c r="S106" s="7">
        <v>2.498508282</v>
      </c>
      <c r="T106" s="7">
        <f t="shared" si="2"/>
        <v>0.39768079337073603</v>
      </c>
      <c r="U106" s="8">
        <v>15</v>
      </c>
      <c r="V106" s="7" t="s">
        <v>276</v>
      </c>
    </row>
    <row r="107" spans="1:22">
      <c r="A107" s="5" t="s">
        <v>59</v>
      </c>
      <c r="B107" s="7" t="s">
        <v>19</v>
      </c>
      <c r="C107" s="7" t="s">
        <v>60</v>
      </c>
      <c r="D107" s="7" t="s">
        <v>22</v>
      </c>
      <c r="E107" s="7" t="s">
        <v>33</v>
      </c>
      <c r="F107" s="7" t="s">
        <v>34</v>
      </c>
      <c r="G107" s="7" t="s">
        <v>61</v>
      </c>
      <c r="H107" s="7" t="s">
        <v>62</v>
      </c>
      <c r="I107" s="7" t="s">
        <v>63</v>
      </c>
      <c r="J107" s="7" t="s">
        <v>20</v>
      </c>
      <c r="K107" s="7">
        <v>49.369854869999998</v>
      </c>
      <c r="L107" s="7">
        <v>49.369854869999998</v>
      </c>
      <c r="M107" s="7">
        <v>15</v>
      </c>
      <c r="N107" s="7">
        <v>24982600</v>
      </c>
      <c r="O107" s="7">
        <v>7.39763765185808</v>
      </c>
      <c r="P107" s="8">
        <v>4.8928571428571425E-2</v>
      </c>
      <c r="Q107" s="8">
        <v>2.0736877671022228E-2</v>
      </c>
      <c r="R107" s="8">
        <v>7</v>
      </c>
      <c r="S107" s="7">
        <v>19.372070610000002</v>
      </c>
      <c r="T107" s="7">
        <f t="shared" si="2"/>
        <v>1.2871760433539299</v>
      </c>
      <c r="U107" s="8">
        <v>22.5</v>
      </c>
      <c r="V107" s="7" t="s">
        <v>276</v>
      </c>
    </row>
    <row r="108" spans="1:22">
      <c r="A108" s="5" t="s">
        <v>216</v>
      </c>
      <c r="B108" s="7" t="s">
        <v>30</v>
      </c>
      <c r="C108" s="7" t="s">
        <v>211</v>
      </c>
      <c r="D108" s="7" t="s">
        <v>22</v>
      </c>
      <c r="E108" s="7" t="s">
        <v>91</v>
      </c>
      <c r="F108" s="7" t="s">
        <v>212</v>
      </c>
      <c r="G108" s="7" t="s">
        <v>213</v>
      </c>
      <c r="H108" s="7" t="s">
        <v>214</v>
      </c>
      <c r="I108" s="7" t="s">
        <v>215</v>
      </c>
      <c r="J108" s="7" t="s">
        <v>39</v>
      </c>
      <c r="K108" s="7">
        <v>-34.021933160000003</v>
      </c>
      <c r="L108" s="7">
        <v>34.021933160000003</v>
      </c>
      <c r="M108" s="7">
        <v>12</v>
      </c>
      <c r="N108" s="7"/>
      <c r="O108" s="7"/>
      <c r="P108" s="8">
        <v>5.3050000000000014E-2</v>
      </c>
      <c r="Q108" s="8">
        <v>2.2448992466177157E-2</v>
      </c>
      <c r="R108" s="8">
        <v>7</v>
      </c>
      <c r="S108" s="7">
        <v>9.2742884819999993</v>
      </c>
      <c r="T108" s="7">
        <f t="shared" si="2"/>
        <v>0.9672806007459146</v>
      </c>
      <c r="U108" s="8">
        <v>12</v>
      </c>
      <c r="V108" s="7" t="s">
        <v>276</v>
      </c>
    </row>
    <row r="109" spans="1:22">
      <c r="A109" s="5" t="s">
        <v>116</v>
      </c>
      <c r="B109" s="7" t="s">
        <v>19</v>
      </c>
      <c r="C109" s="7" t="s">
        <v>97</v>
      </c>
      <c r="D109" s="7" t="s">
        <v>22</v>
      </c>
      <c r="E109" s="7" t="s">
        <v>33</v>
      </c>
      <c r="F109" s="7" t="s">
        <v>43</v>
      </c>
      <c r="G109" s="7" t="s">
        <v>44</v>
      </c>
      <c r="H109" s="7" t="s">
        <v>71</v>
      </c>
      <c r="I109" s="7" t="s">
        <v>98</v>
      </c>
      <c r="J109" s="7" t="s">
        <v>20</v>
      </c>
      <c r="K109" s="7">
        <v>46.965259000000003</v>
      </c>
      <c r="L109" s="7">
        <v>46.965259000000003</v>
      </c>
      <c r="M109" s="7">
        <v>22.5</v>
      </c>
      <c r="N109" s="7">
        <v>2628000</v>
      </c>
      <c r="O109" s="7">
        <v>6.4196255261443635</v>
      </c>
      <c r="P109" s="8">
        <v>6.7000000000000004E-2</v>
      </c>
      <c r="Q109" s="8">
        <v>2.8164419424469872E-2</v>
      </c>
      <c r="R109" s="8">
        <v>7</v>
      </c>
      <c r="S109" s="7">
        <v>19.155203190000002</v>
      </c>
      <c r="T109" s="7">
        <f t="shared" si="2"/>
        <v>1.2822867631490495</v>
      </c>
      <c r="U109" s="8">
        <v>30.164300000000001</v>
      </c>
      <c r="V109" s="7" t="s">
        <v>278</v>
      </c>
    </row>
    <row r="110" spans="1:22">
      <c r="A110" s="5" t="s">
        <v>96</v>
      </c>
      <c r="B110" s="7" t="s">
        <v>19</v>
      </c>
      <c r="C110" s="7" t="s">
        <v>97</v>
      </c>
      <c r="D110" s="7" t="s">
        <v>22</v>
      </c>
      <c r="E110" s="7" t="s">
        <v>33</v>
      </c>
      <c r="F110" s="7" t="s">
        <v>43</v>
      </c>
      <c r="G110" s="7" t="s">
        <v>44</v>
      </c>
      <c r="H110" s="7" t="s">
        <v>71</v>
      </c>
      <c r="I110" s="7" t="s">
        <v>98</v>
      </c>
      <c r="J110" s="7" t="s">
        <v>20</v>
      </c>
      <c r="K110" s="7">
        <v>46.965259000000003</v>
      </c>
      <c r="L110" s="7">
        <v>46.965259000000003</v>
      </c>
      <c r="M110" s="7">
        <v>22.5</v>
      </c>
      <c r="N110" s="7">
        <v>2628000</v>
      </c>
      <c r="O110" s="7">
        <v>6.4196255261443635</v>
      </c>
      <c r="P110" s="8">
        <v>6.7000000000000004E-2</v>
      </c>
      <c r="Q110" s="8">
        <v>2.8164419424469872E-2</v>
      </c>
      <c r="R110" s="8">
        <v>7</v>
      </c>
      <c r="S110" s="7">
        <v>22.035606789999999</v>
      </c>
      <c r="T110" s="7">
        <f t="shared" si="2"/>
        <v>1.3431250140889746</v>
      </c>
      <c r="U110" s="8">
        <v>30.092499999999998</v>
      </c>
      <c r="V110" s="7" t="s">
        <v>278</v>
      </c>
    </row>
    <row r="111" spans="1:22">
      <c r="A111" s="5" t="s">
        <v>289</v>
      </c>
      <c r="B111" s="7" t="s">
        <v>41</v>
      </c>
      <c r="C111" s="7" t="s">
        <v>292</v>
      </c>
      <c r="D111" s="7" t="s">
        <v>293</v>
      </c>
      <c r="E111" s="7" t="s">
        <v>294</v>
      </c>
      <c r="F111" s="7" t="s">
        <v>295</v>
      </c>
      <c r="G111" s="7" t="s">
        <v>296</v>
      </c>
      <c r="H111" s="7" t="s">
        <v>297</v>
      </c>
      <c r="I111" s="7" t="s">
        <v>290</v>
      </c>
      <c r="J111" s="7" t="s">
        <v>291</v>
      </c>
      <c r="K111" s="7">
        <v>-33.867137290000002</v>
      </c>
      <c r="L111" s="7">
        <v>33.867137290000002</v>
      </c>
      <c r="M111" s="7">
        <v>30</v>
      </c>
      <c r="N111" s="7">
        <v>5443200</v>
      </c>
      <c r="O111" s="7">
        <v>6.7358543717190784</v>
      </c>
      <c r="P111" s="8">
        <v>0.15</v>
      </c>
      <c r="Q111" s="8">
        <v>6.069784035361165E-2</v>
      </c>
      <c r="R111" s="8">
        <v>6</v>
      </c>
      <c r="S111" s="7">
        <v>23.461876740000001</v>
      </c>
      <c r="T111" s="7">
        <f t="shared" si="2"/>
        <v>1.3703627488377557</v>
      </c>
      <c r="U111" s="8">
        <v>25</v>
      </c>
      <c r="V111" s="7" t="s">
        <v>278</v>
      </c>
    </row>
  </sheetData>
  <sortState ref="A2:V106">
    <sortCondition ref="Q2:Q106"/>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
  <sheetViews>
    <sheetView workbookViewId="0">
      <selection activeCell="B20" sqref="B20"/>
    </sheetView>
  </sheetViews>
  <sheetFormatPr defaultRowHeight="15"/>
  <cols>
    <col min="5" max="5" width="9.140625" style="73"/>
  </cols>
  <sheetData>
    <row r="1" spans="1:5">
      <c r="A1" s="70" t="s">
        <v>1312</v>
      </c>
      <c r="B1" s="71" t="s">
        <v>1313</v>
      </c>
    </row>
    <row r="2" spans="1:5">
      <c r="A2" s="84" t="s">
        <v>301</v>
      </c>
      <c r="B2" s="5" t="s">
        <v>1402</v>
      </c>
      <c r="E2" s="87"/>
    </row>
    <row r="3" spans="1:5">
      <c r="A3" s="84" t="s">
        <v>0</v>
      </c>
      <c r="B3" s="5" t="s">
        <v>1394</v>
      </c>
      <c r="E3" s="87"/>
    </row>
    <row r="4" spans="1:5">
      <c r="A4" s="84" t="s">
        <v>4</v>
      </c>
      <c r="B4" s="5" t="s">
        <v>1387</v>
      </c>
      <c r="E4" s="87"/>
    </row>
    <row r="5" spans="1:5">
      <c r="A5" s="84" t="s">
        <v>5</v>
      </c>
      <c r="B5" s="5" t="s">
        <v>1388</v>
      </c>
      <c r="E5" s="87"/>
    </row>
    <row r="6" spans="1:5">
      <c r="A6" s="84" t="s">
        <v>6</v>
      </c>
      <c r="B6" s="5" t="s">
        <v>1389</v>
      </c>
      <c r="E6" s="87"/>
    </row>
    <row r="7" spans="1:5">
      <c r="A7" s="84" t="s">
        <v>7</v>
      </c>
      <c r="B7" s="5" t="s">
        <v>1390</v>
      </c>
      <c r="E7" s="87"/>
    </row>
    <row r="8" spans="1:5">
      <c r="A8" s="84" t="s">
        <v>8</v>
      </c>
      <c r="B8" s="5" t="s">
        <v>1391</v>
      </c>
      <c r="E8" s="87"/>
    </row>
    <row r="9" spans="1:5">
      <c r="A9" s="84" t="s">
        <v>9</v>
      </c>
      <c r="B9" s="5" t="s">
        <v>1392</v>
      </c>
      <c r="E9" s="87"/>
    </row>
    <row r="10" spans="1:5">
      <c r="A10" s="84" t="s">
        <v>10</v>
      </c>
      <c r="B10" s="5" t="s">
        <v>1393</v>
      </c>
      <c r="E10" s="87"/>
    </row>
    <row r="11" spans="1:5">
      <c r="A11" s="84" t="s">
        <v>271</v>
      </c>
      <c r="B11" s="5" t="s">
        <v>1396</v>
      </c>
      <c r="E11" s="87"/>
    </row>
    <row r="12" spans="1:5">
      <c r="A12" s="84" t="s">
        <v>1</v>
      </c>
      <c r="B12" s="5" t="s">
        <v>1403</v>
      </c>
      <c r="E12" s="87"/>
    </row>
    <row r="13" spans="1:5">
      <c r="A13" s="84" t="s">
        <v>2</v>
      </c>
      <c r="B13" s="5" t="s">
        <v>1395</v>
      </c>
      <c r="E13" s="87"/>
    </row>
    <row r="14" spans="1:5">
      <c r="A14" s="84" t="s">
        <v>270</v>
      </c>
      <c r="B14" s="5" t="s">
        <v>1449</v>
      </c>
      <c r="E14" s="87"/>
    </row>
    <row r="15" spans="1:5">
      <c r="A15" s="84" t="s">
        <v>11</v>
      </c>
      <c r="B15" s="5" t="s">
        <v>1404</v>
      </c>
      <c r="E15" s="87"/>
    </row>
    <row r="16" spans="1:5">
      <c r="A16" s="84" t="s">
        <v>12</v>
      </c>
      <c r="B16" s="5" t="s">
        <v>1398</v>
      </c>
      <c r="E16" s="87"/>
    </row>
    <row r="17" spans="1:5">
      <c r="A17" s="84" t="s">
        <v>272</v>
      </c>
      <c r="B17" s="86" t="s">
        <v>1397</v>
      </c>
      <c r="E17" s="87"/>
    </row>
    <row r="18" spans="1:5">
      <c r="A18" s="84" t="s">
        <v>14</v>
      </c>
      <c r="B18" s="5" t="s">
        <v>1399</v>
      </c>
      <c r="E18" s="87"/>
    </row>
    <row r="19" spans="1:5">
      <c r="A19" s="84" t="s">
        <v>15</v>
      </c>
      <c r="B19" s="5" t="s">
        <v>1400</v>
      </c>
      <c r="E19" s="87"/>
    </row>
    <row r="20" spans="1:5">
      <c r="A20" s="84" t="s">
        <v>1405</v>
      </c>
      <c r="B20" s="5" t="s">
        <v>1406</v>
      </c>
      <c r="E20" s="85"/>
    </row>
    <row r="21" spans="1:5">
      <c r="A21" s="84" t="s">
        <v>300</v>
      </c>
      <c r="B21" s="5" t="s">
        <v>1407</v>
      </c>
      <c r="E21" s="87"/>
    </row>
    <row r="22" spans="1:5">
      <c r="A22" t="s">
        <v>16</v>
      </c>
      <c r="B22" s="5" t="s">
        <v>1408</v>
      </c>
    </row>
    <row r="23" spans="1:5">
      <c r="A23" t="s">
        <v>274</v>
      </c>
      <c r="B23" s="5" t="s">
        <v>1409</v>
      </c>
    </row>
  </sheetData>
  <hyperlinks>
    <hyperlink ref="B17" location="_ENREF_9" tooltip="Dell, 2011 #2222" display="_ENREF_9"/>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047"/>
  <sheetViews>
    <sheetView workbookViewId="0">
      <pane ySplit="3" topLeftCell="A4" activePane="bottomLeft" state="frozen"/>
      <selection pane="bottomLeft" activeCell="P3" sqref="P3"/>
    </sheetView>
  </sheetViews>
  <sheetFormatPr defaultRowHeight="15"/>
  <cols>
    <col min="4" max="4" width="15.5703125" bestFit="1" customWidth="1"/>
    <col min="7" max="7" width="15.5703125" bestFit="1" customWidth="1"/>
    <col min="10" max="10" width="15.5703125" bestFit="1" customWidth="1"/>
    <col min="43" max="43" width="18.42578125" bestFit="1" customWidth="1"/>
    <col min="54" max="54" width="18.28515625" style="9" bestFit="1" customWidth="1"/>
    <col min="57" max="57" width="12.5703125" bestFit="1" customWidth="1"/>
  </cols>
  <sheetData>
    <row r="1" spans="1:58">
      <c r="A1" s="1" t="s">
        <v>4205</v>
      </c>
    </row>
    <row r="3" spans="1:58" ht="15.75">
      <c r="A3" s="11" t="s">
        <v>303</v>
      </c>
      <c r="B3" s="11" t="s">
        <v>8</v>
      </c>
      <c r="C3" s="11" t="s">
        <v>304</v>
      </c>
      <c r="D3" s="11" t="s">
        <v>305</v>
      </c>
      <c r="E3" s="11" t="s">
        <v>306</v>
      </c>
      <c r="F3" s="11" t="s">
        <v>307</v>
      </c>
      <c r="G3" s="11" t="s">
        <v>308</v>
      </c>
      <c r="H3" s="11" t="s">
        <v>309</v>
      </c>
      <c r="I3" s="11" t="s">
        <v>310</v>
      </c>
      <c r="J3" s="11" t="s">
        <v>311</v>
      </c>
      <c r="K3" s="11" t="s">
        <v>312</v>
      </c>
      <c r="L3" s="11" t="s">
        <v>3</v>
      </c>
      <c r="M3" s="11" t="s">
        <v>313</v>
      </c>
      <c r="N3" s="11" t="s">
        <v>314</v>
      </c>
      <c r="O3" s="11" t="s">
        <v>315</v>
      </c>
      <c r="P3" s="21" t="s">
        <v>316</v>
      </c>
      <c r="Q3" s="21" t="s">
        <v>317</v>
      </c>
      <c r="R3" s="11" t="s">
        <v>318</v>
      </c>
      <c r="S3" s="16" t="s">
        <v>1331</v>
      </c>
      <c r="T3" s="16" t="s">
        <v>1360</v>
      </c>
      <c r="U3" s="22" t="s">
        <v>1359</v>
      </c>
      <c r="V3" s="23" t="s">
        <v>1333</v>
      </c>
      <c r="W3" s="11" t="s">
        <v>319</v>
      </c>
      <c r="X3" s="21" t="s">
        <v>320</v>
      </c>
      <c r="Y3" s="16" t="s">
        <v>321</v>
      </c>
      <c r="Z3" s="11" t="s">
        <v>322</v>
      </c>
      <c r="AA3" s="17" t="s">
        <v>323</v>
      </c>
      <c r="AB3" s="11" t="s">
        <v>324</v>
      </c>
      <c r="AC3" s="23" t="s">
        <v>325</v>
      </c>
      <c r="AD3" s="22" t="s">
        <v>326</v>
      </c>
      <c r="AE3" s="17" t="s">
        <v>327</v>
      </c>
      <c r="AF3" s="11" t="s">
        <v>328</v>
      </c>
      <c r="AG3" s="24" t="s">
        <v>329</v>
      </c>
      <c r="AH3" s="95" t="s">
        <v>4162</v>
      </c>
      <c r="AI3" s="95" t="s">
        <v>4163</v>
      </c>
      <c r="AJ3" s="95" t="s">
        <v>4164</v>
      </c>
      <c r="AK3" s="95" t="s">
        <v>4165</v>
      </c>
      <c r="AL3" s="95" t="s">
        <v>4161</v>
      </c>
      <c r="AM3" s="24" t="s">
        <v>330</v>
      </c>
      <c r="AN3" s="24" t="s">
        <v>1</v>
      </c>
      <c r="AO3" s="24" t="s">
        <v>331</v>
      </c>
      <c r="AP3" s="11" t="s">
        <v>332</v>
      </c>
      <c r="AQ3" s="11" t="s">
        <v>333</v>
      </c>
      <c r="AR3" s="23" t="s">
        <v>334</v>
      </c>
      <c r="AS3" s="25" t="s">
        <v>13</v>
      </c>
      <c r="AT3" s="11" t="s">
        <v>335</v>
      </c>
      <c r="AU3" s="26" t="s">
        <v>336</v>
      </c>
      <c r="AV3" s="27" t="s">
        <v>337</v>
      </c>
      <c r="AW3" s="28" t="s">
        <v>338</v>
      </c>
      <c r="AX3" s="29" t="s">
        <v>339</v>
      </c>
      <c r="AY3" s="29" t="s">
        <v>340</v>
      </c>
      <c r="AZ3" s="30" t="s">
        <v>341</v>
      </c>
      <c r="BA3" s="31" t="s">
        <v>342</v>
      </c>
      <c r="BB3" s="30" t="s">
        <v>0</v>
      </c>
      <c r="BC3" s="32" t="s">
        <v>346</v>
      </c>
      <c r="BD3" s="33" t="s">
        <v>347</v>
      </c>
      <c r="BE3" s="11" t="s">
        <v>344</v>
      </c>
      <c r="BF3" s="11" t="s">
        <v>345</v>
      </c>
    </row>
    <row r="4" spans="1:58">
      <c r="A4" s="9">
        <v>694</v>
      </c>
      <c r="B4" s="10" t="s">
        <v>348</v>
      </c>
      <c r="C4" s="10" t="s">
        <v>349</v>
      </c>
      <c r="D4" s="20" t="s">
        <v>350</v>
      </c>
      <c r="E4" s="20" t="s">
        <v>351</v>
      </c>
      <c r="F4" s="10" t="s">
        <v>349</v>
      </c>
      <c r="G4" s="20" t="s">
        <v>350</v>
      </c>
      <c r="H4" s="20" t="s">
        <v>351</v>
      </c>
      <c r="I4" s="10" t="s">
        <v>349</v>
      </c>
      <c r="J4" s="20" t="s">
        <v>350</v>
      </c>
      <c r="K4" s="20" t="s">
        <v>351</v>
      </c>
      <c r="L4" s="9" t="s">
        <v>352</v>
      </c>
      <c r="M4" s="9">
        <v>7</v>
      </c>
      <c r="N4" s="9" t="s">
        <v>353</v>
      </c>
      <c r="O4" s="9" t="s">
        <v>354</v>
      </c>
      <c r="P4" s="12">
        <v>33.396520000000002</v>
      </c>
      <c r="Q4" s="12" t="s">
        <v>355</v>
      </c>
      <c r="R4" s="9" t="s">
        <v>356</v>
      </c>
      <c r="S4" s="13" t="s">
        <v>357</v>
      </c>
      <c r="T4" s="13" t="s">
        <v>357</v>
      </c>
      <c r="U4" s="14">
        <f>LOG(T4+1)</f>
        <v>0</v>
      </c>
      <c r="V4" s="15">
        <v>25</v>
      </c>
      <c r="W4" s="12">
        <v>4.0715447999999981</v>
      </c>
      <c r="X4" s="12">
        <v>0.75</v>
      </c>
      <c r="Y4" s="13" t="s">
        <v>358</v>
      </c>
      <c r="Z4" s="9" t="s">
        <v>359</v>
      </c>
      <c r="AA4" s="10" t="s">
        <v>360</v>
      </c>
      <c r="AB4" s="9" t="s">
        <v>355</v>
      </c>
      <c r="AC4" s="15">
        <v>336</v>
      </c>
      <c r="AD4" s="14">
        <f>LOG(AC4)</f>
        <v>2.5263392773898441</v>
      </c>
      <c r="AE4" s="10" t="s">
        <v>361</v>
      </c>
      <c r="AF4" s="9" t="s">
        <v>362</v>
      </c>
      <c r="AG4" s="18">
        <v>39.777825</v>
      </c>
      <c r="AH4" s="7">
        <f>IF(AG4&gt;15,1,0)</f>
        <v>1</v>
      </c>
      <c r="AI4" s="7">
        <f>IF(AG4&gt;30,1,0)</f>
        <v>1</v>
      </c>
      <c r="AJ4" s="7">
        <f>IF(AG4&gt;45,1,0)</f>
        <v>0</v>
      </c>
      <c r="AK4" s="7">
        <f>IF(AG4&gt;60,1,0)</f>
        <v>0</v>
      </c>
      <c r="AL4" s="7" t="s">
        <v>4157</v>
      </c>
      <c r="AM4" s="18">
        <f>LOG(AG4)</f>
        <v>1.5996410327773016</v>
      </c>
      <c r="AN4" s="18">
        <v>39.777825</v>
      </c>
      <c r="AO4" s="18">
        <v>-84.689750000000004</v>
      </c>
      <c r="AP4" s="9" t="s">
        <v>363</v>
      </c>
      <c r="AQ4" s="9" t="s">
        <v>355</v>
      </c>
      <c r="AR4" s="15">
        <v>1982</v>
      </c>
      <c r="AS4" s="19" t="s">
        <v>364</v>
      </c>
      <c r="AT4" s="20" t="s">
        <v>365</v>
      </c>
      <c r="AU4" s="34">
        <v>1524467</v>
      </c>
      <c r="AV4" s="35">
        <f>LOG(AU4)</f>
        <v>6.1831180276695727</v>
      </c>
      <c r="AW4" s="36" t="s">
        <v>366</v>
      </c>
      <c r="AX4" s="34" t="s">
        <v>355</v>
      </c>
      <c r="AY4" s="34" t="s">
        <v>355</v>
      </c>
      <c r="AZ4" s="15">
        <v>78</v>
      </c>
      <c r="BA4" s="14">
        <f>LOG(AZ4)</f>
        <v>1.8920946026904804</v>
      </c>
      <c r="BB4" s="36" t="s">
        <v>367</v>
      </c>
      <c r="BC4" s="20">
        <v>3.4313725490200848E-3</v>
      </c>
      <c r="BD4" s="9">
        <v>29.200000000000003</v>
      </c>
      <c r="BE4" s="9" t="s">
        <v>368</v>
      </c>
      <c r="BF4" s="9">
        <v>0</v>
      </c>
    </row>
    <row r="5" spans="1:58">
      <c r="A5" s="9">
        <v>1012</v>
      </c>
      <c r="B5" s="20" t="s">
        <v>76</v>
      </c>
      <c r="C5" s="20" t="s">
        <v>369</v>
      </c>
      <c r="D5" s="20" t="s">
        <v>370</v>
      </c>
      <c r="E5" s="20" t="s">
        <v>371</v>
      </c>
      <c r="F5" s="20" t="s">
        <v>369</v>
      </c>
      <c r="G5" s="20" t="s">
        <v>370</v>
      </c>
      <c r="H5" s="20" t="s">
        <v>371</v>
      </c>
      <c r="I5" s="20" t="s">
        <v>369</v>
      </c>
      <c r="J5" s="20" t="s">
        <v>370</v>
      </c>
      <c r="K5" s="20" t="s">
        <v>371</v>
      </c>
      <c r="L5" s="9" t="s">
        <v>352</v>
      </c>
      <c r="M5" s="9">
        <v>3</v>
      </c>
      <c r="N5" s="9" t="s">
        <v>353</v>
      </c>
      <c r="O5" s="9" t="s">
        <v>354</v>
      </c>
      <c r="P5" s="12">
        <v>29.92192</v>
      </c>
      <c r="Q5" s="9" t="s">
        <v>355</v>
      </c>
      <c r="R5" s="9" t="s">
        <v>356</v>
      </c>
      <c r="S5" s="9">
        <v>0</v>
      </c>
      <c r="T5" s="9">
        <v>0</v>
      </c>
      <c r="U5" s="14">
        <f t="shared" ref="U5:U68" si="0">LOG(T5+1)</f>
        <v>0</v>
      </c>
      <c r="V5" s="15">
        <v>23</v>
      </c>
      <c r="W5" s="12">
        <v>3.8626162999999991</v>
      </c>
      <c r="X5" s="9" t="s">
        <v>355</v>
      </c>
      <c r="Y5" s="13" t="s">
        <v>358</v>
      </c>
      <c r="Z5" s="9" t="s">
        <v>359</v>
      </c>
      <c r="AA5" s="10" t="s">
        <v>372</v>
      </c>
      <c r="AB5" s="9" t="s">
        <v>355</v>
      </c>
      <c r="AC5" s="15">
        <v>422</v>
      </c>
      <c r="AD5" s="14">
        <f t="shared" ref="AD5:AD68" si="1">LOG(AC5)</f>
        <v>2.6253124509616739</v>
      </c>
      <c r="AE5" s="10" t="s">
        <v>373</v>
      </c>
      <c r="AF5" s="9" t="s">
        <v>362</v>
      </c>
      <c r="AG5" s="18">
        <v>42</v>
      </c>
      <c r="AH5" s="7">
        <f t="shared" ref="AH5:AH68" si="2">IF(AG5&gt;15,1,0)</f>
        <v>1</v>
      </c>
      <c r="AI5" s="7">
        <f t="shared" ref="AI5:AI68" si="3">IF(AG5&gt;30,1,0)</f>
        <v>1</v>
      </c>
      <c r="AJ5" s="7">
        <f t="shared" ref="AJ5:AJ68" si="4">IF(AG5&gt;45,1,0)</f>
        <v>0</v>
      </c>
      <c r="AK5" s="7">
        <f t="shared" ref="AK5:AK68" si="5">IF(AG5&gt;60,1,0)</f>
        <v>0</v>
      </c>
      <c r="AL5" s="7" t="s">
        <v>4157</v>
      </c>
      <c r="AM5" s="18">
        <f t="shared" ref="AM5:AM68" si="6">LOG(AG5)</f>
        <v>1.6232492903979006</v>
      </c>
      <c r="AN5" s="18">
        <v>42</v>
      </c>
      <c r="AO5" s="18">
        <v>-73.134960000000007</v>
      </c>
      <c r="AP5" s="9" t="s">
        <v>363</v>
      </c>
      <c r="AQ5" s="9" t="s">
        <v>355</v>
      </c>
      <c r="AR5" s="9">
        <v>1962</v>
      </c>
      <c r="AS5" s="10" t="s">
        <v>374</v>
      </c>
      <c r="AT5" s="20" t="s">
        <v>375</v>
      </c>
      <c r="AU5" s="39">
        <v>3826484</v>
      </c>
      <c r="AV5" s="35">
        <f t="shared" ref="AV5:AV68" si="7">LOG(AU5)</f>
        <v>6.5827999017171539</v>
      </c>
      <c r="AW5" s="37" t="s">
        <v>338</v>
      </c>
      <c r="AX5" s="34" t="s">
        <v>355</v>
      </c>
      <c r="AY5" s="40" t="s">
        <v>355</v>
      </c>
      <c r="AZ5" s="15">
        <v>87</v>
      </c>
      <c r="BA5" s="14">
        <f t="shared" ref="BA5:BA68" si="8">LOG(AZ5)</f>
        <v>1.9395192526186185</v>
      </c>
      <c r="BB5" s="41" t="s">
        <v>343</v>
      </c>
      <c r="BC5" s="20">
        <v>2.6780712284914233E-2</v>
      </c>
      <c r="BD5" s="9">
        <v>25.700000000000003</v>
      </c>
      <c r="BE5" s="9" t="s">
        <v>368</v>
      </c>
      <c r="BF5" s="9">
        <v>0</v>
      </c>
    </row>
    <row r="6" spans="1:58">
      <c r="A6" s="9">
        <v>695</v>
      </c>
      <c r="B6" s="10" t="s">
        <v>348</v>
      </c>
      <c r="C6" s="10" t="s">
        <v>349</v>
      </c>
      <c r="D6" s="20" t="s">
        <v>350</v>
      </c>
      <c r="E6" s="20" t="s">
        <v>351</v>
      </c>
      <c r="F6" s="10" t="s">
        <v>349</v>
      </c>
      <c r="G6" s="20" t="s">
        <v>350</v>
      </c>
      <c r="H6" s="20" t="s">
        <v>351</v>
      </c>
      <c r="I6" s="10" t="s">
        <v>349</v>
      </c>
      <c r="J6" s="20" t="s">
        <v>350</v>
      </c>
      <c r="K6" s="20" t="s">
        <v>351</v>
      </c>
      <c r="L6" s="9" t="s">
        <v>352</v>
      </c>
      <c r="M6" s="9">
        <v>7</v>
      </c>
      <c r="N6" s="9" t="s">
        <v>353</v>
      </c>
      <c r="O6" s="9" t="s">
        <v>354</v>
      </c>
      <c r="P6" s="12">
        <v>34.089663999999999</v>
      </c>
      <c r="Q6" s="12" t="s">
        <v>355</v>
      </c>
      <c r="R6" s="9" t="s">
        <v>356</v>
      </c>
      <c r="S6" s="13" t="s">
        <v>376</v>
      </c>
      <c r="T6" s="13" t="s">
        <v>376</v>
      </c>
      <c r="U6" s="14">
        <f t="shared" si="0"/>
        <v>0.17609125905568124</v>
      </c>
      <c r="V6" s="15">
        <v>25</v>
      </c>
      <c r="W6" s="12">
        <v>4.7646887999999947</v>
      </c>
      <c r="X6" s="12">
        <v>0.75</v>
      </c>
      <c r="Y6" s="13" t="s">
        <v>358</v>
      </c>
      <c r="Z6" s="9" t="s">
        <v>359</v>
      </c>
      <c r="AA6" s="10" t="s">
        <v>360</v>
      </c>
      <c r="AB6" s="9" t="s">
        <v>355</v>
      </c>
      <c r="AC6" s="15">
        <v>336</v>
      </c>
      <c r="AD6" s="14">
        <f t="shared" si="1"/>
        <v>2.5263392773898441</v>
      </c>
      <c r="AE6" s="10" t="s">
        <v>361</v>
      </c>
      <c r="AF6" s="9" t="s">
        <v>362</v>
      </c>
      <c r="AG6" s="18">
        <v>39.777825</v>
      </c>
      <c r="AH6" s="7">
        <f t="shared" si="2"/>
        <v>1</v>
      </c>
      <c r="AI6" s="7">
        <f t="shared" si="3"/>
        <v>1</v>
      </c>
      <c r="AJ6" s="7">
        <f t="shared" si="4"/>
        <v>0</v>
      </c>
      <c r="AK6" s="7">
        <f t="shared" si="5"/>
        <v>0</v>
      </c>
      <c r="AL6" s="7" t="s">
        <v>4157</v>
      </c>
      <c r="AM6" s="18">
        <f t="shared" si="6"/>
        <v>1.5996410327773016</v>
      </c>
      <c r="AN6" s="18">
        <v>39.777825</v>
      </c>
      <c r="AO6" s="18">
        <v>-84.689750000000004</v>
      </c>
      <c r="AP6" s="9" t="s">
        <v>363</v>
      </c>
      <c r="AQ6" s="9" t="s">
        <v>355</v>
      </c>
      <c r="AR6" s="15">
        <v>1982</v>
      </c>
      <c r="AS6" s="19" t="s">
        <v>364</v>
      </c>
      <c r="AT6" s="20" t="s">
        <v>365</v>
      </c>
      <c r="AU6" s="34">
        <v>1524467</v>
      </c>
      <c r="AV6" s="35">
        <f t="shared" si="7"/>
        <v>6.1831180276695727</v>
      </c>
      <c r="AW6" s="36" t="s">
        <v>366</v>
      </c>
      <c r="AX6" s="34" t="s">
        <v>355</v>
      </c>
      <c r="AY6" s="34" t="s">
        <v>355</v>
      </c>
      <c r="AZ6" s="15">
        <v>78</v>
      </c>
      <c r="BA6" s="14">
        <f t="shared" si="8"/>
        <v>1.8920946026904804</v>
      </c>
      <c r="BB6" s="36" t="s">
        <v>367</v>
      </c>
      <c r="BC6" s="20">
        <v>3.4313725490200848E-3</v>
      </c>
      <c r="BD6" s="9">
        <v>29.200000000000003</v>
      </c>
      <c r="BE6" s="9" t="s">
        <v>368</v>
      </c>
      <c r="BF6" s="9">
        <v>0</v>
      </c>
    </row>
    <row r="7" spans="1:58">
      <c r="A7" s="9">
        <v>772</v>
      </c>
      <c r="B7" s="10" t="s">
        <v>348</v>
      </c>
      <c r="C7" s="10" t="s">
        <v>377</v>
      </c>
      <c r="D7" s="20" t="s">
        <v>378</v>
      </c>
      <c r="E7" s="20" t="s">
        <v>379</v>
      </c>
      <c r="F7" s="10" t="s">
        <v>377</v>
      </c>
      <c r="G7" s="20" t="s">
        <v>378</v>
      </c>
      <c r="H7" s="20" t="s">
        <v>379</v>
      </c>
      <c r="I7" s="10" t="s">
        <v>377</v>
      </c>
      <c r="J7" s="20" t="s">
        <v>378</v>
      </c>
      <c r="K7" s="20" t="s">
        <v>379</v>
      </c>
      <c r="L7" s="9" t="s">
        <v>380</v>
      </c>
      <c r="M7" s="9">
        <v>15</v>
      </c>
      <c r="N7" s="9" t="s">
        <v>381</v>
      </c>
      <c r="O7" s="9" t="s">
        <v>382</v>
      </c>
      <c r="P7" s="12">
        <v>33.938667000000002</v>
      </c>
      <c r="Q7" s="12" t="s">
        <v>355</v>
      </c>
      <c r="R7" s="9" t="s">
        <v>356</v>
      </c>
      <c r="S7" s="13" t="s">
        <v>383</v>
      </c>
      <c r="T7" s="13" t="s">
        <v>383</v>
      </c>
      <c r="U7" s="14">
        <f t="shared" si="0"/>
        <v>0.3010299956639812</v>
      </c>
      <c r="V7" s="15">
        <v>1.8</v>
      </c>
      <c r="W7" s="12"/>
      <c r="X7" s="12">
        <v>1</v>
      </c>
      <c r="Y7" s="13" t="s">
        <v>384</v>
      </c>
      <c r="Z7" s="9" t="s">
        <v>359</v>
      </c>
      <c r="AA7" s="10" t="s">
        <v>372</v>
      </c>
      <c r="AB7" s="9" t="s">
        <v>355</v>
      </c>
      <c r="AC7" s="15">
        <v>689</v>
      </c>
      <c r="AD7" s="14">
        <f t="shared" si="1"/>
        <v>2.8382192219076257</v>
      </c>
      <c r="AE7" s="10" t="s">
        <v>385</v>
      </c>
      <c r="AF7" s="9" t="s">
        <v>362</v>
      </c>
      <c r="AG7" s="18">
        <v>40.841022000000002</v>
      </c>
      <c r="AH7" s="7">
        <f t="shared" si="2"/>
        <v>1</v>
      </c>
      <c r="AI7" s="7">
        <f t="shared" si="3"/>
        <v>1</v>
      </c>
      <c r="AJ7" s="7">
        <f t="shared" si="4"/>
        <v>0</v>
      </c>
      <c r="AK7" s="7">
        <f t="shared" si="5"/>
        <v>0</v>
      </c>
      <c r="AL7" s="7" t="s">
        <v>4157</v>
      </c>
      <c r="AM7" s="18">
        <f t="shared" si="6"/>
        <v>1.6110966012749866</v>
      </c>
      <c r="AN7" s="18">
        <v>40.841022000000002</v>
      </c>
      <c r="AO7" s="18">
        <v>-99.101349999999996</v>
      </c>
      <c r="AP7" s="9" t="s">
        <v>363</v>
      </c>
      <c r="AQ7" s="9" t="s">
        <v>355</v>
      </c>
      <c r="AR7" s="15">
        <v>1980</v>
      </c>
      <c r="AS7" s="19" t="s">
        <v>386</v>
      </c>
      <c r="AT7" s="20" t="s">
        <v>387</v>
      </c>
      <c r="AU7" s="34">
        <v>4317635</v>
      </c>
      <c r="AV7" s="35">
        <f t="shared" si="7"/>
        <v>6.6352459255882987</v>
      </c>
      <c r="AW7" s="36" t="s">
        <v>366</v>
      </c>
      <c r="AX7" s="34">
        <v>0</v>
      </c>
      <c r="AY7" s="34">
        <v>3660</v>
      </c>
      <c r="AZ7" s="36">
        <v>265</v>
      </c>
      <c r="BA7" s="14">
        <f t="shared" si="8"/>
        <v>2.4232458739368079</v>
      </c>
      <c r="BB7" s="36" t="s">
        <v>388</v>
      </c>
      <c r="BC7" s="20">
        <v>2.1618647458982974E-2</v>
      </c>
      <c r="BD7" s="9">
        <v>31</v>
      </c>
      <c r="BE7" s="9" t="s">
        <v>368</v>
      </c>
      <c r="BF7" s="9">
        <v>0</v>
      </c>
    </row>
    <row r="8" spans="1:58">
      <c r="A8" s="9">
        <v>768</v>
      </c>
      <c r="B8" s="10" t="s">
        <v>348</v>
      </c>
      <c r="C8" s="10" t="s">
        <v>377</v>
      </c>
      <c r="D8" s="20" t="s">
        <v>378</v>
      </c>
      <c r="E8" s="20" t="s">
        <v>379</v>
      </c>
      <c r="F8" s="10" t="s">
        <v>377</v>
      </c>
      <c r="G8" s="20" t="s">
        <v>378</v>
      </c>
      <c r="H8" s="20" t="s">
        <v>379</v>
      </c>
      <c r="I8" s="10" t="s">
        <v>377</v>
      </c>
      <c r="J8" s="20" t="s">
        <v>378</v>
      </c>
      <c r="K8" s="20" t="s">
        <v>379</v>
      </c>
      <c r="L8" s="9" t="s">
        <v>380</v>
      </c>
      <c r="M8" s="9">
        <v>15</v>
      </c>
      <c r="N8" s="9" t="s">
        <v>381</v>
      </c>
      <c r="O8" s="9" t="s">
        <v>382</v>
      </c>
      <c r="P8" s="12">
        <v>37.607956000000001</v>
      </c>
      <c r="Q8" s="12" t="s">
        <v>355</v>
      </c>
      <c r="R8" s="9" t="s">
        <v>356</v>
      </c>
      <c r="S8" s="13" t="s">
        <v>383</v>
      </c>
      <c r="T8" s="13" t="s">
        <v>383</v>
      </c>
      <c r="U8" s="14">
        <f t="shared" si="0"/>
        <v>0.3010299956639812</v>
      </c>
      <c r="V8" s="15">
        <v>27.9</v>
      </c>
      <c r="W8" s="12"/>
      <c r="X8" s="12">
        <v>1</v>
      </c>
      <c r="Y8" s="13" t="s">
        <v>384</v>
      </c>
      <c r="Z8" s="9" t="s">
        <v>359</v>
      </c>
      <c r="AA8" s="10" t="s">
        <v>372</v>
      </c>
      <c r="AB8" s="9" t="s">
        <v>355</v>
      </c>
      <c r="AC8" s="15">
        <v>689</v>
      </c>
      <c r="AD8" s="14">
        <f t="shared" si="1"/>
        <v>2.8382192219076257</v>
      </c>
      <c r="AE8" s="10" t="s">
        <v>385</v>
      </c>
      <c r="AF8" s="9" t="s">
        <v>362</v>
      </c>
      <c r="AG8" s="18">
        <v>40.841022000000002</v>
      </c>
      <c r="AH8" s="7">
        <f t="shared" si="2"/>
        <v>1</v>
      </c>
      <c r="AI8" s="7">
        <f t="shared" si="3"/>
        <v>1</v>
      </c>
      <c r="AJ8" s="7">
        <f t="shared" si="4"/>
        <v>0</v>
      </c>
      <c r="AK8" s="7">
        <f t="shared" si="5"/>
        <v>0</v>
      </c>
      <c r="AL8" s="7" t="s">
        <v>4157</v>
      </c>
      <c r="AM8" s="18">
        <f t="shared" si="6"/>
        <v>1.6110966012749866</v>
      </c>
      <c r="AN8" s="18">
        <v>40.841022000000002</v>
      </c>
      <c r="AO8" s="18">
        <v>-99.101349999999996</v>
      </c>
      <c r="AP8" s="9" t="s">
        <v>363</v>
      </c>
      <c r="AQ8" s="9" t="s">
        <v>355</v>
      </c>
      <c r="AR8" s="15">
        <v>1980</v>
      </c>
      <c r="AS8" s="19" t="s">
        <v>386</v>
      </c>
      <c r="AT8" s="20" t="s">
        <v>387</v>
      </c>
      <c r="AU8" s="34">
        <v>4317635</v>
      </c>
      <c r="AV8" s="35">
        <f t="shared" si="7"/>
        <v>6.6352459255882987</v>
      </c>
      <c r="AW8" s="36" t="s">
        <v>366</v>
      </c>
      <c r="AX8" s="34">
        <v>0</v>
      </c>
      <c r="AY8" s="34">
        <v>3660</v>
      </c>
      <c r="AZ8" s="36">
        <v>265</v>
      </c>
      <c r="BA8" s="14">
        <f t="shared" si="8"/>
        <v>2.4232458739368079</v>
      </c>
      <c r="BB8" s="36" t="s">
        <v>388</v>
      </c>
      <c r="BC8" s="20">
        <v>2.1618647458982974E-2</v>
      </c>
      <c r="BD8" s="9">
        <v>31</v>
      </c>
      <c r="BE8" s="9" t="s">
        <v>368</v>
      </c>
      <c r="BF8" s="9">
        <v>0</v>
      </c>
    </row>
    <row r="9" spans="1:58">
      <c r="A9" s="9">
        <v>1030</v>
      </c>
      <c r="B9" s="20" t="s">
        <v>76</v>
      </c>
      <c r="C9" s="20" t="s">
        <v>389</v>
      </c>
      <c r="D9" s="20" t="s">
        <v>390</v>
      </c>
      <c r="E9" s="20" t="s">
        <v>391</v>
      </c>
      <c r="F9" s="20" t="s">
        <v>389</v>
      </c>
      <c r="G9" s="20" t="s">
        <v>390</v>
      </c>
      <c r="H9" s="20" t="s">
        <v>391</v>
      </c>
      <c r="I9" s="20" t="s">
        <v>389</v>
      </c>
      <c r="J9" s="20" t="s">
        <v>392</v>
      </c>
      <c r="K9" s="20" t="s">
        <v>391</v>
      </c>
      <c r="L9" s="9" t="s">
        <v>352</v>
      </c>
      <c r="M9" s="9">
        <v>3</v>
      </c>
      <c r="N9" s="9" t="s">
        <v>353</v>
      </c>
      <c r="O9" s="9" t="s">
        <v>354</v>
      </c>
      <c r="P9" s="12">
        <v>36.417290000000001</v>
      </c>
      <c r="Q9" s="9" t="s">
        <v>355</v>
      </c>
      <c r="R9" s="9" t="s">
        <v>356</v>
      </c>
      <c r="S9" s="9">
        <v>1</v>
      </c>
      <c r="T9" s="9">
        <v>1</v>
      </c>
      <c r="U9" s="14">
        <f t="shared" si="0"/>
        <v>0.3010299956639812</v>
      </c>
      <c r="V9" s="15">
        <v>23</v>
      </c>
      <c r="W9" s="12">
        <v>10.3579863</v>
      </c>
      <c r="X9" s="9" t="s">
        <v>355</v>
      </c>
      <c r="Y9" s="13" t="s">
        <v>358</v>
      </c>
      <c r="Z9" s="9" t="s">
        <v>359</v>
      </c>
      <c r="AA9" s="10" t="s">
        <v>372</v>
      </c>
      <c r="AB9" s="9" t="s">
        <v>355</v>
      </c>
      <c r="AC9" s="15">
        <v>422</v>
      </c>
      <c r="AD9" s="14">
        <f t="shared" si="1"/>
        <v>2.6253124509616739</v>
      </c>
      <c r="AE9" s="10" t="s">
        <v>373</v>
      </c>
      <c r="AF9" s="9" t="s">
        <v>362</v>
      </c>
      <c r="AG9" s="18">
        <v>42</v>
      </c>
      <c r="AH9" s="7">
        <f t="shared" si="2"/>
        <v>1</v>
      </c>
      <c r="AI9" s="7">
        <f t="shared" si="3"/>
        <v>1</v>
      </c>
      <c r="AJ9" s="7">
        <f t="shared" si="4"/>
        <v>0</v>
      </c>
      <c r="AK9" s="7">
        <f t="shared" si="5"/>
        <v>0</v>
      </c>
      <c r="AL9" s="7" t="s">
        <v>4157</v>
      </c>
      <c r="AM9" s="18">
        <f t="shared" si="6"/>
        <v>1.6232492903979006</v>
      </c>
      <c r="AN9" s="18">
        <v>42</v>
      </c>
      <c r="AO9" s="18">
        <v>-73.134960000000007</v>
      </c>
      <c r="AP9" s="9" t="s">
        <v>363</v>
      </c>
      <c r="AQ9" s="9" t="s">
        <v>355</v>
      </c>
      <c r="AR9" s="9">
        <v>1962</v>
      </c>
      <c r="AS9" s="10" t="s">
        <v>374</v>
      </c>
      <c r="AT9" s="20" t="s">
        <v>375</v>
      </c>
      <c r="AU9" s="39">
        <v>1991277</v>
      </c>
      <c r="AV9" s="35">
        <f t="shared" si="7"/>
        <v>6.2991316775080026</v>
      </c>
      <c r="AW9" s="37" t="s">
        <v>366</v>
      </c>
      <c r="AX9" s="34" t="s">
        <v>355</v>
      </c>
      <c r="AY9" s="40" t="s">
        <v>355</v>
      </c>
      <c r="AZ9" s="15">
        <v>55</v>
      </c>
      <c r="BA9" s="14">
        <f t="shared" si="8"/>
        <v>1.7403626894942439</v>
      </c>
      <c r="BB9" s="37" t="s">
        <v>367</v>
      </c>
      <c r="BC9" s="20">
        <v>2.6780712284914233E-2</v>
      </c>
      <c r="BD9" s="9">
        <v>25.700000000000003</v>
      </c>
      <c r="BE9" s="9" t="s">
        <v>368</v>
      </c>
      <c r="BF9" s="9">
        <v>0</v>
      </c>
    </row>
    <row r="10" spans="1:58">
      <c r="A10" s="9">
        <v>696</v>
      </c>
      <c r="B10" s="10" t="s">
        <v>348</v>
      </c>
      <c r="C10" s="10" t="s">
        <v>349</v>
      </c>
      <c r="D10" s="20" t="s">
        <v>350</v>
      </c>
      <c r="E10" s="20" t="s">
        <v>351</v>
      </c>
      <c r="F10" s="10" t="s">
        <v>349</v>
      </c>
      <c r="G10" s="20" t="s">
        <v>350</v>
      </c>
      <c r="H10" s="20" t="s">
        <v>351</v>
      </c>
      <c r="I10" s="10" t="s">
        <v>349</v>
      </c>
      <c r="J10" s="20" t="s">
        <v>350</v>
      </c>
      <c r="K10" s="20" t="s">
        <v>351</v>
      </c>
      <c r="L10" s="9" t="s">
        <v>352</v>
      </c>
      <c r="M10" s="9">
        <v>7</v>
      </c>
      <c r="N10" s="9" t="s">
        <v>353</v>
      </c>
      <c r="O10" s="9" t="s">
        <v>354</v>
      </c>
      <c r="P10" s="12">
        <v>34.782809999999998</v>
      </c>
      <c r="Q10" s="12" t="s">
        <v>355</v>
      </c>
      <c r="R10" s="9" t="s">
        <v>356</v>
      </c>
      <c r="S10" s="13" t="s">
        <v>383</v>
      </c>
      <c r="T10" s="13" t="s">
        <v>383</v>
      </c>
      <c r="U10" s="14">
        <f t="shared" si="0"/>
        <v>0.3010299956639812</v>
      </c>
      <c r="V10" s="15">
        <v>25</v>
      </c>
      <c r="W10" s="12">
        <v>5.4578347999999934</v>
      </c>
      <c r="X10" s="12">
        <v>0.75</v>
      </c>
      <c r="Y10" s="13" t="s">
        <v>358</v>
      </c>
      <c r="Z10" s="9" t="s">
        <v>359</v>
      </c>
      <c r="AA10" s="10" t="s">
        <v>360</v>
      </c>
      <c r="AB10" s="9" t="s">
        <v>355</v>
      </c>
      <c r="AC10" s="15">
        <v>336</v>
      </c>
      <c r="AD10" s="14">
        <f t="shared" si="1"/>
        <v>2.5263392773898441</v>
      </c>
      <c r="AE10" s="10" t="s">
        <v>361</v>
      </c>
      <c r="AF10" s="9" t="s">
        <v>362</v>
      </c>
      <c r="AG10" s="18">
        <v>39.777825</v>
      </c>
      <c r="AH10" s="7">
        <f t="shared" si="2"/>
        <v>1</v>
      </c>
      <c r="AI10" s="7">
        <f t="shared" si="3"/>
        <v>1</v>
      </c>
      <c r="AJ10" s="7">
        <f t="shared" si="4"/>
        <v>0</v>
      </c>
      <c r="AK10" s="7">
        <f t="shared" si="5"/>
        <v>0</v>
      </c>
      <c r="AL10" s="7" t="s">
        <v>4157</v>
      </c>
      <c r="AM10" s="18">
        <f t="shared" si="6"/>
        <v>1.5996410327773016</v>
      </c>
      <c r="AN10" s="18">
        <v>39.777825</v>
      </c>
      <c r="AO10" s="18">
        <v>-84.689750000000004</v>
      </c>
      <c r="AP10" s="9" t="s">
        <v>363</v>
      </c>
      <c r="AQ10" s="9" t="s">
        <v>355</v>
      </c>
      <c r="AR10" s="15">
        <v>1982</v>
      </c>
      <c r="AS10" s="19" t="s">
        <v>364</v>
      </c>
      <c r="AT10" s="20" t="s">
        <v>365</v>
      </c>
      <c r="AU10" s="34">
        <v>1524467</v>
      </c>
      <c r="AV10" s="35">
        <f t="shared" si="7"/>
        <v>6.1831180276695727</v>
      </c>
      <c r="AW10" s="36" t="s">
        <v>366</v>
      </c>
      <c r="AX10" s="34" t="s">
        <v>355</v>
      </c>
      <c r="AY10" s="34" t="s">
        <v>355</v>
      </c>
      <c r="AZ10" s="15">
        <v>78</v>
      </c>
      <c r="BA10" s="14">
        <f t="shared" si="8"/>
        <v>1.8920946026904804</v>
      </c>
      <c r="BB10" s="36" t="s">
        <v>367</v>
      </c>
      <c r="BC10" s="20">
        <v>3.4313725490200848E-3</v>
      </c>
      <c r="BD10" s="9">
        <v>29.200000000000003</v>
      </c>
      <c r="BE10" s="9" t="s">
        <v>368</v>
      </c>
      <c r="BF10" s="9">
        <v>0</v>
      </c>
    </row>
    <row r="11" spans="1:58">
      <c r="A11" s="9">
        <v>63</v>
      </c>
      <c r="B11" s="10" t="s">
        <v>348</v>
      </c>
      <c r="C11" s="10" t="s">
        <v>349</v>
      </c>
      <c r="D11" s="20" t="s">
        <v>393</v>
      </c>
      <c r="E11" s="20" t="s">
        <v>394</v>
      </c>
      <c r="F11" s="10" t="s">
        <v>349</v>
      </c>
      <c r="G11" s="20" t="s">
        <v>393</v>
      </c>
      <c r="H11" s="20" t="s">
        <v>394</v>
      </c>
      <c r="I11" s="10" t="s">
        <v>349</v>
      </c>
      <c r="J11" s="20" t="s">
        <v>393</v>
      </c>
      <c r="K11" s="20" t="s">
        <v>394</v>
      </c>
      <c r="L11" s="9" t="s">
        <v>352</v>
      </c>
      <c r="M11" s="9">
        <v>7</v>
      </c>
      <c r="N11" s="9" t="s">
        <v>353</v>
      </c>
      <c r="O11" s="9" t="s">
        <v>354</v>
      </c>
      <c r="P11" s="12">
        <v>34.6</v>
      </c>
      <c r="Q11" s="9" t="s">
        <v>355</v>
      </c>
      <c r="R11" s="9" t="s">
        <v>356</v>
      </c>
      <c r="S11" s="13">
        <v>1</v>
      </c>
      <c r="T11" s="13">
        <v>1</v>
      </c>
      <c r="U11" s="14">
        <f t="shared" si="0"/>
        <v>0.3010299956639812</v>
      </c>
      <c r="V11" s="15">
        <v>25</v>
      </c>
      <c r="W11" s="12">
        <v>5.2750247999999971</v>
      </c>
      <c r="X11" s="12">
        <v>0.75</v>
      </c>
      <c r="Y11" s="13" t="s">
        <v>358</v>
      </c>
      <c r="Z11" s="9" t="s">
        <v>359</v>
      </c>
      <c r="AA11" s="10" t="s">
        <v>372</v>
      </c>
      <c r="AB11" s="9" t="s">
        <v>355</v>
      </c>
      <c r="AC11" s="15">
        <v>336</v>
      </c>
      <c r="AD11" s="14">
        <f t="shared" si="1"/>
        <v>2.5263392773898441</v>
      </c>
      <c r="AE11" s="10" t="s">
        <v>361</v>
      </c>
      <c r="AF11" s="9" t="s">
        <v>362</v>
      </c>
      <c r="AG11" s="18">
        <v>39.777825</v>
      </c>
      <c r="AH11" s="7">
        <f t="shared" si="2"/>
        <v>1</v>
      </c>
      <c r="AI11" s="7">
        <f t="shared" si="3"/>
        <v>1</v>
      </c>
      <c r="AJ11" s="7">
        <f t="shared" si="4"/>
        <v>0</v>
      </c>
      <c r="AK11" s="7">
        <f t="shared" si="5"/>
        <v>0</v>
      </c>
      <c r="AL11" s="7" t="s">
        <v>4157</v>
      </c>
      <c r="AM11" s="18">
        <f t="shared" si="6"/>
        <v>1.5996410327773016</v>
      </c>
      <c r="AN11" s="18">
        <v>39.777825</v>
      </c>
      <c r="AO11" s="18">
        <v>-84.689750000000004</v>
      </c>
      <c r="AP11" s="9" t="s">
        <v>363</v>
      </c>
      <c r="AQ11" s="9" t="s">
        <v>355</v>
      </c>
      <c r="AR11" s="15">
        <v>1982</v>
      </c>
      <c r="AS11" s="19" t="s">
        <v>395</v>
      </c>
      <c r="AT11" s="20" t="s">
        <v>396</v>
      </c>
      <c r="AU11" s="34">
        <v>1195927</v>
      </c>
      <c r="AV11" s="35">
        <f t="shared" si="7"/>
        <v>6.0777046709025946</v>
      </c>
      <c r="AW11" s="36" t="s">
        <v>366</v>
      </c>
      <c r="AX11" s="34" t="s">
        <v>355</v>
      </c>
      <c r="AY11" s="34" t="s">
        <v>355</v>
      </c>
      <c r="AZ11" s="15">
        <v>78</v>
      </c>
      <c r="BA11" s="14">
        <f t="shared" si="8"/>
        <v>1.8920946026904804</v>
      </c>
      <c r="BB11" s="36" t="s">
        <v>367</v>
      </c>
      <c r="BC11" s="20">
        <v>3.4313725490200848E-3</v>
      </c>
      <c r="BD11" s="9">
        <v>29.200000000000003</v>
      </c>
      <c r="BE11" s="9" t="s">
        <v>368</v>
      </c>
      <c r="BF11" s="9">
        <v>0</v>
      </c>
    </row>
    <row r="12" spans="1:58">
      <c r="A12" s="9">
        <v>58</v>
      </c>
      <c r="B12" s="10" t="s">
        <v>348</v>
      </c>
      <c r="C12" s="10" t="s">
        <v>349</v>
      </c>
      <c r="D12" s="20" t="s">
        <v>393</v>
      </c>
      <c r="E12" s="20" t="s">
        <v>394</v>
      </c>
      <c r="F12" s="10" t="s">
        <v>349</v>
      </c>
      <c r="G12" s="20" t="s">
        <v>393</v>
      </c>
      <c r="H12" s="20" t="s">
        <v>394</v>
      </c>
      <c r="I12" s="10" t="s">
        <v>349</v>
      </c>
      <c r="J12" s="20" t="s">
        <v>393</v>
      </c>
      <c r="K12" s="20" t="s">
        <v>394</v>
      </c>
      <c r="L12" s="9" t="s">
        <v>352</v>
      </c>
      <c r="M12" s="9">
        <v>7</v>
      </c>
      <c r="N12" s="9" t="s">
        <v>353</v>
      </c>
      <c r="O12" s="9" t="s">
        <v>354</v>
      </c>
      <c r="P12" s="12">
        <v>35.5</v>
      </c>
      <c r="Q12" s="9" t="s">
        <v>355</v>
      </c>
      <c r="R12" s="9" t="s">
        <v>356</v>
      </c>
      <c r="S12" s="13">
        <v>1</v>
      </c>
      <c r="T12" s="13">
        <v>1</v>
      </c>
      <c r="U12" s="14">
        <f t="shared" si="0"/>
        <v>0.3010299956639812</v>
      </c>
      <c r="V12" s="15">
        <v>25</v>
      </c>
      <c r="W12" s="12">
        <v>6.1750247999999957</v>
      </c>
      <c r="X12" s="12">
        <v>0.75</v>
      </c>
      <c r="Y12" s="13" t="s">
        <v>358</v>
      </c>
      <c r="Z12" s="9" t="s">
        <v>359</v>
      </c>
      <c r="AA12" s="10" t="s">
        <v>372</v>
      </c>
      <c r="AB12" s="9" t="s">
        <v>355</v>
      </c>
      <c r="AC12" s="15">
        <v>336</v>
      </c>
      <c r="AD12" s="14">
        <f t="shared" si="1"/>
        <v>2.5263392773898441</v>
      </c>
      <c r="AE12" s="10" t="s">
        <v>361</v>
      </c>
      <c r="AF12" s="9" t="s">
        <v>362</v>
      </c>
      <c r="AG12" s="18">
        <v>39.777825</v>
      </c>
      <c r="AH12" s="7">
        <f t="shared" si="2"/>
        <v>1</v>
      </c>
      <c r="AI12" s="7">
        <f t="shared" si="3"/>
        <v>1</v>
      </c>
      <c r="AJ12" s="7">
        <f t="shared" si="4"/>
        <v>0</v>
      </c>
      <c r="AK12" s="7">
        <f t="shared" si="5"/>
        <v>0</v>
      </c>
      <c r="AL12" s="7" t="s">
        <v>4157</v>
      </c>
      <c r="AM12" s="18">
        <f t="shared" si="6"/>
        <v>1.5996410327773016</v>
      </c>
      <c r="AN12" s="18">
        <v>39.777825</v>
      </c>
      <c r="AO12" s="18">
        <v>-84.689750000000004</v>
      </c>
      <c r="AP12" s="9" t="s">
        <v>363</v>
      </c>
      <c r="AQ12" s="9" t="s">
        <v>355</v>
      </c>
      <c r="AR12" s="15">
        <v>1982</v>
      </c>
      <c r="AS12" s="19" t="s">
        <v>395</v>
      </c>
      <c r="AT12" s="20" t="s">
        <v>396</v>
      </c>
      <c r="AU12" s="34">
        <v>1195927</v>
      </c>
      <c r="AV12" s="35">
        <f t="shared" si="7"/>
        <v>6.0777046709025946</v>
      </c>
      <c r="AW12" s="36" t="s">
        <v>366</v>
      </c>
      <c r="AX12" s="34" t="s">
        <v>355</v>
      </c>
      <c r="AY12" s="34" t="s">
        <v>355</v>
      </c>
      <c r="AZ12" s="15">
        <v>78</v>
      </c>
      <c r="BA12" s="14">
        <f t="shared" si="8"/>
        <v>1.8920946026904804</v>
      </c>
      <c r="BB12" s="36" t="s">
        <v>367</v>
      </c>
      <c r="BC12" s="20">
        <v>3.4313725490200848E-3</v>
      </c>
      <c r="BD12" s="9">
        <v>29.200000000000003</v>
      </c>
      <c r="BE12" s="9" t="s">
        <v>368</v>
      </c>
      <c r="BF12" s="9">
        <v>0</v>
      </c>
    </row>
    <row r="13" spans="1:58">
      <c r="A13" s="9">
        <v>1022</v>
      </c>
      <c r="B13" s="20" t="s">
        <v>76</v>
      </c>
      <c r="C13" s="20" t="s">
        <v>369</v>
      </c>
      <c r="D13" s="20" t="s">
        <v>370</v>
      </c>
      <c r="E13" s="20" t="s">
        <v>397</v>
      </c>
      <c r="F13" s="20" t="s">
        <v>369</v>
      </c>
      <c r="G13" s="20" t="s">
        <v>370</v>
      </c>
      <c r="H13" s="20" t="s">
        <v>397</v>
      </c>
      <c r="I13" s="20" t="s">
        <v>369</v>
      </c>
      <c r="J13" s="20" t="s">
        <v>398</v>
      </c>
      <c r="K13" s="20" t="s">
        <v>397</v>
      </c>
      <c r="L13" s="9" t="s">
        <v>352</v>
      </c>
      <c r="M13" s="9">
        <v>3</v>
      </c>
      <c r="N13" s="9" t="s">
        <v>353</v>
      </c>
      <c r="O13" s="9" t="s">
        <v>354</v>
      </c>
      <c r="P13" s="12">
        <v>33.379550000000002</v>
      </c>
      <c r="Q13" s="9" t="s">
        <v>355</v>
      </c>
      <c r="R13" s="9" t="s">
        <v>356</v>
      </c>
      <c r="S13" s="9">
        <v>1</v>
      </c>
      <c r="T13" s="9">
        <v>1</v>
      </c>
      <c r="U13" s="14">
        <f t="shared" si="0"/>
        <v>0.3010299956639812</v>
      </c>
      <c r="V13" s="15">
        <v>23</v>
      </c>
      <c r="W13" s="12">
        <v>7.3202463000000009</v>
      </c>
      <c r="X13" s="9" t="s">
        <v>355</v>
      </c>
      <c r="Y13" s="13" t="s">
        <v>358</v>
      </c>
      <c r="Z13" s="9" t="s">
        <v>359</v>
      </c>
      <c r="AA13" s="10" t="s">
        <v>372</v>
      </c>
      <c r="AB13" s="9" t="s">
        <v>355</v>
      </c>
      <c r="AC13" s="15">
        <v>422</v>
      </c>
      <c r="AD13" s="14">
        <f t="shared" si="1"/>
        <v>2.6253124509616739</v>
      </c>
      <c r="AE13" s="10" t="s">
        <v>373</v>
      </c>
      <c r="AF13" s="9" t="s">
        <v>362</v>
      </c>
      <c r="AG13" s="18">
        <v>42</v>
      </c>
      <c r="AH13" s="7">
        <f t="shared" si="2"/>
        <v>1</v>
      </c>
      <c r="AI13" s="7">
        <f t="shared" si="3"/>
        <v>1</v>
      </c>
      <c r="AJ13" s="7">
        <f t="shared" si="4"/>
        <v>0</v>
      </c>
      <c r="AK13" s="7">
        <f t="shared" si="5"/>
        <v>0</v>
      </c>
      <c r="AL13" s="7" t="s">
        <v>4157</v>
      </c>
      <c r="AM13" s="18">
        <f t="shared" si="6"/>
        <v>1.6232492903979006</v>
      </c>
      <c r="AN13" s="18">
        <v>42</v>
      </c>
      <c r="AO13" s="18">
        <v>-73.134960000000007</v>
      </c>
      <c r="AP13" s="9" t="s">
        <v>363</v>
      </c>
      <c r="AQ13" s="9" t="s">
        <v>355</v>
      </c>
      <c r="AR13" s="9">
        <v>1962</v>
      </c>
      <c r="AS13" s="10" t="s">
        <v>374</v>
      </c>
      <c r="AT13" s="20" t="s">
        <v>375</v>
      </c>
      <c r="AU13" s="42">
        <v>6914656</v>
      </c>
      <c r="AV13" s="35">
        <f t="shared" si="7"/>
        <v>6.8397705790920504</v>
      </c>
      <c r="AW13" s="37" t="s">
        <v>338</v>
      </c>
      <c r="AX13" s="34" t="s">
        <v>355</v>
      </c>
      <c r="AY13" s="40" t="s">
        <v>355</v>
      </c>
      <c r="AZ13" s="15">
        <v>146</v>
      </c>
      <c r="BA13" s="14">
        <f t="shared" si="8"/>
        <v>2.1643528557844371</v>
      </c>
      <c r="BB13" s="37" t="s">
        <v>388</v>
      </c>
      <c r="BC13" s="20">
        <v>2.6780712284914233E-2</v>
      </c>
      <c r="BD13" s="9">
        <v>25.700000000000003</v>
      </c>
      <c r="BE13" s="9" t="s">
        <v>368</v>
      </c>
      <c r="BF13" s="9">
        <v>0</v>
      </c>
    </row>
    <row r="14" spans="1:58">
      <c r="A14" s="9">
        <v>1009</v>
      </c>
      <c r="B14" s="20" t="s">
        <v>76</v>
      </c>
      <c r="C14" s="20" t="s">
        <v>369</v>
      </c>
      <c r="D14" s="20" t="s">
        <v>370</v>
      </c>
      <c r="E14" s="20" t="s">
        <v>399</v>
      </c>
      <c r="F14" s="20" t="s">
        <v>369</v>
      </c>
      <c r="G14" s="20" t="s">
        <v>370</v>
      </c>
      <c r="H14" s="20" t="s">
        <v>399</v>
      </c>
      <c r="I14" s="20" t="s">
        <v>369</v>
      </c>
      <c r="J14" s="20" t="s">
        <v>398</v>
      </c>
      <c r="K14" s="20" t="s">
        <v>399</v>
      </c>
      <c r="L14" s="9" t="s">
        <v>352</v>
      </c>
      <c r="M14" s="9">
        <v>3</v>
      </c>
      <c r="N14" s="9" t="s">
        <v>353</v>
      </c>
      <c r="O14" s="9" t="s">
        <v>354</v>
      </c>
      <c r="P14" s="12">
        <v>30.432269999999999</v>
      </c>
      <c r="Q14" s="9" t="s">
        <v>355</v>
      </c>
      <c r="R14" s="9" t="s">
        <v>356</v>
      </c>
      <c r="S14" s="9">
        <v>1</v>
      </c>
      <c r="T14" s="9">
        <v>1</v>
      </c>
      <c r="U14" s="14">
        <f t="shared" si="0"/>
        <v>0.3010299956639812</v>
      </c>
      <c r="V14" s="15">
        <v>23</v>
      </c>
      <c r="W14" s="12">
        <v>4.3729662999999981</v>
      </c>
      <c r="X14" s="9" t="s">
        <v>355</v>
      </c>
      <c r="Y14" s="13" t="s">
        <v>358</v>
      </c>
      <c r="Z14" s="9" t="s">
        <v>359</v>
      </c>
      <c r="AA14" s="10" t="s">
        <v>372</v>
      </c>
      <c r="AB14" s="9" t="s">
        <v>355</v>
      </c>
      <c r="AC14" s="15">
        <v>422</v>
      </c>
      <c r="AD14" s="14">
        <f t="shared" si="1"/>
        <v>2.6253124509616739</v>
      </c>
      <c r="AE14" s="10" t="s">
        <v>373</v>
      </c>
      <c r="AF14" s="9" t="s">
        <v>362</v>
      </c>
      <c r="AG14" s="18">
        <v>42</v>
      </c>
      <c r="AH14" s="7">
        <f t="shared" si="2"/>
        <v>1</v>
      </c>
      <c r="AI14" s="7">
        <f t="shared" si="3"/>
        <v>1</v>
      </c>
      <c r="AJ14" s="7">
        <f t="shared" si="4"/>
        <v>0</v>
      </c>
      <c r="AK14" s="7">
        <f t="shared" si="5"/>
        <v>0</v>
      </c>
      <c r="AL14" s="7" t="s">
        <v>4157</v>
      </c>
      <c r="AM14" s="18">
        <f t="shared" si="6"/>
        <v>1.6232492903979006</v>
      </c>
      <c r="AN14" s="18">
        <v>42</v>
      </c>
      <c r="AO14" s="18">
        <v>-73.134960000000007</v>
      </c>
      <c r="AP14" s="9" t="s">
        <v>363</v>
      </c>
      <c r="AQ14" s="9" t="s">
        <v>355</v>
      </c>
      <c r="AR14" s="9">
        <v>1962</v>
      </c>
      <c r="AS14" s="10" t="s">
        <v>374</v>
      </c>
      <c r="AT14" s="20" t="s">
        <v>375</v>
      </c>
      <c r="AU14" s="39">
        <v>2477116</v>
      </c>
      <c r="AV14" s="35">
        <f t="shared" si="7"/>
        <v>6.3939463444866496</v>
      </c>
      <c r="AW14" s="37" t="s">
        <v>366</v>
      </c>
      <c r="AX14" s="34" t="s">
        <v>355</v>
      </c>
      <c r="AY14" s="40" t="s">
        <v>355</v>
      </c>
      <c r="AZ14" s="15">
        <v>55</v>
      </c>
      <c r="BA14" s="14">
        <f t="shared" si="8"/>
        <v>1.7403626894942439</v>
      </c>
      <c r="BB14" s="37" t="s">
        <v>388</v>
      </c>
      <c r="BC14" s="20">
        <v>2.6780712284914233E-2</v>
      </c>
      <c r="BD14" s="9">
        <v>25.700000000000003</v>
      </c>
      <c r="BE14" s="9" t="s">
        <v>368</v>
      </c>
      <c r="BF14" s="9">
        <v>0</v>
      </c>
    </row>
    <row r="15" spans="1:58">
      <c r="A15" s="9">
        <v>991</v>
      </c>
      <c r="B15" s="20" t="s">
        <v>76</v>
      </c>
      <c r="C15" s="20" t="s">
        <v>369</v>
      </c>
      <c r="D15" s="20" t="s">
        <v>370</v>
      </c>
      <c r="E15" s="20" t="s">
        <v>400</v>
      </c>
      <c r="F15" s="20" t="s">
        <v>369</v>
      </c>
      <c r="G15" s="20" t="s">
        <v>370</v>
      </c>
      <c r="H15" s="20" t="s">
        <v>400</v>
      </c>
      <c r="I15" s="20" t="s">
        <v>369</v>
      </c>
      <c r="J15" s="20" t="s">
        <v>398</v>
      </c>
      <c r="K15" s="20" t="s">
        <v>400</v>
      </c>
      <c r="L15" s="9" t="s">
        <v>352</v>
      </c>
      <c r="M15" s="9">
        <v>3</v>
      </c>
      <c r="N15" s="9" t="s">
        <v>353</v>
      </c>
      <c r="O15" s="9" t="s">
        <v>354</v>
      </c>
      <c r="P15" s="12">
        <v>31.258649999999999</v>
      </c>
      <c r="Q15" s="9" t="s">
        <v>355</v>
      </c>
      <c r="R15" s="9" t="s">
        <v>356</v>
      </c>
      <c r="S15" s="9">
        <v>1</v>
      </c>
      <c r="T15" s="9">
        <v>1</v>
      </c>
      <c r="U15" s="14">
        <f t="shared" si="0"/>
        <v>0.3010299956639812</v>
      </c>
      <c r="V15" s="15">
        <v>5</v>
      </c>
      <c r="W15" s="12">
        <v>5.9862138999999956</v>
      </c>
      <c r="X15" s="9" t="s">
        <v>355</v>
      </c>
      <c r="Y15" s="13" t="s">
        <v>401</v>
      </c>
      <c r="Z15" s="9" t="s">
        <v>359</v>
      </c>
      <c r="AA15" s="10" t="s">
        <v>372</v>
      </c>
      <c r="AB15" s="9" t="s">
        <v>355</v>
      </c>
      <c r="AC15" s="43">
        <v>349</v>
      </c>
      <c r="AD15" s="14">
        <f t="shared" si="1"/>
        <v>2.5428254269591797</v>
      </c>
      <c r="AE15" s="10" t="s">
        <v>402</v>
      </c>
      <c r="AF15" s="44" t="s">
        <v>362</v>
      </c>
      <c r="AG15" s="18">
        <v>43.680533499999996</v>
      </c>
      <c r="AH15" s="7">
        <f t="shared" si="2"/>
        <v>1</v>
      </c>
      <c r="AI15" s="7">
        <f t="shared" si="3"/>
        <v>1</v>
      </c>
      <c r="AJ15" s="7">
        <f t="shared" si="4"/>
        <v>0</v>
      </c>
      <c r="AK15" s="7">
        <f t="shared" si="5"/>
        <v>0</v>
      </c>
      <c r="AL15" s="7" t="s">
        <v>4157</v>
      </c>
      <c r="AM15" s="18">
        <f t="shared" si="6"/>
        <v>1.6402879340623209</v>
      </c>
      <c r="AN15" s="45">
        <v>43.680533499999996</v>
      </c>
      <c r="AO15" s="45">
        <v>-90.082397</v>
      </c>
      <c r="AP15" s="9" t="s">
        <v>402</v>
      </c>
      <c r="AQ15" s="9" t="s">
        <v>403</v>
      </c>
      <c r="AR15" s="9">
        <v>1962</v>
      </c>
      <c r="AS15" s="10" t="s">
        <v>374</v>
      </c>
      <c r="AT15" s="20" t="s">
        <v>375</v>
      </c>
      <c r="AU15" s="39">
        <v>6011807</v>
      </c>
      <c r="AV15" s="35">
        <f t="shared" si="7"/>
        <v>6.77900502976909</v>
      </c>
      <c r="AW15" s="37" t="s">
        <v>366</v>
      </c>
      <c r="AX15" s="40">
        <v>100</v>
      </c>
      <c r="AY15" s="40">
        <v>600</v>
      </c>
      <c r="AZ15" s="15">
        <v>113</v>
      </c>
      <c r="BA15" s="14">
        <f t="shared" si="8"/>
        <v>2.0530784434834195</v>
      </c>
      <c r="BB15" s="37" t="s">
        <v>367</v>
      </c>
      <c r="BC15" s="20">
        <v>1.9469787915165869E-2</v>
      </c>
      <c r="BD15" s="9">
        <v>28.1</v>
      </c>
      <c r="BE15" s="9" t="s">
        <v>368</v>
      </c>
      <c r="BF15" s="9">
        <v>0</v>
      </c>
    </row>
    <row r="16" spans="1:58">
      <c r="A16" s="9">
        <v>993</v>
      </c>
      <c r="B16" s="20" t="s">
        <v>76</v>
      </c>
      <c r="C16" s="20" t="s">
        <v>369</v>
      </c>
      <c r="D16" s="20" t="s">
        <v>370</v>
      </c>
      <c r="E16" s="20" t="s">
        <v>400</v>
      </c>
      <c r="F16" s="20" t="s">
        <v>369</v>
      </c>
      <c r="G16" s="20" t="s">
        <v>370</v>
      </c>
      <c r="H16" s="20" t="s">
        <v>400</v>
      </c>
      <c r="I16" s="20" t="s">
        <v>369</v>
      </c>
      <c r="J16" s="20" t="s">
        <v>398</v>
      </c>
      <c r="K16" s="20" t="s">
        <v>400</v>
      </c>
      <c r="L16" s="9" t="s">
        <v>352</v>
      </c>
      <c r="M16" s="9">
        <v>3</v>
      </c>
      <c r="N16" s="9" t="s">
        <v>353</v>
      </c>
      <c r="O16" s="9" t="s">
        <v>354</v>
      </c>
      <c r="P16" s="12">
        <v>31.761119999999998</v>
      </c>
      <c r="Q16" s="9" t="s">
        <v>355</v>
      </c>
      <c r="R16" s="9" t="s">
        <v>356</v>
      </c>
      <c r="S16" s="9">
        <v>1</v>
      </c>
      <c r="T16" s="9">
        <v>1</v>
      </c>
      <c r="U16" s="14">
        <f t="shared" si="0"/>
        <v>0.3010299956639812</v>
      </c>
      <c r="V16" s="15">
        <v>7</v>
      </c>
      <c r="W16" s="12">
        <v>6.1762458999999978</v>
      </c>
      <c r="X16" s="9" t="s">
        <v>355</v>
      </c>
      <c r="Y16" s="13" t="s">
        <v>401</v>
      </c>
      <c r="Z16" s="9" t="s">
        <v>359</v>
      </c>
      <c r="AA16" s="10" t="s">
        <v>372</v>
      </c>
      <c r="AB16" s="9" t="s">
        <v>355</v>
      </c>
      <c r="AC16" s="43">
        <v>349</v>
      </c>
      <c r="AD16" s="14">
        <f t="shared" si="1"/>
        <v>2.5428254269591797</v>
      </c>
      <c r="AE16" s="10" t="s">
        <v>402</v>
      </c>
      <c r="AF16" s="44" t="s">
        <v>362</v>
      </c>
      <c r="AG16" s="18">
        <v>43.680533500000003</v>
      </c>
      <c r="AH16" s="7">
        <f t="shared" si="2"/>
        <v>1</v>
      </c>
      <c r="AI16" s="7">
        <f t="shared" si="3"/>
        <v>1</v>
      </c>
      <c r="AJ16" s="7">
        <f t="shared" si="4"/>
        <v>0</v>
      </c>
      <c r="AK16" s="7">
        <f t="shared" si="5"/>
        <v>0</v>
      </c>
      <c r="AL16" s="7" t="s">
        <v>4157</v>
      </c>
      <c r="AM16" s="18">
        <f t="shared" si="6"/>
        <v>1.6402879340623209</v>
      </c>
      <c r="AN16" s="45">
        <v>43.680533500000003</v>
      </c>
      <c r="AO16" s="45">
        <v>-90.082397</v>
      </c>
      <c r="AP16" s="9" t="s">
        <v>402</v>
      </c>
      <c r="AQ16" s="9" t="s">
        <v>403</v>
      </c>
      <c r="AR16" s="9">
        <v>1962</v>
      </c>
      <c r="AS16" s="10" t="s">
        <v>374</v>
      </c>
      <c r="AT16" s="20" t="s">
        <v>375</v>
      </c>
      <c r="AU16" s="39">
        <v>6011807</v>
      </c>
      <c r="AV16" s="35">
        <f t="shared" si="7"/>
        <v>6.77900502976909</v>
      </c>
      <c r="AW16" s="37" t="s">
        <v>366</v>
      </c>
      <c r="AX16" s="40">
        <v>100</v>
      </c>
      <c r="AY16" s="40">
        <v>600</v>
      </c>
      <c r="AZ16" s="15">
        <v>113</v>
      </c>
      <c r="BA16" s="14">
        <f t="shared" si="8"/>
        <v>2.0530784434834195</v>
      </c>
      <c r="BB16" s="37" t="s">
        <v>367</v>
      </c>
      <c r="BC16" s="20">
        <v>1.9469787915165869E-2</v>
      </c>
      <c r="BD16" s="9">
        <v>28.1</v>
      </c>
      <c r="BE16" s="9" t="s">
        <v>368</v>
      </c>
      <c r="BF16" s="9">
        <v>0</v>
      </c>
    </row>
    <row r="17" spans="1:58">
      <c r="A17" s="9">
        <v>995</v>
      </c>
      <c r="B17" s="20" t="s">
        <v>76</v>
      </c>
      <c r="C17" s="20" t="s">
        <v>369</v>
      </c>
      <c r="D17" s="20" t="s">
        <v>370</v>
      </c>
      <c r="E17" s="20" t="s">
        <v>400</v>
      </c>
      <c r="F17" s="20" t="s">
        <v>369</v>
      </c>
      <c r="G17" s="20" t="s">
        <v>370</v>
      </c>
      <c r="H17" s="20" t="s">
        <v>400</v>
      </c>
      <c r="I17" s="20" t="s">
        <v>369</v>
      </c>
      <c r="J17" s="20" t="s">
        <v>398</v>
      </c>
      <c r="K17" s="20" t="s">
        <v>400</v>
      </c>
      <c r="L17" s="9" t="s">
        <v>352</v>
      </c>
      <c r="M17" s="9">
        <v>3</v>
      </c>
      <c r="N17" s="9" t="s">
        <v>353</v>
      </c>
      <c r="O17" s="9" t="s">
        <v>354</v>
      </c>
      <c r="P17" s="12">
        <v>33.267490000000002</v>
      </c>
      <c r="Q17" s="9" t="s">
        <v>355</v>
      </c>
      <c r="R17" s="9" t="s">
        <v>356</v>
      </c>
      <c r="S17" s="9">
        <v>1</v>
      </c>
      <c r="T17" s="9">
        <v>1</v>
      </c>
      <c r="U17" s="14">
        <f t="shared" si="0"/>
        <v>0.3010299956639812</v>
      </c>
      <c r="V17" s="15">
        <v>12</v>
      </c>
      <c r="W17" s="12">
        <v>6.9015209000000013</v>
      </c>
      <c r="X17" s="9" t="s">
        <v>355</v>
      </c>
      <c r="Y17" s="13" t="s">
        <v>401</v>
      </c>
      <c r="Z17" s="9" t="s">
        <v>359</v>
      </c>
      <c r="AA17" s="10" t="s">
        <v>372</v>
      </c>
      <c r="AB17" s="9" t="s">
        <v>355</v>
      </c>
      <c r="AC17" s="43">
        <v>349</v>
      </c>
      <c r="AD17" s="14">
        <f t="shared" si="1"/>
        <v>2.5428254269591797</v>
      </c>
      <c r="AE17" s="10" t="s">
        <v>402</v>
      </c>
      <c r="AF17" s="44" t="s">
        <v>362</v>
      </c>
      <c r="AG17" s="18">
        <v>43.680533500000003</v>
      </c>
      <c r="AH17" s="7">
        <f t="shared" si="2"/>
        <v>1</v>
      </c>
      <c r="AI17" s="7">
        <f t="shared" si="3"/>
        <v>1</v>
      </c>
      <c r="AJ17" s="7">
        <f t="shared" si="4"/>
        <v>0</v>
      </c>
      <c r="AK17" s="7">
        <f t="shared" si="5"/>
        <v>0</v>
      </c>
      <c r="AL17" s="7" t="s">
        <v>4157</v>
      </c>
      <c r="AM17" s="18">
        <f t="shared" si="6"/>
        <v>1.6402879340623209</v>
      </c>
      <c r="AN17" s="45">
        <v>43.680533500000003</v>
      </c>
      <c r="AO17" s="45">
        <v>-90.082397</v>
      </c>
      <c r="AP17" s="9" t="s">
        <v>402</v>
      </c>
      <c r="AQ17" s="9" t="s">
        <v>403</v>
      </c>
      <c r="AR17" s="9">
        <v>1962</v>
      </c>
      <c r="AS17" s="10" t="s">
        <v>374</v>
      </c>
      <c r="AT17" s="20" t="s">
        <v>375</v>
      </c>
      <c r="AU17" s="39">
        <v>6011807</v>
      </c>
      <c r="AV17" s="35">
        <f t="shared" si="7"/>
        <v>6.77900502976909</v>
      </c>
      <c r="AW17" s="37" t="s">
        <v>366</v>
      </c>
      <c r="AX17" s="40">
        <v>100</v>
      </c>
      <c r="AY17" s="40">
        <v>600</v>
      </c>
      <c r="AZ17" s="15">
        <v>113</v>
      </c>
      <c r="BA17" s="14">
        <f t="shared" si="8"/>
        <v>2.0530784434834195</v>
      </c>
      <c r="BB17" s="37" t="s">
        <v>367</v>
      </c>
      <c r="BC17" s="20">
        <v>1.9469787915165869E-2</v>
      </c>
      <c r="BD17" s="9">
        <v>28.1</v>
      </c>
      <c r="BE17" s="9" t="s">
        <v>368</v>
      </c>
      <c r="BF17" s="9">
        <v>0</v>
      </c>
    </row>
    <row r="18" spans="1:58">
      <c r="A18" s="9">
        <v>998</v>
      </c>
      <c r="B18" s="20" t="s">
        <v>76</v>
      </c>
      <c r="C18" s="20" t="s">
        <v>369</v>
      </c>
      <c r="D18" s="20" t="s">
        <v>370</v>
      </c>
      <c r="E18" s="20" t="s">
        <v>400</v>
      </c>
      <c r="F18" s="20" t="s">
        <v>369</v>
      </c>
      <c r="G18" s="20" t="s">
        <v>370</v>
      </c>
      <c r="H18" s="20" t="s">
        <v>400</v>
      </c>
      <c r="I18" s="20" t="s">
        <v>369</v>
      </c>
      <c r="J18" s="20" t="s">
        <v>398</v>
      </c>
      <c r="K18" s="20" t="s">
        <v>400</v>
      </c>
      <c r="L18" s="9" t="s">
        <v>352</v>
      </c>
      <c r="M18" s="9">
        <v>3</v>
      </c>
      <c r="N18" s="9" t="s">
        <v>353</v>
      </c>
      <c r="O18" s="9" t="s">
        <v>354</v>
      </c>
      <c r="P18" s="12">
        <v>33.967889999999997</v>
      </c>
      <c r="Q18" s="9" t="s">
        <v>355</v>
      </c>
      <c r="R18" s="9" t="s">
        <v>356</v>
      </c>
      <c r="S18" s="9">
        <v>1</v>
      </c>
      <c r="T18" s="9">
        <v>1</v>
      </c>
      <c r="U18" s="14">
        <f t="shared" si="0"/>
        <v>0.3010299956639812</v>
      </c>
      <c r="V18" s="15">
        <v>23</v>
      </c>
      <c r="W18" s="12">
        <v>5.8835118999999949</v>
      </c>
      <c r="X18" s="9" t="s">
        <v>355</v>
      </c>
      <c r="Y18" s="13" t="s">
        <v>401</v>
      </c>
      <c r="Z18" s="9" t="s">
        <v>359</v>
      </c>
      <c r="AA18" s="10" t="s">
        <v>372</v>
      </c>
      <c r="AB18" s="9" t="s">
        <v>355</v>
      </c>
      <c r="AC18" s="43">
        <v>349</v>
      </c>
      <c r="AD18" s="14">
        <f t="shared" si="1"/>
        <v>2.5428254269591797</v>
      </c>
      <c r="AE18" s="10" t="s">
        <v>402</v>
      </c>
      <c r="AF18" s="44" t="s">
        <v>362</v>
      </c>
      <c r="AG18" s="18">
        <v>43.680533500000003</v>
      </c>
      <c r="AH18" s="7">
        <f t="shared" si="2"/>
        <v>1</v>
      </c>
      <c r="AI18" s="7">
        <f t="shared" si="3"/>
        <v>1</v>
      </c>
      <c r="AJ18" s="7">
        <f t="shared" si="4"/>
        <v>0</v>
      </c>
      <c r="AK18" s="7">
        <f t="shared" si="5"/>
        <v>0</v>
      </c>
      <c r="AL18" s="7" t="s">
        <v>4157</v>
      </c>
      <c r="AM18" s="18">
        <f t="shared" si="6"/>
        <v>1.6402879340623209</v>
      </c>
      <c r="AN18" s="45">
        <v>43.680533500000003</v>
      </c>
      <c r="AO18" s="45">
        <v>-90.082397</v>
      </c>
      <c r="AP18" s="9" t="s">
        <v>402</v>
      </c>
      <c r="AQ18" s="9" t="s">
        <v>403</v>
      </c>
      <c r="AR18" s="9">
        <v>1962</v>
      </c>
      <c r="AS18" s="10" t="s">
        <v>374</v>
      </c>
      <c r="AT18" s="20" t="s">
        <v>375</v>
      </c>
      <c r="AU18" s="39">
        <v>6011807</v>
      </c>
      <c r="AV18" s="35">
        <f t="shared" si="7"/>
        <v>6.77900502976909</v>
      </c>
      <c r="AW18" s="37" t="s">
        <v>366</v>
      </c>
      <c r="AX18" s="40">
        <v>100</v>
      </c>
      <c r="AY18" s="40">
        <v>600</v>
      </c>
      <c r="AZ18" s="15">
        <v>113</v>
      </c>
      <c r="BA18" s="14">
        <f t="shared" si="8"/>
        <v>2.0530784434834195</v>
      </c>
      <c r="BB18" s="37" t="s">
        <v>367</v>
      </c>
      <c r="BC18" s="20">
        <v>1.9469787915165869E-2</v>
      </c>
      <c r="BD18" s="9">
        <v>28.1</v>
      </c>
      <c r="BE18" s="9" t="s">
        <v>368</v>
      </c>
      <c r="BF18" s="9">
        <v>0</v>
      </c>
    </row>
    <row r="19" spans="1:58">
      <c r="A19" s="9">
        <v>1018</v>
      </c>
      <c r="B19" s="20" t="s">
        <v>76</v>
      </c>
      <c r="C19" s="20" t="s">
        <v>369</v>
      </c>
      <c r="D19" s="20" t="s">
        <v>370</v>
      </c>
      <c r="E19" s="20" t="s">
        <v>400</v>
      </c>
      <c r="F19" s="20" t="s">
        <v>369</v>
      </c>
      <c r="G19" s="20" t="s">
        <v>370</v>
      </c>
      <c r="H19" s="20" t="s">
        <v>400</v>
      </c>
      <c r="I19" s="20" t="s">
        <v>369</v>
      </c>
      <c r="J19" s="20" t="s">
        <v>398</v>
      </c>
      <c r="K19" s="20" t="s">
        <v>400</v>
      </c>
      <c r="L19" s="9" t="s">
        <v>352</v>
      </c>
      <c r="M19" s="9">
        <v>3</v>
      </c>
      <c r="N19" s="9" t="s">
        <v>353</v>
      </c>
      <c r="O19" s="9" t="s">
        <v>354</v>
      </c>
      <c r="P19" s="12">
        <v>33.984900000000003</v>
      </c>
      <c r="Q19" s="9" t="s">
        <v>355</v>
      </c>
      <c r="R19" s="9" t="s">
        <v>356</v>
      </c>
      <c r="S19" s="9">
        <v>1</v>
      </c>
      <c r="T19" s="9">
        <v>1</v>
      </c>
      <c r="U19" s="14">
        <f t="shared" si="0"/>
        <v>0.3010299956639812</v>
      </c>
      <c r="V19" s="15">
        <v>23</v>
      </c>
      <c r="W19" s="12">
        <v>5.9005219000000011</v>
      </c>
      <c r="X19" s="9" t="s">
        <v>355</v>
      </c>
      <c r="Y19" s="13" t="s">
        <v>358</v>
      </c>
      <c r="Z19" s="9" t="s">
        <v>359</v>
      </c>
      <c r="AA19" s="10" t="s">
        <v>372</v>
      </c>
      <c r="AB19" s="9" t="s">
        <v>355</v>
      </c>
      <c r="AC19" s="43">
        <v>349</v>
      </c>
      <c r="AD19" s="14">
        <f t="shared" si="1"/>
        <v>2.5428254269591797</v>
      </c>
      <c r="AE19" s="10" t="s">
        <v>402</v>
      </c>
      <c r="AF19" s="44" t="s">
        <v>362</v>
      </c>
      <c r="AG19" s="18">
        <v>43.680533500000003</v>
      </c>
      <c r="AH19" s="7">
        <f t="shared" si="2"/>
        <v>1</v>
      </c>
      <c r="AI19" s="7">
        <f t="shared" si="3"/>
        <v>1</v>
      </c>
      <c r="AJ19" s="7">
        <f t="shared" si="4"/>
        <v>0</v>
      </c>
      <c r="AK19" s="7">
        <f t="shared" si="5"/>
        <v>0</v>
      </c>
      <c r="AL19" s="7" t="s">
        <v>4157</v>
      </c>
      <c r="AM19" s="18">
        <f t="shared" si="6"/>
        <v>1.6402879340623209</v>
      </c>
      <c r="AN19" s="45">
        <v>43.680533500000003</v>
      </c>
      <c r="AO19" s="45">
        <v>-90.082397</v>
      </c>
      <c r="AP19" s="9" t="s">
        <v>402</v>
      </c>
      <c r="AQ19" s="9" t="s">
        <v>403</v>
      </c>
      <c r="AR19" s="9">
        <v>1962</v>
      </c>
      <c r="AS19" s="10" t="s">
        <v>374</v>
      </c>
      <c r="AT19" s="20" t="s">
        <v>375</v>
      </c>
      <c r="AU19" s="39">
        <v>6011807</v>
      </c>
      <c r="AV19" s="35">
        <f t="shared" si="7"/>
        <v>6.77900502976909</v>
      </c>
      <c r="AW19" s="37" t="s">
        <v>366</v>
      </c>
      <c r="AX19" s="40">
        <v>100</v>
      </c>
      <c r="AY19" s="40">
        <v>600</v>
      </c>
      <c r="AZ19" s="15">
        <v>113</v>
      </c>
      <c r="BA19" s="14">
        <f t="shared" si="8"/>
        <v>2.0530784434834195</v>
      </c>
      <c r="BB19" s="37" t="s">
        <v>367</v>
      </c>
      <c r="BC19" s="20">
        <v>1.9469787915165869E-2</v>
      </c>
      <c r="BD19" s="9">
        <v>28.1</v>
      </c>
      <c r="BE19" s="9" t="s">
        <v>368</v>
      </c>
      <c r="BF19" s="9">
        <v>0</v>
      </c>
    </row>
    <row r="20" spans="1:58">
      <c r="A20" s="9">
        <v>1001</v>
      </c>
      <c r="B20" s="20" t="s">
        <v>76</v>
      </c>
      <c r="C20" s="20" t="s">
        <v>369</v>
      </c>
      <c r="D20" s="20" t="s">
        <v>370</v>
      </c>
      <c r="E20" s="20" t="s">
        <v>400</v>
      </c>
      <c r="F20" s="20" t="s">
        <v>369</v>
      </c>
      <c r="G20" s="20" t="s">
        <v>370</v>
      </c>
      <c r="H20" s="20" t="s">
        <v>400</v>
      </c>
      <c r="I20" s="20" t="s">
        <v>369</v>
      </c>
      <c r="J20" s="20" t="s">
        <v>398</v>
      </c>
      <c r="K20" s="20" t="s">
        <v>400</v>
      </c>
      <c r="L20" s="9" t="s">
        <v>352</v>
      </c>
      <c r="M20" s="9">
        <v>3</v>
      </c>
      <c r="N20" s="9" t="s">
        <v>353</v>
      </c>
      <c r="O20" s="9" t="s">
        <v>354</v>
      </c>
      <c r="P20" s="12">
        <v>34.998710000000003</v>
      </c>
      <c r="Q20" s="9" t="s">
        <v>355</v>
      </c>
      <c r="R20" s="9" t="s">
        <v>356</v>
      </c>
      <c r="S20" s="9">
        <v>1</v>
      </c>
      <c r="T20" s="9">
        <v>1</v>
      </c>
      <c r="U20" s="14">
        <f t="shared" si="0"/>
        <v>0.3010299956639812</v>
      </c>
      <c r="V20" s="15">
        <v>29</v>
      </c>
      <c r="W20" s="12">
        <v>5.9770178999999999</v>
      </c>
      <c r="X20" s="9" t="s">
        <v>355</v>
      </c>
      <c r="Y20" s="13" t="s">
        <v>401</v>
      </c>
      <c r="Z20" s="9" t="s">
        <v>359</v>
      </c>
      <c r="AA20" s="10" t="s">
        <v>372</v>
      </c>
      <c r="AB20" s="9" t="s">
        <v>355</v>
      </c>
      <c r="AC20" s="43">
        <v>349</v>
      </c>
      <c r="AD20" s="14">
        <f t="shared" si="1"/>
        <v>2.5428254269591797</v>
      </c>
      <c r="AE20" s="10" t="s">
        <v>402</v>
      </c>
      <c r="AF20" s="44" t="s">
        <v>362</v>
      </c>
      <c r="AG20" s="18">
        <v>43.680533500000003</v>
      </c>
      <c r="AH20" s="7">
        <f t="shared" si="2"/>
        <v>1</v>
      </c>
      <c r="AI20" s="7">
        <f t="shared" si="3"/>
        <v>1</v>
      </c>
      <c r="AJ20" s="7">
        <f t="shared" si="4"/>
        <v>0</v>
      </c>
      <c r="AK20" s="7">
        <f t="shared" si="5"/>
        <v>0</v>
      </c>
      <c r="AL20" s="7" t="s">
        <v>4157</v>
      </c>
      <c r="AM20" s="18">
        <f t="shared" si="6"/>
        <v>1.6402879340623209</v>
      </c>
      <c r="AN20" s="45">
        <v>43.680533500000003</v>
      </c>
      <c r="AO20" s="45">
        <v>-90.082397</v>
      </c>
      <c r="AP20" s="9" t="s">
        <v>402</v>
      </c>
      <c r="AQ20" s="9" t="s">
        <v>403</v>
      </c>
      <c r="AR20" s="9">
        <v>1962</v>
      </c>
      <c r="AS20" s="10" t="s">
        <v>374</v>
      </c>
      <c r="AT20" s="20" t="s">
        <v>375</v>
      </c>
      <c r="AU20" s="39">
        <v>6011807</v>
      </c>
      <c r="AV20" s="35">
        <f t="shared" si="7"/>
        <v>6.77900502976909</v>
      </c>
      <c r="AW20" s="37" t="s">
        <v>366</v>
      </c>
      <c r="AX20" s="40">
        <v>100</v>
      </c>
      <c r="AY20" s="40">
        <v>600</v>
      </c>
      <c r="AZ20" s="15">
        <v>113</v>
      </c>
      <c r="BA20" s="14">
        <f t="shared" si="8"/>
        <v>2.0530784434834195</v>
      </c>
      <c r="BB20" s="37" t="s">
        <v>367</v>
      </c>
      <c r="BC20" s="20">
        <v>1.9469787915165869E-2</v>
      </c>
      <c r="BD20" s="9">
        <v>28.1</v>
      </c>
      <c r="BE20" s="9" t="s">
        <v>368</v>
      </c>
      <c r="BF20" s="9">
        <v>0</v>
      </c>
    </row>
    <row r="21" spans="1:58">
      <c r="A21" s="9">
        <v>1013</v>
      </c>
      <c r="B21" s="20" t="s">
        <v>76</v>
      </c>
      <c r="C21" s="20" t="s">
        <v>369</v>
      </c>
      <c r="D21" s="20" t="s">
        <v>370</v>
      </c>
      <c r="E21" s="20" t="s">
        <v>371</v>
      </c>
      <c r="F21" s="20" t="s">
        <v>369</v>
      </c>
      <c r="G21" s="20" t="s">
        <v>370</v>
      </c>
      <c r="H21" s="20" t="s">
        <v>371</v>
      </c>
      <c r="I21" s="20" t="s">
        <v>369</v>
      </c>
      <c r="J21" s="20" t="s">
        <v>370</v>
      </c>
      <c r="K21" s="20" t="s">
        <v>371</v>
      </c>
      <c r="L21" s="9" t="s">
        <v>352</v>
      </c>
      <c r="M21" s="9">
        <v>3</v>
      </c>
      <c r="N21" s="9" t="s">
        <v>353</v>
      </c>
      <c r="O21" s="9" t="s">
        <v>354</v>
      </c>
      <c r="P21" s="12">
        <v>31.799720000000001</v>
      </c>
      <c r="Q21" s="9" t="s">
        <v>355</v>
      </c>
      <c r="R21" s="9" t="s">
        <v>356</v>
      </c>
      <c r="S21" s="9">
        <v>1</v>
      </c>
      <c r="T21" s="9">
        <v>1</v>
      </c>
      <c r="U21" s="14">
        <f t="shared" si="0"/>
        <v>0.3010299956639812</v>
      </c>
      <c r="V21" s="15">
        <v>23</v>
      </c>
      <c r="W21" s="12">
        <v>5.7404162999999997</v>
      </c>
      <c r="X21" s="9" t="s">
        <v>355</v>
      </c>
      <c r="Y21" s="13" t="s">
        <v>358</v>
      </c>
      <c r="Z21" s="9" t="s">
        <v>359</v>
      </c>
      <c r="AA21" s="10" t="s">
        <v>372</v>
      </c>
      <c r="AB21" s="9" t="s">
        <v>355</v>
      </c>
      <c r="AC21" s="15">
        <v>422</v>
      </c>
      <c r="AD21" s="14">
        <f t="shared" si="1"/>
        <v>2.6253124509616739</v>
      </c>
      <c r="AE21" s="10" t="s">
        <v>373</v>
      </c>
      <c r="AF21" s="9" t="s">
        <v>362</v>
      </c>
      <c r="AG21" s="18">
        <v>42</v>
      </c>
      <c r="AH21" s="7">
        <f t="shared" si="2"/>
        <v>1</v>
      </c>
      <c r="AI21" s="7">
        <f t="shared" si="3"/>
        <v>1</v>
      </c>
      <c r="AJ21" s="7">
        <f t="shared" si="4"/>
        <v>0</v>
      </c>
      <c r="AK21" s="7">
        <f t="shared" si="5"/>
        <v>0</v>
      </c>
      <c r="AL21" s="7" t="s">
        <v>4157</v>
      </c>
      <c r="AM21" s="18">
        <f t="shared" si="6"/>
        <v>1.6232492903979006</v>
      </c>
      <c r="AN21" s="18">
        <v>42</v>
      </c>
      <c r="AO21" s="18">
        <v>-73.134960000000007</v>
      </c>
      <c r="AP21" s="9" t="s">
        <v>363</v>
      </c>
      <c r="AQ21" s="9" t="s">
        <v>355</v>
      </c>
      <c r="AR21" s="9">
        <v>1962</v>
      </c>
      <c r="AS21" s="10" t="s">
        <v>374</v>
      </c>
      <c r="AT21" s="20" t="s">
        <v>375</v>
      </c>
      <c r="AU21" s="39">
        <v>3826484</v>
      </c>
      <c r="AV21" s="35">
        <f t="shared" si="7"/>
        <v>6.5827999017171539</v>
      </c>
      <c r="AW21" s="37" t="s">
        <v>338</v>
      </c>
      <c r="AX21" s="34" t="s">
        <v>355</v>
      </c>
      <c r="AY21" s="40" t="s">
        <v>355</v>
      </c>
      <c r="AZ21" s="15">
        <v>87</v>
      </c>
      <c r="BA21" s="14">
        <f t="shared" si="8"/>
        <v>1.9395192526186185</v>
      </c>
      <c r="BB21" s="41" t="s">
        <v>343</v>
      </c>
      <c r="BC21" s="20">
        <v>2.6780712284914233E-2</v>
      </c>
      <c r="BD21" s="9">
        <v>25.700000000000003</v>
      </c>
      <c r="BE21" s="9" t="s">
        <v>368</v>
      </c>
      <c r="BF21" s="9">
        <v>0</v>
      </c>
    </row>
    <row r="22" spans="1:58">
      <c r="A22" s="9">
        <v>1033</v>
      </c>
      <c r="B22" s="20" t="s">
        <v>76</v>
      </c>
      <c r="C22" s="20" t="s">
        <v>389</v>
      </c>
      <c r="D22" s="20" t="s">
        <v>390</v>
      </c>
      <c r="E22" s="20" t="s">
        <v>404</v>
      </c>
      <c r="F22" s="20" t="s">
        <v>389</v>
      </c>
      <c r="G22" s="20" t="s">
        <v>390</v>
      </c>
      <c r="H22" s="20" t="s">
        <v>404</v>
      </c>
      <c r="I22" s="20" t="s">
        <v>389</v>
      </c>
      <c r="J22" s="20" t="s">
        <v>405</v>
      </c>
      <c r="K22" s="20" t="s">
        <v>406</v>
      </c>
      <c r="L22" s="9" t="s">
        <v>352</v>
      </c>
      <c r="M22" s="9">
        <v>3</v>
      </c>
      <c r="N22" s="9" t="s">
        <v>353</v>
      </c>
      <c r="O22" s="9" t="s">
        <v>354</v>
      </c>
      <c r="P22" s="12">
        <v>40.004249999999999</v>
      </c>
      <c r="Q22" s="9" t="s">
        <v>355</v>
      </c>
      <c r="R22" s="9" t="s">
        <v>356</v>
      </c>
      <c r="S22" s="9">
        <v>1</v>
      </c>
      <c r="T22" s="9">
        <v>1</v>
      </c>
      <c r="U22" s="14">
        <f t="shared" si="0"/>
        <v>0.3010299956639812</v>
      </c>
      <c r="V22" s="15">
        <v>38</v>
      </c>
      <c r="W22" s="12">
        <v>6.7921095999999999</v>
      </c>
      <c r="X22" s="9" t="s">
        <v>355</v>
      </c>
      <c r="Y22" s="13" t="s">
        <v>401</v>
      </c>
      <c r="Z22" s="9" t="s">
        <v>359</v>
      </c>
      <c r="AA22" s="10" t="s">
        <v>372</v>
      </c>
      <c r="AB22" s="9" t="s">
        <v>355</v>
      </c>
      <c r="AC22" s="15">
        <v>57</v>
      </c>
      <c r="AD22" s="14">
        <f t="shared" si="1"/>
        <v>1.7558748556724915</v>
      </c>
      <c r="AE22" s="10" t="s">
        <v>407</v>
      </c>
      <c r="AF22" s="9" t="s">
        <v>408</v>
      </c>
      <c r="AG22" s="18">
        <v>9.1521019999999993</v>
      </c>
      <c r="AH22" s="7">
        <f t="shared" si="2"/>
        <v>0</v>
      </c>
      <c r="AI22" s="7">
        <f t="shared" si="3"/>
        <v>0</v>
      </c>
      <c r="AJ22" s="7">
        <f t="shared" si="4"/>
        <v>0</v>
      </c>
      <c r="AK22" s="7">
        <f t="shared" si="5"/>
        <v>0</v>
      </c>
      <c r="AL22" s="7" t="s">
        <v>4160</v>
      </c>
      <c r="AM22" s="18">
        <f t="shared" si="6"/>
        <v>0.96152085167953272</v>
      </c>
      <c r="AN22" s="18">
        <v>9.1521019999999993</v>
      </c>
      <c r="AO22" s="18">
        <v>-79.84648</v>
      </c>
      <c r="AP22" s="9" t="s">
        <v>363</v>
      </c>
      <c r="AQ22" s="9" t="s">
        <v>355</v>
      </c>
      <c r="AR22" s="9">
        <v>1962</v>
      </c>
      <c r="AS22" s="10" t="s">
        <v>374</v>
      </c>
      <c r="AT22" s="20" t="s">
        <v>375</v>
      </c>
      <c r="AU22" s="39">
        <v>11320528</v>
      </c>
      <c r="AV22" s="35">
        <f t="shared" si="7"/>
        <v>7.0538666832249381</v>
      </c>
      <c r="AW22" s="37" t="s">
        <v>338</v>
      </c>
      <c r="AX22" s="40">
        <v>0</v>
      </c>
      <c r="AY22" s="40">
        <v>2200</v>
      </c>
      <c r="AZ22" s="15">
        <v>146</v>
      </c>
      <c r="BA22" s="14">
        <f t="shared" si="8"/>
        <v>2.1643528557844371</v>
      </c>
      <c r="BB22" s="37" t="s">
        <v>367</v>
      </c>
      <c r="BC22" s="20">
        <v>6.6782713085232533E-3</v>
      </c>
      <c r="BD22" s="9">
        <v>31.400000000000002</v>
      </c>
      <c r="BE22" s="9" t="s">
        <v>368</v>
      </c>
      <c r="BF22" s="9">
        <v>0</v>
      </c>
    </row>
    <row r="23" spans="1:58">
      <c r="A23" s="9">
        <v>862</v>
      </c>
      <c r="B23" s="10" t="s">
        <v>76</v>
      </c>
      <c r="C23" s="10" t="s">
        <v>389</v>
      </c>
      <c r="D23" s="20" t="s">
        <v>390</v>
      </c>
      <c r="E23" s="20" t="s">
        <v>404</v>
      </c>
      <c r="F23" s="10" t="s">
        <v>389</v>
      </c>
      <c r="G23" s="20" t="s">
        <v>390</v>
      </c>
      <c r="H23" s="20" t="s">
        <v>404</v>
      </c>
      <c r="I23" s="10" t="s">
        <v>389</v>
      </c>
      <c r="J23" s="20" t="s">
        <v>405</v>
      </c>
      <c r="K23" s="20" t="s">
        <v>406</v>
      </c>
      <c r="L23" s="9" t="s">
        <v>352</v>
      </c>
      <c r="M23" s="9">
        <v>7</v>
      </c>
      <c r="N23" s="9" t="s">
        <v>353</v>
      </c>
      <c r="O23" s="9" t="s">
        <v>354</v>
      </c>
      <c r="P23" s="12">
        <v>39.290320000000001</v>
      </c>
      <c r="Q23" s="12" t="s">
        <v>355</v>
      </c>
      <c r="R23" s="9" t="s">
        <v>356</v>
      </c>
      <c r="S23" s="13" t="s">
        <v>383</v>
      </c>
      <c r="T23" s="13" t="s">
        <v>383</v>
      </c>
      <c r="U23" s="14">
        <f t="shared" si="0"/>
        <v>0.3010299956639812</v>
      </c>
      <c r="V23" s="15">
        <v>25</v>
      </c>
      <c r="W23" s="12">
        <v>16.040568</v>
      </c>
      <c r="X23" s="12">
        <v>1</v>
      </c>
      <c r="Y23" s="13" t="s">
        <v>355</v>
      </c>
      <c r="Z23" s="9" t="s">
        <v>359</v>
      </c>
      <c r="AA23" s="10" t="s">
        <v>372</v>
      </c>
      <c r="AB23" s="9" t="s">
        <v>355</v>
      </c>
      <c r="AC23" s="43">
        <v>2010</v>
      </c>
      <c r="AD23" s="14">
        <f t="shared" si="1"/>
        <v>3.3031960574204891</v>
      </c>
      <c r="AE23" s="10" t="s">
        <v>402</v>
      </c>
      <c r="AF23" s="44" t="s">
        <v>408</v>
      </c>
      <c r="AG23" s="18">
        <v>5.8383849999999988</v>
      </c>
      <c r="AH23" s="7">
        <f t="shared" si="2"/>
        <v>0</v>
      </c>
      <c r="AI23" s="7">
        <f t="shared" si="3"/>
        <v>0</v>
      </c>
      <c r="AJ23" s="7">
        <f t="shared" si="4"/>
        <v>0</v>
      </c>
      <c r="AK23" s="7">
        <f t="shared" si="5"/>
        <v>0</v>
      </c>
      <c r="AL23" s="7" t="s">
        <v>4160</v>
      </c>
      <c r="AM23" s="18">
        <f t="shared" si="6"/>
        <v>0.76629273023104216</v>
      </c>
      <c r="AN23" s="45">
        <v>5.8383849999999988</v>
      </c>
      <c r="AO23" s="45">
        <v>-75.223388499999999</v>
      </c>
      <c r="AP23" s="9" t="s">
        <v>402</v>
      </c>
      <c r="AQ23" s="9" t="s">
        <v>403</v>
      </c>
      <c r="AR23" s="15">
        <v>1991</v>
      </c>
      <c r="AS23" s="19" t="s">
        <v>409</v>
      </c>
      <c r="AT23" s="20" t="s">
        <v>410</v>
      </c>
      <c r="AU23" s="40">
        <v>11320528</v>
      </c>
      <c r="AV23" s="35">
        <f t="shared" si="7"/>
        <v>7.0538666832249381</v>
      </c>
      <c r="AW23" s="37" t="s">
        <v>338</v>
      </c>
      <c r="AX23" s="40">
        <v>0</v>
      </c>
      <c r="AY23" s="40">
        <v>2200</v>
      </c>
      <c r="AZ23" s="15">
        <v>146</v>
      </c>
      <c r="BA23" s="14">
        <f t="shared" si="8"/>
        <v>2.1643528557844371</v>
      </c>
      <c r="BB23" s="37" t="s">
        <v>367</v>
      </c>
      <c r="BC23" s="20">
        <v>8.09523809523425E-4</v>
      </c>
      <c r="BD23" s="9">
        <v>22</v>
      </c>
      <c r="BE23" s="9" t="s">
        <v>368</v>
      </c>
      <c r="BF23" s="9">
        <v>0</v>
      </c>
    </row>
    <row r="24" spans="1:58">
      <c r="A24" s="9">
        <v>863</v>
      </c>
      <c r="B24" s="10" t="s">
        <v>76</v>
      </c>
      <c r="C24" s="10" t="s">
        <v>389</v>
      </c>
      <c r="D24" s="20" t="s">
        <v>390</v>
      </c>
      <c r="E24" s="20" t="s">
        <v>404</v>
      </c>
      <c r="F24" s="10" t="s">
        <v>389</v>
      </c>
      <c r="G24" s="20" t="s">
        <v>390</v>
      </c>
      <c r="H24" s="20" t="s">
        <v>404</v>
      </c>
      <c r="I24" s="10" t="s">
        <v>389</v>
      </c>
      <c r="J24" s="20" t="s">
        <v>405</v>
      </c>
      <c r="K24" s="20" t="s">
        <v>406</v>
      </c>
      <c r="L24" s="9" t="s">
        <v>352</v>
      </c>
      <c r="M24" s="9">
        <v>6</v>
      </c>
      <c r="N24" s="9" t="s">
        <v>353</v>
      </c>
      <c r="O24" s="9" t="s">
        <v>354</v>
      </c>
      <c r="P24" s="12">
        <v>40.265231999999997</v>
      </c>
      <c r="Q24" s="12" t="s">
        <v>355</v>
      </c>
      <c r="R24" s="9" t="s">
        <v>356</v>
      </c>
      <c r="S24" s="13" t="s">
        <v>383</v>
      </c>
      <c r="T24" s="13" t="s">
        <v>383</v>
      </c>
      <c r="U24" s="14">
        <f t="shared" si="0"/>
        <v>0.3010299956639812</v>
      </c>
      <c r="V24" s="15">
        <v>32</v>
      </c>
      <c r="W24" s="12">
        <v>15.921946999999996</v>
      </c>
      <c r="X24" s="12">
        <v>1</v>
      </c>
      <c r="Y24" s="13" t="s">
        <v>355</v>
      </c>
      <c r="Z24" s="9" t="s">
        <v>359</v>
      </c>
      <c r="AA24" s="10" t="s">
        <v>372</v>
      </c>
      <c r="AB24" s="9" t="s">
        <v>355</v>
      </c>
      <c r="AC24" s="43">
        <v>2010</v>
      </c>
      <c r="AD24" s="14">
        <f t="shared" si="1"/>
        <v>3.3031960574204891</v>
      </c>
      <c r="AE24" s="10" t="s">
        <v>402</v>
      </c>
      <c r="AF24" s="44" t="s">
        <v>408</v>
      </c>
      <c r="AG24" s="18">
        <v>5.8383849999999988</v>
      </c>
      <c r="AH24" s="7">
        <f t="shared" si="2"/>
        <v>0</v>
      </c>
      <c r="AI24" s="7">
        <f t="shared" si="3"/>
        <v>0</v>
      </c>
      <c r="AJ24" s="7">
        <f t="shared" si="4"/>
        <v>0</v>
      </c>
      <c r="AK24" s="7">
        <f t="shared" si="5"/>
        <v>0</v>
      </c>
      <c r="AL24" s="7" t="s">
        <v>4160</v>
      </c>
      <c r="AM24" s="18">
        <f t="shared" si="6"/>
        <v>0.76629273023104216</v>
      </c>
      <c r="AN24" s="45">
        <v>5.8383849999999988</v>
      </c>
      <c r="AO24" s="45">
        <v>-75.223388499999999</v>
      </c>
      <c r="AP24" s="9" t="s">
        <v>402</v>
      </c>
      <c r="AQ24" s="9" t="s">
        <v>403</v>
      </c>
      <c r="AR24" s="15">
        <v>1991</v>
      </c>
      <c r="AS24" s="19" t="s">
        <v>409</v>
      </c>
      <c r="AT24" s="20" t="s">
        <v>410</v>
      </c>
      <c r="AU24" s="40">
        <v>11320528</v>
      </c>
      <c r="AV24" s="35">
        <f t="shared" si="7"/>
        <v>7.0538666832249381</v>
      </c>
      <c r="AW24" s="37" t="s">
        <v>338</v>
      </c>
      <c r="AX24" s="40">
        <v>0</v>
      </c>
      <c r="AY24" s="40">
        <v>2200</v>
      </c>
      <c r="AZ24" s="15">
        <v>146</v>
      </c>
      <c r="BA24" s="14">
        <f t="shared" si="8"/>
        <v>2.1643528557844371</v>
      </c>
      <c r="BB24" s="37" t="s">
        <v>367</v>
      </c>
      <c r="BC24" s="20">
        <v>8.09523809523425E-4</v>
      </c>
      <c r="BD24" s="9">
        <v>22</v>
      </c>
      <c r="BE24" s="9" t="s">
        <v>368</v>
      </c>
      <c r="BF24" s="9">
        <v>0</v>
      </c>
    </row>
    <row r="25" spans="1:58">
      <c r="A25" s="9">
        <v>1027</v>
      </c>
      <c r="B25" s="20" t="s">
        <v>76</v>
      </c>
      <c r="C25" s="20" t="s">
        <v>411</v>
      </c>
      <c r="D25" s="20" t="s">
        <v>412</v>
      </c>
      <c r="E25" s="20" t="s">
        <v>413</v>
      </c>
      <c r="F25" s="20" t="s">
        <v>411</v>
      </c>
      <c r="G25" s="20" t="s">
        <v>412</v>
      </c>
      <c r="H25" s="20" t="s">
        <v>413</v>
      </c>
      <c r="I25" s="20" t="s">
        <v>411</v>
      </c>
      <c r="J25" s="20" t="s">
        <v>412</v>
      </c>
      <c r="K25" s="20" t="s">
        <v>413</v>
      </c>
      <c r="L25" s="9" t="s">
        <v>352</v>
      </c>
      <c r="M25" s="9">
        <v>3</v>
      </c>
      <c r="N25" s="9" t="s">
        <v>353</v>
      </c>
      <c r="O25" s="9" t="s">
        <v>354</v>
      </c>
      <c r="P25" s="12">
        <v>32.778739999999999</v>
      </c>
      <c r="Q25" s="9" t="s">
        <v>355</v>
      </c>
      <c r="R25" s="9" t="s">
        <v>356</v>
      </c>
      <c r="S25" s="9">
        <v>1</v>
      </c>
      <c r="T25" s="9">
        <v>1</v>
      </c>
      <c r="U25" s="14">
        <f t="shared" si="0"/>
        <v>0.3010299956639812</v>
      </c>
      <c r="V25" s="15">
        <v>23</v>
      </c>
      <c r="W25" s="12">
        <v>6.7194362999999981</v>
      </c>
      <c r="X25" s="9" t="s">
        <v>355</v>
      </c>
      <c r="Y25" s="13" t="s">
        <v>358</v>
      </c>
      <c r="Z25" s="9" t="s">
        <v>359</v>
      </c>
      <c r="AA25" s="10" t="s">
        <v>372</v>
      </c>
      <c r="AB25" s="9" t="s">
        <v>355</v>
      </c>
      <c r="AC25" s="15">
        <v>422</v>
      </c>
      <c r="AD25" s="14">
        <f t="shared" si="1"/>
        <v>2.6253124509616739</v>
      </c>
      <c r="AE25" s="10" t="s">
        <v>373</v>
      </c>
      <c r="AF25" s="9" t="s">
        <v>362</v>
      </c>
      <c r="AG25" s="18">
        <v>42</v>
      </c>
      <c r="AH25" s="7">
        <f t="shared" si="2"/>
        <v>1</v>
      </c>
      <c r="AI25" s="7">
        <f t="shared" si="3"/>
        <v>1</v>
      </c>
      <c r="AJ25" s="7">
        <f t="shared" si="4"/>
        <v>0</v>
      </c>
      <c r="AK25" s="7">
        <f t="shared" si="5"/>
        <v>0</v>
      </c>
      <c r="AL25" s="7" t="s">
        <v>4157</v>
      </c>
      <c r="AM25" s="18">
        <f t="shared" si="6"/>
        <v>1.6232492903979006</v>
      </c>
      <c r="AN25" s="18">
        <v>42</v>
      </c>
      <c r="AO25" s="18">
        <v>-73.134960000000007</v>
      </c>
      <c r="AP25" s="9" t="s">
        <v>363</v>
      </c>
      <c r="AQ25" s="9" t="s">
        <v>355</v>
      </c>
      <c r="AR25" s="9">
        <v>1962</v>
      </c>
      <c r="AS25" s="10" t="s">
        <v>374</v>
      </c>
      <c r="AT25" s="20" t="s">
        <v>375</v>
      </c>
      <c r="AU25" s="39">
        <v>1122385</v>
      </c>
      <c r="AV25" s="35">
        <f t="shared" si="7"/>
        <v>6.0501418539747238</v>
      </c>
      <c r="AW25" s="37" t="s">
        <v>366</v>
      </c>
      <c r="AX25" s="34" t="s">
        <v>355</v>
      </c>
      <c r="AY25" s="40" t="s">
        <v>355</v>
      </c>
      <c r="AZ25" s="15">
        <v>55</v>
      </c>
      <c r="BA25" s="14">
        <f t="shared" si="8"/>
        <v>1.7403626894942439</v>
      </c>
      <c r="BB25" s="37" t="s">
        <v>367</v>
      </c>
      <c r="BC25" s="20">
        <v>2.6780712284914233E-2</v>
      </c>
      <c r="BD25" s="9">
        <v>25.700000000000003</v>
      </c>
      <c r="BE25" s="9" t="s">
        <v>368</v>
      </c>
      <c r="BF25" s="9">
        <v>0</v>
      </c>
    </row>
    <row r="26" spans="1:58">
      <c r="A26" s="9">
        <v>773</v>
      </c>
      <c r="B26" s="10" t="s">
        <v>348</v>
      </c>
      <c r="C26" s="10" t="s">
        <v>377</v>
      </c>
      <c r="D26" s="20" t="s">
        <v>378</v>
      </c>
      <c r="E26" s="20" t="s">
        <v>379</v>
      </c>
      <c r="F26" s="10" t="s">
        <v>377</v>
      </c>
      <c r="G26" s="20" t="s">
        <v>378</v>
      </c>
      <c r="H26" s="20" t="s">
        <v>379</v>
      </c>
      <c r="I26" s="10" t="s">
        <v>377</v>
      </c>
      <c r="J26" s="20" t="s">
        <v>378</v>
      </c>
      <c r="K26" s="20" t="s">
        <v>379</v>
      </c>
      <c r="L26" s="9" t="s">
        <v>380</v>
      </c>
      <c r="M26" s="9">
        <v>15</v>
      </c>
      <c r="N26" s="9" t="s">
        <v>381</v>
      </c>
      <c r="O26" s="9" t="s">
        <v>382</v>
      </c>
      <c r="P26" s="12">
        <v>33.479458000000001</v>
      </c>
      <c r="Q26" s="12" t="s">
        <v>355</v>
      </c>
      <c r="R26" s="9" t="s">
        <v>356</v>
      </c>
      <c r="S26" s="13" t="s">
        <v>414</v>
      </c>
      <c r="T26" s="13" t="s">
        <v>414</v>
      </c>
      <c r="U26" s="14">
        <f t="shared" si="0"/>
        <v>0.47712125471966244</v>
      </c>
      <c r="V26" s="15">
        <v>1.8</v>
      </c>
      <c r="W26" s="12"/>
      <c r="X26" s="12">
        <v>1</v>
      </c>
      <c r="Y26" s="13" t="s">
        <v>384</v>
      </c>
      <c r="Z26" s="9" t="s">
        <v>359</v>
      </c>
      <c r="AA26" s="10" t="s">
        <v>372</v>
      </c>
      <c r="AB26" s="9" t="s">
        <v>355</v>
      </c>
      <c r="AC26" s="15">
        <v>689</v>
      </c>
      <c r="AD26" s="14">
        <f t="shared" si="1"/>
        <v>2.8382192219076257</v>
      </c>
      <c r="AE26" s="10" t="s">
        <v>385</v>
      </c>
      <c r="AF26" s="9" t="s">
        <v>362</v>
      </c>
      <c r="AG26" s="18">
        <v>40.841022000000002</v>
      </c>
      <c r="AH26" s="7">
        <f t="shared" si="2"/>
        <v>1</v>
      </c>
      <c r="AI26" s="7">
        <f t="shared" si="3"/>
        <v>1</v>
      </c>
      <c r="AJ26" s="7">
        <f t="shared" si="4"/>
        <v>0</v>
      </c>
      <c r="AK26" s="7">
        <f t="shared" si="5"/>
        <v>0</v>
      </c>
      <c r="AL26" s="7" t="s">
        <v>4157</v>
      </c>
      <c r="AM26" s="18">
        <f t="shared" si="6"/>
        <v>1.6110966012749866</v>
      </c>
      <c r="AN26" s="18">
        <v>40.841022000000002</v>
      </c>
      <c r="AO26" s="18">
        <v>-99.101349999999996</v>
      </c>
      <c r="AP26" s="9" t="s">
        <v>363</v>
      </c>
      <c r="AQ26" s="9" t="s">
        <v>355</v>
      </c>
      <c r="AR26" s="15">
        <v>1980</v>
      </c>
      <c r="AS26" s="19" t="s">
        <v>386</v>
      </c>
      <c r="AT26" s="20" t="s">
        <v>387</v>
      </c>
      <c r="AU26" s="34">
        <v>4317635</v>
      </c>
      <c r="AV26" s="35">
        <f t="shared" si="7"/>
        <v>6.6352459255882987</v>
      </c>
      <c r="AW26" s="36" t="s">
        <v>366</v>
      </c>
      <c r="AX26" s="34">
        <v>0</v>
      </c>
      <c r="AY26" s="34">
        <v>3660</v>
      </c>
      <c r="AZ26" s="36">
        <v>265</v>
      </c>
      <c r="BA26" s="14">
        <f t="shared" si="8"/>
        <v>2.4232458739368079</v>
      </c>
      <c r="BB26" s="36" t="s">
        <v>388</v>
      </c>
      <c r="BC26" s="20">
        <v>2.1618647458982974E-2</v>
      </c>
      <c r="BD26" s="9">
        <v>31</v>
      </c>
      <c r="BE26" s="9" t="s">
        <v>368</v>
      </c>
      <c r="BF26" s="9">
        <v>0</v>
      </c>
    </row>
    <row r="27" spans="1:58">
      <c r="A27" s="9">
        <v>769</v>
      </c>
      <c r="B27" s="10" t="s">
        <v>348</v>
      </c>
      <c r="C27" s="10" t="s">
        <v>377</v>
      </c>
      <c r="D27" s="20" t="s">
        <v>378</v>
      </c>
      <c r="E27" s="20" t="s">
        <v>379</v>
      </c>
      <c r="F27" s="10" t="s">
        <v>377</v>
      </c>
      <c r="G27" s="20" t="s">
        <v>378</v>
      </c>
      <c r="H27" s="20" t="s">
        <v>379</v>
      </c>
      <c r="I27" s="10" t="s">
        <v>377</v>
      </c>
      <c r="J27" s="20" t="s">
        <v>378</v>
      </c>
      <c r="K27" s="20" t="s">
        <v>379</v>
      </c>
      <c r="L27" s="9" t="s">
        <v>380</v>
      </c>
      <c r="M27" s="9">
        <v>15</v>
      </c>
      <c r="N27" s="9" t="s">
        <v>381</v>
      </c>
      <c r="O27" s="9" t="s">
        <v>382</v>
      </c>
      <c r="P27" s="12">
        <v>37.939143999999999</v>
      </c>
      <c r="Q27" s="12" t="s">
        <v>355</v>
      </c>
      <c r="R27" s="9" t="s">
        <v>356</v>
      </c>
      <c r="S27" s="13" t="s">
        <v>414</v>
      </c>
      <c r="T27" s="13" t="s">
        <v>414</v>
      </c>
      <c r="U27" s="14">
        <f t="shared" si="0"/>
        <v>0.47712125471966244</v>
      </c>
      <c r="V27" s="15">
        <v>27.9</v>
      </c>
      <c r="W27" s="12"/>
      <c r="X27" s="12">
        <v>1</v>
      </c>
      <c r="Y27" s="13" t="s">
        <v>384</v>
      </c>
      <c r="Z27" s="9" t="s">
        <v>359</v>
      </c>
      <c r="AA27" s="10" t="s">
        <v>372</v>
      </c>
      <c r="AB27" s="9" t="s">
        <v>355</v>
      </c>
      <c r="AC27" s="15">
        <v>689</v>
      </c>
      <c r="AD27" s="14">
        <f t="shared" si="1"/>
        <v>2.8382192219076257</v>
      </c>
      <c r="AE27" s="10" t="s">
        <v>385</v>
      </c>
      <c r="AF27" s="9" t="s">
        <v>362</v>
      </c>
      <c r="AG27" s="18">
        <v>40.841022000000002</v>
      </c>
      <c r="AH27" s="7">
        <f t="shared" si="2"/>
        <v>1</v>
      </c>
      <c r="AI27" s="7">
        <f t="shared" si="3"/>
        <v>1</v>
      </c>
      <c r="AJ27" s="7">
        <f t="shared" si="4"/>
        <v>0</v>
      </c>
      <c r="AK27" s="7">
        <f t="shared" si="5"/>
        <v>0</v>
      </c>
      <c r="AL27" s="7" t="s">
        <v>4157</v>
      </c>
      <c r="AM27" s="18">
        <f t="shared" si="6"/>
        <v>1.6110966012749866</v>
      </c>
      <c r="AN27" s="18">
        <v>40.841022000000002</v>
      </c>
      <c r="AO27" s="18">
        <v>-99.101349999999996</v>
      </c>
      <c r="AP27" s="9" t="s">
        <v>363</v>
      </c>
      <c r="AQ27" s="9" t="s">
        <v>355</v>
      </c>
      <c r="AR27" s="15">
        <v>1980</v>
      </c>
      <c r="AS27" s="19" t="s">
        <v>386</v>
      </c>
      <c r="AT27" s="20" t="s">
        <v>387</v>
      </c>
      <c r="AU27" s="34">
        <v>4317635</v>
      </c>
      <c r="AV27" s="35">
        <f t="shared" si="7"/>
        <v>6.6352459255882987</v>
      </c>
      <c r="AW27" s="36" t="s">
        <v>366</v>
      </c>
      <c r="AX27" s="34">
        <v>0</v>
      </c>
      <c r="AY27" s="34">
        <v>3660</v>
      </c>
      <c r="AZ27" s="36">
        <v>265</v>
      </c>
      <c r="BA27" s="14">
        <f t="shared" si="8"/>
        <v>2.4232458739368079</v>
      </c>
      <c r="BB27" s="36" t="s">
        <v>388</v>
      </c>
      <c r="BC27" s="20">
        <v>2.1618647458982974E-2</v>
      </c>
      <c r="BD27" s="9">
        <v>31</v>
      </c>
      <c r="BE27" s="9" t="s">
        <v>368</v>
      </c>
      <c r="BF27" s="9">
        <v>0</v>
      </c>
    </row>
    <row r="28" spans="1:58">
      <c r="A28" s="9">
        <v>1031</v>
      </c>
      <c r="B28" s="20" t="s">
        <v>76</v>
      </c>
      <c r="C28" s="20" t="s">
        <v>389</v>
      </c>
      <c r="D28" s="20" t="s">
        <v>390</v>
      </c>
      <c r="E28" s="20" t="s">
        <v>391</v>
      </c>
      <c r="F28" s="20" t="s">
        <v>389</v>
      </c>
      <c r="G28" s="20" t="s">
        <v>390</v>
      </c>
      <c r="H28" s="20" t="s">
        <v>391</v>
      </c>
      <c r="I28" s="20" t="s">
        <v>389</v>
      </c>
      <c r="J28" s="20" t="s">
        <v>392</v>
      </c>
      <c r="K28" s="20" t="s">
        <v>391</v>
      </c>
      <c r="L28" s="9" t="s">
        <v>352</v>
      </c>
      <c r="M28" s="9">
        <v>3</v>
      </c>
      <c r="N28" s="9" t="s">
        <v>353</v>
      </c>
      <c r="O28" s="9" t="s">
        <v>354</v>
      </c>
      <c r="P28" s="12">
        <v>36.505580000000002</v>
      </c>
      <c r="Q28" s="9" t="s">
        <v>355</v>
      </c>
      <c r="R28" s="9" t="s">
        <v>356</v>
      </c>
      <c r="S28" s="9">
        <v>2</v>
      </c>
      <c r="T28" s="9">
        <v>2</v>
      </c>
      <c r="U28" s="14">
        <f t="shared" si="0"/>
        <v>0.47712125471966244</v>
      </c>
      <c r="V28" s="15">
        <v>23</v>
      </c>
      <c r="W28" s="12">
        <v>10.446276300000001</v>
      </c>
      <c r="X28" s="9" t="s">
        <v>355</v>
      </c>
      <c r="Y28" s="13" t="s">
        <v>358</v>
      </c>
      <c r="Z28" s="9" t="s">
        <v>359</v>
      </c>
      <c r="AA28" s="10" t="s">
        <v>372</v>
      </c>
      <c r="AB28" s="9" t="s">
        <v>355</v>
      </c>
      <c r="AC28" s="15">
        <v>422</v>
      </c>
      <c r="AD28" s="14">
        <f t="shared" si="1"/>
        <v>2.6253124509616739</v>
      </c>
      <c r="AE28" s="10" t="s">
        <v>373</v>
      </c>
      <c r="AF28" s="9" t="s">
        <v>362</v>
      </c>
      <c r="AG28" s="18">
        <v>42</v>
      </c>
      <c r="AH28" s="7">
        <f t="shared" si="2"/>
        <v>1</v>
      </c>
      <c r="AI28" s="7">
        <f t="shared" si="3"/>
        <v>1</v>
      </c>
      <c r="AJ28" s="7">
        <f t="shared" si="4"/>
        <v>0</v>
      </c>
      <c r="AK28" s="7">
        <f t="shared" si="5"/>
        <v>0</v>
      </c>
      <c r="AL28" s="7" t="s">
        <v>4157</v>
      </c>
      <c r="AM28" s="18">
        <f t="shared" si="6"/>
        <v>1.6232492903979006</v>
      </c>
      <c r="AN28" s="18">
        <v>42</v>
      </c>
      <c r="AO28" s="18">
        <v>-73.134960000000007</v>
      </c>
      <c r="AP28" s="9" t="s">
        <v>363</v>
      </c>
      <c r="AQ28" s="9" t="s">
        <v>355</v>
      </c>
      <c r="AR28" s="9">
        <v>1962</v>
      </c>
      <c r="AS28" s="10" t="s">
        <v>374</v>
      </c>
      <c r="AT28" s="20" t="s">
        <v>375</v>
      </c>
      <c r="AU28" s="39">
        <v>1991277</v>
      </c>
      <c r="AV28" s="35">
        <f t="shared" si="7"/>
        <v>6.2991316775080026</v>
      </c>
      <c r="AW28" s="37" t="s">
        <v>366</v>
      </c>
      <c r="AX28" s="34" t="s">
        <v>355</v>
      </c>
      <c r="AY28" s="40" t="s">
        <v>355</v>
      </c>
      <c r="AZ28" s="15">
        <v>55</v>
      </c>
      <c r="BA28" s="14">
        <f t="shared" si="8"/>
        <v>1.7403626894942439</v>
      </c>
      <c r="BB28" s="37" t="s">
        <v>367</v>
      </c>
      <c r="BC28" s="20">
        <v>2.6780712284914233E-2</v>
      </c>
      <c r="BD28" s="9">
        <v>25.700000000000003</v>
      </c>
      <c r="BE28" s="9" t="s">
        <v>368</v>
      </c>
      <c r="BF28" s="9">
        <v>0</v>
      </c>
    </row>
    <row r="29" spans="1:58">
      <c r="A29" s="9">
        <v>697</v>
      </c>
      <c r="B29" s="10" t="s">
        <v>348</v>
      </c>
      <c r="C29" s="10" t="s">
        <v>349</v>
      </c>
      <c r="D29" s="20" t="s">
        <v>350</v>
      </c>
      <c r="E29" s="20" t="s">
        <v>351</v>
      </c>
      <c r="F29" s="10" t="s">
        <v>349</v>
      </c>
      <c r="G29" s="20" t="s">
        <v>350</v>
      </c>
      <c r="H29" s="20" t="s">
        <v>351</v>
      </c>
      <c r="I29" s="10" t="s">
        <v>349</v>
      </c>
      <c r="J29" s="20" t="s">
        <v>350</v>
      </c>
      <c r="K29" s="20" t="s">
        <v>351</v>
      </c>
      <c r="L29" s="9" t="s">
        <v>352</v>
      </c>
      <c r="M29" s="9">
        <v>7</v>
      </c>
      <c r="N29" s="9" t="s">
        <v>353</v>
      </c>
      <c r="O29" s="9" t="s">
        <v>354</v>
      </c>
      <c r="P29" s="12">
        <v>34.983800000000002</v>
      </c>
      <c r="Q29" s="12" t="s">
        <v>355</v>
      </c>
      <c r="R29" s="9" t="s">
        <v>356</v>
      </c>
      <c r="S29" s="13" t="s">
        <v>414</v>
      </c>
      <c r="T29" s="13" t="s">
        <v>414</v>
      </c>
      <c r="U29" s="14">
        <f t="shared" si="0"/>
        <v>0.47712125471966244</v>
      </c>
      <c r="V29" s="15">
        <v>25</v>
      </c>
      <c r="W29" s="12">
        <v>5.6588247999999979</v>
      </c>
      <c r="X29" s="12">
        <v>0.75</v>
      </c>
      <c r="Y29" s="13" t="s">
        <v>358</v>
      </c>
      <c r="Z29" s="9" t="s">
        <v>359</v>
      </c>
      <c r="AA29" s="10" t="s">
        <v>360</v>
      </c>
      <c r="AB29" s="9" t="s">
        <v>355</v>
      </c>
      <c r="AC29" s="15">
        <v>336</v>
      </c>
      <c r="AD29" s="14">
        <f t="shared" si="1"/>
        <v>2.5263392773898441</v>
      </c>
      <c r="AE29" s="10" t="s">
        <v>361</v>
      </c>
      <c r="AF29" s="9" t="s">
        <v>362</v>
      </c>
      <c r="AG29" s="18">
        <v>39.777825</v>
      </c>
      <c r="AH29" s="7">
        <f t="shared" si="2"/>
        <v>1</v>
      </c>
      <c r="AI29" s="7">
        <f t="shared" si="3"/>
        <v>1</v>
      </c>
      <c r="AJ29" s="7">
        <f t="shared" si="4"/>
        <v>0</v>
      </c>
      <c r="AK29" s="7">
        <f t="shared" si="5"/>
        <v>0</v>
      </c>
      <c r="AL29" s="7" t="s">
        <v>4157</v>
      </c>
      <c r="AM29" s="18">
        <f t="shared" si="6"/>
        <v>1.5996410327773016</v>
      </c>
      <c r="AN29" s="18">
        <v>39.777825</v>
      </c>
      <c r="AO29" s="18">
        <v>-84.689750000000004</v>
      </c>
      <c r="AP29" s="9" t="s">
        <v>363</v>
      </c>
      <c r="AQ29" s="9" t="s">
        <v>355</v>
      </c>
      <c r="AR29" s="15">
        <v>1982</v>
      </c>
      <c r="AS29" s="19" t="s">
        <v>364</v>
      </c>
      <c r="AT29" s="20" t="s">
        <v>365</v>
      </c>
      <c r="AU29" s="34">
        <v>1524467</v>
      </c>
      <c r="AV29" s="35">
        <f t="shared" si="7"/>
        <v>6.1831180276695727</v>
      </c>
      <c r="AW29" s="36" t="s">
        <v>366</v>
      </c>
      <c r="AX29" s="34" t="s">
        <v>355</v>
      </c>
      <c r="AY29" s="34" t="s">
        <v>355</v>
      </c>
      <c r="AZ29" s="15">
        <v>78</v>
      </c>
      <c r="BA29" s="14">
        <f t="shared" si="8"/>
        <v>1.8920946026904804</v>
      </c>
      <c r="BB29" s="36" t="s">
        <v>367</v>
      </c>
      <c r="BC29" s="20">
        <v>3.4313725490200848E-3</v>
      </c>
      <c r="BD29" s="9">
        <v>29.200000000000003</v>
      </c>
      <c r="BE29" s="9" t="s">
        <v>368</v>
      </c>
      <c r="BF29" s="9">
        <v>0</v>
      </c>
    </row>
    <row r="30" spans="1:58">
      <c r="A30" s="9">
        <v>59</v>
      </c>
      <c r="B30" s="10" t="s">
        <v>348</v>
      </c>
      <c r="C30" s="10" t="s">
        <v>349</v>
      </c>
      <c r="D30" s="20" t="s">
        <v>393</v>
      </c>
      <c r="E30" s="20" t="s">
        <v>394</v>
      </c>
      <c r="F30" s="10" t="s">
        <v>349</v>
      </c>
      <c r="G30" s="20" t="s">
        <v>393</v>
      </c>
      <c r="H30" s="20" t="s">
        <v>394</v>
      </c>
      <c r="I30" s="10" t="s">
        <v>349</v>
      </c>
      <c r="J30" s="20" t="s">
        <v>393</v>
      </c>
      <c r="K30" s="20" t="s">
        <v>394</v>
      </c>
      <c r="L30" s="9" t="s">
        <v>352</v>
      </c>
      <c r="M30" s="9">
        <v>7</v>
      </c>
      <c r="N30" s="9" t="s">
        <v>353</v>
      </c>
      <c r="O30" s="9" t="s">
        <v>354</v>
      </c>
      <c r="P30" s="12">
        <v>34.9</v>
      </c>
      <c r="Q30" s="9" t="s">
        <v>355</v>
      </c>
      <c r="R30" s="9" t="s">
        <v>356</v>
      </c>
      <c r="S30" s="13">
        <v>2</v>
      </c>
      <c r="T30" s="13">
        <v>2</v>
      </c>
      <c r="U30" s="14">
        <f t="shared" si="0"/>
        <v>0.47712125471966244</v>
      </c>
      <c r="V30" s="15">
        <v>25</v>
      </c>
      <c r="W30" s="12">
        <v>5.5750247999999942</v>
      </c>
      <c r="X30" s="12">
        <v>0.75</v>
      </c>
      <c r="Y30" s="13" t="s">
        <v>358</v>
      </c>
      <c r="Z30" s="9" t="s">
        <v>359</v>
      </c>
      <c r="AA30" s="10" t="s">
        <v>372</v>
      </c>
      <c r="AB30" s="9" t="s">
        <v>355</v>
      </c>
      <c r="AC30" s="15">
        <v>336</v>
      </c>
      <c r="AD30" s="14">
        <f t="shared" si="1"/>
        <v>2.5263392773898441</v>
      </c>
      <c r="AE30" s="10" t="s">
        <v>361</v>
      </c>
      <c r="AF30" s="9" t="s">
        <v>362</v>
      </c>
      <c r="AG30" s="18">
        <v>39.777825</v>
      </c>
      <c r="AH30" s="7">
        <f t="shared" si="2"/>
        <v>1</v>
      </c>
      <c r="AI30" s="7">
        <f t="shared" si="3"/>
        <v>1</v>
      </c>
      <c r="AJ30" s="7">
        <f t="shared" si="4"/>
        <v>0</v>
      </c>
      <c r="AK30" s="7">
        <f t="shared" si="5"/>
        <v>0</v>
      </c>
      <c r="AL30" s="7" t="s">
        <v>4157</v>
      </c>
      <c r="AM30" s="18">
        <f t="shared" si="6"/>
        <v>1.5996410327773016</v>
      </c>
      <c r="AN30" s="18">
        <v>39.777825</v>
      </c>
      <c r="AO30" s="18">
        <v>-84.689750000000004</v>
      </c>
      <c r="AP30" s="9" t="s">
        <v>363</v>
      </c>
      <c r="AQ30" s="9" t="s">
        <v>355</v>
      </c>
      <c r="AR30" s="15">
        <v>1982</v>
      </c>
      <c r="AS30" s="19" t="s">
        <v>395</v>
      </c>
      <c r="AT30" s="20" t="s">
        <v>396</v>
      </c>
      <c r="AU30" s="34">
        <v>1195927</v>
      </c>
      <c r="AV30" s="35">
        <f t="shared" si="7"/>
        <v>6.0777046709025946</v>
      </c>
      <c r="AW30" s="36" t="s">
        <v>366</v>
      </c>
      <c r="AX30" s="34" t="s">
        <v>355</v>
      </c>
      <c r="AY30" s="34" t="s">
        <v>355</v>
      </c>
      <c r="AZ30" s="15">
        <v>78</v>
      </c>
      <c r="BA30" s="14">
        <f t="shared" si="8"/>
        <v>1.8920946026904804</v>
      </c>
      <c r="BB30" s="36" t="s">
        <v>367</v>
      </c>
      <c r="BC30" s="20">
        <v>3.4313725490200848E-3</v>
      </c>
      <c r="BD30" s="9">
        <v>29.200000000000003</v>
      </c>
      <c r="BE30" s="9" t="s">
        <v>368</v>
      </c>
      <c r="BF30" s="9">
        <v>0</v>
      </c>
    </row>
    <row r="31" spans="1:58">
      <c r="A31" s="9">
        <v>64</v>
      </c>
      <c r="B31" s="10" t="s">
        <v>348</v>
      </c>
      <c r="C31" s="10" t="s">
        <v>349</v>
      </c>
      <c r="D31" s="20" t="s">
        <v>393</v>
      </c>
      <c r="E31" s="20" t="s">
        <v>394</v>
      </c>
      <c r="F31" s="10" t="s">
        <v>349</v>
      </c>
      <c r="G31" s="20" t="s">
        <v>393</v>
      </c>
      <c r="H31" s="20" t="s">
        <v>394</v>
      </c>
      <c r="I31" s="10" t="s">
        <v>349</v>
      </c>
      <c r="J31" s="20" t="s">
        <v>393</v>
      </c>
      <c r="K31" s="20" t="s">
        <v>394</v>
      </c>
      <c r="L31" s="9" t="s">
        <v>352</v>
      </c>
      <c r="M31" s="9">
        <v>7</v>
      </c>
      <c r="N31" s="9" t="s">
        <v>353</v>
      </c>
      <c r="O31" s="9" t="s">
        <v>354</v>
      </c>
      <c r="P31" s="12">
        <v>35.200000000000003</v>
      </c>
      <c r="Q31" s="9" t="s">
        <v>355</v>
      </c>
      <c r="R31" s="9" t="s">
        <v>356</v>
      </c>
      <c r="S31" s="13">
        <v>2</v>
      </c>
      <c r="T31" s="13">
        <v>2</v>
      </c>
      <c r="U31" s="14">
        <f t="shared" si="0"/>
        <v>0.47712125471966244</v>
      </c>
      <c r="V31" s="15">
        <v>25</v>
      </c>
      <c r="W31" s="12">
        <v>5.8750247999999985</v>
      </c>
      <c r="X31" s="12">
        <v>0.75</v>
      </c>
      <c r="Y31" s="13" t="s">
        <v>358</v>
      </c>
      <c r="Z31" s="9" t="s">
        <v>359</v>
      </c>
      <c r="AA31" s="10" t="s">
        <v>372</v>
      </c>
      <c r="AB31" s="9" t="s">
        <v>355</v>
      </c>
      <c r="AC31" s="15">
        <v>336</v>
      </c>
      <c r="AD31" s="14">
        <f t="shared" si="1"/>
        <v>2.5263392773898441</v>
      </c>
      <c r="AE31" s="10" t="s">
        <v>361</v>
      </c>
      <c r="AF31" s="9" t="s">
        <v>362</v>
      </c>
      <c r="AG31" s="18">
        <v>39.777825</v>
      </c>
      <c r="AH31" s="7">
        <f t="shared" si="2"/>
        <v>1</v>
      </c>
      <c r="AI31" s="7">
        <f t="shared" si="3"/>
        <v>1</v>
      </c>
      <c r="AJ31" s="7">
        <f t="shared" si="4"/>
        <v>0</v>
      </c>
      <c r="AK31" s="7">
        <f t="shared" si="5"/>
        <v>0</v>
      </c>
      <c r="AL31" s="7" t="s">
        <v>4157</v>
      </c>
      <c r="AM31" s="18">
        <f t="shared" si="6"/>
        <v>1.5996410327773016</v>
      </c>
      <c r="AN31" s="18">
        <v>39.777825</v>
      </c>
      <c r="AO31" s="18">
        <v>-84.689750000000004</v>
      </c>
      <c r="AP31" s="9" t="s">
        <v>363</v>
      </c>
      <c r="AQ31" s="9" t="s">
        <v>355</v>
      </c>
      <c r="AR31" s="15">
        <v>1982</v>
      </c>
      <c r="AS31" s="19" t="s">
        <v>395</v>
      </c>
      <c r="AT31" s="20" t="s">
        <v>396</v>
      </c>
      <c r="AU31" s="34">
        <v>1195927</v>
      </c>
      <c r="AV31" s="35">
        <f t="shared" si="7"/>
        <v>6.0777046709025946</v>
      </c>
      <c r="AW31" s="36" t="s">
        <v>366</v>
      </c>
      <c r="AX31" s="34" t="s">
        <v>355</v>
      </c>
      <c r="AY31" s="34" t="s">
        <v>355</v>
      </c>
      <c r="AZ31" s="15">
        <v>78</v>
      </c>
      <c r="BA31" s="14">
        <f t="shared" si="8"/>
        <v>1.8920946026904804</v>
      </c>
      <c r="BB31" s="36" t="s">
        <v>367</v>
      </c>
      <c r="BC31" s="20">
        <v>3.4313725490200848E-3</v>
      </c>
      <c r="BD31" s="9">
        <v>29.200000000000003</v>
      </c>
      <c r="BE31" s="9" t="s">
        <v>368</v>
      </c>
      <c r="BF31" s="9">
        <v>0</v>
      </c>
    </row>
    <row r="32" spans="1:58">
      <c r="A32" s="9">
        <v>1023</v>
      </c>
      <c r="B32" s="20" t="s">
        <v>76</v>
      </c>
      <c r="C32" s="20" t="s">
        <v>369</v>
      </c>
      <c r="D32" s="20" t="s">
        <v>370</v>
      </c>
      <c r="E32" s="20" t="s">
        <v>397</v>
      </c>
      <c r="F32" s="20" t="s">
        <v>369</v>
      </c>
      <c r="G32" s="20" t="s">
        <v>370</v>
      </c>
      <c r="H32" s="20" t="s">
        <v>397</v>
      </c>
      <c r="I32" s="20" t="s">
        <v>369</v>
      </c>
      <c r="J32" s="20" t="s">
        <v>398</v>
      </c>
      <c r="K32" s="20" t="s">
        <v>397</v>
      </c>
      <c r="L32" s="9" t="s">
        <v>352</v>
      </c>
      <c r="M32" s="9">
        <v>3</v>
      </c>
      <c r="N32" s="9" t="s">
        <v>353</v>
      </c>
      <c r="O32" s="9" t="s">
        <v>354</v>
      </c>
      <c r="P32" s="12">
        <v>33.906680000000001</v>
      </c>
      <c r="Q32" s="9" t="s">
        <v>355</v>
      </c>
      <c r="R32" s="9" t="s">
        <v>356</v>
      </c>
      <c r="S32" s="9">
        <v>2</v>
      </c>
      <c r="T32" s="9">
        <v>2</v>
      </c>
      <c r="U32" s="14">
        <f t="shared" si="0"/>
        <v>0.47712125471966244</v>
      </c>
      <c r="V32" s="15">
        <v>23</v>
      </c>
      <c r="W32" s="12">
        <v>7.8473763000000005</v>
      </c>
      <c r="X32" s="9" t="s">
        <v>355</v>
      </c>
      <c r="Y32" s="13" t="s">
        <v>358</v>
      </c>
      <c r="Z32" s="9" t="s">
        <v>359</v>
      </c>
      <c r="AA32" s="10" t="s">
        <v>372</v>
      </c>
      <c r="AB32" s="9" t="s">
        <v>355</v>
      </c>
      <c r="AC32" s="15">
        <v>422</v>
      </c>
      <c r="AD32" s="14">
        <f t="shared" si="1"/>
        <v>2.6253124509616739</v>
      </c>
      <c r="AE32" s="10" t="s">
        <v>373</v>
      </c>
      <c r="AF32" s="9" t="s">
        <v>362</v>
      </c>
      <c r="AG32" s="18">
        <v>42</v>
      </c>
      <c r="AH32" s="7">
        <f t="shared" si="2"/>
        <v>1</v>
      </c>
      <c r="AI32" s="7">
        <f t="shared" si="3"/>
        <v>1</v>
      </c>
      <c r="AJ32" s="7">
        <f t="shared" si="4"/>
        <v>0</v>
      </c>
      <c r="AK32" s="7">
        <f t="shared" si="5"/>
        <v>0</v>
      </c>
      <c r="AL32" s="7" t="s">
        <v>4157</v>
      </c>
      <c r="AM32" s="18">
        <f t="shared" si="6"/>
        <v>1.6232492903979006</v>
      </c>
      <c r="AN32" s="18">
        <v>42</v>
      </c>
      <c r="AO32" s="18">
        <v>-73.134960000000007</v>
      </c>
      <c r="AP32" s="9" t="s">
        <v>363</v>
      </c>
      <c r="AQ32" s="9" t="s">
        <v>355</v>
      </c>
      <c r="AR32" s="9">
        <v>1962</v>
      </c>
      <c r="AS32" s="10" t="s">
        <v>374</v>
      </c>
      <c r="AT32" s="20" t="s">
        <v>375</v>
      </c>
      <c r="AU32" s="42">
        <v>6914656</v>
      </c>
      <c r="AV32" s="35">
        <f t="shared" si="7"/>
        <v>6.8397705790920504</v>
      </c>
      <c r="AW32" s="37" t="s">
        <v>338</v>
      </c>
      <c r="AX32" s="34" t="s">
        <v>355</v>
      </c>
      <c r="AY32" s="40" t="s">
        <v>355</v>
      </c>
      <c r="AZ32" s="15">
        <v>146</v>
      </c>
      <c r="BA32" s="14">
        <f t="shared" si="8"/>
        <v>2.1643528557844371</v>
      </c>
      <c r="BB32" s="37" t="s">
        <v>388</v>
      </c>
      <c r="BC32" s="20">
        <v>2.6780712284914233E-2</v>
      </c>
      <c r="BD32" s="9">
        <v>25.700000000000003</v>
      </c>
      <c r="BE32" s="9" t="s">
        <v>368</v>
      </c>
      <c r="BF32" s="9">
        <v>0</v>
      </c>
    </row>
    <row r="33" spans="1:58">
      <c r="A33" s="9">
        <v>1010</v>
      </c>
      <c r="B33" s="20" t="s">
        <v>76</v>
      </c>
      <c r="C33" s="20" t="s">
        <v>369</v>
      </c>
      <c r="D33" s="20" t="s">
        <v>370</v>
      </c>
      <c r="E33" s="20" t="s">
        <v>399</v>
      </c>
      <c r="F33" s="20" t="s">
        <v>369</v>
      </c>
      <c r="G33" s="20" t="s">
        <v>370</v>
      </c>
      <c r="H33" s="20" t="s">
        <v>399</v>
      </c>
      <c r="I33" s="20" t="s">
        <v>369</v>
      </c>
      <c r="J33" s="20" t="s">
        <v>398</v>
      </c>
      <c r="K33" s="20" t="s">
        <v>399</v>
      </c>
      <c r="L33" s="9" t="s">
        <v>352</v>
      </c>
      <c r="M33" s="9">
        <v>3</v>
      </c>
      <c r="N33" s="9" t="s">
        <v>353</v>
      </c>
      <c r="O33" s="9" t="s">
        <v>354</v>
      </c>
      <c r="P33" s="12">
        <v>30.722570000000001</v>
      </c>
      <c r="Q33" s="9" t="s">
        <v>355</v>
      </c>
      <c r="R33" s="9" t="s">
        <v>356</v>
      </c>
      <c r="S33" s="9">
        <v>2</v>
      </c>
      <c r="T33" s="9">
        <v>2</v>
      </c>
      <c r="U33" s="14">
        <f t="shared" si="0"/>
        <v>0.47712125471966244</v>
      </c>
      <c r="V33" s="15">
        <v>23</v>
      </c>
      <c r="W33" s="12">
        <v>4.6632663000000001</v>
      </c>
      <c r="X33" s="9" t="s">
        <v>355</v>
      </c>
      <c r="Y33" s="13" t="s">
        <v>358</v>
      </c>
      <c r="Z33" s="9" t="s">
        <v>359</v>
      </c>
      <c r="AA33" s="10" t="s">
        <v>372</v>
      </c>
      <c r="AB33" s="9" t="s">
        <v>355</v>
      </c>
      <c r="AC33" s="15">
        <v>422</v>
      </c>
      <c r="AD33" s="14">
        <f t="shared" si="1"/>
        <v>2.6253124509616739</v>
      </c>
      <c r="AE33" s="10" t="s">
        <v>373</v>
      </c>
      <c r="AF33" s="9" t="s">
        <v>362</v>
      </c>
      <c r="AG33" s="18">
        <v>42</v>
      </c>
      <c r="AH33" s="7">
        <f t="shared" si="2"/>
        <v>1</v>
      </c>
      <c r="AI33" s="7">
        <f t="shared" si="3"/>
        <v>1</v>
      </c>
      <c r="AJ33" s="7">
        <f t="shared" si="4"/>
        <v>0</v>
      </c>
      <c r="AK33" s="7">
        <f t="shared" si="5"/>
        <v>0</v>
      </c>
      <c r="AL33" s="7" t="s">
        <v>4157</v>
      </c>
      <c r="AM33" s="18">
        <f t="shared" si="6"/>
        <v>1.6232492903979006</v>
      </c>
      <c r="AN33" s="18">
        <v>42</v>
      </c>
      <c r="AO33" s="18">
        <v>-73.134960000000007</v>
      </c>
      <c r="AP33" s="9" t="s">
        <v>363</v>
      </c>
      <c r="AQ33" s="9" t="s">
        <v>355</v>
      </c>
      <c r="AR33" s="9">
        <v>1962</v>
      </c>
      <c r="AS33" s="10" t="s">
        <v>374</v>
      </c>
      <c r="AT33" s="20" t="s">
        <v>375</v>
      </c>
      <c r="AU33" s="39">
        <v>2477116</v>
      </c>
      <c r="AV33" s="35">
        <f t="shared" si="7"/>
        <v>6.3939463444866496</v>
      </c>
      <c r="AW33" s="37" t="s">
        <v>366</v>
      </c>
      <c r="AX33" s="34" t="s">
        <v>355</v>
      </c>
      <c r="AY33" s="40" t="s">
        <v>355</v>
      </c>
      <c r="AZ33" s="15">
        <v>55</v>
      </c>
      <c r="BA33" s="14">
        <f t="shared" si="8"/>
        <v>1.7403626894942439</v>
      </c>
      <c r="BB33" s="37" t="s">
        <v>388</v>
      </c>
      <c r="BC33" s="20">
        <v>2.6780712284914233E-2</v>
      </c>
      <c r="BD33" s="9">
        <v>25.700000000000003</v>
      </c>
      <c r="BE33" s="9" t="s">
        <v>368</v>
      </c>
      <c r="BF33" s="9">
        <v>0</v>
      </c>
    </row>
    <row r="34" spans="1:58">
      <c r="A34" s="9">
        <v>992</v>
      </c>
      <c r="B34" s="20" t="s">
        <v>76</v>
      </c>
      <c r="C34" s="20" t="s">
        <v>369</v>
      </c>
      <c r="D34" s="20" t="s">
        <v>370</v>
      </c>
      <c r="E34" s="20" t="s">
        <v>400</v>
      </c>
      <c r="F34" s="20" t="s">
        <v>369</v>
      </c>
      <c r="G34" s="20" t="s">
        <v>370</v>
      </c>
      <c r="H34" s="20" t="s">
        <v>400</v>
      </c>
      <c r="I34" s="20" t="s">
        <v>369</v>
      </c>
      <c r="J34" s="20" t="s">
        <v>398</v>
      </c>
      <c r="K34" s="20" t="s">
        <v>400</v>
      </c>
      <c r="L34" s="9" t="s">
        <v>352</v>
      </c>
      <c r="M34" s="9">
        <v>3</v>
      </c>
      <c r="N34" s="9" t="s">
        <v>353</v>
      </c>
      <c r="O34" s="9" t="s">
        <v>354</v>
      </c>
      <c r="P34" s="12">
        <v>31.261600000000001</v>
      </c>
      <c r="Q34" s="9" t="s">
        <v>355</v>
      </c>
      <c r="R34" s="9" t="s">
        <v>356</v>
      </c>
      <c r="S34" s="9">
        <v>2</v>
      </c>
      <c r="T34" s="9">
        <v>2</v>
      </c>
      <c r="U34" s="14">
        <f t="shared" si="0"/>
        <v>0.47712125471966244</v>
      </c>
      <c r="V34" s="15">
        <v>5</v>
      </c>
      <c r="W34" s="12">
        <v>5.9891639000000012</v>
      </c>
      <c r="X34" s="9" t="s">
        <v>355</v>
      </c>
      <c r="Y34" s="13" t="s">
        <v>401</v>
      </c>
      <c r="Z34" s="9" t="s">
        <v>359</v>
      </c>
      <c r="AA34" s="10" t="s">
        <v>372</v>
      </c>
      <c r="AB34" s="9" t="s">
        <v>355</v>
      </c>
      <c r="AC34" s="43">
        <v>349</v>
      </c>
      <c r="AD34" s="14">
        <f t="shared" si="1"/>
        <v>2.5428254269591797</v>
      </c>
      <c r="AE34" s="10" t="s">
        <v>402</v>
      </c>
      <c r="AF34" s="44" t="s">
        <v>362</v>
      </c>
      <c r="AG34" s="18">
        <v>43.680533500000003</v>
      </c>
      <c r="AH34" s="7">
        <f t="shared" si="2"/>
        <v>1</v>
      </c>
      <c r="AI34" s="7">
        <f t="shared" si="3"/>
        <v>1</v>
      </c>
      <c r="AJ34" s="7">
        <f t="shared" si="4"/>
        <v>0</v>
      </c>
      <c r="AK34" s="7">
        <f t="shared" si="5"/>
        <v>0</v>
      </c>
      <c r="AL34" s="7" t="s">
        <v>4157</v>
      </c>
      <c r="AM34" s="18">
        <f t="shared" si="6"/>
        <v>1.6402879340623209</v>
      </c>
      <c r="AN34" s="45">
        <v>43.680533500000003</v>
      </c>
      <c r="AO34" s="45">
        <v>-90.082397</v>
      </c>
      <c r="AP34" s="9" t="s">
        <v>402</v>
      </c>
      <c r="AQ34" s="9" t="s">
        <v>403</v>
      </c>
      <c r="AR34" s="9">
        <v>1962</v>
      </c>
      <c r="AS34" s="10" t="s">
        <v>374</v>
      </c>
      <c r="AT34" s="20" t="s">
        <v>375</v>
      </c>
      <c r="AU34" s="39">
        <v>6011807</v>
      </c>
      <c r="AV34" s="35">
        <f t="shared" si="7"/>
        <v>6.77900502976909</v>
      </c>
      <c r="AW34" s="37" t="s">
        <v>366</v>
      </c>
      <c r="AX34" s="40">
        <v>100</v>
      </c>
      <c r="AY34" s="40">
        <v>600</v>
      </c>
      <c r="AZ34" s="15">
        <v>113</v>
      </c>
      <c r="BA34" s="14">
        <f t="shared" si="8"/>
        <v>2.0530784434834195</v>
      </c>
      <c r="BB34" s="37" t="s">
        <v>367</v>
      </c>
      <c r="BC34" s="20">
        <v>1.9469787915165869E-2</v>
      </c>
      <c r="BD34" s="9">
        <v>28.1</v>
      </c>
      <c r="BE34" s="9" t="s">
        <v>368</v>
      </c>
      <c r="BF34" s="9">
        <v>0</v>
      </c>
    </row>
    <row r="35" spans="1:58">
      <c r="A35" s="9">
        <v>996</v>
      </c>
      <c r="B35" s="20" t="s">
        <v>76</v>
      </c>
      <c r="C35" s="20" t="s">
        <v>369</v>
      </c>
      <c r="D35" s="20" t="s">
        <v>370</v>
      </c>
      <c r="E35" s="20" t="s">
        <v>400</v>
      </c>
      <c r="F35" s="20" t="s">
        <v>369</v>
      </c>
      <c r="G35" s="20" t="s">
        <v>370</v>
      </c>
      <c r="H35" s="20" t="s">
        <v>400</v>
      </c>
      <c r="I35" s="20" t="s">
        <v>369</v>
      </c>
      <c r="J35" s="20" t="s">
        <v>398</v>
      </c>
      <c r="K35" s="20" t="s">
        <v>400</v>
      </c>
      <c r="L35" s="9" t="s">
        <v>352</v>
      </c>
      <c r="M35" s="9">
        <v>3</v>
      </c>
      <c r="N35" s="9" t="s">
        <v>353</v>
      </c>
      <c r="O35" s="9" t="s">
        <v>354</v>
      </c>
      <c r="P35" s="12">
        <v>33.54815</v>
      </c>
      <c r="Q35" s="9" t="s">
        <v>355</v>
      </c>
      <c r="R35" s="9" t="s">
        <v>356</v>
      </c>
      <c r="S35" s="9">
        <v>2</v>
      </c>
      <c r="T35" s="9">
        <v>2</v>
      </c>
      <c r="U35" s="14">
        <f t="shared" si="0"/>
        <v>0.47712125471966244</v>
      </c>
      <c r="V35" s="15">
        <v>12</v>
      </c>
      <c r="W35" s="12">
        <v>7.1821808999999988</v>
      </c>
      <c r="X35" s="9" t="s">
        <v>355</v>
      </c>
      <c r="Y35" s="13" t="s">
        <v>401</v>
      </c>
      <c r="Z35" s="9" t="s">
        <v>359</v>
      </c>
      <c r="AA35" s="10" t="s">
        <v>372</v>
      </c>
      <c r="AB35" s="9" t="s">
        <v>355</v>
      </c>
      <c r="AC35" s="43">
        <v>349</v>
      </c>
      <c r="AD35" s="14">
        <f t="shared" si="1"/>
        <v>2.5428254269591797</v>
      </c>
      <c r="AE35" s="10" t="s">
        <v>402</v>
      </c>
      <c r="AF35" s="44" t="s">
        <v>362</v>
      </c>
      <c r="AG35" s="18">
        <v>43.680533500000003</v>
      </c>
      <c r="AH35" s="7">
        <f t="shared" si="2"/>
        <v>1</v>
      </c>
      <c r="AI35" s="7">
        <f t="shared" si="3"/>
        <v>1</v>
      </c>
      <c r="AJ35" s="7">
        <f t="shared" si="4"/>
        <v>0</v>
      </c>
      <c r="AK35" s="7">
        <f t="shared" si="5"/>
        <v>0</v>
      </c>
      <c r="AL35" s="7" t="s">
        <v>4157</v>
      </c>
      <c r="AM35" s="18">
        <f t="shared" si="6"/>
        <v>1.6402879340623209</v>
      </c>
      <c r="AN35" s="45">
        <v>43.680533500000003</v>
      </c>
      <c r="AO35" s="45">
        <v>-90.082397</v>
      </c>
      <c r="AP35" s="9" t="s">
        <v>402</v>
      </c>
      <c r="AQ35" s="9" t="s">
        <v>403</v>
      </c>
      <c r="AR35" s="9">
        <v>1962</v>
      </c>
      <c r="AS35" s="10" t="s">
        <v>374</v>
      </c>
      <c r="AT35" s="20" t="s">
        <v>375</v>
      </c>
      <c r="AU35" s="39">
        <v>6011807</v>
      </c>
      <c r="AV35" s="35">
        <f t="shared" si="7"/>
        <v>6.77900502976909</v>
      </c>
      <c r="AW35" s="37" t="s">
        <v>366</v>
      </c>
      <c r="AX35" s="40">
        <v>100</v>
      </c>
      <c r="AY35" s="40">
        <v>600</v>
      </c>
      <c r="AZ35" s="15">
        <v>113</v>
      </c>
      <c r="BA35" s="14">
        <f t="shared" si="8"/>
        <v>2.0530784434834195</v>
      </c>
      <c r="BB35" s="37" t="s">
        <v>367</v>
      </c>
      <c r="BC35" s="20">
        <v>1.9469787915165869E-2</v>
      </c>
      <c r="BD35" s="9">
        <v>28.1</v>
      </c>
      <c r="BE35" s="9" t="s">
        <v>368</v>
      </c>
      <c r="BF35" s="9">
        <v>0</v>
      </c>
    </row>
    <row r="36" spans="1:58">
      <c r="A36" s="9">
        <v>999</v>
      </c>
      <c r="B36" s="20" t="s">
        <v>76</v>
      </c>
      <c r="C36" s="20" t="s">
        <v>369</v>
      </c>
      <c r="D36" s="20" t="s">
        <v>370</v>
      </c>
      <c r="E36" s="20" t="s">
        <v>400</v>
      </c>
      <c r="F36" s="20" t="s">
        <v>369</v>
      </c>
      <c r="G36" s="20" t="s">
        <v>370</v>
      </c>
      <c r="H36" s="20" t="s">
        <v>400</v>
      </c>
      <c r="I36" s="20" t="s">
        <v>369</v>
      </c>
      <c r="J36" s="20" t="s">
        <v>398</v>
      </c>
      <c r="K36" s="20" t="s">
        <v>400</v>
      </c>
      <c r="L36" s="9" t="s">
        <v>352</v>
      </c>
      <c r="M36" s="9">
        <v>3</v>
      </c>
      <c r="N36" s="9" t="s">
        <v>353</v>
      </c>
      <c r="O36" s="9" t="s">
        <v>354</v>
      </c>
      <c r="P36" s="12">
        <v>34.47296</v>
      </c>
      <c r="Q36" s="9" t="s">
        <v>355</v>
      </c>
      <c r="R36" s="9" t="s">
        <v>356</v>
      </c>
      <c r="S36" s="9">
        <v>2</v>
      </c>
      <c r="T36" s="9">
        <v>2</v>
      </c>
      <c r="U36" s="14">
        <f t="shared" si="0"/>
        <v>0.47712125471966244</v>
      </c>
      <c r="V36" s="15">
        <v>23</v>
      </c>
      <c r="W36" s="12">
        <v>6.3885818999999984</v>
      </c>
      <c r="X36" s="9" t="s">
        <v>355</v>
      </c>
      <c r="Y36" s="13" t="s">
        <v>401</v>
      </c>
      <c r="Z36" s="9" t="s">
        <v>359</v>
      </c>
      <c r="AA36" s="10" t="s">
        <v>372</v>
      </c>
      <c r="AB36" s="9" t="s">
        <v>355</v>
      </c>
      <c r="AC36" s="43">
        <v>349</v>
      </c>
      <c r="AD36" s="14">
        <f t="shared" si="1"/>
        <v>2.5428254269591797</v>
      </c>
      <c r="AE36" s="10" t="s">
        <v>402</v>
      </c>
      <c r="AF36" s="44" t="s">
        <v>362</v>
      </c>
      <c r="AG36" s="18">
        <v>43.680533500000003</v>
      </c>
      <c r="AH36" s="7">
        <f t="shared" si="2"/>
        <v>1</v>
      </c>
      <c r="AI36" s="7">
        <f t="shared" si="3"/>
        <v>1</v>
      </c>
      <c r="AJ36" s="7">
        <f t="shared" si="4"/>
        <v>0</v>
      </c>
      <c r="AK36" s="7">
        <f t="shared" si="5"/>
        <v>0</v>
      </c>
      <c r="AL36" s="7" t="s">
        <v>4157</v>
      </c>
      <c r="AM36" s="18">
        <f t="shared" si="6"/>
        <v>1.6402879340623209</v>
      </c>
      <c r="AN36" s="45">
        <v>43.680533500000003</v>
      </c>
      <c r="AO36" s="45">
        <v>-90.082397</v>
      </c>
      <c r="AP36" s="9" t="s">
        <v>402</v>
      </c>
      <c r="AQ36" s="9" t="s">
        <v>403</v>
      </c>
      <c r="AR36" s="9">
        <v>1962</v>
      </c>
      <c r="AS36" s="10" t="s">
        <v>374</v>
      </c>
      <c r="AT36" s="20" t="s">
        <v>375</v>
      </c>
      <c r="AU36" s="39">
        <v>6011807</v>
      </c>
      <c r="AV36" s="35">
        <f t="shared" si="7"/>
        <v>6.77900502976909</v>
      </c>
      <c r="AW36" s="37" t="s">
        <v>366</v>
      </c>
      <c r="AX36" s="40">
        <v>100</v>
      </c>
      <c r="AY36" s="40">
        <v>600</v>
      </c>
      <c r="AZ36" s="15">
        <v>113</v>
      </c>
      <c r="BA36" s="14">
        <f t="shared" si="8"/>
        <v>2.0530784434834195</v>
      </c>
      <c r="BB36" s="37" t="s">
        <v>367</v>
      </c>
      <c r="BC36" s="20">
        <v>1.9469787915165869E-2</v>
      </c>
      <c r="BD36" s="9">
        <v>28.1</v>
      </c>
      <c r="BE36" s="9" t="s">
        <v>368</v>
      </c>
      <c r="BF36" s="9">
        <v>0</v>
      </c>
    </row>
    <row r="37" spans="1:58">
      <c r="A37" s="9">
        <v>1019</v>
      </c>
      <c r="B37" s="20" t="s">
        <v>76</v>
      </c>
      <c r="C37" s="20" t="s">
        <v>369</v>
      </c>
      <c r="D37" s="20" t="s">
        <v>370</v>
      </c>
      <c r="E37" s="20" t="s">
        <v>400</v>
      </c>
      <c r="F37" s="20" t="s">
        <v>369</v>
      </c>
      <c r="G37" s="20" t="s">
        <v>370</v>
      </c>
      <c r="H37" s="20" t="s">
        <v>400</v>
      </c>
      <c r="I37" s="20" t="s">
        <v>369</v>
      </c>
      <c r="J37" s="20" t="s">
        <v>398</v>
      </c>
      <c r="K37" s="20" t="s">
        <v>400</v>
      </c>
      <c r="L37" s="9" t="s">
        <v>352</v>
      </c>
      <c r="M37" s="9">
        <v>3</v>
      </c>
      <c r="N37" s="9" t="s">
        <v>353</v>
      </c>
      <c r="O37" s="9" t="s">
        <v>354</v>
      </c>
      <c r="P37" s="12">
        <v>34.483840000000001</v>
      </c>
      <c r="Q37" s="9" t="s">
        <v>355</v>
      </c>
      <c r="R37" s="9" t="s">
        <v>356</v>
      </c>
      <c r="S37" s="9">
        <v>2</v>
      </c>
      <c r="T37" s="9">
        <v>2</v>
      </c>
      <c r="U37" s="14">
        <f t="shared" si="0"/>
        <v>0.47712125471966244</v>
      </c>
      <c r="V37" s="15">
        <v>23</v>
      </c>
      <c r="W37" s="12">
        <v>6.3994618999999986</v>
      </c>
      <c r="X37" s="9" t="s">
        <v>355</v>
      </c>
      <c r="Y37" s="13" t="s">
        <v>358</v>
      </c>
      <c r="Z37" s="9" t="s">
        <v>359</v>
      </c>
      <c r="AA37" s="10" t="s">
        <v>372</v>
      </c>
      <c r="AB37" s="9" t="s">
        <v>355</v>
      </c>
      <c r="AC37" s="43">
        <v>349</v>
      </c>
      <c r="AD37" s="14">
        <f t="shared" si="1"/>
        <v>2.5428254269591797</v>
      </c>
      <c r="AE37" s="10" t="s">
        <v>402</v>
      </c>
      <c r="AF37" s="44" t="s">
        <v>362</v>
      </c>
      <c r="AG37" s="18">
        <v>43.680533500000003</v>
      </c>
      <c r="AH37" s="7">
        <f t="shared" si="2"/>
        <v>1</v>
      </c>
      <c r="AI37" s="7">
        <f t="shared" si="3"/>
        <v>1</v>
      </c>
      <c r="AJ37" s="7">
        <f t="shared" si="4"/>
        <v>0</v>
      </c>
      <c r="AK37" s="7">
        <f t="shared" si="5"/>
        <v>0</v>
      </c>
      <c r="AL37" s="7" t="s">
        <v>4157</v>
      </c>
      <c r="AM37" s="18">
        <f t="shared" si="6"/>
        <v>1.6402879340623209</v>
      </c>
      <c r="AN37" s="45">
        <v>43.680533500000003</v>
      </c>
      <c r="AO37" s="45">
        <v>-90.082397</v>
      </c>
      <c r="AP37" s="9" t="s">
        <v>402</v>
      </c>
      <c r="AQ37" s="9" t="s">
        <v>403</v>
      </c>
      <c r="AR37" s="9">
        <v>1962</v>
      </c>
      <c r="AS37" s="10" t="s">
        <v>374</v>
      </c>
      <c r="AT37" s="20" t="s">
        <v>375</v>
      </c>
      <c r="AU37" s="39">
        <v>6011807</v>
      </c>
      <c r="AV37" s="35">
        <f t="shared" si="7"/>
        <v>6.77900502976909</v>
      </c>
      <c r="AW37" s="37" t="s">
        <v>366</v>
      </c>
      <c r="AX37" s="40">
        <v>100</v>
      </c>
      <c r="AY37" s="40">
        <v>600</v>
      </c>
      <c r="AZ37" s="15">
        <v>113</v>
      </c>
      <c r="BA37" s="14">
        <f t="shared" si="8"/>
        <v>2.0530784434834195</v>
      </c>
      <c r="BB37" s="37" t="s">
        <v>367</v>
      </c>
      <c r="BC37" s="20">
        <v>1.9469787915165869E-2</v>
      </c>
      <c r="BD37" s="9">
        <v>28.1</v>
      </c>
      <c r="BE37" s="9" t="s">
        <v>368</v>
      </c>
      <c r="BF37" s="9">
        <v>0</v>
      </c>
    </row>
    <row r="38" spans="1:58">
      <c r="A38" s="9">
        <v>1002</v>
      </c>
      <c r="B38" s="20" t="s">
        <v>76</v>
      </c>
      <c r="C38" s="20" t="s">
        <v>369</v>
      </c>
      <c r="D38" s="20" t="s">
        <v>370</v>
      </c>
      <c r="E38" s="20" t="s">
        <v>400</v>
      </c>
      <c r="F38" s="20" t="s">
        <v>369</v>
      </c>
      <c r="G38" s="20" t="s">
        <v>370</v>
      </c>
      <c r="H38" s="20" t="s">
        <v>400</v>
      </c>
      <c r="I38" s="20" t="s">
        <v>369</v>
      </c>
      <c r="J38" s="20" t="s">
        <v>398</v>
      </c>
      <c r="K38" s="20" t="s">
        <v>400</v>
      </c>
      <c r="L38" s="9" t="s">
        <v>352</v>
      </c>
      <c r="M38" s="9">
        <v>3</v>
      </c>
      <c r="N38" s="9" t="s">
        <v>353</v>
      </c>
      <c r="O38" s="9" t="s">
        <v>354</v>
      </c>
      <c r="P38" s="12">
        <v>35.279359999999997</v>
      </c>
      <c r="Q38" s="9" t="s">
        <v>355</v>
      </c>
      <c r="R38" s="9" t="s">
        <v>356</v>
      </c>
      <c r="S38" s="9">
        <v>2</v>
      </c>
      <c r="T38" s="9">
        <v>2</v>
      </c>
      <c r="U38" s="14">
        <f t="shared" si="0"/>
        <v>0.47712125471966244</v>
      </c>
      <c r="V38" s="15">
        <v>29</v>
      </c>
      <c r="W38" s="12">
        <v>6.2576678999999942</v>
      </c>
      <c r="X38" s="9" t="s">
        <v>355</v>
      </c>
      <c r="Y38" s="13" t="s">
        <v>401</v>
      </c>
      <c r="Z38" s="9" t="s">
        <v>359</v>
      </c>
      <c r="AA38" s="10" t="s">
        <v>372</v>
      </c>
      <c r="AB38" s="9" t="s">
        <v>355</v>
      </c>
      <c r="AC38" s="43">
        <v>349</v>
      </c>
      <c r="AD38" s="14">
        <f t="shared" si="1"/>
        <v>2.5428254269591797</v>
      </c>
      <c r="AE38" s="10" t="s">
        <v>402</v>
      </c>
      <c r="AF38" s="44" t="s">
        <v>362</v>
      </c>
      <c r="AG38" s="18">
        <v>43.680533500000003</v>
      </c>
      <c r="AH38" s="7">
        <f t="shared" si="2"/>
        <v>1</v>
      </c>
      <c r="AI38" s="7">
        <f t="shared" si="3"/>
        <v>1</v>
      </c>
      <c r="AJ38" s="7">
        <f t="shared" si="4"/>
        <v>0</v>
      </c>
      <c r="AK38" s="7">
        <f t="shared" si="5"/>
        <v>0</v>
      </c>
      <c r="AL38" s="7" t="s">
        <v>4157</v>
      </c>
      <c r="AM38" s="18">
        <f t="shared" si="6"/>
        <v>1.6402879340623209</v>
      </c>
      <c r="AN38" s="45">
        <v>43.680533500000003</v>
      </c>
      <c r="AO38" s="45">
        <v>-90.082397</v>
      </c>
      <c r="AP38" s="9" t="s">
        <v>402</v>
      </c>
      <c r="AQ38" s="9" t="s">
        <v>403</v>
      </c>
      <c r="AR38" s="9">
        <v>1962</v>
      </c>
      <c r="AS38" s="10" t="s">
        <v>374</v>
      </c>
      <c r="AT38" s="20" t="s">
        <v>375</v>
      </c>
      <c r="AU38" s="39">
        <v>6011807</v>
      </c>
      <c r="AV38" s="35">
        <f t="shared" si="7"/>
        <v>6.77900502976909</v>
      </c>
      <c r="AW38" s="37" t="s">
        <v>366</v>
      </c>
      <c r="AX38" s="40">
        <v>100</v>
      </c>
      <c r="AY38" s="40">
        <v>600</v>
      </c>
      <c r="AZ38" s="15">
        <v>113</v>
      </c>
      <c r="BA38" s="14">
        <f t="shared" si="8"/>
        <v>2.0530784434834195</v>
      </c>
      <c r="BB38" s="37" t="s">
        <v>367</v>
      </c>
      <c r="BC38" s="20">
        <v>1.9469787915165869E-2</v>
      </c>
      <c r="BD38" s="9">
        <v>28.1</v>
      </c>
      <c r="BE38" s="9" t="s">
        <v>368</v>
      </c>
      <c r="BF38" s="9">
        <v>0</v>
      </c>
    </row>
    <row r="39" spans="1:58">
      <c r="A39" s="9">
        <v>832</v>
      </c>
      <c r="B39" s="10" t="s">
        <v>76</v>
      </c>
      <c r="C39" s="10" t="s">
        <v>389</v>
      </c>
      <c r="D39" s="20" t="s">
        <v>415</v>
      </c>
      <c r="E39" s="20" t="s">
        <v>416</v>
      </c>
      <c r="F39" s="10" t="s">
        <v>389</v>
      </c>
      <c r="G39" s="20" t="s">
        <v>415</v>
      </c>
      <c r="H39" s="20" t="s">
        <v>416</v>
      </c>
      <c r="I39" s="10" t="s">
        <v>389</v>
      </c>
      <c r="J39" s="20" t="s">
        <v>415</v>
      </c>
      <c r="K39" s="20" t="s">
        <v>416</v>
      </c>
      <c r="L39" s="9" t="s">
        <v>352</v>
      </c>
      <c r="M39" s="9">
        <v>14</v>
      </c>
      <c r="N39" s="9" t="s">
        <v>381</v>
      </c>
      <c r="O39" s="9" t="s">
        <v>354</v>
      </c>
      <c r="P39" s="12">
        <v>33</v>
      </c>
      <c r="Q39" s="12" t="s">
        <v>355</v>
      </c>
      <c r="R39" s="9" t="s">
        <v>356</v>
      </c>
      <c r="S39" s="13" t="s">
        <v>414</v>
      </c>
      <c r="T39" s="13" t="s">
        <v>414</v>
      </c>
      <c r="U39" s="14">
        <f t="shared" si="0"/>
        <v>0.47712125471966244</v>
      </c>
      <c r="V39" s="15">
        <v>25</v>
      </c>
      <c r="W39" s="12">
        <v>4.8563182000000005</v>
      </c>
      <c r="X39" s="12">
        <v>1</v>
      </c>
      <c r="Y39" s="13" t="s">
        <v>355</v>
      </c>
      <c r="Z39" s="9" t="s">
        <v>417</v>
      </c>
      <c r="AA39" s="10" t="s">
        <v>418</v>
      </c>
      <c r="AB39" s="9" t="s">
        <v>355</v>
      </c>
      <c r="AC39" s="15">
        <v>1494</v>
      </c>
      <c r="AD39" s="14">
        <f t="shared" si="1"/>
        <v>3.1743505974793798</v>
      </c>
      <c r="AE39" s="10" t="s">
        <v>419</v>
      </c>
      <c r="AF39" s="9" t="s">
        <v>420</v>
      </c>
      <c r="AG39" s="18">
        <v>23.6812</v>
      </c>
      <c r="AH39" s="7">
        <f t="shared" si="2"/>
        <v>1</v>
      </c>
      <c r="AI39" s="7">
        <f t="shared" si="3"/>
        <v>0</v>
      </c>
      <c r="AJ39" s="7">
        <f t="shared" si="4"/>
        <v>0</v>
      </c>
      <c r="AK39" s="7">
        <f t="shared" si="5"/>
        <v>0</v>
      </c>
      <c r="AL39" s="7" t="s">
        <v>4159</v>
      </c>
      <c r="AM39" s="18">
        <f t="shared" si="6"/>
        <v>1.3744037056595744</v>
      </c>
      <c r="AN39" s="18">
        <v>-23.6812</v>
      </c>
      <c r="AO39" s="18">
        <v>-64.912199999999999</v>
      </c>
      <c r="AP39" s="9" t="s">
        <v>363</v>
      </c>
      <c r="AQ39" s="9" t="s">
        <v>421</v>
      </c>
      <c r="AR39" s="15">
        <v>2014</v>
      </c>
      <c r="AS39" s="19" t="s">
        <v>422</v>
      </c>
      <c r="AT39" s="46" t="s">
        <v>423</v>
      </c>
      <c r="AU39" s="40">
        <v>34363</v>
      </c>
      <c r="AV39" s="35">
        <f t="shared" si="7"/>
        <v>4.5360910721141261</v>
      </c>
      <c r="AW39" s="37" t="s">
        <v>366</v>
      </c>
      <c r="AX39" s="40">
        <v>700</v>
      </c>
      <c r="AY39" s="40">
        <v>1800</v>
      </c>
      <c r="AZ39" s="15">
        <v>33</v>
      </c>
      <c r="BA39" s="14">
        <f t="shared" si="8"/>
        <v>1.5185139398778875</v>
      </c>
      <c r="BB39" s="37" t="s">
        <v>367</v>
      </c>
      <c r="BC39" s="20">
        <v>4.8459383753498893E-3</v>
      </c>
      <c r="BD39" s="9">
        <v>27.8</v>
      </c>
      <c r="BE39" s="9" t="s">
        <v>368</v>
      </c>
      <c r="BF39" s="9">
        <v>0</v>
      </c>
    </row>
    <row r="40" spans="1:58">
      <c r="A40" s="9">
        <v>831</v>
      </c>
      <c r="B40" s="10" t="s">
        <v>76</v>
      </c>
      <c r="C40" s="10" t="s">
        <v>389</v>
      </c>
      <c r="D40" s="20" t="s">
        <v>415</v>
      </c>
      <c r="E40" s="20" t="s">
        <v>416</v>
      </c>
      <c r="F40" s="10" t="s">
        <v>389</v>
      </c>
      <c r="G40" s="20" t="s">
        <v>415</v>
      </c>
      <c r="H40" s="20" t="s">
        <v>416</v>
      </c>
      <c r="I40" s="10" t="s">
        <v>389</v>
      </c>
      <c r="J40" s="20" t="s">
        <v>415</v>
      </c>
      <c r="K40" s="20" t="s">
        <v>416</v>
      </c>
      <c r="L40" s="9" t="s">
        <v>352</v>
      </c>
      <c r="M40" s="9">
        <v>12</v>
      </c>
      <c r="N40" s="9" t="s">
        <v>381</v>
      </c>
      <c r="O40" s="9" t="s">
        <v>354</v>
      </c>
      <c r="P40" s="12">
        <v>35.5</v>
      </c>
      <c r="Q40" s="12" t="s">
        <v>355</v>
      </c>
      <c r="R40" s="9" t="s">
        <v>356</v>
      </c>
      <c r="S40" s="13" t="s">
        <v>414</v>
      </c>
      <c r="T40" s="13" t="s">
        <v>414</v>
      </c>
      <c r="U40" s="14">
        <f t="shared" si="0"/>
        <v>0.47712125471966244</v>
      </c>
      <c r="V40" s="15">
        <v>25</v>
      </c>
      <c r="W40" s="12">
        <v>8.7907458999999974</v>
      </c>
      <c r="X40" s="12">
        <v>1</v>
      </c>
      <c r="Y40" s="13" t="s">
        <v>355</v>
      </c>
      <c r="Z40" s="9" t="s">
        <v>417</v>
      </c>
      <c r="AA40" s="10" t="s">
        <v>418</v>
      </c>
      <c r="AB40" s="9" t="s">
        <v>355</v>
      </c>
      <c r="AC40" s="15">
        <v>1894</v>
      </c>
      <c r="AD40" s="14">
        <f t="shared" si="1"/>
        <v>3.2773799746672547</v>
      </c>
      <c r="AE40" s="10" t="s">
        <v>424</v>
      </c>
      <c r="AF40" s="9" t="s">
        <v>420</v>
      </c>
      <c r="AG40" s="18">
        <v>24.009699999999999</v>
      </c>
      <c r="AH40" s="7">
        <f t="shared" si="2"/>
        <v>1</v>
      </c>
      <c r="AI40" s="7">
        <f t="shared" si="3"/>
        <v>0</v>
      </c>
      <c r="AJ40" s="7">
        <f t="shared" si="4"/>
        <v>0</v>
      </c>
      <c r="AK40" s="7">
        <f t="shared" si="5"/>
        <v>0</v>
      </c>
      <c r="AL40" s="7" t="s">
        <v>4159</v>
      </c>
      <c r="AM40" s="18">
        <f t="shared" si="6"/>
        <v>1.3803867336031106</v>
      </c>
      <c r="AN40" s="18">
        <v>-24.009699999999999</v>
      </c>
      <c r="AO40" s="18">
        <v>-65.381699999999995</v>
      </c>
      <c r="AP40" s="9" t="s">
        <v>363</v>
      </c>
      <c r="AQ40" s="9" t="s">
        <v>425</v>
      </c>
      <c r="AR40" s="15">
        <v>2014</v>
      </c>
      <c r="AS40" s="19" t="s">
        <v>422</v>
      </c>
      <c r="AT40" s="46" t="s">
        <v>423</v>
      </c>
      <c r="AU40" s="40">
        <v>34363</v>
      </c>
      <c r="AV40" s="35">
        <f t="shared" si="7"/>
        <v>4.5360910721141261</v>
      </c>
      <c r="AW40" s="37" t="s">
        <v>366</v>
      </c>
      <c r="AX40" s="40">
        <v>700</v>
      </c>
      <c r="AY40" s="40">
        <v>1800</v>
      </c>
      <c r="AZ40" s="15">
        <v>33</v>
      </c>
      <c r="BA40" s="14">
        <f t="shared" si="8"/>
        <v>1.5185139398778875</v>
      </c>
      <c r="BB40" s="37" t="s">
        <v>367</v>
      </c>
      <c r="BC40" s="20">
        <v>7.4821928771511923E-3</v>
      </c>
      <c r="BD40" s="9">
        <v>26.1</v>
      </c>
      <c r="BE40" s="9" t="s">
        <v>368</v>
      </c>
      <c r="BF40" s="9">
        <v>0</v>
      </c>
    </row>
    <row r="41" spans="1:58">
      <c r="A41" s="9">
        <v>830</v>
      </c>
      <c r="B41" s="10" t="s">
        <v>76</v>
      </c>
      <c r="C41" s="10" t="s">
        <v>426</v>
      </c>
      <c r="D41" s="20" t="s">
        <v>427</v>
      </c>
      <c r="E41" s="20" t="s">
        <v>428</v>
      </c>
      <c r="F41" s="10" t="s">
        <v>426</v>
      </c>
      <c r="G41" s="20" t="s">
        <v>427</v>
      </c>
      <c r="H41" s="20" t="s">
        <v>429</v>
      </c>
      <c r="I41" s="10" t="s">
        <v>426</v>
      </c>
      <c r="J41" s="20" t="s">
        <v>427</v>
      </c>
      <c r="K41" s="20" t="s">
        <v>428</v>
      </c>
      <c r="L41" s="9" t="s">
        <v>430</v>
      </c>
      <c r="M41" s="9">
        <v>10</v>
      </c>
      <c r="N41" s="9" t="s">
        <v>381</v>
      </c>
      <c r="O41" s="9" t="s">
        <v>354</v>
      </c>
      <c r="P41" s="12">
        <v>42.8</v>
      </c>
      <c r="Q41" s="12" t="s">
        <v>355</v>
      </c>
      <c r="R41" s="9" t="s">
        <v>356</v>
      </c>
      <c r="S41" s="13" t="s">
        <v>414</v>
      </c>
      <c r="T41" s="13" t="s">
        <v>414</v>
      </c>
      <c r="U41" s="14">
        <f t="shared" si="0"/>
        <v>0.47712125471966244</v>
      </c>
      <c r="V41" s="15">
        <v>25</v>
      </c>
      <c r="W41" s="12">
        <v>9.5092540999999997</v>
      </c>
      <c r="X41" s="12">
        <v>1</v>
      </c>
      <c r="Y41" s="13" t="s">
        <v>358</v>
      </c>
      <c r="Z41" s="9" t="s">
        <v>417</v>
      </c>
      <c r="AA41" s="10" t="s">
        <v>418</v>
      </c>
      <c r="AB41" s="9" t="s">
        <v>355</v>
      </c>
      <c r="AC41" s="15">
        <v>547</v>
      </c>
      <c r="AD41" s="14">
        <f t="shared" si="1"/>
        <v>2.7379873263334309</v>
      </c>
      <c r="AE41" s="10" t="s">
        <v>431</v>
      </c>
      <c r="AF41" s="9" t="s">
        <v>420</v>
      </c>
      <c r="AG41" s="18">
        <v>32.13664</v>
      </c>
      <c r="AH41" s="7">
        <f t="shared" si="2"/>
        <v>1</v>
      </c>
      <c r="AI41" s="7">
        <f t="shared" si="3"/>
        <v>1</v>
      </c>
      <c r="AJ41" s="7">
        <f t="shared" si="4"/>
        <v>0</v>
      </c>
      <c r="AK41" s="7">
        <f t="shared" si="5"/>
        <v>0</v>
      </c>
      <c r="AL41" s="7" t="s">
        <v>4157</v>
      </c>
      <c r="AM41" s="18">
        <f t="shared" si="6"/>
        <v>1.5070004677683229</v>
      </c>
      <c r="AN41" s="18">
        <v>-32.13664</v>
      </c>
      <c r="AO41" s="18">
        <v>-68.47587</v>
      </c>
      <c r="AP41" s="9" t="s">
        <v>363</v>
      </c>
      <c r="AQ41" s="9" t="s">
        <v>355</v>
      </c>
      <c r="AR41" s="15">
        <v>2013</v>
      </c>
      <c r="AS41" s="19" t="s">
        <v>432</v>
      </c>
      <c r="AT41" s="20" t="s">
        <v>433</v>
      </c>
      <c r="AU41" s="40">
        <v>412041</v>
      </c>
      <c r="AV41" s="35">
        <f t="shared" si="7"/>
        <v>5.6149404325084626</v>
      </c>
      <c r="AW41" s="37" t="s">
        <v>366</v>
      </c>
      <c r="AX41" s="40">
        <v>150</v>
      </c>
      <c r="AY41" s="40">
        <v>1200</v>
      </c>
      <c r="AZ41" s="15">
        <v>15</v>
      </c>
      <c r="BA41" s="14">
        <f t="shared" si="8"/>
        <v>1.1760912590556813</v>
      </c>
      <c r="BB41" s="37" t="s">
        <v>367</v>
      </c>
      <c r="BC41" s="20">
        <v>6.2741096438576989E-3</v>
      </c>
      <c r="BD41" s="9">
        <v>33.9</v>
      </c>
      <c r="BE41" s="9" t="s">
        <v>368</v>
      </c>
      <c r="BF41" s="9">
        <v>0</v>
      </c>
    </row>
    <row r="42" spans="1:58">
      <c r="A42" s="9">
        <v>1014</v>
      </c>
      <c r="B42" s="20" t="s">
        <v>76</v>
      </c>
      <c r="C42" s="20" t="s">
        <v>369</v>
      </c>
      <c r="D42" s="20" t="s">
        <v>370</v>
      </c>
      <c r="E42" s="20" t="s">
        <v>371</v>
      </c>
      <c r="F42" s="20" t="s">
        <v>369</v>
      </c>
      <c r="G42" s="20" t="s">
        <v>370</v>
      </c>
      <c r="H42" s="20" t="s">
        <v>371</v>
      </c>
      <c r="I42" s="20" t="s">
        <v>369</v>
      </c>
      <c r="J42" s="20" t="s">
        <v>370</v>
      </c>
      <c r="K42" s="20" t="s">
        <v>371</v>
      </c>
      <c r="L42" s="9" t="s">
        <v>352</v>
      </c>
      <c r="M42" s="9">
        <v>3</v>
      </c>
      <c r="N42" s="9" t="s">
        <v>353</v>
      </c>
      <c r="O42" s="9" t="s">
        <v>354</v>
      </c>
      <c r="P42" s="12">
        <v>33.995280000000001</v>
      </c>
      <c r="Q42" s="9" t="s">
        <v>355</v>
      </c>
      <c r="R42" s="9" t="s">
        <v>356</v>
      </c>
      <c r="S42" s="9">
        <v>2</v>
      </c>
      <c r="T42" s="9">
        <v>2</v>
      </c>
      <c r="U42" s="14">
        <f t="shared" si="0"/>
        <v>0.47712125471966244</v>
      </c>
      <c r="V42" s="15">
        <v>23</v>
      </c>
      <c r="W42" s="12">
        <v>7.9359763000000001</v>
      </c>
      <c r="X42" s="9" t="s">
        <v>355</v>
      </c>
      <c r="Y42" s="13" t="s">
        <v>358</v>
      </c>
      <c r="Z42" s="9" t="s">
        <v>359</v>
      </c>
      <c r="AA42" s="10" t="s">
        <v>372</v>
      </c>
      <c r="AB42" s="9" t="s">
        <v>355</v>
      </c>
      <c r="AC42" s="15">
        <v>422</v>
      </c>
      <c r="AD42" s="14">
        <f t="shared" si="1"/>
        <v>2.6253124509616739</v>
      </c>
      <c r="AE42" s="10" t="s">
        <v>373</v>
      </c>
      <c r="AF42" s="9" t="s">
        <v>362</v>
      </c>
      <c r="AG42" s="18">
        <v>42</v>
      </c>
      <c r="AH42" s="7">
        <f t="shared" si="2"/>
        <v>1</v>
      </c>
      <c r="AI42" s="7">
        <f t="shared" si="3"/>
        <v>1</v>
      </c>
      <c r="AJ42" s="7">
        <f t="shared" si="4"/>
        <v>0</v>
      </c>
      <c r="AK42" s="7">
        <f t="shared" si="5"/>
        <v>0</v>
      </c>
      <c r="AL42" s="7" t="s">
        <v>4157</v>
      </c>
      <c r="AM42" s="18">
        <f t="shared" si="6"/>
        <v>1.6232492903979006</v>
      </c>
      <c r="AN42" s="18">
        <v>42</v>
      </c>
      <c r="AO42" s="18">
        <v>-73.134960000000007</v>
      </c>
      <c r="AP42" s="9" t="s">
        <v>363</v>
      </c>
      <c r="AQ42" s="9" t="s">
        <v>355</v>
      </c>
      <c r="AR42" s="9">
        <v>1962</v>
      </c>
      <c r="AS42" s="10" t="s">
        <v>374</v>
      </c>
      <c r="AT42" s="20" t="s">
        <v>375</v>
      </c>
      <c r="AU42" s="39">
        <v>3826484</v>
      </c>
      <c r="AV42" s="35">
        <f t="shared" si="7"/>
        <v>6.5827999017171539</v>
      </c>
      <c r="AW42" s="37" t="s">
        <v>338</v>
      </c>
      <c r="AX42" s="34" t="s">
        <v>355</v>
      </c>
      <c r="AY42" s="40" t="s">
        <v>355</v>
      </c>
      <c r="AZ42" s="15">
        <v>87</v>
      </c>
      <c r="BA42" s="14">
        <f t="shared" si="8"/>
        <v>1.9395192526186185</v>
      </c>
      <c r="BB42" s="41" t="s">
        <v>343</v>
      </c>
      <c r="BC42" s="20">
        <v>2.6780712284914233E-2</v>
      </c>
      <c r="BD42" s="9">
        <v>25.700000000000003</v>
      </c>
      <c r="BE42" s="9" t="s">
        <v>368</v>
      </c>
      <c r="BF42" s="9">
        <v>0</v>
      </c>
    </row>
    <row r="43" spans="1:58">
      <c r="A43" s="9">
        <v>1034</v>
      </c>
      <c r="B43" s="20" t="s">
        <v>76</v>
      </c>
      <c r="C43" s="20" t="s">
        <v>389</v>
      </c>
      <c r="D43" s="20" t="s">
        <v>390</v>
      </c>
      <c r="E43" s="20" t="s">
        <v>404</v>
      </c>
      <c r="F43" s="20" t="s">
        <v>389</v>
      </c>
      <c r="G43" s="20" t="s">
        <v>390</v>
      </c>
      <c r="H43" s="20" t="s">
        <v>404</v>
      </c>
      <c r="I43" s="20" t="s">
        <v>389</v>
      </c>
      <c r="J43" s="20" t="s">
        <v>405</v>
      </c>
      <c r="K43" s="20" t="s">
        <v>406</v>
      </c>
      <c r="L43" s="9" t="s">
        <v>352</v>
      </c>
      <c r="M43" s="9">
        <v>3</v>
      </c>
      <c r="N43" s="9" t="s">
        <v>353</v>
      </c>
      <c r="O43" s="9" t="s">
        <v>354</v>
      </c>
      <c r="P43" s="12">
        <v>40.991289999999999</v>
      </c>
      <c r="Q43" s="9" t="s">
        <v>355</v>
      </c>
      <c r="R43" s="9" t="s">
        <v>356</v>
      </c>
      <c r="S43" s="9">
        <v>2</v>
      </c>
      <c r="T43" s="9">
        <v>2</v>
      </c>
      <c r="U43" s="14">
        <f t="shared" si="0"/>
        <v>0.47712125471966244</v>
      </c>
      <c r="V43" s="15">
        <v>38</v>
      </c>
      <c r="W43" s="12">
        <v>7.7791496000000002</v>
      </c>
      <c r="X43" s="9" t="s">
        <v>355</v>
      </c>
      <c r="Y43" s="13" t="s">
        <v>401</v>
      </c>
      <c r="Z43" s="9" t="s">
        <v>359</v>
      </c>
      <c r="AA43" s="10" t="s">
        <v>372</v>
      </c>
      <c r="AB43" s="9" t="s">
        <v>355</v>
      </c>
      <c r="AC43" s="15">
        <v>57</v>
      </c>
      <c r="AD43" s="14">
        <f t="shared" si="1"/>
        <v>1.7558748556724915</v>
      </c>
      <c r="AE43" s="10" t="s">
        <v>407</v>
      </c>
      <c r="AF43" s="9" t="s">
        <v>408</v>
      </c>
      <c r="AG43" s="18">
        <v>9.1521019999999993</v>
      </c>
      <c r="AH43" s="7">
        <f t="shared" si="2"/>
        <v>0</v>
      </c>
      <c r="AI43" s="7">
        <f t="shared" si="3"/>
        <v>0</v>
      </c>
      <c r="AJ43" s="7">
        <f t="shared" si="4"/>
        <v>0</v>
      </c>
      <c r="AK43" s="7">
        <f t="shared" si="5"/>
        <v>0</v>
      </c>
      <c r="AL43" s="7" t="s">
        <v>4160</v>
      </c>
      <c r="AM43" s="18">
        <f t="shared" si="6"/>
        <v>0.96152085167953272</v>
      </c>
      <c r="AN43" s="18">
        <v>9.1521019999999993</v>
      </c>
      <c r="AO43" s="18">
        <v>-79.84648</v>
      </c>
      <c r="AP43" s="9" t="s">
        <v>363</v>
      </c>
      <c r="AQ43" s="9" t="s">
        <v>355</v>
      </c>
      <c r="AR43" s="9">
        <v>1962</v>
      </c>
      <c r="AS43" s="10" t="s">
        <v>374</v>
      </c>
      <c r="AT43" s="20" t="s">
        <v>375</v>
      </c>
      <c r="AU43" s="39">
        <v>11320528</v>
      </c>
      <c r="AV43" s="35">
        <f t="shared" si="7"/>
        <v>7.0538666832249381</v>
      </c>
      <c r="AW43" s="37" t="s">
        <v>338</v>
      </c>
      <c r="AX43" s="40">
        <v>0</v>
      </c>
      <c r="AY43" s="40">
        <v>2200</v>
      </c>
      <c r="AZ43" s="15">
        <v>146</v>
      </c>
      <c r="BA43" s="14">
        <f t="shared" si="8"/>
        <v>2.1643528557844371</v>
      </c>
      <c r="BB43" s="37" t="s">
        <v>367</v>
      </c>
      <c r="BC43" s="20">
        <v>6.6782713085232533E-3</v>
      </c>
      <c r="BD43" s="9">
        <v>31.400000000000002</v>
      </c>
      <c r="BE43" s="9" t="s">
        <v>368</v>
      </c>
      <c r="BF43" s="9">
        <v>0</v>
      </c>
    </row>
    <row r="44" spans="1:58">
      <c r="A44" s="9">
        <v>1028</v>
      </c>
      <c r="B44" s="20" t="s">
        <v>76</v>
      </c>
      <c r="C44" s="20" t="s">
        <v>411</v>
      </c>
      <c r="D44" s="20" t="s">
        <v>412</v>
      </c>
      <c r="E44" s="20" t="s">
        <v>413</v>
      </c>
      <c r="F44" s="20" t="s">
        <v>411</v>
      </c>
      <c r="G44" s="20" t="s">
        <v>412</v>
      </c>
      <c r="H44" s="20" t="s">
        <v>413</v>
      </c>
      <c r="I44" s="20" t="s">
        <v>411</v>
      </c>
      <c r="J44" s="20" t="s">
        <v>412</v>
      </c>
      <c r="K44" s="20" t="s">
        <v>413</v>
      </c>
      <c r="L44" s="9" t="s">
        <v>352</v>
      </c>
      <c r="M44" s="9">
        <v>3</v>
      </c>
      <c r="N44" s="9" t="s">
        <v>353</v>
      </c>
      <c r="O44" s="9" t="s">
        <v>354</v>
      </c>
      <c r="P44" s="12">
        <v>33.986190000000001</v>
      </c>
      <c r="Q44" s="9" t="s">
        <v>355</v>
      </c>
      <c r="R44" s="9" t="s">
        <v>356</v>
      </c>
      <c r="S44" s="9">
        <v>2</v>
      </c>
      <c r="T44" s="9">
        <v>2</v>
      </c>
      <c r="U44" s="14">
        <f t="shared" si="0"/>
        <v>0.47712125471966244</v>
      </c>
      <c r="V44" s="15">
        <v>23</v>
      </c>
      <c r="W44" s="12">
        <v>7.9268862999999996</v>
      </c>
      <c r="X44" s="9" t="s">
        <v>355</v>
      </c>
      <c r="Y44" s="13" t="s">
        <v>358</v>
      </c>
      <c r="Z44" s="9" t="s">
        <v>359</v>
      </c>
      <c r="AA44" s="10" t="s">
        <v>372</v>
      </c>
      <c r="AB44" s="9" t="s">
        <v>355</v>
      </c>
      <c r="AC44" s="15">
        <v>422</v>
      </c>
      <c r="AD44" s="14">
        <f t="shared" si="1"/>
        <v>2.6253124509616739</v>
      </c>
      <c r="AE44" s="10" t="s">
        <v>373</v>
      </c>
      <c r="AF44" s="9" t="s">
        <v>362</v>
      </c>
      <c r="AG44" s="18">
        <v>42</v>
      </c>
      <c r="AH44" s="7">
        <f t="shared" si="2"/>
        <v>1</v>
      </c>
      <c r="AI44" s="7">
        <f t="shared" si="3"/>
        <v>1</v>
      </c>
      <c r="AJ44" s="7">
        <f t="shared" si="4"/>
        <v>0</v>
      </c>
      <c r="AK44" s="7">
        <f t="shared" si="5"/>
        <v>0</v>
      </c>
      <c r="AL44" s="7" t="s">
        <v>4157</v>
      </c>
      <c r="AM44" s="18">
        <f t="shared" si="6"/>
        <v>1.6232492903979006</v>
      </c>
      <c r="AN44" s="18">
        <v>42</v>
      </c>
      <c r="AO44" s="18">
        <v>-73.134960000000007</v>
      </c>
      <c r="AP44" s="9" t="s">
        <v>363</v>
      </c>
      <c r="AQ44" s="9" t="s">
        <v>355</v>
      </c>
      <c r="AR44" s="9">
        <v>1962</v>
      </c>
      <c r="AS44" s="10" t="s">
        <v>374</v>
      </c>
      <c r="AT44" s="20" t="s">
        <v>375</v>
      </c>
      <c r="AU44" s="39">
        <v>1122385</v>
      </c>
      <c r="AV44" s="35">
        <f t="shared" si="7"/>
        <v>6.0501418539747238</v>
      </c>
      <c r="AW44" s="37" t="s">
        <v>366</v>
      </c>
      <c r="AX44" s="34" t="s">
        <v>355</v>
      </c>
      <c r="AY44" s="40" t="s">
        <v>355</v>
      </c>
      <c r="AZ44" s="15">
        <v>55</v>
      </c>
      <c r="BA44" s="14">
        <f t="shared" si="8"/>
        <v>1.7403626894942439</v>
      </c>
      <c r="BB44" s="37" t="s">
        <v>367</v>
      </c>
      <c r="BC44" s="20">
        <v>2.6780712284914233E-2</v>
      </c>
      <c r="BD44" s="9">
        <v>25.700000000000003</v>
      </c>
      <c r="BE44" s="9" t="s">
        <v>368</v>
      </c>
      <c r="BF44" s="9">
        <v>0</v>
      </c>
    </row>
    <row r="45" spans="1:58">
      <c r="A45" s="9">
        <v>774</v>
      </c>
      <c r="B45" s="10" t="s">
        <v>348</v>
      </c>
      <c r="C45" s="10" t="s">
        <v>377</v>
      </c>
      <c r="D45" s="20" t="s">
        <v>378</v>
      </c>
      <c r="E45" s="20" t="s">
        <v>379</v>
      </c>
      <c r="F45" s="10" t="s">
        <v>377</v>
      </c>
      <c r="G45" s="20" t="s">
        <v>378</v>
      </c>
      <c r="H45" s="20" t="s">
        <v>379</v>
      </c>
      <c r="I45" s="10" t="s">
        <v>377</v>
      </c>
      <c r="J45" s="20" t="s">
        <v>378</v>
      </c>
      <c r="K45" s="20" t="s">
        <v>379</v>
      </c>
      <c r="L45" s="9" t="s">
        <v>380</v>
      </c>
      <c r="M45" s="9">
        <v>15</v>
      </c>
      <c r="N45" s="9" t="s">
        <v>381</v>
      </c>
      <c r="O45" s="9" t="s">
        <v>382</v>
      </c>
      <c r="P45" s="12">
        <v>33.453020000000002</v>
      </c>
      <c r="Q45" s="12" t="s">
        <v>355</v>
      </c>
      <c r="R45" s="9" t="s">
        <v>356</v>
      </c>
      <c r="S45" s="13" t="s">
        <v>434</v>
      </c>
      <c r="T45" s="13" t="s">
        <v>434</v>
      </c>
      <c r="U45" s="14">
        <f t="shared" si="0"/>
        <v>0.6020599913279624</v>
      </c>
      <c r="V45" s="15">
        <v>1.8</v>
      </c>
      <c r="W45" s="12"/>
      <c r="X45" s="12">
        <v>1</v>
      </c>
      <c r="Y45" s="13" t="s">
        <v>384</v>
      </c>
      <c r="Z45" s="9" t="s">
        <v>359</v>
      </c>
      <c r="AA45" s="10" t="s">
        <v>372</v>
      </c>
      <c r="AB45" s="9" t="s">
        <v>355</v>
      </c>
      <c r="AC45" s="15">
        <v>689</v>
      </c>
      <c r="AD45" s="14">
        <f t="shared" si="1"/>
        <v>2.8382192219076257</v>
      </c>
      <c r="AE45" s="10" t="s">
        <v>385</v>
      </c>
      <c r="AF45" s="9" t="s">
        <v>362</v>
      </c>
      <c r="AG45" s="18">
        <v>40.841022000000002</v>
      </c>
      <c r="AH45" s="7">
        <f t="shared" si="2"/>
        <v>1</v>
      </c>
      <c r="AI45" s="7">
        <f t="shared" si="3"/>
        <v>1</v>
      </c>
      <c r="AJ45" s="7">
        <f t="shared" si="4"/>
        <v>0</v>
      </c>
      <c r="AK45" s="7">
        <f t="shared" si="5"/>
        <v>0</v>
      </c>
      <c r="AL45" s="7" t="s">
        <v>4157</v>
      </c>
      <c r="AM45" s="18">
        <f t="shared" si="6"/>
        <v>1.6110966012749866</v>
      </c>
      <c r="AN45" s="18">
        <v>40.841022000000002</v>
      </c>
      <c r="AO45" s="18">
        <v>-99.101349999999996</v>
      </c>
      <c r="AP45" s="9" t="s">
        <v>363</v>
      </c>
      <c r="AQ45" s="9" t="s">
        <v>355</v>
      </c>
      <c r="AR45" s="15">
        <v>1980</v>
      </c>
      <c r="AS45" s="19" t="s">
        <v>386</v>
      </c>
      <c r="AT45" s="20" t="s">
        <v>387</v>
      </c>
      <c r="AU45" s="34">
        <v>4317635</v>
      </c>
      <c r="AV45" s="35">
        <f t="shared" si="7"/>
        <v>6.6352459255882987</v>
      </c>
      <c r="AW45" s="36" t="s">
        <v>366</v>
      </c>
      <c r="AX45" s="34">
        <v>0</v>
      </c>
      <c r="AY45" s="34">
        <v>3660</v>
      </c>
      <c r="AZ45" s="36">
        <v>265</v>
      </c>
      <c r="BA45" s="14">
        <f t="shared" si="8"/>
        <v>2.4232458739368079</v>
      </c>
      <c r="BB45" s="36" t="s">
        <v>388</v>
      </c>
      <c r="BC45" s="20">
        <v>2.1618647458982974E-2</v>
      </c>
      <c r="BD45" s="9">
        <v>31</v>
      </c>
      <c r="BE45" s="9" t="s">
        <v>368</v>
      </c>
      <c r="BF45" s="9">
        <v>0</v>
      </c>
    </row>
    <row r="46" spans="1:58">
      <c r="A46" s="9">
        <v>770</v>
      </c>
      <c r="B46" s="10" t="s">
        <v>348</v>
      </c>
      <c r="C46" s="10" t="s">
        <v>377</v>
      </c>
      <c r="D46" s="20" t="s">
        <v>378</v>
      </c>
      <c r="E46" s="20" t="s">
        <v>379</v>
      </c>
      <c r="F46" s="10" t="s">
        <v>377</v>
      </c>
      <c r="G46" s="20" t="s">
        <v>378</v>
      </c>
      <c r="H46" s="20" t="s">
        <v>379</v>
      </c>
      <c r="I46" s="10" t="s">
        <v>377</v>
      </c>
      <c r="J46" s="20" t="s">
        <v>378</v>
      </c>
      <c r="K46" s="20" t="s">
        <v>379</v>
      </c>
      <c r="L46" s="9" t="s">
        <v>380</v>
      </c>
      <c r="M46" s="9">
        <v>15</v>
      </c>
      <c r="N46" s="9" t="s">
        <v>381</v>
      </c>
      <c r="O46" s="9" t="s">
        <v>382</v>
      </c>
      <c r="P46" s="12">
        <v>38.326782000000001</v>
      </c>
      <c r="Q46" s="12" t="s">
        <v>355</v>
      </c>
      <c r="R46" s="9" t="s">
        <v>356</v>
      </c>
      <c r="S46" s="13" t="s">
        <v>434</v>
      </c>
      <c r="T46" s="13" t="s">
        <v>434</v>
      </c>
      <c r="U46" s="14">
        <f t="shared" si="0"/>
        <v>0.6020599913279624</v>
      </c>
      <c r="V46" s="15">
        <v>27.9</v>
      </c>
      <c r="W46" s="12"/>
      <c r="X46" s="12">
        <v>1</v>
      </c>
      <c r="Y46" s="13" t="s">
        <v>384</v>
      </c>
      <c r="Z46" s="9" t="s">
        <v>359</v>
      </c>
      <c r="AA46" s="10" t="s">
        <v>372</v>
      </c>
      <c r="AB46" s="9" t="s">
        <v>355</v>
      </c>
      <c r="AC46" s="15">
        <v>689</v>
      </c>
      <c r="AD46" s="14">
        <f t="shared" si="1"/>
        <v>2.8382192219076257</v>
      </c>
      <c r="AE46" s="10" t="s">
        <v>385</v>
      </c>
      <c r="AF46" s="9" t="s">
        <v>362</v>
      </c>
      <c r="AG46" s="18">
        <v>40.841022000000002</v>
      </c>
      <c r="AH46" s="7">
        <f t="shared" si="2"/>
        <v>1</v>
      </c>
      <c r="AI46" s="7">
        <f t="shared" si="3"/>
        <v>1</v>
      </c>
      <c r="AJ46" s="7">
        <f t="shared" si="4"/>
        <v>0</v>
      </c>
      <c r="AK46" s="7">
        <f t="shared" si="5"/>
        <v>0</v>
      </c>
      <c r="AL46" s="7" t="s">
        <v>4157</v>
      </c>
      <c r="AM46" s="18">
        <f t="shared" si="6"/>
        <v>1.6110966012749866</v>
      </c>
      <c r="AN46" s="18">
        <v>40.841022000000002</v>
      </c>
      <c r="AO46" s="18">
        <v>-99.101349999999996</v>
      </c>
      <c r="AP46" s="9" t="s">
        <v>363</v>
      </c>
      <c r="AQ46" s="9" t="s">
        <v>355</v>
      </c>
      <c r="AR46" s="15">
        <v>1980</v>
      </c>
      <c r="AS46" s="19" t="s">
        <v>386</v>
      </c>
      <c r="AT46" s="20" t="s">
        <v>387</v>
      </c>
      <c r="AU46" s="34">
        <v>4317635</v>
      </c>
      <c r="AV46" s="35">
        <f t="shared" si="7"/>
        <v>6.6352459255882987</v>
      </c>
      <c r="AW46" s="36" t="s">
        <v>366</v>
      </c>
      <c r="AX46" s="34">
        <v>0</v>
      </c>
      <c r="AY46" s="34">
        <v>3660</v>
      </c>
      <c r="AZ46" s="36">
        <v>265</v>
      </c>
      <c r="BA46" s="14">
        <f t="shared" si="8"/>
        <v>2.4232458739368079</v>
      </c>
      <c r="BB46" s="36" t="s">
        <v>388</v>
      </c>
      <c r="BC46" s="20">
        <v>2.1618647458982974E-2</v>
      </c>
      <c r="BD46" s="9">
        <v>31</v>
      </c>
      <c r="BE46" s="9" t="s">
        <v>368</v>
      </c>
      <c r="BF46" s="9">
        <v>0</v>
      </c>
    </row>
    <row r="47" spans="1:58">
      <c r="A47" s="9">
        <v>506</v>
      </c>
      <c r="B47" s="10" t="s">
        <v>76</v>
      </c>
      <c r="C47" s="10" t="s">
        <v>389</v>
      </c>
      <c r="D47" s="20" t="s">
        <v>390</v>
      </c>
      <c r="E47" s="20" t="s">
        <v>435</v>
      </c>
      <c r="F47" s="10" t="s">
        <v>389</v>
      </c>
      <c r="G47" s="20" t="s">
        <v>390</v>
      </c>
      <c r="H47" s="20" t="s">
        <v>435</v>
      </c>
      <c r="I47" s="10" t="s">
        <v>389</v>
      </c>
      <c r="J47" s="20" t="s">
        <v>392</v>
      </c>
      <c r="K47" s="20" t="s">
        <v>435</v>
      </c>
      <c r="L47" s="9" t="s">
        <v>380</v>
      </c>
      <c r="M47" s="9">
        <v>10</v>
      </c>
      <c r="N47" s="9" t="s">
        <v>381</v>
      </c>
      <c r="O47" s="9" t="s">
        <v>382</v>
      </c>
      <c r="P47" s="12">
        <v>39.859229999999997</v>
      </c>
      <c r="Q47" s="12" t="s">
        <v>355</v>
      </c>
      <c r="R47" s="9" t="s">
        <v>356</v>
      </c>
      <c r="S47" s="13">
        <v>3</v>
      </c>
      <c r="T47" s="13">
        <v>3</v>
      </c>
      <c r="U47" s="14">
        <f t="shared" si="0"/>
        <v>0.6020599913279624</v>
      </c>
      <c r="V47" s="15">
        <v>30</v>
      </c>
      <c r="W47" s="12"/>
      <c r="X47" s="12">
        <v>0.7</v>
      </c>
      <c r="Y47" s="13" t="s">
        <v>358</v>
      </c>
      <c r="Z47" s="9" t="s">
        <v>359</v>
      </c>
      <c r="AA47" s="10" t="s">
        <v>436</v>
      </c>
      <c r="AB47" s="9" t="s">
        <v>355</v>
      </c>
      <c r="AC47" s="15">
        <v>213</v>
      </c>
      <c r="AD47" s="14">
        <f t="shared" si="1"/>
        <v>2.3283796034387376</v>
      </c>
      <c r="AE47" s="10" t="s">
        <v>437</v>
      </c>
      <c r="AF47" s="9" t="s">
        <v>420</v>
      </c>
      <c r="AG47" s="18">
        <v>34.683438000000002</v>
      </c>
      <c r="AH47" s="7">
        <f t="shared" si="2"/>
        <v>1</v>
      </c>
      <c r="AI47" s="7">
        <f t="shared" si="3"/>
        <v>1</v>
      </c>
      <c r="AJ47" s="7">
        <f t="shared" si="4"/>
        <v>0</v>
      </c>
      <c r="AK47" s="7">
        <f t="shared" si="5"/>
        <v>0</v>
      </c>
      <c r="AL47" s="7" t="s">
        <v>4157</v>
      </c>
      <c r="AM47" s="18">
        <f t="shared" si="6"/>
        <v>1.5401221404311698</v>
      </c>
      <c r="AN47" s="18">
        <v>34.683438000000002</v>
      </c>
      <c r="AO47" s="18">
        <v>-82.837365000000005</v>
      </c>
      <c r="AP47" s="9" t="s">
        <v>363</v>
      </c>
      <c r="AQ47" s="9" t="s">
        <v>438</v>
      </c>
      <c r="AR47" s="15">
        <v>1980</v>
      </c>
      <c r="AS47" s="19" t="s">
        <v>439</v>
      </c>
      <c r="AT47" s="20" t="s">
        <v>440</v>
      </c>
      <c r="AU47" s="40">
        <v>5638611</v>
      </c>
      <c r="AV47" s="35">
        <f t="shared" si="7"/>
        <v>6.7511721342441762</v>
      </c>
      <c r="AW47" s="37" t="s">
        <v>366</v>
      </c>
      <c r="AX47" s="34" t="s">
        <v>355</v>
      </c>
      <c r="AY47" s="40" t="s">
        <v>355</v>
      </c>
      <c r="AZ47" s="36">
        <v>113</v>
      </c>
      <c r="BA47" s="14">
        <f t="shared" si="8"/>
        <v>2.0530784434834195</v>
      </c>
      <c r="BB47" s="37" t="s">
        <v>367</v>
      </c>
      <c r="BC47" s="20">
        <v>1.137454981992851E-2</v>
      </c>
      <c r="BD47" s="9">
        <v>32</v>
      </c>
      <c r="BE47" s="9" t="s">
        <v>368</v>
      </c>
      <c r="BF47" s="9">
        <v>0</v>
      </c>
    </row>
    <row r="48" spans="1:58">
      <c r="A48" s="9">
        <v>505</v>
      </c>
      <c r="B48" s="10" t="s">
        <v>76</v>
      </c>
      <c r="C48" s="10" t="s">
        <v>389</v>
      </c>
      <c r="D48" s="20" t="s">
        <v>390</v>
      </c>
      <c r="E48" s="20" t="s">
        <v>435</v>
      </c>
      <c r="F48" s="10" t="s">
        <v>389</v>
      </c>
      <c r="G48" s="20" t="s">
        <v>390</v>
      </c>
      <c r="H48" s="20" t="s">
        <v>435</v>
      </c>
      <c r="I48" s="10" t="s">
        <v>389</v>
      </c>
      <c r="J48" s="20" t="s">
        <v>392</v>
      </c>
      <c r="K48" s="20" t="s">
        <v>435</v>
      </c>
      <c r="L48" s="9" t="s">
        <v>380</v>
      </c>
      <c r="M48" s="9">
        <v>10</v>
      </c>
      <c r="N48" s="9" t="s">
        <v>381</v>
      </c>
      <c r="O48" s="9" t="s">
        <v>382</v>
      </c>
      <c r="P48" s="12">
        <v>40.893709999999999</v>
      </c>
      <c r="Q48" s="12" t="s">
        <v>355</v>
      </c>
      <c r="R48" s="9" t="s">
        <v>356</v>
      </c>
      <c r="S48" s="13">
        <v>3</v>
      </c>
      <c r="T48" s="13">
        <v>3</v>
      </c>
      <c r="U48" s="14">
        <f t="shared" si="0"/>
        <v>0.6020599913279624</v>
      </c>
      <c r="V48" s="15">
        <v>30</v>
      </c>
      <c r="W48" s="12"/>
      <c r="X48" s="12">
        <v>0.7</v>
      </c>
      <c r="Y48" s="13" t="s">
        <v>358</v>
      </c>
      <c r="Z48" s="9" t="s">
        <v>359</v>
      </c>
      <c r="AA48" s="10" t="s">
        <v>436</v>
      </c>
      <c r="AB48" s="9" t="s">
        <v>355</v>
      </c>
      <c r="AC48" s="15">
        <v>213</v>
      </c>
      <c r="AD48" s="14">
        <f t="shared" si="1"/>
        <v>2.3283796034387376</v>
      </c>
      <c r="AE48" s="10" t="s">
        <v>437</v>
      </c>
      <c r="AF48" s="9" t="s">
        <v>420</v>
      </c>
      <c r="AG48" s="18">
        <v>34.683438000000002</v>
      </c>
      <c r="AH48" s="7">
        <f t="shared" si="2"/>
        <v>1</v>
      </c>
      <c r="AI48" s="7">
        <f t="shared" si="3"/>
        <v>1</v>
      </c>
      <c r="AJ48" s="7">
        <f t="shared" si="4"/>
        <v>0</v>
      </c>
      <c r="AK48" s="7">
        <f t="shared" si="5"/>
        <v>0</v>
      </c>
      <c r="AL48" s="7" t="s">
        <v>4157</v>
      </c>
      <c r="AM48" s="18">
        <f t="shared" si="6"/>
        <v>1.5401221404311698</v>
      </c>
      <c r="AN48" s="18">
        <v>34.683438000000002</v>
      </c>
      <c r="AO48" s="18">
        <v>-82.837365000000005</v>
      </c>
      <c r="AP48" s="9" t="s">
        <v>363</v>
      </c>
      <c r="AQ48" s="9" t="s">
        <v>441</v>
      </c>
      <c r="AR48" s="15">
        <v>1980</v>
      </c>
      <c r="AS48" s="19" t="s">
        <v>439</v>
      </c>
      <c r="AT48" s="20" t="s">
        <v>440</v>
      </c>
      <c r="AU48" s="40">
        <v>5638611</v>
      </c>
      <c r="AV48" s="35">
        <f t="shared" si="7"/>
        <v>6.7511721342441762</v>
      </c>
      <c r="AW48" s="37" t="s">
        <v>366</v>
      </c>
      <c r="AX48" s="34" t="s">
        <v>355</v>
      </c>
      <c r="AY48" s="40" t="s">
        <v>355</v>
      </c>
      <c r="AZ48" s="36">
        <v>113</v>
      </c>
      <c r="BA48" s="14">
        <f t="shared" si="8"/>
        <v>2.0530784434834195</v>
      </c>
      <c r="BB48" s="37" t="s">
        <v>367</v>
      </c>
      <c r="BC48" s="20">
        <v>1.137454981992851E-2</v>
      </c>
      <c r="BD48" s="9">
        <v>32</v>
      </c>
      <c r="BE48" s="9" t="s">
        <v>368</v>
      </c>
      <c r="BF48" s="9">
        <v>0</v>
      </c>
    </row>
    <row r="49" spans="1:58">
      <c r="A49" s="9">
        <v>500</v>
      </c>
      <c r="B49" s="10" t="s">
        <v>76</v>
      </c>
      <c r="C49" s="10" t="s">
        <v>389</v>
      </c>
      <c r="D49" s="20" t="s">
        <v>390</v>
      </c>
      <c r="E49" s="20" t="s">
        <v>435</v>
      </c>
      <c r="F49" s="10" t="s">
        <v>389</v>
      </c>
      <c r="G49" s="20" t="s">
        <v>390</v>
      </c>
      <c r="H49" s="20" t="s">
        <v>435</v>
      </c>
      <c r="I49" s="10" t="s">
        <v>389</v>
      </c>
      <c r="J49" s="20" t="s">
        <v>392</v>
      </c>
      <c r="K49" s="20" t="s">
        <v>435</v>
      </c>
      <c r="L49" s="9" t="s">
        <v>380</v>
      </c>
      <c r="M49" s="9">
        <v>10</v>
      </c>
      <c r="N49" s="9" t="s">
        <v>381</v>
      </c>
      <c r="O49" s="9" t="s">
        <v>382</v>
      </c>
      <c r="P49" s="12">
        <v>41.373269999999998</v>
      </c>
      <c r="Q49" s="12" t="s">
        <v>355</v>
      </c>
      <c r="R49" s="9" t="s">
        <v>356</v>
      </c>
      <c r="S49" s="13">
        <v>3</v>
      </c>
      <c r="T49" s="13">
        <v>3</v>
      </c>
      <c r="U49" s="14">
        <f t="shared" si="0"/>
        <v>0.6020599913279624</v>
      </c>
      <c r="V49" s="15">
        <v>30</v>
      </c>
      <c r="W49" s="12"/>
      <c r="X49" s="12">
        <v>0.7</v>
      </c>
      <c r="Y49" s="13" t="s">
        <v>358</v>
      </c>
      <c r="Z49" s="9" t="s">
        <v>359</v>
      </c>
      <c r="AA49" s="10" t="s">
        <v>436</v>
      </c>
      <c r="AB49" s="9" t="s">
        <v>355</v>
      </c>
      <c r="AC49" s="15">
        <v>213</v>
      </c>
      <c r="AD49" s="14">
        <f t="shared" si="1"/>
        <v>2.3283796034387376</v>
      </c>
      <c r="AE49" s="10" t="s">
        <v>437</v>
      </c>
      <c r="AF49" s="9" t="s">
        <v>420</v>
      </c>
      <c r="AG49" s="18">
        <v>34.683438000000002</v>
      </c>
      <c r="AH49" s="7">
        <f t="shared" si="2"/>
        <v>1</v>
      </c>
      <c r="AI49" s="7">
        <f t="shared" si="3"/>
        <v>1</v>
      </c>
      <c r="AJ49" s="7">
        <f t="shared" si="4"/>
        <v>0</v>
      </c>
      <c r="AK49" s="7">
        <f t="shared" si="5"/>
        <v>0</v>
      </c>
      <c r="AL49" s="7" t="s">
        <v>4157</v>
      </c>
      <c r="AM49" s="18">
        <f t="shared" si="6"/>
        <v>1.5401221404311698</v>
      </c>
      <c r="AN49" s="18">
        <v>34.683438000000002</v>
      </c>
      <c r="AO49" s="18">
        <v>-82.837365000000005</v>
      </c>
      <c r="AP49" s="9" t="s">
        <v>363</v>
      </c>
      <c r="AQ49" s="9" t="s">
        <v>442</v>
      </c>
      <c r="AR49" s="15">
        <v>1980</v>
      </c>
      <c r="AS49" s="19" t="s">
        <v>439</v>
      </c>
      <c r="AT49" s="20" t="s">
        <v>440</v>
      </c>
      <c r="AU49" s="40">
        <v>5638611</v>
      </c>
      <c r="AV49" s="35">
        <f t="shared" si="7"/>
        <v>6.7511721342441762</v>
      </c>
      <c r="AW49" s="37" t="s">
        <v>366</v>
      </c>
      <c r="AX49" s="34" t="s">
        <v>355</v>
      </c>
      <c r="AY49" s="40" t="s">
        <v>355</v>
      </c>
      <c r="AZ49" s="36">
        <v>113</v>
      </c>
      <c r="BA49" s="14">
        <f t="shared" si="8"/>
        <v>2.0530784434834195</v>
      </c>
      <c r="BB49" s="37" t="s">
        <v>367</v>
      </c>
      <c r="BC49" s="20">
        <v>1.137454981992851E-2</v>
      </c>
      <c r="BD49" s="9">
        <v>32</v>
      </c>
      <c r="BE49" s="9" t="s">
        <v>368</v>
      </c>
      <c r="BF49" s="9">
        <v>0</v>
      </c>
    </row>
    <row r="50" spans="1:58">
      <c r="A50" s="9">
        <v>504</v>
      </c>
      <c r="B50" s="10" t="s">
        <v>76</v>
      </c>
      <c r="C50" s="10" t="s">
        <v>389</v>
      </c>
      <c r="D50" s="20" t="s">
        <v>390</v>
      </c>
      <c r="E50" s="20" t="s">
        <v>435</v>
      </c>
      <c r="F50" s="10" t="s">
        <v>389</v>
      </c>
      <c r="G50" s="20" t="s">
        <v>390</v>
      </c>
      <c r="H50" s="20" t="s">
        <v>435</v>
      </c>
      <c r="I50" s="10" t="s">
        <v>389</v>
      </c>
      <c r="J50" s="20" t="s">
        <v>392</v>
      </c>
      <c r="K50" s="20" t="s">
        <v>435</v>
      </c>
      <c r="L50" s="9" t="s">
        <v>380</v>
      </c>
      <c r="M50" s="9">
        <v>10</v>
      </c>
      <c r="N50" s="9" t="s">
        <v>381</v>
      </c>
      <c r="O50" s="9" t="s">
        <v>382</v>
      </c>
      <c r="P50" s="12">
        <v>41.634909999999998</v>
      </c>
      <c r="Q50" s="12" t="s">
        <v>355</v>
      </c>
      <c r="R50" s="9" t="s">
        <v>356</v>
      </c>
      <c r="S50" s="13">
        <v>3</v>
      </c>
      <c r="T50" s="13">
        <v>3</v>
      </c>
      <c r="U50" s="14">
        <f t="shared" si="0"/>
        <v>0.6020599913279624</v>
      </c>
      <c r="V50" s="15">
        <v>30</v>
      </c>
      <c r="W50" s="12"/>
      <c r="X50" s="12">
        <v>0.7</v>
      </c>
      <c r="Y50" s="13" t="s">
        <v>358</v>
      </c>
      <c r="Z50" s="9" t="s">
        <v>359</v>
      </c>
      <c r="AA50" s="10" t="s">
        <v>436</v>
      </c>
      <c r="AB50" s="9" t="s">
        <v>355</v>
      </c>
      <c r="AC50" s="15">
        <v>213</v>
      </c>
      <c r="AD50" s="14">
        <f t="shared" si="1"/>
        <v>2.3283796034387376</v>
      </c>
      <c r="AE50" s="10" t="s">
        <v>437</v>
      </c>
      <c r="AF50" s="9" t="s">
        <v>420</v>
      </c>
      <c r="AG50" s="18">
        <v>34.683438000000002</v>
      </c>
      <c r="AH50" s="7">
        <f t="shared" si="2"/>
        <v>1</v>
      </c>
      <c r="AI50" s="7">
        <f t="shared" si="3"/>
        <v>1</v>
      </c>
      <c r="AJ50" s="7">
        <f t="shared" si="4"/>
        <v>0</v>
      </c>
      <c r="AK50" s="7">
        <f t="shared" si="5"/>
        <v>0</v>
      </c>
      <c r="AL50" s="7" t="s">
        <v>4157</v>
      </c>
      <c r="AM50" s="18">
        <f t="shared" si="6"/>
        <v>1.5401221404311698</v>
      </c>
      <c r="AN50" s="18">
        <v>34.683438000000002</v>
      </c>
      <c r="AO50" s="18">
        <v>-82.837365000000005</v>
      </c>
      <c r="AP50" s="9" t="s">
        <v>363</v>
      </c>
      <c r="AQ50" s="9" t="s">
        <v>443</v>
      </c>
      <c r="AR50" s="15">
        <v>1980</v>
      </c>
      <c r="AS50" s="19" t="s">
        <v>439</v>
      </c>
      <c r="AT50" s="20" t="s">
        <v>440</v>
      </c>
      <c r="AU50" s="40">
        <v>5638611</v>
      </c>
      <c r="AV50" s="35">
        <f t="shared" si="7"/>
        <v>6.7511721342441762</v>
      </c>
      <c r="AW50" s="37" t="s">
        <v>366</v>
      </c>
      <c r="AX50" s="34" t="s">
        <v>355</v>
      </c>
      <c r="AY50" s="40" t="s">
        <v>355</v>
      </c>
      <c r="AZ50" s="36">
        <v>113</v>
      </c>
      <c r="BA50" s="14">
        <f t="shared" si="8"/>
        <v>2.0530784434834195</v>
      </c>
      <c r="BB50" s="37" t="s">
        <v>367</v>
      </c>
      <c r="BC50" s="20">
        <v>1.137454981992851E-2</v>
      </c>
      <c r="BD50" s="9">
        <v>32</v>
      </c>
      <c r="BE50" s="9" t="s">
        <v>368</v>
      </c>
      <c r="BF50" s="9">
        <v>0</v>
      </c>
    </row>
    <row r="51" spans="1:58">
      <c r="A51" s="9">
        <v>503</v>
      </c>
      <c r="B51" s="10" t="s">
        <v>76</v>
      </c>
      <c r="C51" s="10" t="s">
        <v>389</v>
      </c>
      <c r="D51" s="20" t="s">
        <v>390</v>
      </c>
      <c r="E51" s="20" t="s">
        <v>435</v>
      </c>
      <c r="F51" s="10" t="s">
        <v>389</v>
      </c>
      <c r="G51" s="20" t="s">
        <v>390</v>
      </c>
      <c r="H51" s="20" t="s">
        <v>435</v>
      </c>
      <c r="I51" s="10" t="s">
        <v>389</v>
      </c>
      <c r="J51" s="20" t="s">
        <v>392</v>
      </c>
      <c r="K51" s="20" t="s">
        <v>435</v>
      </c>
      <c r="L51" s="9" t="s">
        <v>380</v>
      </c>
      <c r="M51" s="9">
        <v>10</v>
      </c>
      <c r="N51" s="9" t="s">
        <v>381</v>
      </c>
      <c r="O51" s="9" t="s">
        <v>382</v>
      </c>
      <c r="P51" s="12">
        <v>41.86918</v>
      </c>
      <c r="Q51" s="12" t="s">
        <v>355</v>
      </c>
      <c r="R51" s="9" t="s">
        <v>356</v>
      </c>
      <c r="S51" s="13">
        <v>3</v>
      </c>
      <c r="T51" s="13">
        <v>3</v>
      </c>
      <c r="U51" s="14">
        <f t="shared" si="0"/>
        <v>0.6020599913279624</v>
      </c>
      <c r="V51" s="15">
        <v>30</v>
      </c>
      <c r="W51" s="12"/>
      <c r="X51" s="12">
        <v>0.7</v>
      </c>
      <c r="Y51" s="13" t="s">
        <v>358</v>
      </c>
      <c r="Z51" s="9" t="s">
        <v>359</v>
      </c>
      <c r="AA51" s="10" t="s">
        <v>436</v>
      </c>
      <c r="AB51" s="9" t="s">
        <v>355</v>
      </c>
      <c r="AC51" s="15">
        <v>213</v>
      </c>
      <c r="AD51" s="14">
        <f t="shared" si="1"/>
        <v>2.3283796034387376</v>
      </c>
      <c r="AE51" s="10" t="s">
        <v>437</v>
      </c>
      <c r="AF51" s="9" t="s">
        <v>420</v>
      </c>
      <c r="AG51" s="18">
        <v>34.683438000000002</v>
      </c>
      <c r="AH51" s="7">
        <f t="shared" si="2"/>
        <v>1</v>
      </c>
      <c r="AI51" s="7">
        <f t="shared" si="3"/>
        <v>1</v>
      </c>
      <c r="AJ51" s="7">
        <f t="shared" si="4"/>
        <v>0</v>
      </c>
      <c r="AK51" s="7">
        <f t="shared" si="5"/>
        <v>0</v>
      </c>
      <c r="AL51" s="7" t="s">
        <v>4157</v>
      </c>
      <c r="AM51" s="18">
        <f t="shared" si="6"/>
        <v>1.5401221404311698</v>
      </c>
      <c r="AN51" s="18">
        <v>34.683438000000002</v>
      </c>
      <c r="AO51" s="18">
        <v>-82.837365000000005</v>
      </c>
      <c r="AP51" s="9" t="s">
        <v>363</v>
      </c>
      <c r="AQ51" s="9" t="s">
        <v>444</v>
      </c>
      <c r="AR51" s="15">
        <v>1980</v>
      </c>
      <c r="AS51" s="19" t="s">
        <v>439</v>
      </c>
      <c r="AT51" s="20" t="s">
        <v>440</v>
      </c>
      <c r="AU51" s="40">
        <v>5638611</v>
      </c>
      <c r="AV51" s="35">
        <f t="shared" si="7"/>
        <v>6.7511721342441762</v>
      </c>
      <c r="AW51" s="37" t="s">
        <v>366</v>
      </c>
      <c r="AX51" s="34" t="s">
        <v>355</v>
      </c>
      <c r="AY51" s="40" t="s">
        <v>355</v>
      </c>
      <c r="AZ51" s="36">
        <v>113</v>
      </c>
      <c r="BA51" s="14">
        <f t="shared" si="8"/>
        <v>2.0530784434834195</v>
      </c>
      <c r="BB51" s="37" t="s">
        <v>367</v>
      </c>
      <c r="BC51" s="20">
        <v>1.137454981992851E-2</v>
      </c>
      <c r="BD51" s="9">
        <v>32</v>
      </c>
      <c r="BE51" s="9" t="s">
        <v>368</v>
      </c>
      <c r="BF51" s="9">
        <v>0</v>
      </c>
    </row>
    <row r="52" spans="1:58">
      <c r="A52" s="9">
        <v>501</v>
      </c>
      <c r="B52" s="10" t="s">
        <v>76</v>
      </c>
      <c r="C52" s="10" t="s">
        <v>389</v>
      </c>
      <c r="D52" s="20" t="s">
        <v>390</v>
      </c>
      <c r="E52" s="20" t="s">
        <v>435</v>
      </c>
      <c r="F52" s="10" t="s">
        <v>389</v>
      </c>
      <c r="G52" s="20" t="s">
        <v>390</v>
      </c>
      <c r="H52" s="20" t="s">
        <v>435</v>
      </c>
      <c r="I52" s="10" t="s">
        <v>389</v>
      </c>
      <c r="J52" s="20" t="s">
        <v>392</v>
      </c>
      <c r="K52" s="20" t="s">
        <v>435</v>
      </c>
      <c r="L52" s="9" t="s">
        <v>380</v>
      </c>
      <c r="M52" s="9">
        <v>10</v>
      </c>
      <c r="N52" s="9" t="s">
        <v>381</v>
      </c>
      <c r="O52" s="9" t="s">
        <v>382</v>
      </c>
      <c r="P52" s="12">
        <v>42.071449999999999</v>
      </c>
      <c r="Q52" s="12" t="s">
        <v>355</v>
      </c>
      <c r="R52" s="9" t="s">
        <v>356</v>
      </c>
      <c r="S52" s="13">
        <v>3</v>
      </c>
      <c r="T52" s="13">
        <v>3</v>
      </c>
      <c r="U52" s="14">
        <f t="shared" si="0"/>
        <v>0.6020599913279624</v>
      </c>
      <c r="V52" s="15">
        <v>30</v>
      </c>
      <c r="W52" s="12"/>
      <c r="X52" s="12">
        <v>0.7</v>
      </c>
      <c r="Y52" s="13" t="s">
        <v>358</v>
      </c>
      <c r="Z52" s="9" t="s">
        <v>359</v>
      </c>
      <c r="AA52" s="10" t="s">
        <v>436</v>
      </c>
      <c r="AB52" s="9" t="s">
        <v>355</v>
      </c>
      <c r="AC52" s="15">
        <v>213</v>
      </c>
      <c r="AD52" s="14">
        <f t="shared" si="1"/>
        <v>2.3283796034387376</v>
      </c>
      <c r="AE52" s="10" t="s">
        <v>437</v>
      </c>
      <c r="AF52" s="9" t="s">
        <v>420</v>
      </c>
      <c r="AG52" s="18">
        <v>34.683438000000002</v>
      </c>
      <c r="AH52" s="7">
        <f t="shared" si="2"/>
        <v>1</v>
      </c>
      <c r="AI52" s="7">
        <f t="shared" si="3"/>
        <v>1</v>
      </c>
      <c r="AJ52" s="7">
        <f t="shared" si="4"/>
        <v>0</v>
      </c>
      <c r="AK52" s="7">
        <f t="shared" si="5"/>
        <v>0</v>
      </c>
      <c r="AL52" s="7" t="s">
        <v>4157</v>
      </c>
      <c r="AM52" s="18">
        <f t="shared" si="6"/>
        <v>1.5401221404311698</v>
      </c>
      <c r="AN52" s="18">
        <v>34.683438000000002</v>
      </c>
      <c r="AO52" s="18">
        <v>-82.837365000000005</v>
      </c>
      <c r="AP52" s="9" t="s">
        <v>363</v>
      </c>
      <c r="AQ52" s="9" t="s">
        <v>445</v>
      </c>
      <c r="AR52" s="15">
        <v>1980</v>
      </c>
      <c r="AS52" s="19" t="s">
        <v>439</v>
      </c>
      <c r="AT52" s="20" t="s">
        <v>440</v>
      </c>
      <c r="AU52" s="40">
        <v>5638611</v>
      </c>
      <c r="AV52" s="35">
        <f t="shared" si="7"/>
        <v>6.7511721342441762</v>
      </c>
      <c r="AW52" s="37" t="s">
        <v>366</v>
      </c>
      <c r="AX52" s="34" t="s">
        <v>355</v>
      </c>
      <c r="AY52" s="40" t="s">
        <v>355</v>
      </c>
      <c r="AZ52" s="36">
        <v>113</v>
      </c>
      <c r="BA52" s="14">
        <f t="shared" si="8"/>
        <v>2.0530784434834195</v>
      </c>
      <c r="BB52" s="37" t="s">
        <v>367</v>
      </c>
      <c r="BC52" s="20">
        <v>1.137454981992851E-2</v>
      </c>
      <c r="BD52" s="9">
        <v>32</v>
      </c>
      <c r="BE52" s="9" t="s">
        <v>368</v>
      </c>
      <c r="BF52" s="9">
        <v>0</v>
      </c>
    </row>
    <row r="53" spans="1:58">
      <c r="A53" s="9">
        <v>502</v>
      </c>
      <c r="B53" s="10" t="s">
        <v>76</v>
      </c>
      <c r="C53" s="10" t="s">
        <v>389</v>
      </c>
      <c r="D53" s="20" t="s">
        <v>390</v>
      </c>
      <c r="E53" s="20" t="s">
        <v>435</v>
      </c>
      <c r="F53" s="10" t="s">
        <v>389</v>
      </c>
      <c r="G53" s="20" t="s">
        <v>390</v>
      </c>
      <c r="H53" s="20" t="s">
        <v>435</v>
      </c>
      <c r="I53" s="10" t="s">
        <v>389</v>
      </c>
      <c r="J53" s="20" t="s">
        <v>392</v>
      </c>
      <c r="K53" s="20" t="s">
        <v>435</v>
      </c>
      <c r="L53" s="9" t="s">
        <v>380</v>
      </c>
      <c r="M53" s="9">
        <v>10</v>
      </c>
      <c r="N53" s="9" t="s">
        <v>381</v>
      </c>
      <c r="O53" s="9" t="s">
        <v>382</v>
      </c>
      <c r="P53" s="12">
        <v>42.103810000000003</v>
      </c>
      <c r="Q53" s="12" t="s">
        <v>355</v>
      </c>
      <c r="R53" s="9" t="s">
        <v>356</v>
      </c>
      <c r="S53" s="13">
        <v>3</v>
      </c>
      <c r="T53" s="13">
        <v>3</v>
      </c>
      <c r="U53" s="14">
        <f t="shared" si="0"/>
        <v>0.6020599913279624</v>
      </c>
      <c r="V53" s="15">
        <v>30</v>
      </c>
      <c r="W53" s="12"/>
      <c r="X53" s="12">
        <v>0.7</v>
      </c>
      <c r="Y53" s="13" t="s">
        <v>358</v>
      </c>
      <c r="Z53" s="9" t="s">
        <v>359</v>
      </c>
      <c r="AA53" s="10" t="s">
        <v>436</v>
      </c>
      <c r="AB53" s="9" t="s">
        <v>355</v>
      </c>
      <c r="AC53" s="15">
        <v>213</v>
      </c>
      <c r="AD53" s="14">
        <f t="shared" si="1"/>
        <v>2.3283796034387376</v>
      </c>
      <c r="AE53" s="10" t="s">
        <v>437</v>
      </c>
      <c r="AF53" s="9" t="s">
        <v>420</v>
      </c>
      <c r="AG53" s="18">
        <v>34.683438000000002</v>
      </c>
      <c r="AH53" s="7">
        <f t="shared" si="2"/>
        <v>1</v>
      </c>
      <c r="AI53" s="7">
        <f t="shared" si="3"/>
        <v>1</v>
      </c>
      <c r="AJ53" s="7">
        <f t="shared" si="4"/>
        <v>0</v>
      </c>
      <c r="AK53" s="7">
        <f t="shared" si="5"/>
        <v>0</v>
      </c>
      <c r="AL53" s="7" t="s">
        <v>4157</v>
      </c>
      <c r="AM53" s="18">
        <f t="shared" si="6"/>
        <v>1.5401221404311698</v>
      </c>
      <c r="AN53" s="18">
        <v>34.683438000000002</v>
      </c>
      <c r="AO53" s="18">
        <v>-82.837365000000005</v>
      </c>
      <c r="AP53" s="9" t="s">
        <v>363</v>
      </c>
      <c r="AQ53" s="9" t="s">
        <v>446</v>
      </c>
      <c r="AR53" s="15">
        <v>1980</v>
      </c>
      <c r="AS53" s="19" t="s">
        <v>439</v>
      </c>
      <c r="AT53" s="20" t="s">
        <v>440</v>
      </c>
      <c r="AU53" s="40">
        <v>5638611</v>
      </c>
      <c r="AV53" s="35">
        <f t="shared" si="7"/>
        <v>6.7511721342441762</v>
      </c>
      <c r="AW53" s="37" t="s">
        <v>366</v>
      </c>
      <c r="AX53" s="34" t="s">
        <v>355</v>
      </c>
      <c r="AY53" s="40" t="s">
        <v>355</v>
      </c>
      <c r="AZ53" s="36">
        <v>113</v>
      </c>
      <c r="BA53" s="14">
        <f t="shared" si="8"/>
        <v>2.0530784434834195</v>
      </c>
      <c r="BB53" s="37" t="s">
        <v>367</v>
      </c>
      <c r="BC53" s="20">
        <v>1.137454981992851E-2</v>
      </c>
      <c r="BD53" s="9">
        <v>32</v>
      </c>
      <c r="BE53" s="9" t="s">
        <v>368</v>
      </c>
      <c r="BF53" s="9">
        <v>0</v>
      </c>
    </row>
    <row r="54" spans="1:58">
      <c r="A54" s="9">
        <v>536</v>
      </c>
      <c r="B54" s="10" t="s">
        <v>76</v>
      </c>
      <c r="C54" s="10" t="s">
        <v>389</v>
      </c>
      <c r="D54" s="20" t="s">
        <v>390</v>
      </c>
      <c r="E54" s="20" t="s">
        <v>447</v>
      </c>
      <c r="F54" s="10" t="s">
        <v>389</v>
      </c>
      <c r="G54" s="20" t="s">
        <v>390</v>
      </c>
      <c r="H54" s="20" t="s">
        <v>447</v>
      </c>
      <c r="I54" s="10" t="s">
        <v>389</v>
      </c>
      <c r="J54" s="20" t="s">
        <v>392</v>
      </c>
      <c r="K54" s="20" t="s">
        <v>447</v>
      </c>
      <c r="L54" s="9" t="s">
        <v>380</v>
      </c>
      <c r="M54" s="9">
        <v>10</v>
      </c>
      <c r="N54" s="9" t="s">
        <v>381</v>
      </c>
      <c r="O54" s="9" t="s">
        <v>382</v>
      </c>
      <c r="P54" s="12">
        <v>40.971850000000003</v>
      </c>
      <c r="Q54" s="12" t="s">
        <v>355</v>
      </c>
      <c r="R54" s="9" t="s">
        <v>356</v>
      </c>
      <c r="S54" s="13">
        <v>3</v>
      </c>
      <c r="T54" s="13">
        <v>3</v>
      </c>
      <c r="U54" s="14">
        <f t="shared" si="0"/>
        <v>0.6020599913279624</v>
      </c>
      <c r="V54" s="15">
        <v>30</v>
      </c>
      <c r="W54" s="12"/>
      <c r="X54" s="12">
        <v>0.7</v>
      </c>
      <c r="Y54" s="13" t="s">
        <v>358</v>
      </c>
      <c r="Z54" s="9" t="s">
        <v>359</v>
      </c>
      <c r="AA54" s="10" t="s">
        <v>436</v>
      </c>
      <c r="AB54" s="9" t="s">
        <v>355</v>
      </c>
      <c r="AC54" s="15">
        <v>213</v>
      </c>
      <c r="AD54" s="14">
        <f t="shared" si="1"/>
        <v>2.3283796034387376</v>
      </c>
      <c r="AE54" s="10" t="s">
        <v>437</v>
      </c>
      <c r="AF54" s="9" t="s">
        <v>420</v>
      </c>
      <c r="AG54" s="18">
        <v>34.683438000000002</v>
      </c>
      <c r="AH54" s="7">
        <f t="shared" si="2"/>
        <v>1</v>
      </c>
      <c r="AI54" s="7">
        <f t="shared" si="3"/>
        <v>1</v>
      </c>
      <c r="AJ54" s="7">
        <f t="shared" si="4"/>
        <v>0</v>
      </c>
      <c r="AK54" s="7">
        <f t="shared" si="5"/>
        <v>0</v>
      </c>
      <c r="AL54" s="7" t="s">
        <v>4157</v>
      </c>
      <c r="AM54" s="18">
        <f t="shared" si="6"/>
        <v>1.5401221404311698</v>
      </c>
      <c r="AN54" s="18">
        <v>34.683438000000002</v>
      </c>
      <c r="AO54" s="18">
        <v>-82.837365000000005</v>
      </c>
      <c r="AP54" s="9" t="s">
        <v>363</v>
      </c>
      <c r="AQ54" s="9" t="s">
        <v>438</v>
      </c>
      <c r="AR54" s="15">
        <v>1980</v>
      </c>
      <c r="AS54" s="19" t="s">
        <v>439</v>
      </c>
      <c r="AT54" s="20" t="s">
        <v>440</v>
      </c>
      <c r="AU54" s="40">
        <v>3240610</v>
      </c>
      <c r="AV54" s="35">
        <f t="shared" si="7"/>
        <v>6.5106267678296579</v>
      </c>
      <c r="AW54" s="41" t="s">
        <v>366</v>
      </c>
      <c r="AX54" s="34" t="s">
        <v>355</v>
      </c>
      <c r="AY54" s="40" t="s">
        <v>355</v>
      </c>
      <c r="AZ54" s="36">
        <v>87</v>
      </c>
      <c r="BA54" s="14">
        <f t="shared" si="8"/>
        <v>1.9395192526186185</v>
      </c>
      <c r="BB54" s="37" t="s">
        <v>367</v>
      </c>
      <c r="BC54" s="20">
        <v>1.137454981992851E-2</v>
      </c>
      <c r="BD54" s="9">
        <v>32</v>
      </c>
      <c r="BE54" s="9" t="s">
        <v>368</v>
      </c>
      <c r="BF54" s="9">
        <v>0</v>
      </c>
    </row>
    <row r="55" spans="1:58">
      <c r="A55" s="9">
        <v>529</v>
      </c>
      <c r="B55" s="10" t="s">
        <v>76</v>
      </c>
      <c r="C55" s="10" t="s">
        <v>389</v>
      </c>
      <c r="D55" s="20" t="s">
        <v>390</v>
      </c>
      <c r="E55" s="20" t="s">
        <v>447</v>
      </c>
      <c r="F55" s="10" t="s">
        <v>389</v>
      </c>
      <c r="G55" s="20" t="s">
        <v>390</v>
      </c>
      <c r="H55" s="20" t="s">
        <v>447</v>
      </c>
      <c r="I55" s="10" t="s">
        <v>389</v>
      </c>
      <c r="J55" s="20" t="s">
        <v>392</v>
      </c>
      <c r="K55" s="20" t="s">
        <v>447</v>
      </c>
      <c r="L55" s="9" t="s">
        <v>380</v>
      </c>
      <c r="M55" s="9">
        <v>10</v>
      </c>
      <c r="N55" s="9" t="s">
        <v>381</v>
      </c>
      <c r="O55" s="9" t="s">
        <v>382</v>
      </c>
      <c r="P55" s="12">
        <v>41.450629999999997</v>
      </c>
      <c r="Q55" s="12" t="s">
        <v>355</v>
      </c>
      <c r="R55" s="9" t="s">
        <v>356</v>
      </c>
      <c r="S55" s="13">
        <v>3</v>
      </c>
      <c r="T55" s="13">
        <v>3</v>
      </c>
      <c r="U55" s="14">
        <f t="shared" si="0"/>
        <v>0.6020599913279624</v>
      </c>
      <c r="V55" s="15">
        <v>30</v>
      </c>
      <c r="W55" s="12"/>
      <c r="X55" s="12">
        <v>0.7</v>
      </c>
      <c r="Y55" s="13" t="s">
        <v>358</v>
      </c>
      <c r="Z55" s="9" t="s">
        <v>359</v>
      </c>
      <c r="AA55" s="10" t="s">
        <v>436</v>
      </c>
      <c r="AB55" s="9" t="s">
        <v>355</v>
      </c>
      <c r="AC55" s="15">
        <v>213</v>
      </c>
      <c r="AD55" s="14">
        <f t="shared" si="1"/>
        <v>2.3283796034387376</v>
      </c>
      <c r="AE55" s="10" t="s">
        <v>437</v>
      </c>
      <c r="AF55" s="9" t="s">
        <v>420</v>
      </c>
      <c r="AG55" s="18">
        <v>34.683438000000002</v>
      </c>
      <c r="AH55" s="7">
        <f t="shared" si="2"/>
        <v>1</v>
      </c>
      <c r="AI55" s="7">
        <f t="shared" si="3"/>
        <v>1</v>
      </c>
      <c r="AJ55" s="7">
        <f t="shared" si="4"/>
        <v>0</v>
      </c>
      <c r="AK55" s="7">
        <f t="shared" si="5"/>
        <v>0</v>
      </c>
      <c r="AL55" s="7" t="s">
        <v>4157</v>
      </c>
      <c r="AM55" s="18">
        <f t="shared" si="6"/>
        <v>1.5401221404311698</v>
      </c>
      <c r="AN55" s="18">
        <v>34.683438000000002</v>
      </c>
      <c r="AO55" s="18">
        <v>-82.837365000000005</v>
      </c>
      <c r="AP55" s="9" t="s">
        <v>363</v>
      </c>
      <c r="AQ55" s="9" t="s">
        <v>448</v>
      </c>
      <c r="AR55" s="15">
        <v>1980</v>
      </c>
      <c r="AS55" s="19" t="s">
        <v>439</v>
      </c>
      <c r="AT55" s="20" t="s">
        <v>440</v>
      </c>
      <c r="AU55" s="40">
        <v>3240610</v>
      </c>
      <c r="AV55" s="35">
        <f t="shared" si="7"/>
        <v>6.5106267678296579</v>
      </c>
      <c r="AW55" s="41" t="s">
        <v>366</v>
      </c>
      <c r="AX55" s="34" t="s">
        <v>355</v>
      </c>
      <c r="AY55" s="40" t="s">
        <v>355</v>
      </c>
      <c r="AZ55" s="36">
        <v>87</v>
      </c>
      <c r="BA55" s="14">
        <f t="shared" si="8"/>
        <v>1.9395192526186185</v>
      </c>
      <c r="BB55" s="37" t="s">
        <v>367</v>
      </c>
      <c r="BC55" s="20">
        <v>1.137454981992851E-2</v>
      </c>
      <c r="BD55" s="9">
        <v>32</v>
      </c>
      <c r="BE55" s="9" t="s">
        <v>368</v>
      </c>
      <c r="BF55" s="9">
        <v>0</v>
      </c>
    </row>
    <row r="56" spans="1:58">
      <c r="A56" s="9">
        <v>535</v>
      </c>
      <c r="B56" s="10" t="s">
        <v>76</v>
      </c>
      <c r="C56" s="10" t="s">
        <v>389</v>
      </c>
      <c r="D56" s="20" t="s">
        <v>390</v>
      </c>
      <c r="E56" s="20" t="s">
        <v>447</v>
      </c>
      <c r="F56" s="10" t="s">
        <v>389</v>
      </c>
      <c r="G56" s="20" t="s">
        <v>390</v>
      </c>
      <c r="H56" s="20" t="s">
        <v>447</v>
      </c>
      <c r="I56" s="10" t="s">
        <v>389</v>
      </c>
      <c r="J56" s="20" t="s">
        <v>392</v>
      </c>
      <c r="K56" s="20" t="s">
        <v>447</v>
      </c>
      <c r="L56" s="9" t="s">
        <v>380</v>
      </c>
      <c r="M56" s="9">
        <v>9</v>
      </c>
      <c r="N56" s="9" t="s">
        <v>353</v>
      </c>
      <c r="O56" s="9" t="s">
        <v>382</v>
      </c>
      <c r="P56" s="12">
        <v>41.694189999999999</v>
      </c>
      <c r="Q56" s="12" t="s">
        <v>355</v>
      </c>
      <c r="R56" s="9" t="s">
        <v>356</v>
      </c>
      <c r="S56" s="13">
        <v>3</v>
      </c>
      <c r="T56" s="13">
        <v>3</v>
      </c>
      <c r="U56" s="14">
        <f t="shared" si="0"/>
        <v>0.6020599913279624</v>
      </c>
      <c r="V56" s="15">
        <v>30</v>
      </c>
      <c r="W56" s="12"/>
      <c r="X56" s="12">
        <v>0.7</v>
      </c>
      <c r="Y56" s="13" t="s">
        <v>358</v>
      </c>
      <c r="Z56" s="9" t="s">
        <v>359</v>
      </c>
      <c r="AA56" s="10" t="s">
        <v>436</v>
      </c>
      <c r="AB56" s="9" t="s">
        <v>355</v>
      </c>
      <c r="AC56" s="15">
        <v>213</v>
      </c>
      <c r="AD56" s="14">
        <f t="shared" si="1"/>
        <v>2.3283796034387376</v>
      </c>
      <c r="AE56" s="10" t="s">
        <v>437</v>
      </c>
      <c r="AF56" s="9" t="s">
        <v>420</v>
      </c>
      <c r="AG56" s="18">
        <v>34.683438000000002</v>
      </c>
      <c r="AH56" s="7">
        <f t="shared" si="2"/>
        <v>1</v>
      </c>
      <c r="AI56" s="7">
        <f t="shared" si="3"/>
        <v>1</v>
      </c>
      <c r="AJ56" s="7">
        <f t="shared" si="4"/>
        <v>0</v>
      </c>
      <c r="AK56" s="7">
        <f t="shared" si="5"/>
        <v>0</v>
      </c>
      <c r="AL56" s="7" t="s">
        <v>4157</v>
      </c>
      <c r="AM56" s="18">
        <f t="shared" si="6"/>
        <v>1.5401221404311698</v>
      </c>
      <c r="AN56" s="18">
        <v>34.683438000000002</v>
      </c>
      <c r="AO56" s="18">
        <v>-82.837365000000005</v>
      </c>
      <c r="AP56" s="9" t="s">
        <v>363</v>
      </c>
      <c r="AQ56" s="9" t="s">
        <v>441</v>
      </c>
      <c r="AR56" s="15">
        <v>1980</v>
      </c>
      <c r="AS56" s="19" t="s">
        <v>439</v>
      </c>
      <c r="AT56" s="20" t="s">
        <v>440</v>
      </c>
      <c r="AU56" s="40">
        <v>3240610</v>
      </c>
      <c r="AV56" s="35">
        <f t="shared" si="7"/>
        <v>6.5106267678296579</v>
      </c>
      <c r="AW56" s="41" t="s">
        <v>366</v>
      </c>
      <c r="AX56" s="34" t="s">
        <v>355</v>
      </c>
      <c r="AY56" s="40" t="s">
        <v>355</v>
      </c>
      <c r="AZ56" s="36">
        <v>87</v>
      </c>
      <c r="BA56" s="14">
        <f t="shared" si="8"/>
        <v>1.9395192526186185</v>
      </c>
      <c r="BB56" s="37" t="s">
        <v>367</v>
      </c>
      <c r="BC56" s="20">
        <v>1.137454981992851E-2</v>
      </c>
      <c r="BD56" s="9">
        <v>32</v>
      </c>
      <c r="BE56" s="9" t="s">
        <v>368</v>
      </c>
      <c r="BF56" s="9">
        <v>0</v>
      </c>
    </row>
    <row r="57" spans="1:58">
      <c r="A57" s="9">
        <v>530</v>
      </c>
      <c r="B57" s="10" t="s">
        <v>76</v>
      </c>
      <c r="C57" s="10" t="s">
        <v>389</v>
      </c>
      <c r="D57" s="20" t="s">
        <v>390</v>
      </c>
      <c r="E57" s="20" t="s">
        <v>447</v>
      </c>
      <c r="F57" s="10" t="s">
        <v>389</v>
      </c>
      <c r="G57" s="20" t="s">
        <v>390</v>
      </c>
      <c r="H57" s="20" t="s">
        <v>447</v>
      </c>
      <c r="I57" s="10" t="s">
        <v>389</v>
      </c>
      <c r="J57" s="20" t="s">
        <v>392</v>
      </c>
      <c r="K57" s="20" t="s">
        <v>447</v>
      </c>
      <c r="L57" s="9" t="s">
        <v>380</v>
      </c>
      <c r="M57" s="9">
        <v>9</v>
      </c>
      <c r="N57" s="9" t="s">
        <v>353</v>
      </c>
      <c r="O57" s="9" t="s">
        <v>382</v>
      </c>
      <c r="P57" s="12">
        <v>42.228149999999999</v>
      </c>
      <c r="Q57" s="12" t="s">
        <v>355</v>
      </c>
      <c r="R57" s="9" t="s">
        <v>356</v>
      </c>
      <c r="S57" s="13">
        <v>3</v>
      </c>
      <c r="T57" s="13">
        <v>3</v>
      </c>
      <c r="U57" s="14">
        <f t="shared" si="0"/>
        <v>0.6020599913279624</v>
      </c>
      <c r="V57" s="15">
        <v>30</v>
      </c>
      <c r="W57" s="12"/>
      <c r="X57" s="12">
        <v>0.7</v>
      </c>
      <c r="Y57" s="13" t="s">
        <v>358</v>
      </c>
      <c r="Z57" s="9" t="s">
        <v>359</v>
      </c>
      <c r="AA57" s="10" t="s">
        <v>436</v>
      </c>
      <c r="AB57" s="9" t="s">
        <v>355</v>
      </c>
      <c r="AC57" s="15">
        <v>213</v>
      </c>
      <c r="AD57" s="14">
        <f t="shared" si="1"/>
        <v>2.3283796034387376</v>
      </c>
      <c r="AE57" s="10" t="s">
        <v>437</v>
      </c>
      <c r="AF57" s="9" t="s">
        <v>420</v>
      </c>
      <c r="AG57" s="18">
        <v>34.683438000000002</v>
      </c>
      <c r="AH57" s="7">
        <f t="shared" si="2"/>
        <v>1</v>
      </c>
      <c r="AI57" s="7">
        <f t="shared" si="3"/>
        <v>1</v>
      </c>
      <c r="AJ57" s="7">
        <f t="shared" si="4"/>
        <v>0</v>
      </c>
      <c r="AK57" s="7">
        <f t="shared" si="5"/>
        <v>0</v>
      </c>
      <c r="AL57" s="7" t="s">
        <v>4157</v>
      </c>
      <c r="AM57" s="18">
        <f t="shared" si="6"/>
        <v>1.5401221404311698</v>
      </c>
      <c r="AN57" s="18">
        <v>34.683438000000002</v>
      </c>
      <c r="AO57" s="18">
        <v>-82.837365000000005</v>
      </c>
      <c r="AP57" s="9" t="s">
        <v>363</v>
      </c>
      <c r="AQ57" s="9" t="s">
        <v>449</v>
      </c>
      <c r="AR57" s="15">
        <v>1980</v>
      </c>
      <c r="AS57" s="19" t="s">
        <v>439</v>
      </c>
      <c r="AT57" s="20" t="s">
        <v>440</v>
      </c>
      <c r="AU57" s="40">
        <v>3240610</v>
      </c>
      <c r="AV57" s="35">
        <f t="shared" si="7"/>
        <v>6.5106267678296579</v>
      </c>
      <c r="AW57" s="41" t="s">
        <v>366</v>
      </c>
      <c r="AX57" s="34" t="s">
        <v>355</v>
      </c>
      <c r="AY57" s="40" t="s">
        <v>355</v>
      </c>
      <c r="AZ57" s="36">
        <v>87</v>
      </c>
      <c r="BA57" s="14">
        <f t="shared" si="8"/>
        <v>1.9395192526186185</v>
      </c>
      <c r="BB57" s="37" t="s">
        <v>367</v>
      </c>
      <c r="BC57" s="20">
        <v>1.137454981992851E-2</v>
      </c>
      <c r="BD57" s="9">
        <v>32</v>
      </c>
      <c r="BE57" s="9" t="s">
        <v>368</v>
      </c>
      <c r="BF57" s="9">
        <v>0</v>
      </c>
    </row>
    <row r="58" spans="1:58">
      <c r="A58" s="9">
        <v>531</v>
      </c>
      <c r="B58" s="10" t="s">
        <v>76</v>
      </c>
      <c r="C58" s="10" t="s">
        <v>389</v>
      </c>
      <c r="D58" s="20" t="s">
        <v>390</v>
      </c>
      <c r="E58" s="20" t="s">
        <v>447</v>
      </c>
      <c r="F58" s="10" t="s">
        <v>389</v>
      </c>
      <c r="G58" s="20" t="s">
        <v>390</v>
      </c>
      <c r="H58" s="20" t="s">
        <v>447</v>
      </c>
      <c r="I58" s="10" t="s">
        <v>389</v>
      </c>
      <c r="J58" s="20" t="s">
        <v>392</v>
      </c>
      <c r="K58" s="20" t="s">
        <v>447</v>
      </c>
      <c r="L58" s="9" t="s">
        <v>380</v>
      </c>
      <c r="M58" s="9">
        <v>10</v>
      </c>
      <c r="N58" s="9" t="s">
        <v>381</v>
      </c>
      <c r="O58" s="9" t="s">
        <v>382</v>
      </c>
      <c r="P58" s="12">
        <v>42.462800000000001</v>
      </c>
      <c r="Q58" s="12" t="s">
        <v>355</v>
      </c>
      <c r="R58" s="9" t="s">
        <v>356</v>
      </c>
      <c r="S58" s="13">
        <v>3</v>
      </c>
      <c r="T58" s="13">
        <v>3</v>
      </c>
      <c r="U58" s="14">
        <f t="shared" si="0"/>
        <v>0.6020599913279624</v>
      </c>
      <c r="V58" s="15">
        <v>30</v>
      </c>
      <c r="W58" s="12"/>
      <c r="X58" s="12">
        <v>0.7</v>
      </c>
      <c r="Y58" s="13" t="s">
        <v>358</v>
      </c>
      <c r="Z58" s="9" t="s">
        <v>359</v>
      </c>
      <c r="AA58" s="10" t="s">
        <v>436</v>
      </c>
      <c r="AB58" s="9" t="s">
        <v>355</v>
      </c>
      <c r="AC58" s="15">
        <v>213</v>
      </c>
      <c r="AD58" s="14">
        <f t="shared" si="1"/>
        <v>2.3283796034387376</v>
      </c>
      <c r="AE58" s="10" t="s">
        <v>437</v>
      </c>
      <c r="AF58" s="9" t="s">
        <v>420</v>
      </c>
      <c r="AG58" s="18">
        <v>34.683438000000002</v>
      </c>
      <c r="AH58" s="7">
        <f t="shared" si="2"/>
        <v>1</v>
      </c>
      <c r="AI58" s="7">
        <f t="shared" si="3"/>
        <v>1</v>
      </c>
      <c r="AJ58" s="7">
        <f t="shared" si="4"/>
        <v>0</v>
      </c>
      <c r="AK58" s="7">
        <f t="shared" si="5"/>
        <v>0</v>
      </c>
      <c r="AL58" s="7" t="s">
        <v>4157</v>
      </c>
      <c r="AM58" s="18">
        <f t="shared" si="6"/>
        <v>1.5401221404311698</v>
      </c>
      <c r="AN58" s="18">
        <v>34.683438000000002</v>
      </c>
      <c r="AO58" s="18">
        <v>-82.837365000000005</v>
      </c>
      <c r="AP58" s="9" t="s">
        <v>363</v>
      </c>
      <c r="AQ58" s="9" t="s">
        <v>445</v>
      </c>
      <c r="AR58" s="15">
        <v>1980</v>
      </c>
      <c r="AS58" s="19" t="s">
        <v>439</v>
      </c>
      <c r="AT58" s="20" t="s">
        <v>440</v>
      </c>
      <c r="AU58" s="40">
        <v>3240610</v>
      </c>
      <c r="AV58" s="35">
        <f t="shared" si="7"/>
        <v>6.5106267678296579</v>
      </c>
      <c r="AW58" s="41" t="s">
        <v>366</v>
      </c>
      <c r="AX58" s="34" t="s">
        <v>355</v>
      </c>
      <c r="AY58" s="40" t="s">
        <v>355</v>
      </c>
      <c r="AZ58" s="36">
        <v>87</v>
      </c>
      <c r="BA58" s="14">
        <f t="shared" si="8"/>
        <v>1.9395192526186185</v>
      </c>
      <c r="BB58" s="37" t="s">
        <v>367</v>
      </c>
      <c r="BC58" s="20">
        <v>1.137454981992851E-2</v>
      </c>
      <c r="BD58" s="9">
        <v>32</v>
      </c>
      <c r="BE58" s="9" t="s">
        <v>368</v>
      </c>
      <c r="BF58" s="9">
        <v>0</v>
      </c>
    </row>
    <row r="59" spans="1:58">
      <c r="A59" s="9">
        <v>532</v>
      </c>
      <c r="B59" s="10" t="s">
        <v>76</v>
      </c>
      <c r="C59" s="10" t="s">
        <v>389</v>
      </c>
      <c r="D59" s="20" t="s">
        <v>390</v>
      </c>
      <c r="E59" s="20" t="s">
        <v>447</v>
      </c>
      <c r="F59" s="10" t="s">
        <v>389</v>
      </c>
      <c r="G59" s="20" t="s">
        <v>390</v>
      </c>
      <c r="H59" s="20" t="s">
        <v>447</v>
      </c>
      <c r="I59" s="10" t="s">
        <v>389</v>
      </c>
      <c r="J59" s="20" t="s">
        <v>392</v>
      </c>
      <c r="K59" s="20" t="s">
        <v>447</v>
      </c>
      <c r="L59" s="9" t="s">
        <v>380</v>
      </c>
      <c r="M59" s="9">
        <v>7</v>
      </c>
      <c r="N59" s="9" t="s">
        <v>353</v>
      </c>
      <c r="O59" s="9" t="s">
        <v>382</v>
      </c>
      <c r="P59" s="12">
        <v>42.542270000000002</v>
      </c>
      <c r="Q59" s="12" t="s">
        <v>355</v>
      </c>
      <c r="R59" s="9" t="s">
        <v>356</v>
      </c>
      <c r="S59" s="13">
        <v>3</v>
      </c>
      <c r="T59" s="13">
        <v>3</v>
      </c>
      <c r="U59" s="14">
        <f t="shared" si="0"/>
        <v>0.6020599913279624</v>
      </c>
      <c r="V59" s="15">
        <v>30</v>
      </c>
      <c r="W59" s="12"/>
      <c r="X59" s="12">
        <v>0.7</v>
      </c>
      <c r="Y59" s="13" t="s">
        <v>358</v>
      </c>
      <c r="Z59" s="9" t="s">
        <v>359</v>
      </c>
      <c r="AA59" s="10" t="s">
        <v>436</v>
      </c>
      <c r="AB59" s="9" t="s">
        <v>355</v>
      </c>
      <c r="AC59" s="15">
        <v>213</v>
      </c>
      <c r="AD59" s="14">
        <f t="shared" si="1"/>
        <v>2.3283796034387376</v>
      </c>
      <c r="AE59" s="10" t="s">
        <v>437</v>
      </c>
      <c r="AF59" s="9" t="s">
        <v>420</v>
      </c>
      <c r="AG59" s="18">
        <v>34.683438000000002</v>
      </c>
      <c r="AH59" s="7">
        <f t="shared" si="2"/>
        <v>1</v>
      </c>
      <c r="AI59" s="7">
        <f t="shared" si="3"/>
        <v>1</v>
      </c>
      <c r="AJ59" s="7">
        <f t="shared" si="4"/>
        <v>0</v>
      </c>
      <c r="AK59" s="7">
        <f t="shared" si="5"/>
        <v>0</v>
      </c>
      <c r="AL59" s="7" t="s">
        <v>4157</v>
      </c>
      <c r="AM59" s="18">
        <f t="shared" si="6"/>
        <v>1.5401221404311698</v>
      </c>
      <c r="AN59" s="18">
        <v>34.683438000000002</v>
      </c>
      <c r="AO59" s="18">
        <v>-82.837365000000005</v>
      </c>
      <c r="AP59" s="9" t="s">
        <v>363</v>
      </c>
      <c r="AQ59" s="9" t="s">
        <v>446</v>
      </c>
      <c r="AR59" s="15">
        <v>1980</v>
      </c>
      <c r="AS59" s="19" t="s">
        <v>439</v>
      </c>
      <c r="AT59" s="20" t="s">
        <v>440</v>
      </c>
      <c r="AU59" s="40">
        <v>3240610</v>
      </c>
      <c r="AV59" s="35">
        <f t="shared" si="7"/>
        <v>6.5106267678296579</v>
      </c>
      <c r="AW59" s="41" t="s">
        <v>366</v>
      </c>
      <c r="AX59" s="34" t="s">
        <v>355</v>
      </c>
      <c r="AY59" s="40" t="s">
        <v>355</v>
      </c>
      <c r="AZ59" s="36">
        <v>87</v>
      </c>
      <c r="BA59" s="14">
        <f t="shared" si="8"/>
        <v>1.9395192526186185</v>
      </c>
      <c r="BB59" s="37" t="s">
        <v>367</v>
      </c>
      <c r="BC59" s="20">
        <v>1.137454981992851E-2</v>
      </c>
      <c r="BD59" s="9">
        <v>32</v>
      </c>
      <c r="BE59" s="9" t="s">
        <v>368</v>
      </c>
      <c r="BF59" s="9">
        <v>0</v>
      </c>
    </row>
    <row r="60" spans="1:58">
      <c r="A60" s="9">
        <v>533</v>
      </c>
      <c r="B60" s="10" t="s">
        <v>76</v>
      </c>
      <c r="C60" s="10" t="s">
        <v>389</v>
      </c>
      <c r="D60" s="20" t="s">
        <v>390</v>
      </c>
      <c r="E60" s="20" t="s">
        <v>447</v>
      </c>
      <c r="F60" s="10" t="s">
        <v>389</v>
      </c>
      <c r="G60" s="20" t="s">
        <v>390</v>
      </c>
      <c r="H60" s="20" t="s">
        <v>447</v>
      </c>
      <c r="I60" s="10" t="s">
        <v>389</v>
      </c>
      <c r="J60" s="20" t="s">
        <v>392</v>
      </c>
      <c r="K60" s="20" t="s">
        <v>447</v>
      </c>
      <c r="L60" s="9" t="s">
        <v>380</v>
      </c>
      <c r="M60" s="9">
        <v>3</v>
      </c>
      <c r="N60" s="9" t="s">
        <v>353</v>
      </c>
      <c r="O60" s="9" t="s">
        <v>382</v>
      </c>
      <c r="P60" s="12">
        <v>42.647950000000002</v>
      </c>
      <c r="Q60" s="12" t="s">
        <v>355</v>
      </c>
      <c r="R60" s="9" t="s">
        <v>356</v>
      </c>
      <c r="S60" s="13">
        <v>3</v>
      </c>
      <c r="T60" s="13">
        <v>3</v>
      </c>
      <c r="U60" s="14">
        <f t="shared" si="0"/>
        <v>0.6020599913279624</v>
      </c>
      <c r="V60" s="15">
        <v>30</v>
      </c>
      <c r="W60" s="12"/>
      <c r="X60" s="12">
        <v>0.7</v>
      </c>
      <c r="Y60" s="13" t="s">
        <v>358</v>
      </c>
      <c r="Z60" s="9" t="s">
        <v>359</v>
      </c>
      <c r="AA60" s="10" t="s">
        <v>436</v>
      </c>
      <c r="AB60" s="9" t="s">
        <v>355</v>
      </c>
      <c r="AC60" s="15">
        <v>213</v>
      </c>
      <c r="AD60" s="14">
        <f t="shared" si="1"/>
        <v>2.3283796034387376</v>
      </c>
      <c r="AE60" s="10" t="s">
        <v>437</v>
      </c>
      <c r="AF60" s="9" t="s">
        <v>420</v>
      </c>
      <c r="AG60" s="18">
        <v>34.683438000000002</v>
      </c>
      <c r="AH60" s="7">
        <f t="shared" si="2"/>
        <v>1</v>
      </c>
      <c r="AI60" s="7">
        <f t="shared" si="3"/>
        <v>1</v>
      </c>
      <c r="AJ60" s="7">
        <f t="shared" si="4"/>
        <v>0</v>
      </c>
      <c r="AK60" s="7">
        <f t="shared" si="5"/>
        <v>0</v>
      </c>
      <c r="AL60" s="7" t="s">
        <v>4157</v>
      </c>
      <c r="AM60" s="18">
        <f t="shared" si="6"/>
        <v>1.5401221404311698</v>
      </c>
      <c r="AN60" s="18">
        <v>34.683438000000002</v>
      </c>
      <c r="AO60" s="18">
        <v>-82.837365000000005</v>
      </c>
      <c r="AP60" s="9" t="s">
        <v>363</v>
      </c>
      <c r="AQ60" s="9" t="s">
        <v>444</v>
      </c>
      <c r="AR60" s="15">
        <v>1980</v>
      </c>
      <c r="AS60" s="19" t="s">
        <v>439</v>
      </c>
      <c r="AT60" s="20" t="s">
        <v>440</v>
      </c>
      <c r="AU60" s="40">
        <v>3240610</v>
      </c>
      <c r="AV60" s="35">
        <f t="shared" si="7"/>
        <v>6.5106267678296579</v>
      </c>
      <c r="AW60" s="41" t="s">
        <v>366</v>
      </c>
      <c r="AX60" s="34" t="s">
        <v>355</v>
      </c>
      <c r="AY60" s="40" t="s">
        <v>355</v>
      </c>
      <c r="AZ60" s="36">
        <v>87</v>
      </c>
      <c r="BA60" s="14">
        <f t="shared" si="8"/>
        <v>1.9395192526186185</v>
      </c>
      <c r="BB60" s="37" t="s">
        <v>367</v>
      </c>
      <c r="BC60" s="20">
        <v>1.137454981992851E-2</v>
      </c>
      <c r="BD60" s="9">
        <v>32</v>
      </c>
      <c r="BE60" s="9" t="s">
        <v>368</v>
      </c>
      <c r="BF60" s="9">
        <v>0</v>
      </c>
    </row>
    <row r="61" spans="1:58">
      <c r="A61" s="9">
        <v>534</v>
      </c>
      <c r="B61" s="10" t="s">
        <v>76</v>
      </c>
      <c r="C61" s="10" t="s">
        <v>389</v>
      </c>
      <c r="D61" s="20" t="s">
        <v>390</v>
      </c>
      <c r="E61" s="20" t="s">
        <v>447</v>
      </c>
      <c r="F61" s="10" t="s">
        <v>389</v>
      </c>
      <c r="G61" s="20" t="s">
        <v>390</v>
      </c>
      <c r="H61" s="20" t="s">
        <v>447</v>
      </c>
      <c r="I61" s="10" t="s">
        <v>389</v>
      </c>
      <c r="J61" s="20" t="s">
        <v>392</v>
      </c>
      <c r="K61" s="20" t="s">
        <v>447</v>
      </c>
      <c r="L61" s="9" t="s">
        <v>380</v>
      </c>
      <c r="M61" s="9">
        <v>3</v>
      </c>
      <c r="N61" s="9" t="s">
        <v>353</v>
      </c>
      <c r="O61" s="9" t="s">
        <v>382</v>
      </c>
      <c r="P61" s="12">
        <v>42.856630000000003</v>
      </c>
      <c r="Q61" s="12" t="s">
        <v>355</v>
      </c>
      <c r="R61" s="9" t="s">
        <v>356</v>
      </c>
      <c r="S61" s="13">
        <v>3</v>
      </c>
      <c r="T61" s="13">
        <v>3</v>
      </c>
      <c r="U61" s="14">
        <f t="shared" si="0"/>
        <v>0.6020599913279624</v>
      </c>
      <c r="V61" s="15">
        <v>30</v>
      </c>
      <c r="W61" s="12"/>
      <c r="X61" s="12">
        <v>0.7</v>
      </c>
      <c r="Y61" s="13" t="s">
        <v>358</v>
      </c>
      <c r="Z61" s="9" t="s">
        <v>359</v>
      </c>
      <c r="AA61" s="10" t="s">
        <v>436</v>
      </c>
      <c r="AB61" s="9" t="s">
        <v>355</v>
      </c>
      <c r="AC61" s="15">
        <v>213</v>
      </c>
      <c r="AD61" s="14">
        <f t="shared" si="1"/>
        <v>2.3283796034387376</v>
      </c>
      <c r="AE61" s="10" t="s">
        <v>437</v>
      </c>
      <c r="AF61" s="9" t="s">
        <v>420</v>
      </c>
      <c r="AG61" s="18">
        <v>34.683438000000002</v>
      </c>
      <c r="AH61" s="7">
        <f t="shared" si="2"/>
        <v>1</v>
      </c>
      <c r="AI61" s="7">
        <f t="shared" si="3"/>
        <v>1</v>
      </c>
      <c r="AJ61" s="7">
        <f t="shared" si="4"/>
        <v>0</v>
      </c>
      <c r="AK61" s="7">
        <f t="shared" si="5"/>
        <v>0</v>
      </c>
      <c r="AL61" s="7" t="s">
        <v>4157</v>
      </c>
      <c r="AM61" s="18">
        <f t="shared" si="6"/>
        <v>1.5401221404311698</v>
      </c>
      <c r="AN61" s="18">
        <v>34.683438000000002</v>
      </c>
      <c r="AO61" s="18">
        <v>-82.837365000000005</v>
      </c>
      <c r="AP61" s="9" t="s">
        <v>363</v>
      </c>
      <c r="AQ61" s="9" t="s">
        <v>443</v>
      </c>
      <c r="AR61" s="15">
        <v>1980</v>
      </c>
      <c r="AS61" s="19" t="s">
        <v>439</v>
      </c>
      <c r="AT61" s="20" t="s">
        <v>440</v>
      </c>
      <c r="AU61" s="40">
        <v>3240610</v>
      </c>
      <c r="AV61" s="35">
        <f t="shared" si="7"/>
        <v>6.5106267678296579</v>
      </c>
      <c r="AW61" s="41" t="s">
        <v>366</v>
      </c>
      <c r="AX61" s="34" t="s">
        <v>355</v>
      </c>
      <c r="AY61" s="40" t="s">
        <v>355</v>
      </c>
      <c r="AZ61" s="36">
        <v>87</v>
      </c>
      <c r="BA61" s="14">
        <f t="shared" si="8"/>
        <v>1.9395192526186185</v>
      </c>
      <c r="BB61" s="37" t="s">
        <v>367</v>
      </c>
      <c r="BC61" s="20">
        <v>1.137454981992851E-2</v>
      </c>
      <c r="BD61" s="9">
        <v>32</v>
      </c>
      <c r="BE61" s="9" t="s">
        <v>368</v>
      </c>
      <c r="BF61" s="9">
        <v>0</v>
      </c>
    </row>
    <row r="62" spans="1:58">
      <c r="A62" s="9">
        <v>412</v>
      </c>
      <c r="B62" s="10" t="s">
        <v>76</v>
      </c>
      <c r="C62" s="20" t="s">
        <v>450</v>
      </c>
      <c r="D62" s="20" t="s">
        <v>451</v>
      </c>
      <c r="E62" s="20" t="s">
        <v>452</v>
      </c>
      <c r="F62" s="20" t="s">
        <v>453</v>
      </c>
      <c r="G62" s="20" t="s">
        <v>454</v>
      </c>
      <c r="H62" s="20" t="s">
        <v>452</v>
      </c>
      <c r="I62" s="20" t="s">
        <v>453</v>
      </c>
      <c r="J62" s="20" t="s">
        <v>451</v>
      </c>
      <c r="K62" s="20" t="s">
        <v>452</v>
      </c>
      <c r="L62" s="9" t="s">
        <v>352</v>
      </c>
      <c r="M62" s="9">
        <v>10</v>
      </c>
      <c r="N62" s="9" t="s">
        <v>381</v>
      </c>
      <c r="O62" s="9" t="s">
        <v>455</v>
      </c>
      <c r="P62" s="12">
        <v>27.8</v>
      </c>
      <c r="Q62" s="12" t="s">
        <v>355</v>
      </c>
      <c r="R62" s="9" t="s">
        <v>356</v>
      </c>
      <c r="S62" s="13" t="s">
        <v>434</v>
      </c>
      <c r="T62" s="13" t="s">
        <v>434</v>
      </c>
      <c r="U62" s="14">
        <f t="shared" si="0"/>
        <v>0.6020599913279624</v>
      </c>
      <c r="V62" s="15">
        <v>17</v>
      </c>
      <c r="W62" s="12">
        <v>-2.4690538000000011</v>
      </c>
      <c r="X62" s="12">
        <v>0.7</v>
      </c>
      <c r="Y62" s="13" t="s">
        <v>355</v>
      </c>
      <c r="Z62" s="9" t="s">
        <v>359</v>
      </c>
      <c r="AA62" s="10" t="s">
        <v>372</v>
      </c>
      <c r="AB62" s="9" t="s">
        <v>355</v>
      </c>
      <c r="AC62" s="15">
        <v>3453</v>
      </c>
      <c r="AD62" s="14">
        <f t="shared" si="1"/>
        <v>3.5381965783494542</v>
      </c>
      <c r="AE62" s="10" t="s">
        <v>456</v>
      </c>
      <c r="AF62" s="9" t="s">
        <v>408</v>
      </c>
      <c r="AG62" s="18">
        <v>11.183299999999999</v>
      </c>
      <c r="AH62" s="7">
        <f t="shared" si="2"/>
        <v>0</v>
      </c>
      <c r="AI62" s="7">
        <f t="shared" si="3"/>
        <v>0</v>
      </c>
      <c r="AJ62" s="7">
        <f t="shared" si="4"/>
        <v>0</v>
      </c>
      <c r="AK62" s="7">
        <f t="shared" si="5"/>
        <v>0</v>
      </c>
      <c r="AL62" s="7" t="s">
        <v>4160</v>
      </c>
      <c r="AM62" s="18">
        <f t="shared" si="6"/>
        <v>1.0485699753140245</v>
      </c>
      <c r="AN62" s="18">
        <v>-11.183299999999999</v>
      </c>
      <c r="AO62" s="18">
        <v>-71.166700000000006</v>
      </c>
      <c r="AP62" s="9" t="s">
        <v>363</v>
      </c>
      <c r="AQ62" s="9" t="s">
        <v>355</v>
      </c>
      <c r="AR62" s="15">
        <v>2014</v>
      </c>
      <c r="AS62" s="19" t="s">
        <v>457</v>
      </c>
      <c r="AT62" s="20" t="s">
        <v>458</v>
      </c>
      <c r="AU62" s="40">
        <v>269</v>
      </c>
      <c r="AV62" s="35">
        <f t="shared" si="7"/>
        <v>2.4297522800024081</v>
      </c>
      <c r="AW62" s="37" t="s">
        <v>366</v>
      </c>
      <c r="AX62" s="40">
        <v>3200</v>
      </c>
      <c r="AY62" s="40">
        <v>3800</v>
      </c>
      <c r="AZ62" s="15">
        <v>33</v>
      </c>
      <c r="BA62" s="14">
        <f t="shared" si="8"/>
        <v>1.5185139398778875</v>
      </c>
      <c r="BB62" s="37" t="s">
        <v>367</v>
      </c>
      <c r="BC62" s="20">
        <v>7.0736294517803316E-3</v>
      </c>
      <c r="BD62" s="9">
        <v>31.8</v>
      </c>
      <c r="BE62" s="9" t="s">
        <v>459</v>
      </c>
      <c r="BF62" s="9">
        <v>1</v>
      </c>
    </row>
    <row r="63" spans="1:58">
      <c r="A63" s="9">
        <v>413</v>
      </c>
      <c r="B63" s="10" t="s">
        <v>76</v>
      </c>
      <c r="C63" s="20" t="s">
        <v>450</v>
      </c>
      <c r="D63" s="20" t="s">
        <v>451</v>
      </c>
      <c r="E63" s="20" t="s">
        <v>460</v>
      </c>
      <c r="F63" s="20" t="s">
        <v>355</v>
      </c>
      <c r="G63" s="20" t="s">
        <v>355</v>
      </c>
      <c r="H63" s="20" t="s">
        <v>355</v>
      </c>
      <c r="I63" s="20" t="s">
        <v>453</v>
      </c>
      <c r="J63" s="20" t="s">
        <v>451</v>
      </c>
      <c r="K63" s="20" t="s">
        <v>460</v>
      </c>
      <c r="L63" s="9" t="s">
        <v>352</v>
      </c>
      <c r="M63" s="9">
        <v>10</v>
      </c>
      <c r="N63" s="9" t="s">
        <v>381</v>
      </c>
      <c r="O63" s="9" t="s">
        <v>455</v>
      </c>
      <c r="P63" s="12">
        <v>24.9</v>
      </c>
      <c r="Q63" s="12" t="s">
        <v>355</v>
      </c>
      <c r="R63" s="9" t="s">
        <v>356</v>
      </c>
      <c r="S63" s="13" t="s">
        <v>434</v>
      </c>
      <c r="T63" s="13" t="s">
        <v>434</v>
      </c>
      <c r="U63" s="14">
        <f t="shared" si="0"/>
        <v>0.6020599913279624</v>
      </c>
      <c r="V63" s="15">
        <v>17</v>
      </c>
      <c r="W63" s="12">
        <v>-5.3690538000000032</v>
      </c>
      <c r="X63" s="12">
        <v>0.7</v>
      </c>
      <c r="Y63" s="13" t="s">
        <v>355</v>
      </c>
      <c r="Z63" s="9" t="s">
        <v>359</v>
      </c>
      <c r="AA63" s="10" t="s">
        <v>372</v>
      </c>
      <c r="AB63" s="9" t="s">
        <v>355</v>
      </c>
      <c r="AC63" s="15">
        <v>3347</v>
      </c>
      <c r="AD63" s="14">
        <f t="shared" si="1"/>
        <v>3.5246557123577773</v>
      </c>
      <c r="AE63" s="10" t="s">
        <v>456</v>
      </c>
      <c r="AF63" s="9" t="s">
        <v>408</v>
      </c>
      <c r="AG63" s="18">
        <v>11.183299999999999</v>
      </c>
      <c r="AH63" s="7">
        <f t="shared" si="2"/>
        <v>0</v>
      </c>
      <c r="AI63" s="7">
        <f t="shared" si="3"/>
        <v>0</v>
      </c>
      <c r="AJ63" s="7">
        <f t="shared" si="4"/>
        <v>0</v>
      </c>
      <c r="AK63" s="7">
        <f t="shared" si="5"/>
        <v>0</v>
      </c>
      <c r="AL63" s="7" t="s">
        <v>4160</v>
      </c>
      <c r="AM63" s="18">
        <f t="shared" si="6"/>
        <v>1.0485699753140245</v>
      </c>
      <c r="AN63" s="18">
        <v>-11.183299999999999</v>
      </c>
      <c r="AO63" s="18">
        <v>-71.166700000000006</v>
      </c>
      <c r="AP63" s="9" t="s">
        <v>363</v>
      </c>
      <c r="AQ63" s="9" t="s">
        <v>461</v>
      </c>
      <c r="AR63" s="15">
        <v>2014</v>
      </c>
      <c r="AS63" s="19" t="s">
        <v>457</v>
      </c>
      <c r="AT63" s="20" t="s">
        <v>458</v>
      </c>
      <c r="AU63" s="9">
        <v>29</v>
      </c>
      <c r="AV63" s="35">
        <f t="shared" si="7"/>
        <v>1.4623979978989561</v>
      </c>
      <c r="AW63" s="9" t="s">
        <v>366</v>
      </c>
      <c r="AX63" s="9">
        <v>3100</v>
      </c>
      <c r="AY63" s="9">
        <v>1700</v>
      </c>
      <c r="AZ63" s="15">
        <v>19</v>
      </c>
      <c r="BA63" s="14">
        <f t="shared" si="8"/>
        <v>1.2787536009528289</v>
      </c>
      <c r="BB63" s="9" t="s">
        <v>367</v>
      </c>
      <c r="BC63" s="20">
        <v>7.0736294517803316E-3</v>
      </c>
      <c r="BD63" s="9">
        <v>31.8</v>
      </c>
      <c r="BE63" s="9" t="s">
        <v>368</v>
      </c>
      <c r="BF63" s="9">
        <v>0</v>
      </c>
    </row>
    <row r="64" spans="1:58">
      <c r="A64" s="9">
        <v>414</v>
      </c>
      <c r="B64" s="10" t="s">
        <v>76</v>
      </c>
      <c r="C64" s="20" t="s">
        <v>450</v>
      </c>
      <c r="D64" s="20" t="s">
        <v>451</v>
      </c>
      <c r="E64" s="20" t="s">
        <v>462</v>
      </c>
      <c r="F64" s="20" t="s">
        <v>355</v>
      </c>
      <c r="G64" s="20" t="s">
        <v>355</v>
      </c>
      <c r="H64" s="20" t="s">
        <v>355</v>
      </c>
      <c r="I64" s="20" t="s">
        <v>453</v>
      </c>
      <c r="J64" s="20" t="s">
        <v>451</v>
      </c>
      <c r="K64" s="20" t="s">
        <v>462</v>
      </c>
      <c r="L64" s="9" t="s">
        <v>352</v>
      </c>
      <c r="M64" s="9">
        <v>10</v>
      </c>
      <c r="N64" s="9" t="s">
        <v>381</v>
      </c>
      <c r="O64" s="9" t="s">
        <v>455</v>
      </c>
      <c r="P64" s="12">
        <v>24.9</v>
      </c>
      <c r="Q64" s="12" t="s">
        <v>355</v>
      </c>
      <c r="R64" s="9" t="s">
        <v>356</v>
      </c>
      <c r="S64" s="13" t="s">
        <v>434</v>
      </c>
      <c r="T64" s="13" t="s">
        <v>434</v>
      </c>
      <c r="U64" s="14">
        <f t="shared" si="0"/>
        <v>0.6020599913279624</v>
      </c>
      <c r="V64" s="15">
        <v>17</v>
      </c>
      <c r="W64" s="12">
        <v>-5.3690538000000032</v>
      </c>
      <c r="X64" s="12">
        <v>0.7</v>
      </c>
      <c r="Y64" s="13" t="s">
        <v>355</v>
      </c>
      <c r="Z64" s="9" t="s">
        <v>359</v>
      </c>
      <c r="AA64" s="10" t="s">
        <v>372</v>
      </c>
      <c r="AB64" s="9" t="s">
        <v>355</v>
      </c>
      <c r="AC64" s="15">
        <v>2860</v>
      </c>
      <c r="AD64" s="14">
        <f t="shared" si="1"/>
        <v>3.4563660331290431</v>
      </c>
      <c r="AE64" s="10" t="s">
        <v>456</v>
      </c>
      <c r="AF64" s="9" t="s">
        <v>408</v>
      </c>
      <c r="AG64" s="18">
        <v>11.183299999999999</v>
      </c>
      <c r="AH64" s="7">
        <f t="shared" si="2"/>
        <v>0</v>
      </c>
      <c r="AI64" s="7">
        <f t="shared" si="3"/>
        <v>0</v>
      </c>
      <c r="AJ64" s="7">
        <f t="shared" si="4"/>
        <v>0</v>
      </c>
      <c r="AK64" s="7">
        <f t="shared" si="5"/>
        <v>0</v>
      </c>
      <c r="AL64" s="7" t="s">
        <v>4160</v>
      </c>
      <c r="AM64" s="18">
        <f t="shared" si="6"/>
        <v>1.0485699753140245</v>
      </c>
      <c r="AN64" s="18">
        <v>-11.183299999999999</v>
      </c>
      <c r="AO64" s="18">
        <v>-71.166700000000006</v>
      </c>
      <c r="AP64" s="9" t="s">
        <v>363</v>
      </c>
      <c r="AQ64" s="9" t="s">
        <v>461</v>
      </c>
      <c r="AR64" s="15">
        <v>2014</v>
      </c>
      <c r="AS64" s="19" t="s">
        <v>457</v>
      </c>
      <c r="AT64" s="20" t="s">
        <v>458</v>
      </c>
      <c r="AU64" s="9">
        <v>3</v>
      </c>
      <c r="AV64" s="35">
        <f t="shared" si="7"/>
        <v>0.47712125471966244</v>
      </c>
      <c r="AW64" s="9" t="s">
        <v>366</v>
      </c>
      <c r="AX64" s="9">
        <v>2600</v>
      </c>
      <c r="AY64" s="9">
        <v>3097</v>
      </c>
      <c r="AZ64" s="15">
        <v>18</v>
      </c>
      <c r="BA64" s="14">
        <f t="shared" si="8"/>
        <v>1.255272505103306</v>
      </c>
      <c r="BB64" s="9" t="s">
        <v>367</v>
      </c>
      <c r="BC64" s="20">
        <v>7.0736294517803316E-3</v>
      </c>
      <c r="BD64" s="9">
        <v>31.8</v>
      </c>
      <c r="BE64" s="9" t="s">
        <v>368</v>
      </c>
      <c r="BF64" s="9">
        <v>0</v>
      </c>
    </row>
    <row r="65" spans="1:58">
      <c r="A65" s="9">
        <v>698</v>
      </c>
      <c r="B65" s="10" t="s">
        <v>348</v>
      </c>
      <c r="C65" s="10" t="s">
        <v>349</v>
      </c>
      <c r="D65" s="20" t="s">
        <v>350</v>
      </c>
      <c r="E65" s="20" t="s">
        <v>351</v>
      </c>
      <c r="F65" s="10" t="s">
        <v>349</v>
      </c>
      <c r="G65" s="20" t="s">
        <v>350</v>
      </c>
      <c r="H65" s="20" t="s">
        <v>351</v>
      </c>
      <c r="I65" s="10" t="s">
        <v>349</v>
      </c>
      <c r="J65" s="20" t="s">
        <v>350</v>
      </c>
      <c r="K65" s="20" t="s">
        <v>351</v>
      </c>
      <c r="L65" s="9" t="s">
        <v>352</v>
      </c>
      <c r="M65" s="9">
        <v>7</v>
      </c>
      <c r="N65" s="9" t="s">
        <v>353</v>
      </c>
      <c r="O65" s="9" t="s">
        <v>354</v>
      </c>
      <c r="P65" s="12">
        <v>34.96266</v>
      </c>
      <c r="Q65" s="12" t="s">
        <v>355</v>
      </c>
      <c r="R65" s="9" t="s">
        <v>356</v>
      </c>
      <c r="S65" s="13" t="s">
        <v>434</v>
      </c>
      <c r="T65" s="13" t="s">
        <v>434</v>
      </c>
      <c r="U65" s="14">
        <f t="shared" si="0"/>
        <v>0.6020599913279624</v>
      </c>
      <c r="V65" s="15">
        <v>25</v>
      </c>
      <c r="W65" s="12">
        <v>5.6376847999999953</v>
      </c>
      <c r="X65" s="12">
        <v>0.75</v>
      </c>
      <c r="Y65" s="13" t="s">
        <v>358</v>
      </c>
      <c r="Z65" s="9" t="s">
        <v>359</v>
      </c>
      <c r="AA65" s="10" t="s">
        <v>360</v>
      </c>
      <c r="AB65" s="9" t="s">
        <v>355</v>
      </c>
      <c r="AC65" s="15">
        <v>336</v>
      </c>
      <c r="AD65" s="14">
        <f t="shared" si="1"/>
        <v>2.5263392773898441</v>
      </c>
      <c r="AE65" s="10" t="s">
        <v>361</v>
      </c>
      <c r="AF65" s="9" t="s">
        <v>362</v>
      </c>
      <c r="AG65" s="18">
        <v>39.777825</v>
      </c>
      <c r="AH65" s="7">
        <f t="shared" si="2"/>
        <v>1</v>
      </c>
      <c r="AI65" s="7">
        <f t="shared" si="3"/>
        <v>1</v>
      </c>
      <c r="AJ65" s="7">
        <f t="shared" si="4"/>
        <v>0</v>
      </c>
      <c r="AK65" s="7">
        <f t="shared" si="5"/>
        <v>0</v>
      </c>
      <c r="AL65" s="7" t="s">
        <v>4157</v>
      </c>
      <c r="AM65" s="18">
        <f t="shared" si="6"/>
        <v>1.5996410327773016</v>
      </c>
      <c r="AN65" s="18">
        <v>39.777825</v>
      </c>
      <c r="AO65" s="18">
        <v>-84.689750000000004</v>
      </c>
      <c r="AP65" s="9" t="s">
        <v>363</v>
      </c>
      <c r="AQ65" s="9" t="s">
        <v>355</v>
      </c>
      <c r="AR65" s="15">
        <v>1982</v>
      </c>
      <c r="AS65" s="19" t="s">
        <v>364</v>
      </c>
      <c r="AT65" s="20" t="s">
        <v>365</v>
      </c>
      <c r="AU65" s="34">
        <v>1524467</v>
      </c>
      <c r="AV65" s="35">
        <f t="shared" si="7"/>
        <v>6.1831180276695727</v>
      </c>
      <c r="AW65" s="36" t="s">
        <v>366</v>
      </c>
      <c r="AX65" s="34" t="s">
        <v>355</v>
      </c>
      <c r="AY65" s="34" t="s">
        <v>355</v>
      </c>
      <c r="AZ65" s="15">
        <v>78</v>
      </c>
      <c r="BA65" s="14">
        <f t="shared" si="8"/>
        <v>1.8920946026904804</v>
      </c>
      <c r="BB65" s="36" t="s">
        <v>367</v>
      </c>
      <c r="BC65" s="20">
        <v>3.4313725490200848E-3</v>
      </c>
      <c r="BD65" s="9">
        <v>29.200000000000003</v>
      </c>
      <c r="BE65" s="9" t="s">
        <v>368</v>
      </c>
      <c r="BF65" s="9">
        <v>0</v>
      </c>
    </row>
    <row r="66" spans="1:58">
      <c r="A66" s="9">
        <v>817</v>
      </c>
      <c r="B66" s="10" t="s">
        <v>76</v>
      </c>
      <c r="C66" s="10" t="s">
        <v>426</v>
      </c>
      <c r="D66" s="20" t="s">
        <v>463</v>
      </c>
      <c r="E66" s="20" t="s">
        <v>464</v>
      </c>
      <c r="F66" s="10" t="s">
        <v>426</v>
      </c>
      <c r="G66" s="20" t="s">
        <v>463</v>
      </c>
      <c r="H66" s="20" t="s">
        <v>464</v>
      </c>
      <c r="I66" s="10" t="s">
        <v>465</v>
      </c>
      <c r="J66" s="20" t="s">
        <v>463</v>
      </c>
      <c r="K66" s="20" t="s">
        <v>464</v>
      </c>
      <c r="L66" s="9" t="s">
        <v>352</v>
      </c>
      <c r="M66" s="9">
        <v>15</v>
      </c>
      <c r="N66" s="9" t="s">
        <v>381</v>
      </c>
      <c r="O66" s="9" t="s">
        <v>354</v>
      </c>
      <c r="P66" s="12">
        <v>36.6</v>
      </c>
      <c r="Q66" s="12" t="s">
        <v>355</v>
      </c>
      <c r="R66" s="9" t="s">
        <v>356</v>
      </c>
      <c r="S66" s="13" t="s">
        <v>434</v>
      </c>
      <c r="T66" s="13" t="s">
        <v>434</v>
      </c>
      <c r="U66" s="14">
        <f t="shared" si="0"/>
        <v>0.6020599913279624</v>
      </c>
      <c r="V66" s="15">
        <v>30</v>
      </c>
      <c r="W66" s="12">
        <v>6.8314422000000015</v>
      </c>
      <c r="X66" s="12">
        <v>0.75</v>
      </c>
      <c r="Y66" s="13" t="s">
        <v>358</v>
      </c>
      <c r="Z66" s="9" t="s">
        <v>359</v>
      </c>
      <c r="AA66" s="10" t="s">
        <v>466</v>
      </c>
      <c r="AB66" s="9" t="s">
        <v>355</v>
      </c>
      <c r="AC66" s="15">
        <v>276</v>
      </c>
      <c r="AD66" s="14">
        <f t="shared" si="1"/>
        <v>2.4409090820652177</v>
      </c>
      <c r="AE66" s="10" t="s">
        <v>467</v>
      </c>
      <c r="AF66" s="9" t="s">
        <v>408</v>
      </c>
      <c r="AG66" s="18">
        <v>18.308112999999999</v>
      </c>
      <c r="AH66" s="7">
        <f t="shared" si="2"/>
        <v>1</v>
      </c>
      <c r="AI66" s="7">
        <f t="shared" si="3"/>
        <v>0</v>
      </c>
      <c r="AJ66" s="7">
        <f t="shared" si="4"/>
        <v>0</v>
      </c>
      <c r="AK66" s="7">
        <f t="shared" si="5"/>
        <v>0</v>
      </c>
      <c r="AL66" s="7" t="s">
        <v>4159</v>
      </c>
      <c r="AM66" s="18">
        <f t="shared" si="6"/>
        <v>1.2626435842842658</v>
      </c>
      <c r="AN66" s="18">
        <v>18.308112999999999</v>
      </c>
      <c r="AO66" s="18">
        <v>-76.981244000000004</v>
      </c>
      <c r="AP66" s="9" t="s">
        <v>363</v>
      </c>
      <c r="AQ66" s="9" t="s">
        <v>355</v>
      </c>
      <c r="AR66" s="15">
        <v>1977</v>
      </c>
      <c r="AS66" s="19" t="s">
        <v>468</v>
      </c>
      <c r="AT66" s="20" t="s">
        <v>469</v>
      </c>
      <c r="AU66" s="40">
        <v>6313</v>
      </c>
      <c r="AV66" s="35">
        <f t="shared" si="7"/>
        <v>3.800235789327354</v>
      </c>
      <c r="AW66" s="37" t="s">
        <v>366</v>
      </c>
      <c r="AX66" s="34" t="s">
        <v>355</v>
      </c>
      <c r="AY66" s="40">
        <v>635</v>
      </c>
      <c r="AZ66" s="15">
        <v>37</v>
      </c>
      <c r="BA66" s="14">
        <f t="shared" si="8"/>
        <v>1.568201724066995</v>
      </c>
      <c r="BB66" s="37" t="s">
        <v>367</v>
      </c>
      <c r="BC66" s="20">
        <v>1.0844737895158236E-2</v>
      </c>
      <c r="BD66" s="9">
        <v>28.8</v>
      </c>
      <c r="BE66" s="9" t="s">
        <v>459</v>
      </c>
      <c r="BF66" s="9">
        <v>1</v>
      </c>
    </row>
    <row r="67" spans="1:58">
      <c r="A67" s="9">
        <v>819</v>
      </c>
      <c r="B67" s="10" t="s">
        <v>76</v>
      </c>
      <c r="C67" s="10" t="s">
        <v>426</v>
      </c>
      <c r="D67" s="20" t="s">
        <v>463</v>
      </c>
      <c r="E67" s="20" t="s">
        <v>470</v>
      </c>
      <c r="F67" s="10" t="s">
        <v>426</v>
      </c>
      <c r="G67" s="20" t="s">
        <v>463</v>
      </c>
      <c r="H67" s="20" t="s">
        <v>470</v>
      </c>
      <c r="I67" s="10" t="s">
        <v>465</v>
      </c>
      <c r="J67" s="20" t="s">
        <v>463</v>
      </c>
      <c r="K67" s="20" t="s">
        <v>470</v>
      </c>
      <c r="L67" s="9" t="s">
        <v>352</v>
      </c>
      <c r="M67" s="9">
        <v>15</v>
      </c>
      <c r="N67" s="9" t="s">
        <v>381</v>
      </c>
      <c r="O67" s="9" t="s">
        <v>354</v>
      </c>
      <c r="P67" s="12">
        <v>34.700000000000003</v>
      </c>
      <c r="Q67" s="12" t="s">
        <v>355</v>
      </c>
      <c r="R67" s="9" t="s">
        <v>356</v>
      </c>
      <c r="S67" s="13" t="s">
        <v>434</v>
      </c>
      <c r="T67" s="13" t="s">
        <v>434</v>
      </c>
      <c r="U67" s="14">
        <f t="shared" si="0"/>
        <v>0.6020599913279624</v>
      </c>
      <c r="V67" s="15">
        <v>30</v>
      </c>
      <c r="W67" s="12">
        <v>4.9314422000000029</v>
      </c>
      <c r="X67" s="12">
        <v>0.75</v>
      </c>
      <c r="Y67" s="13" t="s">
        <v>358</v>
      </c>
      <c r="Z67" s="9" t="s">
        <v>359</v>
      </c>
      <c r="AA67" s="10" t="s">
        <v>466</v>
      </c>
      <c r="AB67" s="9" t="s">
        <v>355</v>
      </c>
      <c r="AC67" s="15">
        <v>276</v>
      </c>
      <c r="AD67" s="14">
        <f t="shared" si="1"/>
        <v>2.4409090820652177</v>
      </c>
      <c r="AE67" s="10" t="s">
        <v>467</v>
      </c>
      <c r="AF67" s="9" t="s">
        <v>408</v>
      </c>
      <c r="AG67" s="18">
        <v>18.308112999999999</v>
      </c>
      <c r="AH67" s="7">
        <f t="shared" si="2"/>
        <v>1</v>
      </c>
      <c r="AI67" s="7">
        <f t="shared" si="3"/>
        <v>0</v>
      </c>
      <c r="AJ67" s="7">
        <f t="shared" si="4"/>
        <v>0</v>
      </c>
      <c r="AK67" s="7">
        <f t="shared" si="5"/>
        <v>0</v>
      </c>
      <c r="AL67" s="7" t="s">
        <v>4159</v>
      </c>
      <c r="AM67" s="18">
        <f t="shared" si="6"/>
        <v>1.2626435842842658</v>
      </c>
      <c r="AN67" s="18">
        <v>18.308112999999999</v>
      </c>
      <c r="AO67" s="18">
        <v>-76.981244000000004</v>
      </c>
      <c r="AP67" s="9" t="s">
        <v>363</v>
      </c>
      <c r="AQ67" s="9" t="s">
        <v>355</v>
      </c>
      <c r="AR67" s="15">
        <v>1977</v>
      </c>
      <c r="AS67" s="19" t="s">
        <v>468</v>
      </c>
      <c r="AT67" s="20" t="s">
        <v>469</v>
      </c>
      <c r="AU67" s="40">
        <v>8556</v>
      </c>
      <c r="AV67" s="35">
        <f t="shared" si="7"/>
        <v>3.9322707758994904</v>
      </c>
      <c r="AW67" s="37" t="s">
        <v>366</v>
      </c>
      <c r="AX67" s="34" t="s">
        <v>355</v>
      </c>
      <c r="AY67" s="40">
        <v>1515</v>
      </c>
      <c r="AZ67" s="15">
        <v>25</v>
      </c>
      <c r="BA67" s="14">
        <f t="shared" si="8"/>
        <v>1.3979400086720377</v>
      </c>
      <c r="BB67" s="37" t="s">
        <v>367</v>
      </c>
      <c r="BC67" s="20">
        <v>1.0844737895158236E-2</v>
      </c>
      <c r="BD67" s="9">
        <v>28.8</v>
      </c>
      <c r="BE67" s="9" t="s">
        <v>368</v>
      </c>
      <c r="BF67" s="9">
        <v>0</v>
      </c>
    </row>
    <row r="68" spans="1:58">
      <c r="A68" s="9">
        <v>821</v>
      </c>
      <c r="B68" s="10" t="s">
        <v>76</v>
      </c>
      <c r="C68" s="10" t="s">
        <v>426</v>
      </c>
      <c r="D68" s="20" t="s">
        <v>463</v>
      </c>
      <c r="E68" s="20" t="s">
        <v>471</v>
      </c>
      <c r="F68" s="10" t="s">
        <v>426</v>
      </c>
      <c r="G68" s="20" t="s">
        <v>463</v>
      </c>
      <c r="H68" s="20" t="s">
        <v>471</v>
      </c>
      <c r="I68" s="10" t="s">
        <v>465</v>
      </c>
      <c r="J68" s="20" t="s">
        <v>463</v>
      </c>
      <c r="K68" s="20" t="s">
        <v>471</v>
      </c>
      <c r="L68" s="9" t="s">
        <v>352</v>
      </c>
      <c r="M68" s="9">
        <v>15</v>
      </c>
      <c r="N68" s="9" t="s">
        <v>381</v>
      </c>
      <c r="O68" s="9" t="s">
        <v>354</v>
      </c>
      <c r="P68" s="12">
        <v>38.6</v>
      </c>
      <c r="Q68" s="12" t="s">
        <v>355</v>
      </c>
      <c r="R68" s="9" t="s">
        <v>356</v>
      </c>
      <c r="S68" s="13" t="s">
        <v>434</v>
      </c>
      <c r="T68" s="13" t="s">
        <v>434</v>
      </c>
      <c r="U68" s="14">
        <f t="shared" si="0"/>
        <v>0.6020599913279624</v>
      </c>
      <c r="V68" s="15">
        <v>30</v>
      </c>
      <c r="W68" s="12">
        <v>8.8314422000000015</v>
      </c>
      <c r="X68" s="12">
        <v>0.75</v>
      </c>
      <c r="Y68" s="13" t="s">
        <v>358</v>
      </c>
      <c r="Z68" s="9" t="s">
        <v>359</v>
      </c>
      <c r="AA68" s="10" t="s">
        <v>466</v>
      </c>
      <c r="AB68" s="9" t="s">
        <v>355</v>
      </c>
      <c r="AC68" s="15">
        <v>276</v>
      </c>
      <c r="AD68" s="14">
        <f t="shared" si="1"/>
        <v>2.4409090820652177</v>
      </c>
      <c r="AE68" s="10" t="s">
        <v>467</v>
      </c>
      <c r="AF68" s="9" t="s">
        <v>408</v>
      </c>
      <c r="AG68" s="18">
        <v>18.308112999999999</v>
      </c>
      <c r="AH68" s="7">
        <f t="shared" si="2"/>
        <v>1</v>
      </c>
      <c r="AI68" s="7">
        <f t="shared" si="3"/>
        <v>0</v>
      </c>
      <c r="AJ68" s="7">
        <f t="shared" si="4"/>
        <v>0</v>
      </c>
      <c r="AK68" s="7">
        <f t="shared" si="5"/>
        <v>0</v>
      </c>
      <c r="AL68" s="7" t="s">
        <v>4159</v>
      </c>
      <c r="AM68" s="18">
        <f t="shared" si="6"/>
        <v>1.2626435842842658</v>
      </c>
      <c r="AN68" s="18">
        <v>18.308112999999999</v>
      </c>
      <c r="AO68" s="18">
        <v>-76.981244000000004</v>
      </c>
      <c r="AP68" s="9" t="s">
        <v>363</v>
      </c>
      <c r="AQ68" s="9" t="s">
        <v>355</v>
      </c>
      <c r="AR68" s="15">
        <v>1977</v>
      </c>
      <c r="AS68" s="19" t="s">
        <v>468</v>
      </c>
      <c r="AT68" s="20" t="s">
        <v>469</v>
      </c>
      <c r="AU68" s="40">
        <v>26473</v>
      </c>
      <c r="AV68" s="35">
        <f t="shared" si="7"/>
        <v>4.4228031596473842</v>
      </c>
      <c r="AW68" s="37" t="s">
        <v>338</v>
      </c>
      <c r="AX68" s="40">
        <v>1000</v>
      </c>
      <c r="AY68" s="40" t="s">
        <v>355</v>
      </c>
      <c r="AZ68" s="15">
        <v>33</v>
      </c>
      <c r="BA68" s="14">
        <f t="shared" si="8"/>
        <v>1.5185139398778875</v>
      </c>
      <c r="BB68" s="37" t="s">
        <v>472</v>
      </c>
      <c r="BC68" s="20">
        <v>1.0844737895158236E-2</v>
      </c>
      <c r="BD68" s="9">
        <v>28.8</v>
      </c>
      <c r="BE68" s="9" t="s">
        <v>368</v>
      </c>
      <c r="BF68" s="9">
        <v>0</v>
      </c>
    </row>
    <row r="69" spans="1:58">
      <c r="A69" s="9">
        <v>823</v>
      </c>
      <c r="B69" s="10" t="s">
        <v>76</v>
      </c>
      <c r="C69" s="10" t="s">
        <v>426</v>
      </c>
      <c r="D69" s="20" t="s">
        <v>463</v>
      </c>
      <c r="E69" s="20" t="s">
        <v>473</v>
      </c>
      <c r="F69" s="10" t="s">
        <v>426</v>
      </c>
      <c r="G69" s="20" t="s">
        <v>463</v>
      </c>
      <c r="H69" s="20" t="s">
        <v>473</v>
      </c>
      <c r="I69" s="10" t="s">
        <v>465</v>
      </c>
      <c r="J69" s="20" t="s">
        <v>463</v>
      </c>
      <c r="K69" s="20" t="s">
        <v>473</v>
      </c>
      <c r="L69" s="9" t="s">
        <v>352</v>
      </c>
      <c r="M69" s="9">
        <v>15</v>
      </c>
      <c r="N69" s="9" t="s">
        <v>381</v>
      </c>
      <c r="O69" s="9" t="s">
        <v>354</v>
      </c>
      <c r="P69" s="12">
        <v>40.5</v>
      </c>
      <c r="Q69" s="12" t="s">
        <v>355</v>
      </c>
      <c r="R69" s="9" t="s">
        <v>356</v>
      </c>
      <c r="S69" s="13" t="s">
        <v>434</v>
      </c>
      <c r="T69" s="13" t="s">
        <v>434</v>
      </c>
      <c r="U69" s="14">
        <f t="shared" ref="U69:U132" si="9">LOG(T69+1)</f>
        <v>0.6020599913279624</v>
      </c>
      <c r="V69" s="15">
        <v>30</v>
      </c>
      <c r="W69" s="12">
        <v>10.7314422</v>
      </c>
      <c r="X69" s="12">
        <v>0.75</v>
      </c>
      <c r="Y69" s="13" t="s">
        <v>358</v>
      </c>
      <c r="Z69" s="9" t="s">
        <v>359</v>
      </c>
      <c r="AA69" s="10" t="s">
        <v>466</v>
      </c>
      <c r="AB69" s="9" t="s">
        <v>355</v>
      </c>
      <c r="AC69" s="15">
        <v>276</v>
      </c>
      <c r="AD69" s="14">
        <f t="shared" ref="AD69:AD132" si="10">LOG(AC69)</f>
        <v>2.4409090820652177</v>
      </c>
      <c r="AE69" s="10" t="s">
        <v>467</v>
      </c>
      <c r="AF69" s="9" t="s">
        <v>408</v>
      </c>
      <c r="AG69" s="18">
        <v>18.308112999999999</v>
      </c>
      <c r="AH69" s="7">
        <f t="shared" ref="AH69:AH132" si="11">IF(AG69&gt;15,1,0)</f>
        <v>1</v>
      </c>
      <c r="AI69" s="7">
        <f t="shared" ref="AI69:AI132" si="12">IF(AG69&gt;30,1,0)</f>
        <v>0</v>
      </c>
      <c r="AJ69" s="7">
        <f t="shared" ref="AJ69:AJ132" si="13">IF(AG69&gt;45,1,0)</f>
        <v>0</v>
      </c>
      <c r="AK69" s="7">
        <f t="shared" ref="AK69:AK132" si="14">IF(AG69&gt;60,1,0)</f>
        <v>0</v>
      </c>
      <c r="AL69" s="7" t="s">
        <v>4159</v>
      </c>
      <c r="AM69" s="18">
        <f t="shared" ref="AM69:AM132" si="15">LOG(AG69)</f>
        <v>1.2626435842842658</v>
      </c>
      <c r="AN69" s="18">
        <v>18.308112999999999</v>
      </c>
      <c r="AO69" s="18">
        <v>-76.981244000000004</v>
      </c>
      <c r="AP69" s="9" t="s">
        <v>363</v>
      </c>
      <c r="AQ69" s="9" t="s">
        <v>355</v>
      </c>
      <c r="AR69" s="15">
        <v>1977</v>
      </c>
      <c r="AS69" s="19" t="s">
        <v>468</v>
      </c>
      <c r="AT69" s="20" t="s">
        <v>469</v>
      </c>
      <c r="AU69" s="40">
        <v>202952</v>
      </c>
      <c r="AV69" s="35">
        <f t="shared" ref="AV69:AV132" si="16">LOG(AU69)</f>
        <v>5.3073933354497269</v>
      </c>
      <c r="AW69" s="37" t="s">
        <v>338</v>
      </c>
      <c r="AX69" s="34" t="s">
        <v>355</v>
      </c>
      <c r="AY69" s="40">
        <v>727</v>
      </c>
      <c r="AZ69" s="15">
        <v>33</v>
      </c>
      <c r="BA69" s="14">
        <f t="shared" ref="BA69:BA132" si="17">LOG(AZ69)</f>
        <v>1.5185139398778875</v>
      </c>
      <c r="BB69" s="37" t="s">
        <v>367</v>
      </c>
      <c r="BC69" s="20">
        <v>1.0844737895158236E-2</v>
      </c>
      <c r="BD69" s="9">
        <v>28.8</v>
      </c>
      <c r="BE69" s="9" t="s">
        <v>368</v>
      </c>
      <c r="BF69" s="9">
        <v>0</v>
      </c>
    </row>
    <row r="70" spans="1:58">
      <c r="A70" s="9">
        <v>60</v>
      </c>
      <c r="B70" s="10" t="s">
        <v>348</v>
      </c>
      <c r="C70" s="10" t="s">
        <v>349</v>
      </c>
      <c r="D70" s="20" t="s">
        <v>393</v>
      </c>
      <c r="E70" s="20" t="s">
        <v>394</v>
      </c>
      <c r="F70" s="10" t="s">
        <v>349</v>
      </c>
      <c r="G70" s="20" t="s">
        <v>393</v>
      </c>
      <c r="H70" s="20" t="s">
        <v>394</v>
      </c>
      <c r="I70" s="10" t="s">
        <v>349</v>
      </c>
      <c r="J70" s="20" t="s">
        <v>393</v>
      </c>
      <c r="K70" s="20" t="s">
        <v>394</v>
      </c>
      <c r="L70" s="9" t="s">
        <v>352</v>
      </c>
      <c r="M70" s="9">
        <v>7</v>
      </c>
      <c r="N70" s="9" t="s">
        <v>353</v>
      </c>
      <c r="O70" s="9" t="s">
        <v>354</v>
      </c>
      <c r="P70" s="12">
        <v>35.1</v>
      </c>
      <c r="Q70" s="9" t="s">
        <v>355</v>
      </c>
      <c r="R70" s="9" t="s">
        <v>356</v>
      </c>
      <c r="S70" s="13">
        <v>3</v>
      </c>
      <c r="T70" s="13">
        <v>3</v>
      </c>
      <c r="U70" s="14">
        <f t="shared" si="9"/>
        <v>0.6020599913279624</v>
      </c>
      <c r="V70" s="15">
        <v>25</v>
      </c>
      <c r="W70" s="12">
        <v>5.7750247999999971</v>
      </c>
      <c r="X70" s="12">
        <v>0.75</v>
      </c>
      <c r="Y70" s="13" t="s">
        <v>358</v>
      </c>
      <c r="Z70" s="9" t="s">
        <v>359</v>
      </c>
      <c r="AA70" s="10" t="s">
        <v>372</v>
      </c>
      <c r="AB70" s="9" t="s">
        <v>355</v>
      </c>
      <c r="AC70" s="15">
        <v>336</v>
      </c>
      <c r="AD70" s="14">
        <f t="shared" si="10"/>
        <v>2.5263392773898441</v>
      </c>
      <c r="AE70" s="10" t="s">
        <v>361</v>
      </c>
      <c r="AF70" s="9" t="s">
        <v>362</v>
      </c>
      <c r="AG70" s="18">
        <v>39.777825</v>
      </c>
      <c r="AH70" s="7">
        <f t="shared" si="11"/>
        <v>1</v>
      </c>
      <c r="AI70" s="7">
        <f t="shared" si="12"/>
        <v>1</v>
      </c>
      <c r="AJ70" s="7">
        <f t="shared" si="13"/>
        <v>0</v>
      </c>
      <c r="AK70" s="7">
        <f t="shared" si="14"/>
        <v>0</v>
      </c>
      <c r="AL70" s="7" t="s">
        <v>4157</v>
      </c>
      <c r="AM70" s="18">
        <f t="shared" si="15"/>
        <v>1.5996410327773016</v>
      </c>
      <c r="AN70" s="18">
        <v>39.777825</v>
      </c>
      <c r="AO70" s="18">
        <v>-84.689750000000004</v>
      </c>
      <c r="AP70" s="9" t="s">
        <v>363</v>
      </c>
      <c r="AQ70" s="9" t="s">
        <v>355</v>
      </c>
      <c r="AR70" s="15">
        <v>1982</v>
      </c>
      <c r="AS70" s="19" t="s">
        <v>395</v>
      </c>
      <c r="AT70" s="20" t="s">
        <v>396</v>
      </c>
      <c r="AU70" s="34">
        <v>1195927</v>
      </c>
      <c r="AV70" s="35">
        <f t="shared" si="16"/>
        <v>6.0777046709025946</v>
      </c>
      <c r="AW70" s="36" t="s">
        <v>366</v>
      </c>
      <c r="AX70" s="34" t="s">
        <v>355</v>
      </c>
      <c r="AY70" s="34" t="s">
        <v>355</v>
      </c>
      <c r="AZ70" s="15">
        <v>78</v>
      </c>
      <c r="BA70" s="14">
        <f t="shared" si="17"/>
        <v>1.8920946026904804</v>
      </c>
      <c r="BB70" s="36" t="s">
        <v>367</v>
      </c>
      <c r="BC70" s="20">
        <v>3.4313725490200848E-3</v>
      </c>
      <c r="BD70" s="9">
        <v>29.200000000000003</v>
      </c>
      <c r="BE70" s="9" t="s">
        <v>368</v>
      </c>
      <c r="BF70" s="9">
        <v>0</v>
      </c>
    </row>
    <row r="71" spans="1:58">
      <c r="A71" s="9">
        <v>65</v>
      </c>
      <c r="B71" s="10" t="s">
        <v>348</v>
      </c>
      <c r="C71" s="10" t="s">
        <v>349</v>
      </c>
      <c r="D71" s="20" t="s">
        <v>393</v>
      </c>
      <c r="E71" s="20" t="s">
        <v>394</v>
      </c>
      <c r="F71" s="10" t="s">
        <v>349</v>
      </c>
      <c r="G71" s="20" t="s">
        <v>393</v>
      </c>
      <c r="H71" s="20" t="s">
        <v>394</v>
      </c>
      <c r="I71" s="10" t="s">
        <v>349</v>
      </c>
      <c r="J71" s="20" t="s">
        <v>393</v>
      </c>
      <c r="K71" s="20" t="s">
        <v>394</v>
      </c>
      <c r="L71" s="9" t="s">
        <v>352</v>
      </c>
      <c r="M71" s="9">
        <v>7</v>
      </c>
      <c r="N71" s="9" t="s">
        <v>353</v>
      </c>
      <c r="O71" s="9" t="s">
        <v>354</v>
      </c>
      <c r="P71" s="12">
        <v>35.1</v>
      </c>
      <c r="Q71" s="9" t="s">
        <v>355</v>
      </c>
      <c r="R71" s="9" t="s">
        <v>356</v>
      </c>
      <c r="S71" s="13">
        <v>3</v>
      </c>
      <c r="T71" s="13">
        <v>3</v>
      </c>
      <c r="U71" s="14">
        <f t="shared" si="9"/>
        <v>0.6020599913279624</v>
      </c>
      <c r="V71" s="15">
        <v>25</v>
      </c>
      <c r="W71" s="12">
        <v>5.7750247999999971</v>
      </c>
      <c r="X71" s="12">
        <v>0.75</v>
      </c>
      <c r="Y71" s="13" t="s">
        <v>358</v>
      </c>
      <c r="Z71" s="9" t="s">
        <v>359</v>
      </c>
      <c r="AA71" s="10" t="s">
        <v>372</v>
      </c>
      <c r="AB71" s="9" t="s">
        <v>355</v>
      </c>
      <c r="AC71" s="15">
        <v>336</v>
      </c>
      <c r="AD71" s="14">
        <f t="shared" si="10"/>
        <v>2.5263392773898441</v>
      </c>
      <c r="AE71" s="10" t="s">
        <v>361</v>
      </c>
      <c r="AF71" s="9" t="s">
        <v>362</v>
      </c>
      <c r="AG71" s="18">
        <v>39.777825</v>
      </c>
      <c r="AH71" s="7">
        <f t="shared" si="11"/>
        <v>1</v>
      </c>
      <c r="AI71" s="7">
        <f t="shared" si="12"/>
        <v>1</v>
      </c>
      <c r="AJ71" s="7">
        <f t="shared" si="13"/>
        <v>0</v>
      </c>
      <c r="AK71" s="7">
        <f t="shared" si="14"/>
        <v>0</v>
      </c>
      <c r="AL71" s="7" t="s">
        <v>4157</v>
      </c>
      <c r="AM71" s="18">
        <f t="shared" si="15"/>
        <v>1.5996410327773016</v>
      </c>
      <c r="AN71" s="18">
        <v>39.777825</v>
      </c>
      <c r="AO71" s="18">
        <v>-84.689750000000004</v>
      </c>
      <c r="AP71" s="9" t="s">
        <v>363</v>
      </c>
      <c r="AQ71" s="9" t="s">
        <v>355</v>
      </c>
      <c r="AR71" s="15">
        <v>1982</v>
      </c>
      <c r="AS71" s="19" t="s">
        <v>395</v>
      </c>
      <c r="AT71" s="20" t="s">
        <v>396</v>
      </c>
      <c r="AU71" s="34">
        <v>1195927</v>
      </c>
      <c r="AV71" s="35">
        <f t="shared" si="16"/>
        <v>6.0777046709025946</v>
      </c>
      <c r="AW71" s="36" t="s">
        <v>366</v>
      </c>
      <c r="AX71" s="34" t="s">
        <v>355</v>
      </c>
      <c r="AY71" s="34" t="s">
        <v>355</v>
      </c>
      <c r="AZ71" s="15">
        <v>78</v>
      </c>
      <c r="BA71" s="14">
        <f t="shared" si="17"/>
        <v>1.8920946026904804</v>
      </c>
      <c r="BB71" s="36" t="s">
        <v>367</v>
      </c>
      <c r="BC71" s="20">
        <v>3.4313725490200848E-3</v>
      </c>
      <c r="BD71" s="9">
        <v>29.200000000000003</v>
      </c>
      <c r="BE71" s="9" t="s">
        <v>368</v>
      </c>
      <c r="BF71" s="9">
        <v>0</v>
      </c>
    </row>
    <row r="72" spans="1:58">
      <c r="A72" s="9">
        <v>559</v>
      </c>
      <c r="B72" s="10" t="s">
        <v>76</v>
      </c>
      <c r="C72" s="10" t="s">
        <v>474</v>
      </c>
      <c r="D72" s="20" t="s">
        <v>475</v>
      </c>
      <c r="E72" s="20" t="s">
        <v>476</v>
      </c>
      <c r="F72" s="10" t="s">
        <v>474</v>
      </c>
      <c r="G72" s="20" t="s">
        <v>475</v>
      </c>
      <c r="H72" s="20" t="s">
        <v>476</v>
      </c>
      <c r="I72" s="10" t="s">
        <v>474</v>
      </c>
      <c r="J72" s="20" t="s">
        <v>475</v>
      </c>
      <c r="K72" s="20" t="s">
        <v>476</v>
      </c>
      <c r="L72" s="9" t="s">
        <v>380</v>
      </c>
      <c r="M72" s="9">
        <v>7</v>
      </c>
      <c r="N72" s="9" t="s">
        <v>353</v>
      </c>
      <c r="O72" s="9" t="s">
        <v>382</v>
      </c>
      <c r="P72" s="12">
        <v>39.913629999999998</v>
      </c>
      <c r="Q72" s="12" t="s">
        <v>355</v>
      </c>
      <c r="R72" s="9" t="s">
        <v>356</v>
      </c>
      <c r="S72" s="13">
        <v>3</v>
      </c>
      <c r="T72" s="13">
        <v>3</v>
      </c>
      <c r="U72" s="14">
        <f t="shared" si="9"/>
        <v>0.6020599913279624</v>
      </c>
      <c r="V72" s="15">
        <v>30</v>
      </c>
      <c r="W72" s="12"/>
      <c r="X72" s="12">
        <v>0.7</v>
      </c>
      <c r="Y72" s="13" t="s">
        <v>358</v>
      </c>
      <c r="Z72" s="9" t="s">
        <v>359</v>
      </c>
      <c r="AA72" s="10" t="s">
        <v>436</v>
      </c>
      <c r="AB72" s="9" t="s">
        <v>355</v>
      </c>
      <c r="AC72" s="15">
        <v>213</v>
      </c>
      <c r="AD72" s="14">
        <f t="shared" si="10"/>
        <v>2.3283796034387376</v>
      </c>
      <c r="AE72" s="10" t="s">
        <v>437</v>
      </c>
      <c r="AF72" s="9" t="s">
        <v>420</v>
      </c>
      <c r="AG72" s="18">
        <v>34.683438000000002</v>
      </c>
      <c r="AH72" s="7">
        <f t="shared" si="11"/>
        <v>1</v>
      </c>
      <c r="AI72" s="7">
        <f t="shared" si="12"/>
        <v>1</v>
      </c>
      <c r="AJ72" s="7">
        <f t="shared" si="13"/>
        <v>0</v>
      </c>
      <c r="AK72" s="7">
        <f t="shared" si="14"/>
        <v>0</v>
      </c>
      <c r="AL72" s="7" t="s">
        <v>4157</v>
      </c>
      <c r="AM72" s="18">
        <f t="shared" si="15"/>
        <v>1.5401221404311698</v>
      </c>
      <c r="AN72" s="18">
        <v>34.683438000000002</v>
      </c>
      <c r="AO72" s="18">
        <v>-82.837365000000005</v>
      </c>
      <c r="AP72" s="9" t="s">
        <v>363</v>
      </c>
      <c r="AQ72" s="9" t="s">
        <v>438</v>
      </c>
      <c r="AR72" s="15">
        <v>1980</v>
      </c>
      <c r="AS72" s="19" t="s">
        <v>439</v>
      </c>
      <c r="AT72" s="20" t="s">
        <v>440</v>
      </c>
      <c r="AU72" s="40">
        <v>1576697</v>
      </c>
      <c r="AV72" s="35">
        <f t="shared" si="16"/>
        <v>6.1977482412861598</v>
      </c>
      <c r="AW72" s="37" t="s">
        <v>338</v>
      </c>
      <c r="AX72" s="34" t="s">
        <v>355</v>
      </c>
      <c r="AY72" s="40" t="s">
        <v>355</v>
      </c>
      <c r="AZ72" s="36">
        <v>33</v>
      </c>
      <c r="BA72" s="14">
        <f t="shared" si="17"/>
        <v>1.5185139398778875</v>
      </c>
      <c r="BB72" s="37" t="s">
        <v>367</v>
      </c>
      <c r="BC72" s="20">
        <v>1.137454981992851E-2</v>
      </c>
      <c r="BD72" s="9">
        <v>32</v>
      </c>
      <c r="BE72" s="9" t="s">
        <v>368</v>
      </c>
      <c r="BF72" s="9">
        <v>0</v>
      </c>
    </row>
    <row r="73" spans="1:58">
      <c r="A73" s="9">
        <v>558</v>
      </c>
      <c r="B73" s="10" t="s">
        <v>76</v>
      </c>
      <c r="C73" s="10" t="s">
        <v>474</v>
      </c>
      <c r="D73" s="20" t="s">
        <v>475</v>
      </c>
      <c r="E73" s="20" t="s">
        <v>476</v>
      </c>
      <c r="F73" s="10" t="s">
        <v>474</v>
      </c>
      <c r="G73" s="20" t="s">
        <v>475</v>
      </c>
      <c r="H73" s="20" t="s">
        <v>476</v>
      </c>
      <c r="I73" s="10" t="s">
        <v>474</v>
      </c>
      <c r="J73" s="20" t="s">
        <v>475</v>
      </c>
      <c r="K73" s="20" t="s">
        <v>476</v>
      </c>
      <c r="L73" s="9" t="s">
        <v>380</v>
      </c>
      <c r="M73" s="9">
        <v>7</v>
      </c>
      <c r="N73" s="9" t="s">
        <v>353</v>
      </c>
      <c r="O73" s="9" t="s">
        <v>382</v>
      </c>
      <c r="P73" s="12">
        <v>40.429220000000001</v>
      </c>
      <c r="Q73" s="12" t="s">
        <v>355</v>
      </c>
      <c r="R73" s="9" t="s">
        <v>356</v>
      </c>
      <c r="S73" s="13">
        <v>3</v>
      </c>
      <c r="T73" s="13">
        <v>3</v>
      </c>
      <c r="U73" s="14">
        <f t="shared" si="9"/>
        <v>0.6020599913279624</v>
      </c>
      <c r="V73" s="15">
        <v>30</v>
      </c>
      <c r="W73" s="12"/>
      <c r="X73" s="12">
        <v>0.7</v>
      </c>
      <c r="Y73" s="13" t="s">
        <v>358</v>
      </c>
      <c r="Z73" s="9" t="s">
        <v>359</v>
      </c>
      <c r="AA73" s="10" t="s">
        <v>436</v>
      </c>
      <c r="AB73" s="9" t="s">
        <v>355</v>
      </c>
      <c r="AC73" s="15">
        <v>213</v>
      </c>
      <c r="AD73" s="14">
        <f t="shared" si="10"/>
        <v>2.3283796034387376</v>
      </c>
      <c r="AE73" s="10" t="s">
        <v>437</v>
      </c>
      <c r="AF73" s="9" t="s">
        <v>420</v>
      </c>
      <c r="AG73" s="18">
        <v>34.683438000000002</v>
      </c>
      <c r="AH73" s="7">
        <f t="shared" si="11"/>
        <v>1</v>
      </c>
      <c r="AI73" s="7">
        <f t="shared" si="12"/>
        <v>1</v>
      </c>
      <c r="AJ73" s="7">
        <f t="shared" si="13"/>
        <v>0</v>
      </c>
      <c r="AK73" s="7">
        <f t="shared" si="14"/>
        <v>0</v>
      </c>
      <c r="AL73" s="7" t="s">
        <v>4157</v>
      </c>
      <c r="AM73" s="18">
        <f t="shared" si="15"/>
        <v>1.5401221404311698</v>
      </c>
      <c r="AN73" s="18">
        <v>34.683438000000002</v>
      </c>
      <c r="AO73" s="18">
        <v>-82.837365000000005</v>
      </c>
      <c r="AP73" s="9" t="s">
        <v>363</v>
      </c>
      <c r="AQ73" s="9" t="s">
        <v>441</v>
      </c>
      <c r="AR73" s="15">
        <v>1980</v>
      </c>
      <c r="AS73" s="19" t="s">
        <v>439</v>
      </c>
      <c r="AT73" s="20" t="s">
        <v>440</v>
      </c>
      <c r="AU73" s="40">
        <v>1576697</v>
      </c>
      <c r="AV73" s="35">
        <f t="shared" si="16"/>
        <v>6.1977482412861598</v>
      </c>
      <c r="AW73" s="37" t="s">
        <v>338</v>
      </c>
      <c r="AX73" s="34" t="s">
        <v>355</v>
      </c>
      <c r="AY73" s="40" t="s">
        <v>355</v>
      </c>
      <c r="AZ73" s="36">
        <v>33</v>
      </c>
      <c r="BA73" s="14">
        <f t="shared" si="17"/>
        <v>1.5185139398778875</v>
      </c>
      <c r="BB73" s="37" t="s">
        <v>367</v>
      </c>
      <c r="BC73" s="20">
        <v>1.137454981992851E-2</v>
      </c>
      <c r="BD73" s="9">
        <v>32</v>
      </c>
      <c r="BE73" s="9" t="s">
        <v>368</v>
      </c>
      <c r="BF73" s="9">
        <v>0</v>
      </c>
    </row>
    <row r="74" spans="1:58">
      <c r="A74" s="9">
        <v>553</v>
      </c>
      <c r="B74" s="10" t="s">
        <v>76</v>
      </c>
      <c r="C74" s="10" t="s">
        <v>474</v>
      </c>
      <c r="D74" s="20" t="s">
        <v>475</v>
      </c>
      <c r="E74" s="20" t="s">
        <v>476</v>
      </c>
      <c r="F74" s="10" t="s">
        <v>474</v>
      </c>
      <c r="G74" s="20" t="s">
        <v>475</v>
      </c>
      <c r="H74" s="20" t="s">
        <v>476</v>
      </c>
      <c r="I74" s="10" t="s">
        <v>474</v>
      </c>
      <c r="J74" s="20" t="s">
        <v>475</v>
      </c>
      <c r="K74" s="20" t="s">
        <v>476</v>
      </c>
      <c r="L74" s="9" t="s">
        <v>380</v>
      </c>
      <c r="M74" s="9">
        <v>7</v>
      </c>
      <c r="N74" s="9" t="s">
        <v>353</v>
      </c>
      <c r="O74" s="9" t="s">
        <v>382</v>
      </c>
      <c r="P74" s="12">
        <v>43.038080000000001</v>
      </c>
      <c r="Q74" s="12" t="s">
        <v>355</v>
      </c>
      <c r="R74" s="9" t="s">
        <v>356</v>
      </c>
      <c r="S74" s="13">
        <v>3</v>
      </c>
      <c r="T74" s="13">
        <v>3</v>
      </c>
      <c r="U74" s="14">
        <f t="shared" si="9"/>
        <v>0.6020599913279624</v>
      </c>
      <c r="V74" s="15">
        <v>30</v>
      </c>
      <c r="W74" s="12"/>
      <c r="X74" s="12">
        <v>0.7</v>
      </c>
      <c r="Y74" s="13" t="s">
        <v>358</v>
      </c>
      <c r="Z74" s="9" t="s">
        <v>359</v>
      </c>
      <c r="AA74" s="10" t="s">
        <v>436</v>
      </c>
      <c r="AB74" s="9" t="s">
        <v>355</v>
      </c>
      <c r="AC74" s="15">
        <v>213</v>
      </c>
      <c r="AD74" s="14">
        <f t="shared" si="10"/>
        <v>2.3283796034387376</v>
      </c>
      <c r="AE74" s="10" t="s">
        <v>437</v>
      </c>
      <c r="AF74" s="9" t="s">
        <v>420</v>
      </c>
      <c r="AG74" s="18">
        <v>34.683438000000002</v>
      </c>
      <c r="AH74" s="7">
        <f t="shared" si="11"/>
        <v>1</v>
      </c>
      <c r="AI74" s="7">
        <f t="shared" si="12"/>
        <v>1</v>
      </c>
      <c r="AJ74" s="7">
        <f t="shared" si="13"/>
        <v>0</v>
      </c>
      <c r="AK74" s="7">
        <f t="shared" si="14"/>
        <v>0</v>
      </c>
      <c r="AL74" s="7" t="s">
        <v>4157</v>
      </c>
      <c r="AM74" s="18">
        <f t="shared" si="15"/>
        <v>1.5401221404311698</v>
      </c>
      <c r="AN74" s="18">
        <v>34.683438000000002</v>
      </c>
      <c r="AO74" s="18">
        <v>-82.837365000000005</v>
      </c>
      <c r="AP74" s="9" t="s">
        <v>363</v>
      </c>
      <c r="AQ74" s="9" t="s">
        <v>449</v>
      </c>
      <c r="AR74" s="15">
        <v>1980</v>
      </c>
      <c r="AS74" s="19" t="s">
        <v>439</v>
      </c>
      <c r="AT74" s="20" t="s">
        <v>440</v>
      </c>
      <c r="AU74" s="40">
        <v>1576697</v>
      </c>
      <c r="AV74" s="35">
        <f t="shared" si="16"/>
        <v>6.1977482412861598</v>
      </c>
      <c r="AW74" s="37" t="s">
        <v>338</v>
      </c>
      <c r="AX74" s="34" t="s">
        <v>355</v>
      </c>
      <c r="AY74" s="40" t="s">
        <v>355</v>
      </c>
      <c r="AZ74" s="36">
        <v>33</v>
      </c>
      <c r="BA74" s="14">
        <f t="shared" si="17"/>
        <v>1.5185139398778875</v>
      </c>
      <c r="BB74" s="37" t="s">
        <v>367</v>
      </c>
      <c r="BC74" s="20">
        <v>1.137454981992851E-2</v>
      </c>
      <c r="BD74" s="9">
        <v>32</v>
      </c>
      <c r="BE74" s="9" t="s">
        <v>368</v>
      </c>
      <c r="BF74" s="9">
        <v>0</v>
      </c>
    </row>
    <row r="75" spans="1:58">
      <c r="A75" s="9">
        <v>555</v>
      </c>
      <c r="B75" s="10" t="s">
        <v>76</v>
      </c>
      <c r="C75" s="10" t="s">
        <v>474</v>
      </c>
      <c r="D75" s="20" t="s">
        <v>475</v>
      </c>
      <c r="E75" s="20" t="s">
        <v>476</v>
      </c>
      <c r="F75" s="10" t="s">
        <v>474</v>
      </c>
      <c r="G75" s="20" t="s">
        <v>475</v>
      </c>
      <c r="H75" s="20" t="s">
        <v>476</v>
      </c>
      <c r="I75" s="10" t="s">
        <v>474</v>
      </c>
      <c r="J75" s="20" t="s">
        <v>475</v>
      </c>
      <c r="K75" s="20" t="s">
        <v>476</v>
      </c>
      <c r="L75" s="9" t="s">
        <v>380</v>
      </c>
      <c r="M75" s="9">
        <v>10</v>
      </c>
      <c r="N75" s="9" t="s">
        <v>381</v>
      </c>
      <c r="O75" s="9" t="s">
        <v>382</v>
      </c>
      <c r="P75" s="12">
        <v>43.042259999999999</v>
      </c>
      <c r="Q75" s="12" t="s">
        <v>355</v>
      </c>
      <c r="R75" s="9" t="s">
        <v>356</v>
      </c>
      <c r="S75" s="13">
        <v>3</v>
      </c>
      <c r="T75" s="13">
        <v>3</v>
      </c>
      <c r="U75" s="14">
        <f t="shared" si="9"/>
        <v>0.6020599913279624</v>
      </c>
      <c r="V75" s="15">
        <v>30</v>
      </c>
      <c r="W75" s="12"/>
      <c r="X75" s="12">
        <v>0.7</v>
      </c>
      <c r="Y75" s="13" t="s">
        <v>358</v>
      </c>
      <c r="Z75" s="9" t="s">
        <v>359</v>
      </c>
      <c r="AA75" s="10" t="s">
        <v>436</v>
      </c>
      <c r="AB75" s="9" t="s">
        <v>355</v>
      </c>
      <c r="AC75" s="15">
        <v>213</v>
      </c>
      <c r="AD75" s="14">
        <f t="shared" si="10"/>
        <v>2.3283796034387376</v>
      </c>
      <c r="AE75" s="10" t="s">
        <v>437</v>
      </c>
      <c r="AF75" s="9" t="s">
        <v>420</v>
      </c>
      <c r="AG75" s="18">
        <v>34.683438000000002</v>
      </c>
      <c r="AH75" s="7">
        <f t="shared" si="11"/>
        <v>1</v>
      </c>
      <c r="AI75" s="7">
        <f t="shared" si="12"/>
        <v>1</v>
      </c>
      <c r="AJ75" s="7">
        <f t="shared" si="13"/>
        <v>0</v>
      </c>
      <c r="AK75" s="7">
        <f t="shared" si="14"/>
        <v>0</v>
      </c>
      <c r="AL75" s="7" t="s">
        <v>4157</v>
      </c>
      <c r="AM75" s="18">
        <f t="shared" si="15"/>
        <v>1.5401221404311698</v>
      </c>
      <c r="AN75" s="18">
        <v>34.683438000000002</v>
      </c>
      <c r="AO75" s="18">
        <v>-82.837365000000005</v>
      </c>
      <c r="AP75" s="9" t="s">
        <v>363</v>
      </c>
      <c r="AQ75" s="9" t="s">
        <v>446</v>
      </c>
      <c r="AR75" s="15">
        <v>1980</v>
      </c>
      <c r="AS75" s="19" t="s">
        <v>439</v>
      </c>
      <c r="AT75" s="20" t="s">
        <v>440</v>
      </c>
      <c r="AU75" s="40">
        <v>1576697</v>
      </c>
      <c r="AV75" s="35">
        <f t="shared" si="16"/>
        <v>6.1977482412861598</v>
      </c>
      <c r="AW75" s="37" t="s">
        <v>338</v>
      </c>
      <c r="AX75" s="34" t="s">
        <v>355</v>
      </c>
      <c r="AY75" s="40" t="s">
        <v>355</v>
      </c>
      <c r="AZ75" s="36">
        <v>33</v>
      </c>
      <c r="BA75" s="14">
        <f t="shared" si="17"/>
        <v>1.5185139398778875</v>
      </c>
      <c r="BB75" s="37" t="s">
        <v>367</v>
      </c>
      <c r="BC75" s="20">
        <v>1.137454981992851E-2</v>
      </c>
      <c r="BD75" s="9">
        <v>32</v>
      </c>
      <c r="BE75" s="9" t="s">
        <v>368</v>
      </c>
      <c r="BF75" s="9">
        <v>0</v>
      </c>
    </row>
    <row r="76" spans="1:58">
      <c r="A76" s="9">
        <v>554</v>
      </c>
      <c r="B76" s="10" t="s">
        <v>76</v>
      </c>
      <c r="C76" s="10" t="s">
        <v>474</v>
      </c>
      <c r="D76" s="20" t="s">
        <v>475</v>
      </c>
      <c r="E76" s="20" t="s">
        <v>476</v>
      </c>
      <c r="F76" s="10" t="s">
        <v>474</v>
      </c>
      <c r="G76" s="20" t="s">
        <v>475</v>
      </c>
      <c r="H76" s="20" t="s">
        <v>476</v>
      </c>
      <c r="I76" s="10" t="s">
        <v>474</v>
      </c>
      <c r="J76" s="20" t="s">
        <v>475</v>
      </c>
      <c r="K76" s="20" t="s">
        <v>476</v>
      </c>
      <c r="L76" s="9" t="s">
        <v>380</v>
      </c>
      <c r="M76" s="9">
        <v>10</v>
      </c>
      <c r="N76" s="9" t="s">
        <v>381</v>
      </c>
      <c r="O76" s="9" t="s">
        <v>382</v>
      </c>
      <c r="P76" s="12">
        <v>43.070549999999997</v>
      </c>
      <c r="Q76" s="12" t="s">
        <v>355</v>
      </c>
      <c r="R76" s="9" t="s">
        <v>356</v>
      </c>
      <c r="S76" s="13">
        <v>3</v>
      </c>
      <c r="T76" s="13">
        <v>3</v>
      </c>
      <c r="U76" s="14">
        <f t="shared" si="9"/>
        <v>0.6020599913279624</v>
      </c>
      <c r="V76" s="15">
        <v>30</v>
      </c>
      <c r="W76" s="12"/>
      <c r="X76" s="12">
        <v>0.7</v>
      </c>
      <c r="Y76" s="13" t="s">
        <v>358</v>
      </c>
      <c r="Z76" s="9" t="s">
        <v>359</v>
      </c>
      <c r="AA76" s="10" t="s">
        <v>436</v>
      </c>
      <c r="AB76" s="9" t="s">
        <v>355</v>
      </c>
      <c r="AC76" s="15">
        <v>213</v>
      </c>
      <c r="AD76" s="14">
        <f t="shared" si="10"/>
        <v>2.3283796034387376</v>
      </c>
      <c r="AE76" s="10" t="s">
        <v>437</v>
      </c>
      <c r="AF76" s="9" t="s">
        <v>420</v>
      </c>
      <c r="AG76" s="18">
        <v>34.683438000000002</v>
      </c>
      <c r="AH76" s="7">
        <f t="shared" si="11"/>
        <v>1</v>
      </c>
      <c r="AI76" s="7">
        <f t="shared" si="12"/>
        <v>1</v>
      </c>
      <c r="AJ76" s="7">
        <f t="shared" si="13"/>
        <v>0</v>
      </c>
      <c r="AK76" s="7">
        <f t="shared" si="14"/>
        <v>0</v>
      </c>
      <c r="AL76" s="7" t="s">
        <v>4157</v>
      </c>
      <c r="AM76" s="18">
        <f t="shared" si="15"/>
        <v>1.5401221404311698</v>
      </c>
      <c r="AN76" s="18">
        <v>34.683438000000002</v>
      </c>
      <c r="AO76" s="18">
        <v>-82.837365000000005</v>
      </c>
      <c r="AP76" s="9" t="s">
        <v>363</v>
      </c>
      <c r="AQ76" s="9" t="s">
        <v>445</v>
      </c>
      <c r="AR76" s="15">
        <v>1980</v>
      </c>
      <c r="AS76" s="19" t="s">
        <v>439</v>
      </c>
      <c r="AT76" s="20" t="s">
        <v>440</v>
      </c>
      <c r="AU76" s="40">
        <v>1576697</v>
      </c>
      <c r="AV76" s="35">
        <f t="shared" si="16"/>
        <v>6.1977482412861598</v>
      </c>
      <c r="AW76" s="37" t="s">
        <v>338</v>
      </c>
      <c r="AX76" s="34" t="s">
        <v>355</v>
      </c>
      <c r="AY76" s="40" t="s">
        <v>355</v>
      </c>
      <c r="AZ76" s="36">
        <v>33</v>
      </c>
      <c r="BA76" s="14">
        <f t="shared" si="17"/>
        <v>1.5185139398778875</v>
      </c>
      <c r="BB76" s="37" t="s">
        <v>367</v>
      </c>
      <c r="BC76" s="20">
        <v>1.137454981992851E-2</v>
      </c>
      <c r="BD76" s="9">
        <v>32</v>
      </c>
      <c r="BE76" s="9" t="s">
        <v>368</v>
      </c>
      <c r="BF76" s="9">
        <v>0</v>
      </c>
    </row>
    <row r="77" spans="1:58">
      <c r="A77" s="9">
        <v>556</v>
      </c>
      <c r="B77" s="10" t="s">
        <v>76</v>
      </c>
      <c r="C77" s="10" t="s">
        <v>474</v>
      </c>
      <c r="D77" s="20" t="s">
        <v>475</v>
      </c>
      <c r="E77" s="20" t="s">
        <v>476</v>
      </c>
      <c r="F77" s="10" t="s">
        <v>474</v>
      </c>
      <c r="G77" s="20" t="s">
        <v>475</v>
      </c>
      <c r="H77" s="20" t="s">
        <v>476</v>
      </c>
      <c r="I77" s="10" t="s">
        <v>474</v>
      </c>
      <c r="J77" s="20" t="s">
        <v>475</v>
      </c>
      <c r="K77" s="20" t="s">
        <v>476</v>
      </c>
      <c r="L77" s="9" t="s">
        <v>380</v>
      </c>
      <c r="M77" s="9">
        <v>2</v>
      </c>
      <c r="N77" s="9" t="s">
        <v>353</v>
      </c>
      <c r="O77" s="9" t="s">
        <v>382</v>
      </c>
      <c r="P77" s="12">
        <v>43.105800000000002</v>
      </c>
      <c r="Q77" s="12" t="s">
        <v>355</v>
      </c>
      <c r="R77" s="9" t="s">
        <v>356</v>
      </c>
      <c r="S77" s="13">
        <v>3</v>
      </c>
      <c r="T77" s="13">
        <v>3</v>
      </c>
      <c r="U77" s="14">
        <f t="shared" si="9"/>
        <v>0.6020599913279624</v>
      </c>
      <c r="V77" s="15">
        <v>30</v>
      </c>
      <c r="W77" s="12"/>
      <c r="X77" s="12">
        <v>0.7</v>
      </c>
      <c r="Y77" s="13" t="s">
        <v>358</v>
      </c>
      <c r="Z77" s="9" t="s">
        <v>359</v>
      </c>
      <c r="AA77" s="10" t="s">
        <v>436</v>
      </c>
      <c r="AB77" s="9" t="s">
        <v>355</v>
      </c>
      <c r="AC77" s="15">
        <v>213</v>
      </c>
      <c r="AD77" s="14">
        <f t="shared" si="10"/>
        <v>2.3283796034387376</v>
      </c>
      <c r="AE77" s="10" t="s">
        <v>437</v>
      </c>
      <c r="AF77" s="9" t="s">
        <v>420</v>
      </c>
      <c r="AG77" s="18">
        <v>34.683438000000002</v>
      </c>
      <c r="AH77" s="7">
        <f t="shared" si="11"/>
        <v>1</v>
      </c>
      <c r="AI77" s="7">
        <f t="shared" si="12"/>
        <v>1</v>
      </c>
      <c r="AJ77" s="7">
        <f t="shared" si="13"/>
        <v>0</v>
      </c>
      <c r="AK77" s="7">
        <f t="shared" si="14"/>
        <v>0</v>
      </c>
      <c r="AL77" s="7" t="s">
        <v>4157</v>
      </c>
      <c r="AM77" s="18">
        <f t="shared" si="15"/>
        <v>1.5401221404311698</v>
      </c>
      <c r="AN77" s="18">
        <v>34.683438000000002</v>
      </c>
      <c r="AO77" s="18">
        <v>-82.837365000000005</v>
      </c>
      <c r="AP77" s="9" t="s">
        <v>363</v>
      </c>
      <c r="AQ77" s="9" t="s">
        <v>444</v>
      </c>
      <c r="AR77" s="15">
        <v>1980</v>
      </c>
      <c r="AS77" s="19" t="s">
        <v>439</v>
      </c>
      <c r="AT77" s="20" t="s">
        <v>440</v>
      </c>
      <c r="AU77" s="40">
        <v>1576697</v>
      </c>
      <c r="AV77" s="35">
        <f t="shared" si="16"/>
        <v>6.1977482412861598</v>
      </c>
      <c r="AW77" s="37" t="s">
        <v>338</v>
      </c>
      <c r="AX77" s="34" t="s">
        <v>355</v>
      </c>
      <c r="AY77" s="40" t="s">
        <v>355</v>
      </c>
      <c r="AZ77" s="36">
        <v>33</v>
      </c>
      <c r="BA77" s="14">
        <f t="shared" si="17"/>
        <v>1.5185139398778875</v>
      </c>
      <c r="BB77" s="37" t="s">
        <v>367</v>
      </c>
      <c r="BC77" s="20">
        <v>1.137454981992851E-2</v>
      </c>
      <c r="BD77" s="9">
        <v>32</v>
      </c>
      <c r="BE77" s="9" t="s">
        <v>368</v>
      </c>
      <c r="BF77" s="9">
        <v>0</v>
      </c>
    </row>
    <row r="78" spans="1:58">
      <c r="A78" s="9">
        <v>557</v>
      </c>
      <c r="B78" s="10" t="s">
        <v>76</v>
      </c>
      <c r="C78" s="10" t="s">
        <v>474</v>
      </c>
      <c r="D78" s="20" t="s">
        <v>475</v>
      </c>
      <c r="E78" s="20" t="s">
        <v>476</v>
      </c>
      <c r="F78" s="10" t="s">
        <v>474</v>
      </c>
      <c r="G78" s="20" t="s">
        <v>475</v>
      </c>
      <c r="H78" s="20" t="s">
        <v>476</v>
      </c>
      <c r="I78" s="10" t="s">
        <v>474</v>
      </c>
      <c r="J78" s="20" t="s">
        <v>475</v>
      </c>
      <c r="K78" s="20" t="s">
        <v>476</v>
      </c>
      <c r="L78" s="9" t="s">
        <v>380</v>
      </c>
      <c r="M78" s="9">
        <v>1</v>
      </c>
      <c r="N78" s="9" t="s">
        <v>353</v>
      </c>
      <c r="O78" s="9" t="s">
        <v>382</v>
      </c>
      <c r="P78" s="12">
        <v>43.29054</v>
      </c>
      <c r="Q78" s="12" t="s">
        <v>355</v>
      </c>
      <c r="R78" s="9" t="s">
        <v>356</v>
      </c>
      <c r="S78" s="13">
        <v>3</v>
      </c>
      <c r="T78" s="13">
        <v>3</v>
      </c>
      <c r="U78" s="14">
        <f t="shared" si="9"/>
        <v>0.6020599913279624</v>
      </c>
      <c r="V78" s="15">
        <v>30</v>
      </c>
      <c r="W78" s="12"/>
      <c r="X78" s="12">
        <v>0.7</v>
      </c>
      <c r="Y78" s="13" t="s">
        <v>358</v>
      </c>
      <c r="Z78" s="9" t="s">
        <v>359</v>
      </c>
      <c r="AA78" s="10" t="s">
        <v>436</v>
      </c>
      <c r="AB78" s="9" t="s">
        <v>355</v>
      </c>
      <c r="AC78" s="15">
        <v>213</v>
      </c>
      <c r="AD78" s="14">
        <f t="shared" si="10"/>
        <v>2.3283796034387376</v>
      </c>
      <c r="AE78" s="10" t="s">
        <v>437</v>
      </c>
      <c r="AF78" s="9" t="s">
        <v>420</v>
      </c>
      <c r="AG78" s="18">
        <v>34.683438000000002</v>
      </c>
      <c r="AH78" s="7">
        <f t="shared" si="11"/>
        <v>1</v>
      </c>
      <c r="AI78" s="7">
        <f t="shared" si="12"/>
        <v>1</v>
      </c>
      <c r="AJ78" s="7">
        <f t="shared" si="13"/>
        <v>0</v>
      </c>
      <c r="AK78" s="7">
        <f t="shared" si="14"/>
        <v>0</v>
      </c>
      <c r="AL78" s="7" t="s">
        <v>4157</v>
      </c>
      <c r="AM78" s="18">
        <f t="shared" si="15"/>
        <v>1.5401221404311698</v>
      </c>
      <c r="AN78" s="18">
        <v>34.683438000000002</v>
      </c>
      <c r="AO78" s="18">
        <v>-82.837365000000005</v>
      </c>
      <c r="AP78" s="9" t="s">
        <v>363</v>
      </c>
      <c r="AQ78" s="9" t="s">
        <v>443</v>
      </c>
      <c r="AR78" s="15">
        <v>1980</v>
      </c>
      <c r="AS78" s="19" t="s">
        <v>439</v>
      </c>
      <c r="AT78" s="20" t="s">
        <v>440</v>
      </c>
      <c r="AU78" s="40">
        <v>1576697</v>
      </c>
      <c r="AV78" s="35">
        <f t="shared" si="16"/>
        <v>6.1977482412861598</v>
      </c>
      <c r="AW78" s="37" t="s">
        <v>338</v>
      </c>
      <c r="AX78" s="34" t="s">
        <v>355</v>
      </c>
      <c r="AY78" s="40" t="s">
        <v>355</v>
      </c>
      <c r="AZ78" s="36">
        <v>33</v>
      </c>
      <c r="BA78" s="14">
        <f t="shared" si="17"/>
        <v>1.5185139398778875</v>
      </c>
      <c r="BB78" s="37" t="s">
        <v>367</v>
      </c>
      <c r="BC78" s="20">
        <v>1.137454981992851E-2</v>
      </c>
      <c r="BD78" s="9">
        <v>32</v>
      </c>
      <c r="BE78" s="9" t="s">
        <v>368</v>
      </c>
      <c r="BF78" s="9">
        <v>0</v>
      </c>
    </row>
    <row r="79" spans="1:58">
      <c r="A79" s="9">
        <v>560</v>
      </c>
      <c r="B79" s="10" t="s">
        <v>76</v>
      </c>
      <c r="C79" s="10" t="s">
        <v>474</v>
      </c>
      <c r="D79" s="20" t="s">
        <v>475</v>
      </c>
      <c r="E79" s="20" t="s">
        <v>476</v>
      </c>
      <c r="F79" s="10" t="s">
        <v>474</v>
      </c>
      <c r="G79" s="20" t="s">
        <v>475</v>
      </c>
      <c r="H79" s="20" t="s">
        <v>476</v>
      </c>
      <c r="I79" s="10" t="s">
        <v>474</v>
      </c>
      <c r="J79" s="20" t="s">
        <v>475</v>
      </c>
      <c r="K79" s="20" t="s">
        <v>476</v>
      </c>
      <c r="L79" s="9" t="s">
        <v>352</v>
      </c>
      <c r="M79" s="9">
        <v>5</v>
      </c>
      <c r="N79" s="9" t="s">
        <v>353</v>
      </c>
      <c r="O79" s="9" t="s">
        <v>354</v>
      </c>
      <c r="P79" s="12">
        <v>41.377380000000002</v>
      </c>
      <c r="Q79" s="12" t="s">
        <v>355</v>
      </c>
      <c r="R79" s="9" t="s">
        <v>356</v>
      </c>
      <c r="S79" s="13">
        <v>3</v>
      </c>
      <c r="T79" s="13">
        <v>3</v>
      </c>
      <c r="U79" s="14">
        <f t="shared" si="9"/>
        <v>0.6020599913279624</v>
      </c>
      <c r="V79" s="15">
        <v>30</v>
      </c>
      <c r="W79" s="12">
        <v>8.9087230000000019</v>
      </c>
      <c r="X79" s="12">
        <v>0.7</v>
      </c>
      <c r="Y79" s="13" t="s">
        <v>358</v>
      </c>
      <c r="Z79" s="9" t="s">
        <v>417</v>
      </c>
      <c r="AA79" s="10" t="s">
        <v>418</v>
      </c>
      <c r="AB79" s="9" t="s">
        <v>355</v>
      </c>
      <c r="AC79" s="15">
        <v>213</v>
      </c>
      <c r="AD79" s="14">
        <f t="shared" si="10"/>
        <v>2.3283796034387376</v>
      </c>
      <c r="AE79" s="10" t="s">
        <v>437</v>
      </c>
      <c r="AF79" s="9" t="s">
        <v>420</v>
      </c>
      <c r="AG79" s="18">
        <v>34.683438000000002</v>
      </c>
      <c r="AH79" s="7">
        <f t="shared" si="11"/>
        <v>1</v>
      </c>
      <c r="AI79" s="7">
        <f t="shared" si="12"/>
        <v>1</v>
      </c>
      <c r="AJ79" s="7">
        <f t="shared" si="13"/>
        <v>0</v>
      </c>
      <c r="AK79" s="7">
        <f t="shared" si="14"/>
        <v>0</v>
      </c>
      <c r="AL79" s="7" t="s">
        <v>4157</v>
      </c>
      <c r="AM79" s="18">
        <f t="shared" si="15"/>
        <v>1.5401221404311698</v>
      </c>
      <c r="AN79" s="18">
        <v>34.683438000000002</v>
      </c>
      <c r="AO79" s="18">
        <v>-82.837365000000005</v>
      </c>
      <c r="AP79" s="9" t="s">
        <v>363</v>
      </c>
      <c r="AQ79" s="9" t="s">
        <v>355</v>
      </c>
      <c r="AR79" s="15">
        <v>1980</v>
      </c>
      <c r="AS79" s="19" t="s">
        <v>439</v>
      </c>
      <c r="AT79" s="20" t="s">
        <v>440</v>
      </c>
      <c r="AU79" s="40">
        <v>1576697</v>
      </c>
      <c r="AV79" s="35">
        <f t="shared" si="16"/>
        <v>6.1977482412861598</v>
      </c>
      <c r="AW79" s="37" t="s">
        <v>338</v>
      </c>
      <c r="AX79" s="34" t="s">
        <v>355</v>
      </c>
      <c r="AY79" s="40" t="s">
        <v>355</v>
      </c>
      <c r="AZ79" s="15">
        <v>33</v>
      </c>
      <c r="BA79" s="14">
        <f t="shared" si="17"/>
        <v>1.5185139398778875</v>
      </c>
      <c r="BB79" s="37" t="s">
        <v>367</v>
      </c>
      <c r="BC79" s="20">
        <v>1.137454981992851E-2</v>
      </c>
      <c r="BD79" s="9">
        <v>32</v>
      </c>
      <c r="BE79" s="9" t="s">
        <v>368</v>
      </c>
      <c r="BF79" s="9">
        <v>0</v>
      </c>
    </row>
    <row r="80" spans="1:58" ht="15" customHeight="1">
      <c r="A80" s="9">
        <v>964</v>
      </c>
      <c r="B80" s="10" t="s">
        <v>76</v>
      </c>
      <c r="C80" s="10" t="s">
        <v>77</v>
      </c>
      <c r="D80" s="94" t="s">
        <v>477</v>
      </c>
      <c r="E80" s="20" t="s">
        <v>478</v>
      </c>
      <c r="F80" s="10" t="s">
        <v>77</v>
      </c>
      <c r="G80" s="94" t="s">
        <v>477</v>
      </c>
      <c r="H80" s="20" t="s">
        <v>478</v>
      </c>
      <c r="I80" s="10" t="s">
        <v>77</v>
      </c>
      <c r="J80" s="94" t="s">
        <v>477</v>
      </c>
      <c r="K80" s="20" t="s">
        <v>478</v>
      </c>
      <c r="L80" s="9" t="s">
        <v>380</v>
      </c>
      <c r="M80" s="9">
        <v>24</v>
      </c>
      <c r="N80" s="9" t="s">
        <v>381</v>
      </c>
      <c r="O80" s="9" t="s">
        <v>382</v>
      </c>
      <c r="P80" s="12">
        <v>42.3</v>
      </c>
      <c r="Q80" s="12" t="s">
        <v>355</v>
      </c>
      <c r="R80" s="9" t="s">
        <v>356</v>
      </c>
      <c r="S80" s="13" t="s">
        <v>434</v>
      </c>
      <c r="T80" s="13" t="s">
        <v>434</v>
      </c>
      <c r="U80" s="14">
        <f t="shared" si="9"/>
        <v>0.6020599913279624</v>
      </c>
      <c r="V80" s="15">
        <v>20</v>
      </c>
      <c r="W80" s="12"/>
      <c r="X80" s="12">
        <v>1</v>
      </c>
      <c r="Y80" s="13" t="s">
        <v>358</v>
      </c>
      <c r="Z80" s="9" t="s">
        <v>359</v>
      </c>
      <c r="AA80" s="10" t="s">
        <v>479</v>
      </c>
      <c r="AB80" s="9" t="s">
        <v>355</v>
      </c>
      <c r="AC80" s="15">
        <v>785</v>
      </c>
      <c r="AD80" s="14">
        <f t="shared" si="10"/>
        <v>2.8948696567452528</v>
      </c>
      <c r="AE80" s="10" t="s">
        <v>480</v>
      </c>
      <c r="AF80" s="9" t="s">
        <v>420</v>
      </c>
      <c r="AG80" s="18">
        <v>23.550519999999999</v>
      </c>
      <c r="AH80" s="7">
        <f t="shared" si="11"/>
        <v>1</v>
      </c>
      <c r="AI80" s="7">
        <f t="shared" si="12"/>
        <v>0</v>
      </c>
      <c r="AJ80" s="7">
        <f t="shared" si="13"/>
        <v>0</v>
      </c>
      <c r="AK80" s="7">
        <f t="shared" si="14"/>
        <v>0</v>
      </c>
      <c r="AL80" s="7" t="s">
        <v>4159</v>
      </c>
      <c r="AM80" s="18">
        <f t="shared" si="15"/>
        <v>1.3720005008762675</v>
      </c>
      <c r="AN80" s="18">
        <v>-23.550519999999999</v>
      </c>
      <c r="AO80" s="18">
        <v>-46.633308999999997</v>
      </c>
      <c r="AP80" s="9" t="s">
        <v>363</v>
      </c>
      <c r="AQ80" s="9" t="s">
        <v>481</v>
      </c>
      <c r="AR80" s="15">
        <v>2015</v>
      </c>
      <c r="AS80" s="19" t="s">
        <v>482</v>
      </c>
      <c r="AT80" s="20" t="s">
        <v>483</v>
      </c>
      <c r="AU80" s="40">
        <v>1556558</v>
      </c>
      <c r="AV80" s="35">
        <f t="shared" si="16"/>
        <v>6.1921653078715062</v>
      </c>
      <c r="AW80" s="37" t="s">
        <v>366</v>
      </c>
      <c r="AX80" s="40">
        <v>150</v>
      </c>
      <c r="AY80" s="40">
        <v>800</v>
      </c>
      <c r="AZ80" s="37">
        <v>75</v>
      </c>
      <c r="BA80" s="14">
        <f t="shared" si="17"/>
        <v>1.8750612633917001</v>
      </c>
      <c r="BB80" s="37" t="s">
        <v>367</v>
      </c>
      <c r="BC80" s="20">
        <v>3.5503801520608322E-2</v>
      </c>
      <c r="BD80" s="9">
        <v>26.1</v>
      </c>
      <c r="BE80" s="9" t="s">
        <v>368</v>
      </c>
      <c r="BF80" s="9">
        <v>0</v>
      </c>
    </row>
    <row r="81" spans="1:58" ht="15" customHeight="1">
      <c r="A81" s="9">
        <v>967</v>
      </c>
      <c r="B81" s="10" t="s">
        <v>76</v>
      </c>
      <c r="C81" s="10" t="s">
        <v>77</v>
      </c>
      <c r="D81" s="94" t="s">
        <v>477</v>
      </c>
      <c r="E81" s="20" t="s">
        <v>478</v>
      </c>
      <c r="F81" s="10" t="s">
        <v>77</v>
      </c>
      <c r="G81" s="94" t="s">
        <v>477</v>
      </c>
      <c r="H81" s="20" t="s">
        <v>478</v>
      </c>
      <c r="I81" s="10" t="s">
        <v>77</v>
      </c>
      <c r="J81" s="94" t="s">
        <v>477</v>
      </c>
      <c r="K81" s="20" t="s">
        <v>478</v>
      </c>
      <c r="L81" s="9" t="s">
        <v>380</v>
      </c>
      <c r="M81" s="9">
        <v>24</v>
      </c>
      <c r="N81" s="9" t="s">
        <v>381</v>
      </c>
      <c r="O81" s="9" t="s">
        <v>382</v>
      </c>
      <c r="P81" s="12">
        <v>42.5</v>
      </c>
      <c r="Q81" s="12" t="s">
        <v>355</v>
      </c>
      <c r="R81" s="9" t="s">
        <v>356</v>
      </c>
      <c r="S81" s="13" t="s">
        <v>434</v>
      </c>
      <c r="T81" s="13" t="s">
        <v>434</v>
      </c>
      <c r="U81" s="14">
        <f t="shared" si="9"/>
        <v>0.6020599913279624</v>
      </c>
      <c r="V81" s="15">
        <v>20</v>
      </c>
      <c r="W81" s="12"/>
      <c r="X81" s="12">
        <v>1</v>
      </c>
      <c r="Y81" s="13" t="s">
        <v>358</v>
      </c>
      <c r="Z81" s="9" t="s">
        <v>359</v>
      </c>
      <c r="AA81" s="10" t="s">
        <v>479</v>
      </c>
      <c r="AB81" s="9" t="s">
        <v>355</v>
      </c>
      <c r="AC81" s="15">
        <v>785</v>
      </c>
      <c r="AD81" s="14">
        <f t="shared" si="10"/>
        <v>2.8948696567452528</v>
      </c>
      <c r="AE81" s="10" t="s">
        <v>480</v>
      </c>
      <c r="AF81" s="9" t="s">
        <v>420</v>
      </c>
      <c r="AG81" s="18">
        <v>23.550519999999999</v>
      </c>
      <c r="AH81" s="7">
        <f t="shared" si="11"/>
        <v>1</v>
      </c>
      <c r="AI81" s="7">
        <f t="shared" si="12"/>
        <v>0</v>
      </c>
      <c r="AJ81" s="7">
        <f t="shared" si="13"/>
        <v>0</v>
      </c>
      <c r="AK81" s="7">
        <f t="shared" si="14"/>
        <v>0</v>
      </c>
      <c r="AL81" s="7" t="s">
        <v>4159</v>
      </c>
      <c r="AM81" s="18">
        <f t="shared" si="15"/>
        <v>1.3720005008762675</v>
      </c>
      <c r="AN81" s="18">
        <v>-23.550519999999999</v>
      </c>
      <c r="AO81" s="18">
        <v>-46.633308999999997</v>
      </c>
      <c r="AP81" s="9" t="s">
        <v>363</v>
      </c>
      <c r="AQ81" s="9" t="s">
        <v>484</v>
      </c>
      <c r="AR81" s="15">
        <v>2015</v>
      </c>
      <c r="AS81" s="19" t="s">
        <v>482</v>
      </c>
      <c r="AT81" s="20" t="s">
        <v>483</v>
      </c>
      <c r="AU81" s="40">
        <v>1556558</v>
      </c>
      <c r="AV81" s="35">
        <f t="shared" si="16"/>
        <v>6.1921653078715062</v>
      </c>
      <c r="AW81" s="37" t="s">
        <v>366</v>
      </c>
      <c r="AX81" s="40">
        <v>150</v>
      </c>
      <c r="AY81" s="40">
        <v>800</v>
      </c>
      <c r="AZ81" s="37">
        <v>75</v>
      </c>
      <c r="BA81" s="14">
        <f t="shared" si="17"/>
        <v>1.8750612633917001</v>
      </c>
      <c r="BB81" s="37" t="s">
        <v>367</v>
      </c>
      <c r="BC81" s="20">
        <v>3.5503801520608322E-2</v>
      </c>
      <c r="BD81" s="9">
        <v>26.1</v>
      </c>
      <c r="BE81" s="9" t="s">
        <v>368</v>
      </c>
      <c r="BF81" s="9">
        <v>0</v>
      </c>
    </row>
    <row r="82" spans="1:58" ht="15" customHeight="1">
      <c r="A82" s="9">
        <v>966</v>
      </c>
      <c r="B82" s="10" t="s">
        <v>76</v>
      </c>
      <c r="C82" s="10" t="s">
        <v>77</v>
      </c>
      <c r="D82" s="94" t="s">
        <v>477</v>
      </c>
      <c r="E82" s="20" t="s">
        <v>478</v>
      </c>
      <c r="F82" s="10" t="s">
        <v>77</v>
      </c>
      <c r="G82" s="94" t="s">
        <v>477</v>
      </c>
      <c r="H82" s="20" t="s">
        <v>478</v>
      </c>
      <c r="I82" s="10" t="s">
        <v>77</v>
      </c>
      <c r="J82" s="94" t="s">
        <v>477</v>
      </c>
      <c r="K82" s="20" t="s">
        <v>478</v>
      </c>
      <c r="L82" s="9" t="s">
        <v>380</v>
      </c>
      <c r="M82" s="9">
        <v>24</v>
      </c>
      <c r="N82" s="9" t="s">
        <v>381</v>
      </c>
      <c r="O82" s="9" t="s">
        <v>382</v>
      </c>
      <c r="P82" s="12">
        <v>42.6</v>
      </c>
      <c r="Q82" s="12" t="s">
        <v>355</v>
      </c>
      <c r="R82" s="9" t="s">
        <v>356</v>
      </c>
      <c r="S82" s="13" t="s">
        <v>434</v>
      </c>
      <c r="T82" s="13" t="s">
        <v>434</v>
      </c>
      <c r="U82" s="14">
        <f t="shared" si="9"/>
        <v>0.6020599913279624</v>
      </c>
      <c r="V82" s="15">
        <v>20</v>
      </c>
      <c r="W82" s="12"/>
      <c r="X82" s="12">
        <v>1</v>
      </c>
      <c r="Y82" s="13" t="s">
        <v>358</v>
      </c>
      <c r="Z82" s="9" t="s">
        <v>359</v>
      </c>
      <c r="AA82" s="10" t="s">
        <v>479</v>
      </c>
      <c r="AB82" s="9" t="s">
        <v>355</v>
      </c>
      <c r="AC82" s="15">
        <v>785</v>
      </c>
      <c r="AD82" s="14">
        <f t="shared" si="10"/>
        <v>2.8948696567452528</v>
      </c>
      <c r="AE82" s="10" t="s">
        <v>480</v>
      </c>
      <c r="AF82" s="9" t="s">
        <v>420</v>
      </c>
      <c r="AG82" s="18">
        <v>23.550519999999999</v>
      </c>
      <c r="AH82" s="7">
        <f t="shared" si="11"/>
        <v>1</v>
      </c>
      <c r="AI82" s="7">
        <f t="shared" si="12"/>
        <v>0</v>
      </c>
      <c r="AJ82" s="7">
        <f t="shared" si="13"/>
        <v>0</v>
      </c>
      <c r="AK82" s="7">
        <f t="shared" si="14"/>
        <v>0</v>
      </c>
      <c r="AL82" s="7" t="s">
        <v>4159</v>
      </c>
      <c r="AM82" s="18">
        <f t="shared" si="15"/>
        <v>1.3720005008762675</v>
      </c>
      <c r="AN82" s="18">
        <v>-23.550519999999999</v>
      </c>
      <c r="AO82" s="18">
        <v>-46.633308999999997</v>
      </c>
      <c r="AP82" s="9" t="s">
        <v>363</v>
      </c>
      <c r="AQ82" s="9" t="s">
        <v>481</v>
      </c>
      <c r="AR82" s="15">
        <v>2015</v>
      </c>
      <c r="AS82" s="19" t="s">
        <v>482</v>
      </c>
      <c r="AT82" s="20" t="s">
        <v>483</v>
      </c>
      <c r="AU82" s="40">
        <v>1556558</v>
      </c>
      <c r="AV82" s="35">
        <f t="shared" si="16"/>
        <v>6.1921653078715062</v>
      </c>
      <c r="AW82" s="37" t="s">
        <v>366</v>
      </c>
      <c r="AX82" s="40">
        <v>150</v>
      </c>
      <c r="AY82" s="40">
        <v>800</v>
      </c>
      <c r="AZ82" s="37">
        <v>75</v>
      </c>
      <c r="BA82" s="14">
        <f t="shared" si="17"/>
        <v>1.8750612633917001</v>
      </c>
      <c r="BB82" s="37" t="s">
        <v>367</v>
      </c>
      <c r="BC82" s="20">
        <v>3.5503801520608322E-2</v>
      </c>
      <c r="BD82" s="9">
        <v>26.1</v>
      </c>
      <c r="BE82" s="9" t="s">
        <v>368</v>
      </c>
      <c r="BF82" s="9">
        <v>0</v>
      </c>
    </row>
    <row r="83" spans="1:58" ht="15" customHeight="1">
      <c r="A83" s="9">
        <v>980</v>
      </c>
      <c r="B83" s="10" t="s">
        <v>76</v>
      </c>
      <c r="C83" s="10" t="s">
        <v>77</v>
      </c>
      <c r="D83" s="94" t="s">
        <v>477</v>
      </c>
      <c r="E83" s="20" t="s">
        <v>478</v>
      </c>
      <c r="F83" s="10" t="s">
        <v>77</v>
      </c>
      <c r="G83" s="94" t="s">
        <v>477</v>
      </c>
      <c r="H83" s="20" t="s">
        <v>478</v>
      </c>
      <c r="I83" s="10" t="s">
        <v>77</v>
      </c>
      <c r="J83" s="94" t="s">
        <v>477</v>
      </c>
      <c r="K83" s="20" t="s">
        <v>478</v>
      </c>
      <c r="L83" s="9" t="s">
        <v>380</v>
      </c>
      <c r="M83" s="9">
        <v>24</v>
      </c>
      <c r="N83" s="9" t="s">
        <v>381</v>
      </c>
      <c r="O83" s="9" t="s">
        <v>382</v>
      </c>
      <c r="P83" s="12">
        <v>42.6</v>
      </c>
      <c r="Q83" s="12" t="s">
        <v>355</v>
      </c>
      <c r="R83" s="9" t="s">
        <v>356</v>
      </c>
      <c r="S83" s="13" t="s">
        <v>434</v>
      </c>
      <c r="T83" s="13" t="s">
        <v>434</v>
      </c>
      <c r="U83" s="14">
        <f t="shared" si="9"/>
        <v>0.6020599913279624</v>
      </c>
      <c r="V83" s="15">
        <v>30</v>
      </c>
      <c r="W83" s="12"/>
      <c r="X83" s="12">
        <v>1</v>
      </c>
      <c r="Y83" s="13" t="s">
        <v>358</v>
      </c>
      <c r="Z83" s="9" t="s">
        <v>359</v>
      </c>
      <c r="AA83" s="10" t="s">
        <v>479</v>
      </c>
      <c r="AB83" s="9" t="s">
        <v>355</v>
      </c>
      <c r="AC83" s="15">
        <v>785</v>
      </c>
      <c r="AD83" s="14">
        <f t="shared" si="10"/>
        <v>2.8948696567452528</v>
      </c>
      <c r="AE83" s="10" t="s">
        <v>480</v>
      </c>
      <c r="AF83" s="9" t="s">
        <v>420</v>
      </c>
      <c r="AG83" s="18">
        <v>23.550519999999999</v>
      </c>
      <c r="AH83" s="7">
        <f t="shared" si="11"/>
        <v>1</v>
      </c>
      <c r="AI83" s="7">
        <f t="shared" si="12"/>
        <v>0</v>
      </c>
      <c r="AJ83" s="7">
        <f t="shared" si="13"/>
        <v>0</v>
      </c>
      <c r="AK83" s="7">
        <f t="shared" si="14"/>
        <v>0</v>
      </c>
      <c r="AL83" s="7" t="s">
        <v>4159</v>
      </c>
      <c r="AM83" s="18">
        <f t="shared" si="15"/>
        <v>1.3720005008762675</v>
      </c>
      <c r="AN83" s="18">
        <v>-23.550519999999999</v>
      </c>
      <c r="AO83" s="18">
        <v>-46.633308999999997</v>
      </c>
      <c r="AP83" s="9" t="s">
        <v>363</v>
      </c>
      <c r="AQ83" s="9" t="s">
        <v>484</v>
      </c>
      <c r="AR83" s="15">
        <v>2015</v>
      </c>
      <c r="AS83" s="19" t="s">
        <v>482</v>
      </c>
      <c r="AT83" s="20" t="s">
        <v>483</v>
      </c>
      <c r="AU83" s="40">
        <v>1556558</v>
      </c>
      <c r="AV83" s="35">
        <f t="shared" si="16"/>
        <v>6.1921653078715062</v>
      </c>
      <c r="AW83" s="37" t="s">
        <v>366</v>
      </c>
      <c r="AX83" s="40">
        <v>150</v>
      </c>
      <c r="AY83" s="40">
        <v>800</v>
      </c>
      <c r="AZ83" s="37">
        <v>75</v>
      </c>
      <c r="BA83" s="14">
        <f t="shared" si="17"/>
        <v>1.8750612633917001</v>
      </c>
      <c r="BB83" s="37" t="s">
        <v>367</v>
      </c>
      <c r="BC83" s="20">
        <v>3.5503801520608322E-2</v>
      </c>
      <c r="BD83" s="9">
        <v>26.1</v>
      </c>
      <c r="BE83" s="9" t="s">
        <v>368</v>
      </c>
      <c r="BF83" s="9">
        <v>0</v>
      </c>
    </row>
    <row r="84" spans="1:58" ht="15" customHeight="1">
      <c r="A84" s="9">
        <v>965</v>
      </c>
      <c r="B84" s="10" t="s">
        <v>76</v>
      </c>
      <c r="C84" s="10" t="s">
        <v>77</v>
      </c>
      <c r="D84" s="94" t="s">
        <v>477</v>
      </c>
      <c r="E84" s="20" t="s">
        <v>478</v>
      </c>
      <c r="F84" s="10" t="s">
        <v>77</v>
      </c>
      <c r="G84" s="94" t="s">
        <v>477</v>
      </c>
      <c r="H84" s="20" t="s">
        <v>478</v>
      </c>
      <c r="I84" s="10" t="s">
        <v>77</v>
      </c>
      <c r="J84" s="94" t="s">
        <v>477</v>
      </c>
      <c r="K84" s="20" t="s">
        <v>478</v>
      </c>
      <c r="L84" s="9" t="s">
        <v>380</v>
      </c>
      <c r="M84" s="9">
        <v>24</v>
      </c>
      <c r="N84" s="9" t="s">
        <v>381</v>
      </c>
      <c r="O84" s="9" t="s">
        <v>382</v>
      </c>
      <c r="P84" s="12">
        <v>42.7</v>
      </c>
      <c r="Q84" s="12" t="s">
        <v>355</v>
      </c>
      <c r="R84" s="9" t="s">
        <v>356</v>
      </c>
      <c r="S84" s="13" t="s">
        <v>434</v>
      </c>
      <c r="T84" s="13" t="s">
        <v>434</v>
      </c>
      <c r="U84" s="14">
        <f t="shared" si="9"/>
        <v>0.6020599913279624</v>
      </c>
      <c r="V84" s="15">
        <v>20</v>
      </c>
      <c r="W84" s="12"/>
      <c r="X84" s="12">
        <v>1</v>
      </c>
      <c r="Y84" s="13" t="s">
        <v>358</v>
      </c>
      <c r="Z84" s="9" t="s">
        <v>359</v>
      </c>
      <c r="AA84" s="10" t="s">
        <v>479</v>
      </c>
      <c r="AB84" s="9" t="s">
        <v>355</v>
      </c>
      <c r="AC84" s="15">
        <v>785</v>
      </c>
      <c r="AD84" s="14">
        <f t="shared" si="10"/>
        <v>2.8948696567452528</v>
      </c>
      <c r="AE84" s="10" t="s">
        <v>480</v>
      </c>
      <c r="AF84" s="9" t="s">
        <v>420</v>
      </c>
      <c r="AG84" s="18">
        <v>23.550519999999999</v>
      </c>
      <c r="AH84" s="7">
        <f t="shared" si="11"/>
        <v>1</v>
      </c>
      <c r="AI84" s="7">
        <f t="shared" si="12"/>
        <v>0</v>
      </c>
      <c r="AJ84" s="7">
        <f t="shared" si="13"/>
        <v>0</v>
      </c>
      <c r="AK84" s="7">
        <f t="shared" si="14"/>
        <v>0</v>
      </c>
      <c r="AL84" s="7" t="s">
        <v>4159</v>
      </c>
      <c r="AM84" s="18">
        <f t="shared" si="15"/>
        <v>1.3720005008762675</v>
      </c>
      <c r="AN84" s="18">
        <v>-23.550519999999999</v>
      </c>
      <c r="AO84" s="18">
        <v>-46.633308999999997</v>
      </c>
      <c r="AP84" s="9" t="s">
        <v>363</v>
      </c>
      <c r="AQ84" s="9" t="s">
        <v>484</v>
      </c>
      <c r="AR84" s="15">
        <v>2015</v>
      </c>
      <c r="AS84" s="19" t="s">
        <v>482</v>
      </c>
      <c r="AT84" s="20" t="s">
        <v>483</v>
      </c>
      <c r="AU84" s="40">
        <v>1556558</v>
      </c>
      <c r="AV84" s="35">
        <f t="shared" si="16"/>
        <v>6.1921653078715062</v>
      </c>
      <c r="AW84" s="37" t="s">
        <v>366</v>
      </c>
      <c r="AX84" s="40">
        <v>150</v>
      </c>
      <c r="AY84" s="40">
        <v>800</v>
      </c>
      <c r="AZ84" s="37">
        <v>75</v>
      </c>
      <c r="BA84" s="14">
        <f t="shared" si="17"/>
        <v>1.8750612633917001</v>
      </c>
      <c r="BB84" s="37" t="s">
        <v>367</v>
      </c>
      <c r="BC84" s="20">
        <v>3.5503801520608322E-2</v>
      </c>
      <c r="BD84" s="9">
        <v>26.1</v>
      </c>
      <c r="BE84" s="9" t="s">
        <v>368</v>
      </c>
      <c r="BF84" s="9">
        <v>0</v>
      </c>
    </row>
    <row r="85" spans="1:58" ht="15" customHeight="1">
      <c r="A85" s="9">
        <v>977</v>
      </c>
      <c r="B85" s="10" t="s">
        <v>76</v>
      </c>
      <c r="C85" s="10" t="s">
        <v>77</v>
      </c>
      <c r="D85" s="94" t="s">
        <v>477</v>
      </c>
      <c r="E85" s="20" t="s">
        <v>478</v>
      </c>
      <c r="F85" s="10" t="s">
        <v>77</v>
      </c>
      <c r="G85" s="94" t="s">
        <v>477</v>
      </c>
      <c r="H85" s="20" t="s">
        <v>478</v>
      </c>
      <c r="I85" s="10" t="s">
        <v>77</v>
      </c>
      <c r="J85" s="94" t="s">
        <v>477</v>
      </c>
      <c r="K85" s="20" t="s">
        <v>478</v>
      </c>
      <c r="L85" s="9" t="s">
        <v>380</v>
      </c>
      <c r="M85" s="9">
        <v>24</v>
      </c>
      <c r="N85" s="9" t="s">
        <v>381</v>
      </c>
      <c r="O85" s="9" t="s">
        <v>382</v>
      </c>
      <c r="P85" s="12">
        <v>43.2</v>
      </c>
      <c r="Q85" s="12" t="s">
        <v>355</v>
      </c>
      <c r="R85" s="9" t="s">
        <v>356</v>
      </c>
      <c r="S85" s="13" t="s">
        <v>434</v>
      </c>
      <c r="T85" s="13" t="s">
        <v>434</v>
      </c>
      <c r="U85" s="14">
        <f t="shared" si="9"/>
        <v>0.6020599913279624</v>
      </c>
      <c r="V85" s="15">
        <v>30</v>
      </c>
      <c r="W85" s="12"/>
      <c r="X85" s="12">
        <v>1</v>
      </c>
      <c r="Y85" s="13" t="s">
        <v>358</v>
      </c>
      <c r="Z85" s="9" t="s">
        <v>359</v>
      </c>
      <c r="AA85" s="10" t="s">
        <v>479</v>
      </c>
      <c r="AB85" s="9" t="s">
        <v>355</v>
      </c>
      <c r="AC85" s="15">
        <v>785</v>
      </c>
      <c r="AD85" s="14">
        <f t="shared" si="10"/>
        <v>2.8948696567452528</v>
      </c>
      <c r="AE85" s="10" t="s">
        <v>480</v>
      </c>
      <c r="AF85" s="9" t="s">
        <v>420</v>
      </c>
      <c r="AG85" s="18">
        <v>23.550519999999999</v>
      </c>
      <c r="AH85" s="7">
        <f t="shared" si="11"/>
        <v>1</v>
      </c>
      <c r="AI85" s="7">
        <f t="shared" si="12"/>
        <v>0</v>
      </c>
      <c r="AJ85" s="7">
        <f t="shared" si="13"/>
        <v>0</v>
      </c>
      <c r="AK85" s="7">
        <f t="shared" si="14"/>
        <v>0</v>
      </c>
      <c r="AL85" s="7" t="s">
        <v>4159</v>
      </c>
      <c r="AM85" s="18">
        <f t="shared" si="15"/>
        <v>1.3720005008762675</v>
      </c>
      <c r="AN85" s="18">
        <v>-23.550519999999999</v>
      </c>
      <c r="AO85" s="18">
        <v>-46.633308999999997</v>
      </c>
      <c r="AP85" s="9" t="s">
        <v>363</v>
      </c>
      <c r="AQ85" s="9" t="s">
        <v>481</v>
      </c>
      <c r="AR85" s="15">
        <v>2015</v>
      </c>
      <c r="AS85" s="19" t="s">
        <v>482</v>
      </c>
      <c r="AT85" s="20" t="s">
        <v>483</v>
      </c>
      <c r="AU85" s="40">
        <v>1556558</v>
      </c>
      <c r="AV85" s="35">
        <f t="shared" si="16"/>
        <v>6.1921653078715062</v>
      </c>
      <c r="AW85" s="37" t="s">
        <v>366</v>
      </c>
      <c r="AX85" s="40">
        <v>150</v>
      </c>
      <c r="AY85" s="40">
        <v>800</v>
      </c>
      <c r="AZ85" s="37">
        <v>75</v>
      </c>
      <c r="BA85" s="14">
        <f t="shared" si="17"/>
        <v>1.8750612633917001</v>
      </c>
      <c r="BB85" s="37" t="s">
        <v>367</v>
      </c>
      <c r="BC85" s="20">
        <v>3.5503801520608322E-2</v>
      </c>
      <c r="BD85" s="9">
        <v>26.1</v>
      </c>
      <c r="BE85" s="9" t="s">
        <v>368</v>
      </c>
      <c r="BF85" s="9">
        <v>0</v>
      </c>
    </row>
    <row r="86" spans="1:58" ht="15" customHeight="1">
      <c r="A86" s="9">
        <v>978</v>
      </c>
      <c r="B86" s="10" t="s">
        <v>76</v>
      </c>
      <c r="C86" s="10" t="s">
        <v>77</v>
      </c>
      <c r="D86" s="94" t="s">
        <v>477</v>
      </c>
      <c r="E86" s="20" t="s">
        <v>478</v>
      </c>
      <c r="F86" s="10" t="s">
        <v>77</v>
      </c>
      <c r="G86" s="94" t="s">
        <v>477</v>
      </c>
      <c r="H86" s="20" t="s">
        <v>478</v>
      </c>
      <c r="I86" s="10" t="s">
        <v>77</v>
      </c>
      <c r="J86" s="94" t="s">
        <v>477</v>
      </c>
      <c r="K86" s="20" t="s">
        <v>478</v>
      </c>
      <c r="L86" s="9" t="s">
        <v>380</v>
      </c>
      <c r="M86" s="9">
        <v>24</v>
      </c>
      <c r="N86" s="9" t="s">
        <v>381</v>
      </c>
      <c r="O86" s="9" t="s">
        <v>382</v>
      </c>
      <c r="P86" s="12">
        <v>43.3</v>
      </c>
      <c r="Q86" s="12" t="s">
        <v>355</v>
      </c>
      <c r="R86" s="9" t="s">
        <v>356</v>
      </c>
      <c r="S86" s="13" t="s">
        <v>434</v>
      </c>
      <c r="T86" s="13" t="s">
        <v>434</v>
      </c>
      <c r="U86" s="14">
        <f t="shared" si="9"/>
        <v>0.6020599913279624</v>
      </c>
      <c r="V86" s="15">
        <v>30</v>
      </c>
      <c r="W86" s="12"/>
      <c r="X86" s="12">
        <v>1</v>
      </c>
      <c r="Y86" s="13" t="s">
        <v>358</v>
      </c>
      <c r="Z86" s="9" t="s">
        <v>359</v>
      </c>
      <c r="AA86" s="10" t="s">
        <v>479</v>
      </c>
      <c r="AB86" s="9" t="s">
        <v>355</v>
      </c>
      <c r="AC86" s="15">
        <v>785</v>
      </c>
      <c r="AD86" s="14">
        <f t="shared" si="10"/>
        <v>2.8948696567452528</v>
      </c>
      <c r="AE86" s="10" t="s">
        <v>480</v>
      </c>
      <c r="AF86" s="9" t="s">
        <v>420</v>
      </c>
      <c r="AG86" s="18">
        <v>23.550519999999999</v>
      </c>
      <c r="AH86" s="7">
        <f t="shared" si="11"/>
        <v>1</v>
      </c>
      <c r="AI86" s="7">
        <f t="shared" si="12"/>
        <v>0</v>
      </c>
      <c r="AJ86" s="7">
        <f t="shared" si="13"/>
        <v>0</v>
      </c>
      <c r="AK86" s="7">
        <f t="shared" si="14"/>
        <v>0</v>
      </c>
      <c r="AL86" s="7" t="s">
        <v>4159</v>
      </c>
      <c r="AM86" s="18">
        <f t="shared" si="15"/>
        <v>1.3720005008762675</v>
      </c>
      <c r="AN86" s="18">
        <v>-23.550519999999999</v>
      </c>
      <c r="AO86" s="18">
        <v>-46.633308999999997</v>
      </c>
      <c r="AP86" s="9" t="s">
        <v>363</v>
      </c>
      <c r="AQ86" s="9" t="s">
        <v>484</v>
      </c>
      <c r="AR86" s="15">
        <v>2015</v>
      </c>
      <c r="AS86" s="19" t="s">
        <v>482</v>
      </c>
      <c r="AT86" s="20" t="s">
        <v>483</v>
      </c>
      <c r="AU86" s="40">
        <v>1556558</v>
      </c>
      <c r="AV86" s="35">
        <f t="shared" si="16"/>
        <v>6.1921653078715062</v>
      </c>
      <c r="AW86" s="37" t="s">
        <v>366</v>
      </c>
      <c r="AX86" s="40">
        <v>150</v>
      </c>
      <c r="AY86" s="40">
        <v>800</v>
      </c>
      <c r="AZ86" s="37">
        <v>75</v>
      </c>
      <c r="BA86" s="14">
        <f t="shared" si="17"/>
        <v>1.8750612633917001</v>
      </c>
      <c r="BB86" s="37" t="s">
        <v>367</v>
      </c>
      <c r="BC86" s="20">
        <v>3.5503801520608322E-2</v>
      </c>
      <c r="BD86" s="9">
        <v>26.1</v>
      </c>
      <c r="BE86" s="9" t="s">
        <v>368</v>
      </c>
      <c r="BF86" s="9">
        <v>0</v>
      </c>
    </row>
    <row r="87" spans="1:58" ht="15" customHeight="1">
      <c r="A87" s="9">
        <v>979</v>
      </c>
      <c r="B87" s="10" t="s">
        <v>76</v>
      </c>
      <c r="C87" s="10" t="s">
        <v>77</v>
      </c>
      <c r="D87" s="94" t="s">
        <v>477</v>
      </c>
      <c r="E87" s="20" t="s">
        <v>478</v>
      </c>
      <c r="F87" s="10" t="s">
        <v>77</v>
      </c>
      <c r="G87" s="94" t="s">
        <v>477</v>
      </c>
      <c r="H87" s="20" t="s">
        <v>478</v>
      </c>
      <c r="I87" s="10" t="s">
        <v>77</v>
      </c>
      <c r="J87" s="94" t="s">
        <v>477</v>
      </c>
      <c r="K87" s="20" t="s">
        <v>478</v>
      </c>
      <c r="L87" s="9" t="s">
        <v>380</v>
      </c>
      <c r="M87" s="9">
        <v>24</v>
      </c>
      <c r="N87" s="9" t="s">
        <v>381</v>
      </c>
      <c r="O87" s="9" t="s">
        <v>382</v>
      </c>
      <c r="P87" s="12">
        <v>43.6</v>
      </c>
      <c r="Q87" s="12" t="s">
        <v>355</v>
      </c>
      <c r="R87" s="9" t="s">
        <v>356</v>
      </c>
      <c r="S87" s="13" t="s">
        <v>434</v>
      </c>
      <c r="T87" s="13" t="s">
        <v>434</v>
      </c>
      <c r="U87" s="14">
        <f t="shared" si="9"/>
        <v>0.6020599913279624</v>
      </c>
      <c r="V87" s="15">
        <v>30</v>
      </c>
      <c r="W87" s="12"/>
      <c r="X87" s="12">
        <v>1</v>
      </c>
      <c r="Y87" s="13" t="s">
        <v>358</v>
      </c>
      <c r="Z87" s="9" t="s">
        <v>359</v>
      </c>
      <c r="AA87" s="10" t="s">
        <v>479</v>
      </c>
      <c r="AB87" s="9" t="s">
        <v>355</v>
      </c>
      <c r="AC87" s="15">
        <v>785</v>
      </c>
      <c r="AD87" s="14">
        <f t="shared" si="10"/>
        <v>2.8948696567452528</v>
      </c>
      <c r="AE87" s="10" t="s">
        <v>480</v>
      </c>
      <c r="AF87" s="9" t="s">
        <v>420</v>
      </c>
      <c r="AG87" s="18">
        <v>23.550519999999999</v>
      </c>
      <c r="AH87" s="7">
        <f t="shared" si="11"/>
        <v>1</v>
      </c>
      <c r="AI87" s="7">
        <f t="shared" si="12"/>
        <v>0</v>
      </c>
      <c r="AJ87" s="7">
        <f t="shared" si="13"/>
        <v>0</v>
      </c>
      <c r="AK87" s="7">
        <f t="shared" si="14"/>
        <v>0</v>
      </c>
      <c r="AL87" s="7" t="s">
        <v>4159</v>
      </c>
      <c r="AM87" s="18">
        <f t="shared" si="15"/>
        <v>1.3720005008762675</v>
      </c>
      <c r="AN87" s="18">
        <v>-23.550519999999999</v>
      </c>
      <c r="AO87" s="18">
        <v>-46.633308999999997</v>
      </c>
      <c r="AP87" s="9" t="s">
        <v>363</v>
      </c>
      <c r="AQ87" s="9" t="s">
        <v>481</v>
      </c>
      <c r="AR87" s="15">
        <v>2015</v>
      </c>
      <c r="AS87" s="19" t="s">
        <v>482</v>
      </c>
      <c r="AT87" s="20" t="s">
        <v>483</v>
      </c>
      <c r="AU87" s="40">
        <v>1556558</v>
      </c>
      <c r="AV87" s="35">
        <f t="shared" si="16"/>
        <v>6.1921653078715062</v>
      </c>
      <c r="AW87" s="37" t="s">
        <v>366</v>
      </c>
      <c r="AX87" s="40">
        <v>150</v>
      </c>
      <c r="AY87" s="40">
        <v>800</v>
      </c>
      <c r="AZ87" s="37">
        <v>75</v>
      </c>
      <c r="BA87" s="14">
        <f t="shared" si="17"/>
        <v>1.8750612633917001</v>
      </c>
      <c r="BB87" s="37" t="s">
        <v>367</v>
      </c>
      <c r="BC87" s="20">
        <v>3.5503801520608322E-2</v>
      </c>
      <c r="BD87" s="9">
        <v>26.1</v>
      </c>
      <c r="BE87" s="9" t="s">
        <v>368</v>
      </c>
      <c r="BF87" s="9">
        <v>0</v>
      </c>
    </row>
    <row r="88" spans="1:58">
      <c r="A88" s="9">
        <v>1024</v>
      </c>
      <c r="B88" s="20" t="s">
        <v>76</v>
      </c>
      <c r="C88" s="20" t="s">
        <v>369</v>
      </c>
      <c r="D88" s="20" t="s">
        <v>370</v>
      </c>
      <c r="E88" s="20" t="s">
        <v>397</v>
      </c>
      <c r="F88" s="20" t="s">
        <v>369</v>
      </c>
      <c r="G88" s="20" t="s">
        <v>370</v>
      </c>
      <c r="H88" s="20" t="s">
        <v>397</v>
      </c>
      <c r="I88" s="20" t="s">
        <v>369</v>
      </c>
      <c r="J88" s="20" t="s">
        <v>398</v>
      </c>
      <c r="K88" s="20" t="s">
        <v>397</v>
      </c>
      <c r="L88" s="9" t="s">
        <v>352</v>
      </c>
      <c r="M88" s="9">
        <v>3</v>
      </c>
      <c r="N88" s="9" t="s">
        <v>353</v>
      </c>
      <c r="O88" s="9" t="s">
        <v>354</v>
      </c>
      <c r="P88" s="12">
        <v>33.603169999999999</v>
      </c>
      <c r="Q88" s="9" t="s">
        <v>355</v>
      </c>
      <c r="R88" s="9" t="s">
        <v>356</v>
      </c>
      <c r="S88" s="9">
        <v>3</v>
      </c>
      <c r="T88" s="9">
        <v>3</v>
      </c>
      <c r="U88" s="14">
        <f t="shared" si="9"/>
        <v>0.6020599913279624</v>
      </c>
      <c r="V88" s="15">
        <v>23</v>
      </c>
      <c r="W88" s="12">
        <v>7.5438662999999977</v>
      </c>
      <c r="X88" s="9" t="s">
        <v>355</v>
      </c>
      <c r="Y88" s="13" t="s">
        <v>358</v>
      </c>
      <c r="Z88" s="9" t="s">
        <v>359</v>
      </c>
      <c r="AA88" s="10" t="s">
        <v>372</v>
      </c>
      <c r="AB88" s="9" t="s">
        <v>355</v>
      </c>
      <c r="AC88" s="15">
        <v>422</v>
      </c>
      <c r="AD88" s="14">
        <f t="shared" si="10"/>
        <v>2.6253124509616739</v>
      </c>
      <c r="AE88" s="10" t="s">
        <v>373</v>
      </c>
      <c r="AF88" s="9" t="s">
        <v>362</v>
      </c>
      <c r="AG88" s="18">
        <v>42</v>
      </c>
      <c r="AH88" s="7">
        <f t="shared" si="11"/>
        <v>1</v>
      </c>
      <c r="AI88" s="7">
        <f t="shared" si="12"/>
        <v>1</v>
      </c>
      <c r="AJ88" s="7">
        <f t="shared" si="13"/>
        <v>0</v>
      </c>
      <c r="AK88" s="7">
        <f t="shared" si="14"/>
        <v>0</v>
      </c>
      <c r="AL88" s="7" t="s">
        <v>4157</v>
      </c>
      <c r="AM88" s="18">
        <f t="shared" si="15"/>
        <v>1.6232492903979006</v>
      </c>
      <c r="AN88" s="18">
        <v>42</v>
      </c>
      <c r="AO88" s="18">
        <v>-73.134960000000007</v>
      </c>
      <c r="AP88" s="9" t="s">
        <v>363</v>
      </c>
      <c r="AQ88" s="9" t="s">
        <v>355</v>
      </c>
      <c r="AR88" s="9">
        <v>1962</v>
      </c>
      <c r="AS88" s="10" t="s">
        <v>374</v>
      </c>
      <c r="AT88" s="20" t="s">
        <v>375</v>
      </c>
      <c r="AU88" s="42">
        <v>6914656</v>
      </c>
      <c r="AV88" s="35">
        <f t="shared" si="16"/>
        <v>6.8397705790920504</v>
      </c>
      <c r="AW88" s="37" t="s">
        <v>338</v>
      </c>
      <c r="AX88" s="34" t="s">
        <v>355</v>
      </c>
      <c r="AY88" s="40" t="s">
        <v>355</v>
      </c>
      <c r="AZ88" s="15">
        <v>146</v>
      </c>
      <c r="BA88" s="14">
        <f t="shared" si="17"/>
        <v>2.1643528557844371</v>
      </c>
      <c r="BB88" s="37" t="s">
        <v>388</v>
      </c>
      <c r="BC88" s="20">
        <v>2.6780712284914233E-2</v>
      </c>
      <c r="BD88" s="9">
        <v>25.700000000000003</v>
      </c>
      <c r="BE88" s="9" t="s">
        <v>368</v>
      </c>
      <c r="BF88" s="9">
        <v>0</v>
      </c>
    </row>
    <row r="89" spans="1:58">
      <c r="A89" s="9">
        <v>1011</v>
      </c>
      <c r="B89" s="20" t="s">
        <v>76</v>
      </c>
      <c r="C89" s="20" t="s">
        <v>369</v>
      </c>
      <c r="D89" s="20" t="s">
        <v>370</v>
      </c>
      <c r="E89" s="20" t="s">
        <v>399</v>
      </c>
      <c r="F89" s="20" t="s">
        <v>369</v>
      </c>
      <c r="G89" s="20" t="s">
        <v>370</v>
      </c>
      <c r="H89" s="20" t="s">
        <v>399</v>
      </c>
      <c r="I89" s="20" t="s">
        <v>369</v>
      </c>
      <c r="J89" s="20" t="s">
        <v>398</v>
      </c>
      <c r="K89" s="20" t="s">
        <v>399</v>
      </c>
      <c r="L89" s="9" t="s">
        <v>352</v>
      </c>
      <c r="M89" s="9">
        <v>3</v>
      </c>
      <c r="N89" s="9" t="s">
        <v>353</v>
      </c>
      <c r="O89" s="9" t="s">
        <v>354</v>
      </c>
      <c r="P89" s="12">
        <v>31.313610000000001</v>
      </c>
      <c r="Q89" s="9" t="s">
        <v>355</v>
      </c>
      <c r="R89" s="9" t="s">
        <v>356</v>
      </c>
      <c r="S89" s="9">
        <v>3</v>
      </c>
      <c r="T89" s="9">
        <v>3</v>
      </c>
      <c r="U89" s="14">
        <f t="shared" si="9"/>
        <v>0.6020599913279624</v>
      </c>
      <c r="V89" s="15">
        <v>23</v>
      </c>
      <c r="W89" s="12">
        <v>5.2543062999999997</v>
      </c>
      <c r="X89" s="9" t="s">
        <v>355</v>
      </c>
      <c r="Y89" s="13" t="s">
        <v>358</v>
      </c>
      <c r="Z89" s="9" t="s">
        <v>359</v>
      </c>
      <c r="AA89" s="10" t="s">
        <v>372</v>
      </c>
      <c r="AB89" s="9" t="s">
        <v>355</v>
      </c>
      <c r="AC89" s="15">
        <v>422</v>
      </c>
      <c r="AD89" s="14">
        <f t="shared" si="10"/>
        <v>2.6253124509616739</v>
      </c>
      <c r="AE89" s="10" t="s">
        <v>373</v>
      </c>
      <c r="AF89" s="9" t="s">
        <v>362</v>
      </c>
      <c r="AG89" s="18">
        <v>42</v>
      </c>
      <c r="AH89" s="7">
        <f t="shared" si="11"/>
        <v>1</v>
      </c>
      <c r="AI89" s="7">
        <f t="shared" si="12"/>
        <v>1</v>
      </c>
      <c r="AJ89" s="7">
        <f t="shared" si="13"/>
        <v>0</v>
      </c>
      <c r="AK89" s="7">
        <f t="shared" si="14"/>
        <v>0</v>
      </c>
      <c r="AL89" s="7" t="s">
        <v>4157</v>
      </c>
      <c r="AM89" s="18">
        <f t="shared" si="15"/>
        <v>1.6232492903979006</v>
      </c>
      <c r="AN89" s="18">
        <v>42</v>
      </c>
      <c r="AO89" s="18">
        <v>-73.134960000000007</v>
      </c>
      <c r="AP89" s="9" t="s">
        <v>363</v>
      </c>
      <c r="AQ89" s="9" t="s">
        <v>355</v>
      </c>
      <c r="AR89" s="9">
        <v>1962</v>
      </c>
      <c r="AS89" s="10" t="s">
        <v>374</v>
      </c>
      <c r="AT89" s="20" t="s">
        <v>375</v>
      </c>
      <c r="AU89" s="39">
        <v>2477116</v>
      </c>
      <c r="AV89" s="35">
        <f t="shared" si="16"/>
        <v>6.3939463444866496</v>
      </c>
      <c r="AW89" s="37" t="s">
        <v>366</v>
      </c>
      <c r="AX89" s="34" t="s">
        <v>355</v>
      </c>
      <c r="AY89" s="40" t="s">
        <v>355</v>
      </c>
      <c r="AZ89" s="15">
        <v>55</v>
      </c>
      <c r="BA89" s="14">
        <f t="shared" si="17"/>
        <v>1.7403626894942439</v>
      </c>
      <c r="BB89" s="37" t="s">
        <v>388</v>
      </c>
      <c r="BC89" s="20">
        <v>2.6780712284914233E-2</v>
      </c>
      <c r="BD89" s="9">
        <v>25.700000000000003</v>
      </c>
      <c r="BE89" s="9" t="s">
        <v>368</v>
      </c>
      <c r="BF89" s="9">
        <v>0</v>
      </c>
    </row>
    <row r="90" spans="1:58">
      <c r="A90" s="9">
        <v>994</v>
      </c>
      <c r="B90" s="20" t="s">
        <v>76</v>
      </c>
      <c r="C90" s="20" t="s">
        <v>369</v>
      </c>
      <c r="D90" s="20" t="s">
        <v>370</v>
      </c>
      <c r="E90" s="20" t="s">
        <v>400</v>
      </c>
      <c r="F90" s="20" t="s">
        <v>369</v>
      </c>
      <c r="G90" s="20" t="s">
        <v>370</v>
      </c>
      <c r="H90" s="20" t="s">
        <v>400</v>
      </c>
      <c r="I90" s="20" t="s">
        <v>369</v>
      </c>
      <c r="J90" s="20" t="s">
        <v>398</v>
      </c>
      <c r="K90" s="20" t="s">
        <v>400</v>
      </c>
      <c r="L90" s="9" t="s">
        <v>352</v>
      </c>
      <c r="M90" s="9">
        <v>3</v>
      </c>
      <c r="N90" s="9" t="s">
        <v>353</v>
      </c>
      <c r="O90" s="9" t="s">
        <v>354</v>
      </c>
      <c r="P90" s="12">
        <v>31.85943</v>
      </c>
      <c r="Q90" s="9" t="s">
        <v>355</v>
      </c>
      <c r="R90" s="9" t="s">
        <v>356</v>
      </c>
      <c r="S90" s="9">
        <v>3</v>
      </c>
      <c r="T90" s="9">
        <v>3</v>
      </c>
      <c r="U90" s="14">
        <f t="shared" si="9"/>
        <v>0.6020599913279624</v>
      </c>
      <c r="V90" s="15">
        <v>7</v>
      </c>
      <c r="W90" s="12">
        <v>6.2745558999999957</v>
      </c>
      <c r="X90" s="9" t="s">
        <v>355</v>
      </c>
      <c r="Y90" s="13" t="s">
        <v>401</v>
      </c>
      <c r="Z90" s="9" t="s">
        <v>359</v>
      </c>
      <c r="AA90" s="10" t="s">
        <v>372</v>
      </c>
      <c r="AB90" s="9" t="s">
        <v>355</v>
      </c>
      <c r="AC90" s="43">
        <v>349</v>
      </c>
      <c r="AD90" s="14">
        <f t="shared" si="10"/>
        <v>2.5428254269591797</v>
      </c>
      <c r="AE90" s="10" t="s">
        <v>402</v>
      </c>
      <c r="AF90" s="44" t="s">
        <v>362</v>
      </c>
      <c r="AG90" s="18">
        <v>43.680533500000003</v>
      </c>
      <c r="AH90" s="7">
        <f t="shared" si="11"/>
        <v>1</v>
      </c>
      <c r="AI90" s="7">
        <f t="shared" si="12"/>
        <v>1</v>
      </c>
      <c r="AJ90" s="7">
        <f t="shared" si="13"/>
        <v>0</v>
      </c>
      <c r="AK90" s="7">
        <f t="shared" si="14"/>
        <v>0</v>
      </c>
      <c r="AL90" s="7" t="s">
        <v>4157</v>
      </c>
      <c r="AM90" s="18">
        <f t="shared" si="15"/>
        <v>1.6402879340623209</v>
      </c>
      <c r="AN90" s="45">
        <v>43.680533500000003</v>
      </c>
      <c r="AO90" s="45">
        <v>-90.082397</v>
      </c>
      <c r="AP90" s="9" t="s">
        <v>402</v>
      </c>
      <c r="AQ90" s="9" t="s">
        <v>403</v>
      </c>
      <c r="AR90" s="9">
        <v>1962</v>
      </c>
      <c r="AS90" s="10" t="s">
        <v>374</v>
      </c>
      <c r="AT90" s="20" t="s">
        <v>375</v>
      </c>
      <c r="AU90" s="39">
        <v>6011807</v>
      </c>
      <c r="AV90" s="35">
        <f t="shared" si="16"/>
        <v>6.77900502976909</v>
      </c>
      <c r="AW90" s="37" t="s">
        <v>366</v>
      </c>
      <c r="AX90" s="40">
        <v>100</v>
      </c>
      <c r="AY90" s="40">
        <v>600</v>
      </c>
      <c r="AZ90" s="15">
        <v>113</v>
      </c>
      <c r="BA90" s="14">
        <f t="shared" si="17"/>
        <v>2.0530784434834195</v>
      </c>
      <c r="BB90" s="37" t="s">
        <v>367</v>
      </c>
      <c r="BC90" s="20">
        <v>1.9469787915165869E-2</v>
      </c>
      <c r="BD90" s="9">
        <v>28.1</v>
      </c>
      <c r="BE90" s="9" t="s">
        <v>368</v>
      </c>
      <c r="BF90" s="9">
        <v>0</v>
      </c>
    </row>
    <row r="91" spans="1:58">
      <c r="A91" s="9">
        <v>997</v>
      </c>
      <c r="B91" s="20" t="s">
        <v>76</v>
      </c>
      <c r="C91" s="20" t="s">
        <v>369</v>
      </c>
      <c r="D91" s="20" t="s">
        <v>370</v>
      </c>
      <c r="E91" s="20" t="s">
        <v>400</v>
      </c>
      <c r="F91" s="20" t="s">
        <v>369</v>
      </c>
      <c r="G91" s="20" t="s">
        <v>370</v>
      </c>
      <c r="H91" s="20" t="s">
        <v>400</v>
      </c>
      <c r="I91" s="20" t="s">
        <v>369</v>
      </c>
      <c r="J91" s="20" t="s">
        <v>398</v>
      </c>
      <c r="K91" s="20" t="s">
        <v>400</v>
      </c>
      <c r="L91" s="9" t="s">
        <v>352</v>
      </c>
      <c r="M91" s="9">
        <v>3</v>
      </c>
      <c r="N91" s="9" t="s">
        <v>353</v>
      </c>
      <c r="O91" s="9" t="s">
        <v>354</v>
      </c>
      <c r="P91" s="12">
        <v>33.762729999999998</v>
      </c>
      <c r="Q91" s="9" t="s">
        <v>355</v>
      </c>
      <c r="R91" s="9" t="s">
        <v>356</v>
      </c>
      <c r="S91" s="9">
        <v>3</v>
      </c>
      <c r="T91" s="9">
        <v>3</v>
      </c>
      <c r="U91" s="14">
        <f t="shared" si="9"/>
        <v>0.6020599913279624</v>
      </c>
      <c r="V91" s="15">
        <v>12</v>
      </c>
      <c r="W91" s="12">
        <v>7.3967608999999968</v>
      </c>
      <c r="X91" s="9" t="s">
        <v>355</v>
      </c>
      <c r="Y91" s="13" t="s">
        <v>401</v>
      </c>
      <c r="Z91" s="9" t="s">
        <v>359</v>
      </c>
      <c r="AA91" s="10" t="s">
        <v>372</v>
      </c>
      <c r="AB91" s="9" t="s">
        <v>355</v>
      </c>
      <c r="AC91" s="43">
        <v>349</v>
      </c>
      <c r="AD91" s="14">
        <f t="shared" si="10"/>
        <v>2.5428254269591797</v>
      </c>
      <c r="AE91" s="10" t="s">
        <v>402</v>
      </c>
      <c r="AF91" s="44" t="s">
        <v>362</v>
      </c>
      <c r="AG91" s="18">
        <v>43.680533500000003</v>
      </c>
      <c r="AH91" s="7">
        <f t="shared" si="11"/>
        <v>1</v>
      </c>
      <c r="AI91" s="7">
        <f t="shared" si="12"/>
        <v>1</v>
      </c>
      <c r="AJ91" s="7">
        <f t="shared" si="13"/>
        <v>0</v>
      </c>
      <c r="AK91" s="7">
        <f t="shared" si="14"/>
        <v>0</v>
      </c>
      <c r="AL91" s="7" t="s">
        <v>4157</v>
      </c>
      <c r="AM91" s="18">
        <f t="shared" si="15"/>
        <v>1.6402879340623209</v>
      </c>
      <c r="AN91" s="45">
        <v>43.680533500000003</v>
      </c>
      <c r="AO91" s="45">
        <v>-90.082397</v>
      </c>
      <c r="AP91" s="9" t="s">
        <v>402</v>
      </c>
      <c r="AQ91" s="9" t="s">
        <v>403</v>
      </c>
      <c r="AR91" s="9">
        <v>1962</v>
      </c>
      <c r="AS91" s="10" t="s">
        <v>374</v>
      </c>
      <c r="AT91" s="20" t="s">
        <v>375</v>
      </c>
      <c r="AU91" s="39">
        <v>6011807</v>
      </c>
      <c r="AV91" s="35">
        <f t="shared" si="16"/>
        <v>6.77900502976909</v>
      </c>
      <c r="AW91" s="37" t="s">
        <v>366</v>
      </c>
      <c r="AX91" s="40">
        <v>100</v>
      </c>
      <c r="AY91" s="40">
        <v>600</v>
      </c>
      <c r="AZ91" s="15">
        <v>113</v>
      </c>
      <c r="BA91" s="14">
        <f t="shared" si="17"/>
        <v>2.0530784434834195</v>
      </c>
      <c r="BB91" s="37" t="s">
        <v>367</v>
      </c>
      <c r="BC91" s="20">
        <v>1.9469787915165869E-2</v>
      </c>
      <c r="BD91" s="9">
        <v>28.1</v>
      </c>
      <c r="BE91" s="9" t="s">
        <v>368</v>
      </c>
      <c r="BF91" s="9">
        <v>0</v>
      </c>
    </row>
    <row r="92" spans="1:58">
      <c r="A92" s="9">
        <v>1000</v>
      </c>
      <c r="B92" s="20" t="s">
        <v>76</v>
      </c>
      <c r="C92" s="20" t="s">
        <v>369</v>
      </c>
      <c r="D92" s="20" t="s">
        <v>370</v>
      </c>
      <c r="E92" s="20" t="s">
        <v>400</v>
      </c>
      <c r="F92" s="20" t="s">
        <v>369</v>
      </c>
      <c r="G92" s="20" t="s">
        <v>370</v>
      </c>
      <c r="H92" s="20" t="s">
        <v>400</v>
      </c>
      <c r="I92" s="20" t="s">
        <v>369</v>
      </c>
      <c r="J92" s="20" t="s">
        <v>398</v>
      </c>
      <c r="K92" s="20" t="s">
        <v>400</v>
      </c>
      <c r="L92" s="9" t="s">
        <v>352</v>
      </c>
      <c r="M92" s="9">
        <v>3</v>
      </c>
      <c r="N92" s="9" t="s">
        <v>353</v>
      </c>
      <c r="O92" s="9" t="s">
        <v>354</v>
      </c>
      <c r="P92" s="12">
        <v>34.464239999999997</v>
      </c>
      <c r="Q92" s="9" t="s">
        <v>355</v>
      </c>
      <c r="R92" s="9" t="s">
        <v>356</v>
      </c>
      <c r="S92" s="9">
        <v>3</v>
      </c>
      <c r="T92" s="9">
        <v>3</v>
      </c>
      <c r="U92" s="14">
        <f t="shared" si="9"/>
        <v>0.6020599913279624</v>
      </c>
      <c r="V92" s="15">
        <v>23</v>
      </c>
      <c r="W92" s="12">
        <v>6.3798618999999945</v>
      </c>
      <c r="X92" s="9" t="s">
        <v>355</v>
      </c>
      <c r="Y92" s="13" t="s">
        <v>401</v>
      </c>
      <c r="Z92" s="9" t="s">
        <v>359</v>
      </c>
      <c r="AA92" s="10" t="s">
        <v>372</v>
      </c>
      <c r="AB92" s="9" t="s">
        <v>355</v>
      </c>
      <c r="AC92" s="43">
        <v>349</v>
      </c>
      <c r="AD92" s="14">
        <f t="shared" si="10"/>
        <v>2.5428254269591797</v>
      </c>
      <c r="AE92" s="10" t="s">
        <v>402</v>
      </c>
      <c r="AF92" s="44" t="s">
        <v>362</v>
      </c>
      <c r="AG92" s="18">
        <v>43.680533500000003</v>
      </c>
      <c r="AH92" s="7">
        <f t="shared" si="11"/>
        <v>1</v>
      </c>
      <c r="AI92" s="7">
        <f t="shared" si="12"/>
        <v>1</v>
      </c>
      <c r="AJ92" s="7">
        <f t="shared" si="13"/>
        <v>0</v>
      </c>
      <c r="AK92" s="7">
        <f t="shared" si="14"/>
        <v>0</v>
      </c>
      <c r="AL92" s="7" t="s">
        <v>4157</v>
      </c>
      <c r="AM92" s="18">
        <f t="shared" si="15"/>
        <v>1.6402879340623209</v>
      </c>
      <c r="AN92" s="45">
        <v>43.680533500000003</v>
      </c>
      <c r="AO92" s="45">
        <v>-90.082397</v>
      </c>
      <c r="AP92" s="9" t="s">
        <v>402</v>
      </c>
      <c r="AQ92" s="9" t="s">
        <v>403</v>
      </c>
      <c r="AR92" s="9">
        <v>1962</v>
      </c>
      <c r="AS92" s="10" t="s">
        <v>374</v>
      </c>
      <c r="AT92" s="20" t="s">
        <v>375</v>
      </c>
      <c r="AU92" s="39">
        <v>6011807</v>
      </c>
      <c r="AV92" s="35">
        <f t="shared" si="16"/>
        <v>6.77900502976909</v>
      </c>
      <c r="AW92" s="37" t="s">
        <v>366</v>
      </c>
      <c r="AX92" s="40">
        <v>100</v>
      </c>
      <c r="AY92" s="40">
        <v>600</v>
      </c>
      <c r="AZ92" s="15">
        <v>113</v>
      </c>
      <c r="BA92" s="14">
        <f t="shared" si="17"/>
        <v>2.0530784434834195</v>
      </c>
      <c r="BB92" s="37" t="s">
        <v>367</v>
      </c>
      <c r="BC92" s="20">
        <v>1.9469787915165869E-2</v>
      </c>
      <c r="BD92" s="9">
        <v>28.1</v>
      </c>
      <c r="BE92" s="9" t="s">
        <v>368</v>
      </c>
      <c r="BF92" s="9">
        <v>0</v>
      </c>
    </row>
    <row r="93" spans="1:58">
      <c r="A93" s="9">
        <v>1020</v>
      </c>
      <c r="B93" s="20" t="s">
        <v>76</v>
      </c>
      <c r="C93" s="20" t="s">
        <v>369</v>
      </c>
      <c r="D93" s="20" t="s">
        <v>370</v>
      </c>
      <c r="E93" s="20" t="s">
        <v>400</v>
      </c>
      <c r="F93" s="20" t="s">
        <v>369</v>
      </c>
      <c r="G93" s="20" t="s">
        <v>370</v>
      </c>
      <c r="H93" s="20" t="s">
        <v>400</v>
      </c>
      <c r="I93" s="20" t="s">
        <v>369</v>
      </c>
      <c r="J93" s="20" t="s">
        <v>398</v>
      </c>
      <c r="K93" s="20" t="s">
        <v>400</v>
      </c>
      <c r="L93" s="9" t="s">
        <v>352</v>
      </c>
      <c r="M93" s="9">
        <v>3</v>
      </c>
      <c r="N93" s="9" t="s">
        <v>353</v>
      </c>
      <c r="O93" s="9" t="s">
        <v>354</v>
      </c>
      <c r="P93" s="12">
        <v>34.498100000000001</v>
      </c>
      <c r="Q93" s="9" t="s">
        <v>355</v>
      </c>
      <c r="R93" s="9" t="s">
        <v>356</v>
      </c>
      <c r="S93" s="9">
        <v>3</v>
      </c>
      <c r="T93" s="9">
        <v>3</v>
      </c>
      <c r="U93" s="14">
        <f t="shared" si="9"/>
        <v>0.6020599913279624</v>
      </c>
      <c r="V93" s="15">
        <v>23</v>
      </c>
      <c r="W93" s="12">
        <v>6.4137218999999988</v>
      </c>
      <c r="X93" s="9" t="s">
        <v>355</v>
      </c>
      <c r="Y93" s="13" t="s">
        <v>358</v>
      </c>
      <c r="Z93" s="9" t="s">
        <v>359</v>
      </c>
      <c r="AA93" s="10" t="s">
        <v>372</v>
      </c>
      <c r="AB93" s="9" t="s">
        <v>355</v>
      </c>
      <c r="AC93" s="43">
        <v>349</v>
      </c>
      <c r="AD93" s="14">
        <f t="shared" si="10"/>
        <v>2.5428254269591797</v>
      </c>
      <c r="AE93" s="10" t="s">
        <v>402</v>
      </c>
      <c r="AF93" s="44" t="s">
        <v>362</v>
      </c>
      <c r="AG93" s="18">
        <v>43.680533500000003</v>
      </c>
      <c r="AH93" s="7">
        <f t="shared" si="11"/>
        <v>1</v>
      </c>
      <c r="AI93" s="7">
        <f t="shared" si="12"/>
        <v>1</v>
      </c>
      <c r="AJ93" s="7">
        <f t="shared" si="13"/>
        <v>0</v>
      </c>
      <c r="AK93" s="7">
        <f t="shared" si="14"/>
        <v>0</v>
      </c>
      <c r="AL93" s="7" t="s">
        <v>4157</v>
      </c>
      <c r="AM93" s="18">
        <f t="shared" si="15"/>
        <v>1.6402879340623209</v>
      </c>
      <c r="AN93" s="45">
        <v>43.680533500000003</v>
      </c>
      <c r="AO93" s="45">
        <v>-90.082397</v>
      </c>
      <c r="AP93" s="9" t="s">
        <v>402</v>
      </c>
      <c r="AQ93" s="9" t="s">
        <v>403</v>
      </c>
      <c r="AR93" s="9">
        <v>1962</v>
      </c>
      <c r="AS93" s="10" t="s">
        <v>374</v>
      </c>
      <c r="AT93" s="20" t="s">
        <v>375</v>
      </c>
      <c r="AU93" s="39">
        <v>6011807</v>
      </c>
      <c r="AV93" s="35">
        <f t="shared" si="16"/>
        <v>6.77900502976909</v>
      </c>
      <c r="AW93" s="37" t="s">
        <v>366</v>
      </c>
      <c r="AX93" s="40">
        <v>100</v>
      </c>
      <c r="AY93" s="40">
        <v>600</v>
      </c>
      <c r="AZ93" s="15">
        <v>113</v>
      </c>
      <c r="BA93" s="14">
        <f t="shared" si="17"/>
        <v>2.0530784434834195</v>
      </c>
      <c r="BB93" s="37" t="s">
        <v>367</v>
      </c>
      <c r="BC93" s="20">
        <v>1.9469787915165869E-2</v>
      </c>
      <c r="BD93" s="9">
        <v>28.1</v>
      </c>
      <c r="BE93" s="9" t="s">
        <v>368</v>
      </c>
      <c r="BF93" s="9">
        <v>0</v>
      </c>
    </row>
    <row r="94" spans="1:58">
      <c r="A94" s="9">
        <v>458</v>
      </c>
      <c r="B94" s="10" t="s">
        <v>76</v>
      </c>
      <c r="C94" s="10" t="s">
        <v>369</v>
      </c>
      <c r="D94" s="20" t="s">
        <v>370</v>
      </c>
      <c r="E94" s="20" t="s">
        <v>485</v>
      </c>
      <c r="F94" s="10" t="s">
        <v>369</v>
      </c>
      <c r="G94" s="20" t="s">
        <v>370</v>
      </c>
      <c r="H94" s="20" t="s">
        <v>485</v>
      </c>
      <c r="I94" s="10" t="s">
        <v>369</v>
      </c>
      <c r="J94" s="20" t="s">
        <v>398</v>
      </c>
      <c r="K94" s="20" t="s">
        <v>486</v>
      </c>
      <c r="L94" s="9" t="s">
        <v>380</v>
      </c>
      <c r="M94" s="9">
        <v>10</v>
      </c>
      <c r="N94" s="9" t="s">
        <v>381</v>
      </c>
      <c r="O94" s="9" t="s">
        <v>382</v>
      </c>
      <c r="P94" s="12">
        <v>37.763469999999998</v>
      </c>
      <c r="Q94" s="12" t="s">
        <v>355</v>
      </c>
      <c r="R94" s="9" t="s">
        <v>356</v>
      </c>
      <c r="S94" s="13">
        <v>3</v>
      </c>
      <c r="T94" s="13">
        <v>3</v>
      </c>
      <c r="U94" s="14">
        <f t="shared" si="9"/>
        <v>0.6020599913279624</v>
      </c>
      <c r="V94" s="15">
        <v>30</v>
      </c>
      <c r="W94" s="12"/>
      <c r="X94" s="12">
        <v>0.7</v>
      </c>
      <c r="Y94" s="13" t="s">
        <v>358</v>
      </c>
      <c r="Z94" s="9" t="s">
        <v>359</v>
      </c>
      <c r="AA94" s="10" t="s">
        <v>436</v>
      </c>
      <c r="AB94" s="9" t="s">
        <v>355</v>
      </c>
      <c r="AC94" s="15">
        <v>1181</v>
      </c>
      <c r="AD94" s="14">
        <f t="shared" si="10"/>
        <v>3.0722498976135149</v>
      </c>
      <c r="AE94" s="10" t="s">
        <v>487</v>
      </c>
      <c r="AF94" s="9" t="s">
        <v>420</v>
      </c>
      <c r="AG94" s="18">
        <v>35.052591</v>
      </c>
      <c r="AH94" s="7">
        <f t="shared" si="11"/>
        <v>1</v>
      </c>
      <c r="AI94" s="7">
        <f t="shared" si="12"/>
        <v>1</v>
      </c>
      <c r="AJ94" s="7">
        <f t="shared" si="13"/>
        <v>0</v>
      </c>
      <c r="AK94" s="7">
        <f t="shared" si="14"/>
        <v>0</v>
      </c>
      <c r="AL94" s="7" t="s">
        <v>4157</v>
      </c>
      <c r="AM94" s="18">
        <f t="shared" si="15"/>
        <v>1.5447201254528484</v>
      </c>
      <c r="AN94" s="18">
        <v>35.052591</v>
      </c>
      <c r="AO94" s="18">
        <v>-83.196816999999996</v>
      </c>
      <c r="AP94" s="9" t="s">
        <v>363</v>
      </c>
      <c r="AQ94" s="9" t="s">
        <v>438</v>
      </c>
      <c r="AR94" s="15">
        <v>1980</v>
      </c>
      <c r="AS94" s="19" t="s">
        <v>439</v>
      </c>
      <c r="AT94" s="20" t="s">
        <v>440</v>
      </c>
      <c r="AU94" s="40">
        <v>9096515</v>
      </c>
      <c r="AV94" s="35">
        <f t="shared" si="16"/>
        <v>6.9588750399961636</v>
      </c>
      <c r="AW94" s="37" t="s">
        <v>366</v>
      </c>
      <c r="AX94" s="34" t="s">
        <v>355</v>
      </c>
      <c r="AY94" s="40" t="s">
        <v>355</v>
      </c>
      <c r="AZ94" s="36">
        <v>55</v>
      </c>
      <c r="BA94" s="14">
        <f t="shared" si="17"/>
        <v>1.7403626894942439</v>
      </c>
      <c r="BB94" s="37" t="s">
        <v>388</v>
      </c>
      <c r="BC94" s="20">
        <v>3.2953181272512384E-3</v>
      </c>
      <c r="BD94" s="9">
        <v>25.5</v>
      </c>
      <c r="BE94" s="9" t="s">
        <v>368</v>
      </c>
      <c r="BF94" s="9">
        <v>0</v>
      </c>
    </row>
    <row r="95" spans="1:58">
      <c r="A95" s="9">
        <v>457</v>
      </c>
      <c r="B95" s="10" t="s">
        <v>76</v>
      </c>
      <c r="C95" s="10" t="s">
        <v>369</v>
      </c>
      <c r="D95" s="20" t="s">
        <v>370</v>
      </c>
      <c r="E95" s="20" t="s">
        <v>485</v>
      </c>
      <c r="F95" s="10" t="s">
        <v>369</v>
      </c>
      <c r="G95" s="20" t="s">
        <v>370</v>
      </c>
      <c r="H95" s="20" t="s">
        <v>485</v>
      </c>
      <c r="I95" s="10" t="s">
        <v>369</v>
      </c>
      <c r="J95" s="20" t="s">
        <v>398</v>
      </c>
      <c r="K95" s="20" t="s">
        <v>486</v>
      </c>
      <c r="L95" s="9" t="s">
        <v>380</v>
      </c>
      <c r="M95" s="9">
        <v>10</v>
      </c>
      <c r="N95" s="9" t="s">
        <v>381</v>
      </c>
      <c r="O95" s="9" t="s">
        <v>382</v>
      </c>
      <c r="P95" s="12">
        <v>38.899000000000001</v>
      </c>
      <c r="Q95" s="12" t="s">
        <v>355</v>
      </c>
      <c r="R95" s="9" t="s">
        <v>356</v>
      </c>
      <c r="S95" s="13">
        <v>3</v>
      </c>
      <c r="T95" s="13">
        <v>3</v>
      </c>
      <c r="U95" s="14">
        <f t="shared" si="9"/>
        <v>0.6020599913279624</v>
      </c>
      <c r="V95" s="15">
        <v>30</v>
      </c>
      <c r="W95" s="12"/>
      <c r="X95" s="12">
        <v>0.7</v>
      </c>
      <c r="Y95" s="13" t="s">
        <v>358</v>
      </c>
      <c r="Z95" s="9" t="s">
        <v>359</v>
      </c>
      <c r="AA95" s="10" t="s">
        <v>436</v>
      </c>
      <c r="AB95" s="9" t="s">
        <v>355</v>
      </c>
      <c r="AC95" s="15">
        <v>1181</v>
      </c>
      <c r="AD95" s="14">
        <f t="shared" si="10"/>
        <v>3.0722498976135149</v>
      </c>
      <c r="AE95" s="10" t="s">
        <v>487</v>
      </c>
      <c r="AF95" s="9" t="s">
        <v>420</v>
      </c>
      <c r="AG95" s="18">
        <v>35.052591</v>
      </c>
      <c r="AH95" s="7">
        <f t="shared" si="11"/>
        <v>1</v>
      </c>
      <c r="AI95" s="7">
        <f t="shared" si="12"/>
        <v>1</v>
      </c>
      <c r="AJ95" s="7">
        <f t="shared" si="13"/>
        <v>0</v>
      </c>
      <c r="AK95" s="7">
        <f t="shared" si="14"/>
        <v>0</v>
      </c>
      <c r="AL95" s="7" t="s">
        <v>4157</v>
      </c>
      <c r="AM95" s="18">
        <f t="shared" si="15"/>
        <v>1.5447201254528484</v>
      </c>
      <c r="AN95" s="18">
        <v>35.052591</v>
      </c>
      <c r="AO95" s="18">
        <v>-83.196816999999996</v>
      </c>
      <c r="AP95" s="9" t="s">
        <v>363</v>
      </c>
      <c r="AQ95" s="9" t="s">
        <v>441</v>
      </c>
      <c r="AR95" s="15">
        <v>1980</v>
      </c>
      <c r="AS95" s="19" t="s">
        <v>439</v>
      </c>
      <c r="AT95" s="20" t="s">
        <v>440</v>
      </c>
      <c r="AU95" s="40">
        <v>9096515</v>
      </c>
      <c r="AV95" s="35">
        <f t="shared" si="16"/>
        <v>6.9588750399961636</v>
      </c>
      <c r="AW95" s="37" t="s">
        <v>366</v>
      </c>
      <c r="AX95" s="34" t="s">
        <v>355</v>
      </c>
      <c r="AY95" s="40" t="s">
        <v>355</v>
      </c>
      <c r="AZ95" s="36">
        <v>55</v>
      </c>
      <c r="BA95" s="14">
        <f t="shared" si="17"/>
        <v>1.7403626894942439</v>
      </c>
      <c r="BB95" s="37" t="s">
        <v>388</v>
      </c>
      <c r="BC95" s="20">
        <v>3.2953181272512384E-3</v>
      </c>
      <c r="BD95" s="9">
        <v>25.5</v>
      </c>
      <c r="BE95" s="9" t="s">
        <v>368</v>
      </c>
      <c r="BF95" s="9">
        <v>0</v>
      </c>
    </row>
    <row r="96" spans="1:58">
      <c r="A96" s="9">
        <v>450</v>
      </c>
      <c r="B96" s="10" t="s">
        <v>76</v>
      </c>
      <c r="C96" s="10" t="s">
        <v>369</v>
      </c>
      <c r="D96" s="20" t="s">
        <v>370</v>
      </c>
      <c r="E96" s="20" t="s">
        <v>485</v>
      </c>
      <c r="F96" s="10" t="s">
        <v>369</v>
      </c>
      <c r="G96" s="20" t="s">
        <v>370</v>
      </c>
      <c r="H96" s="20" t="s">
        <v>485</v>
      </c>
      <c r="I96" s="10" t="s">
        <v>369</v>
      </c>
      <c r="J96" s="20" t="s">
        <v>398</v>
      </c>
      <c r="K96" s="20" t="s">
        <v>486</v>
      </c>
      <c r="L96" s="9" t="s">
        <v>380</v>
      </c>
      <c r="M96" s="9">
        <v>2</v>
      </c>
      <c r="N96" s="9" t="s">
        <v>353</v>
      </c>
      <c r="O96" s="9" t="s">
        <v>382</v>
      </c>
      <c r="P96" s="12">
        <v>38.99456</v>
      </c>
      <c r="Q96" s="12" t="s">
        <v>355</v>
      </c>
      <c r="R96" s="9" t="s">
        <v>356</v>
      </c>
      <c r="S96" s="13">
        <v>3</v>
      </c>
      <c r="T96" s="13">
        <v>3</v>
      </c>
      <c r="U96" s="14">
        <f t="shared" si="9"/>
        <v>0.6020599913279624</v>
      </c>
      <c r="V96" s="15">
        <v>30</v>
      </c>
      <c r="W96" s="12"/>
      <c r="X96" s="12">
        <v>0.7</v>
      </c>
      <c r="Y96" s="13" t="s">
        <v>358</v>
      </c>
      <c r="Z96" s="9" t="s">
        <v>359</v>
      </c>
      <c r="AA96" s="10" t="s">
        <v>436</v>
      </c>
      <c r="AB96" s="9" t="s">
        <v>355</v>
      </c>
      <c r="AC96" s="15">
        <v>1181</v>
      </c>
      <c r="AD96" s="14">
        <f t="shared" si="10"/>
        <v>3.0722498976135149</v>
      </c>
      <c r="AE96" s="10" t="s">
        <v>487</v>
      </c>
      <c r="AF96" s="9" t="s">
        <v>420</v>
      </c>
      <c r="AG96" s="18">
        <v>35.052591</v>
      </c>
      <c r="AH96" s="7">
        <f t="shared" si="11"/>
        <v>1</v>
      </c>
      <c r="AI96" s="7">
        <f t="shared" si="12"/>
        <v>1</v>
      </c>
      <c r="AJ96" s="7">
        <f t="shared" si="13"/>
        <v>0</v>
      </c>
      <c r="AK96" s="7">
        <f t="shared" si="14"/>
        <v>0</v>
      </c>
      <c r="AL96" s="7" t="s">
        <v>4157</v>
      </c>
      <c r="AM96" s="18">
        <f t="shared" si="15"/>
        <v>1.5447201254528484</v>
      </c>
      <c r="AN96" s="18">
        <v>35.052591</v>
      </c>
      <c r="AO96" s="18">
        <v>-83.196816999999996</v>
      </c>
      <c r="AP96" s="9" t="s">
        <v>363</v>
      </c>
      <c r="AQ96" s="9" t="s">
        <v>448</v>
      </c>
      <c r="AR96" s="15">
        <v>1980</v>
      </c>
      <c r="AS96" s="19" t="s">
        <v>439</v>
      </c>
      <c r="AT96" s="20" t="s">
        <v>440</v>
      </c>
      <c r="AU96" s="40">
        <v>9096515</v>
      </c>
      <c r="AV96" s="35">
        <f t="shared" si="16"/>
        <v>6.9588750399961636</v>
      </c>
      <c r="AW96" s="37" t="s">
        <v>366</v>
      </c>
      <c r="AX96" s="34" t="s">
        <v>355</v>
      </c>
      <c r="AY96" s="40" t="s">
        <v>355</v>
      </c>
      <c r="AZ96" s="36">
        <v>55</v>
      </c>
      <c r="BA96" s="14">
        <f t="shared" si="17"/>
        <v>1.7403626894942439</v>
      </c>
      <c r="BB96" s="37" t="s">
        <v>388</v>
      </c>
      <c r="BC96" s="20">
        <v>3.2953181272512384E-3</v>
      </c>
      <c r="BD96" s="9">
        <v>25.5</v>
      </c>
      <c r="BE96" s="9" t="s">
        <v>368</v>
      </c>
      <c r="BF96" s="9">
        <v>0</v>
      </c>
    </row>
    <row r="97" spans="1:58">
      <c r="A97" s="9">
        <v>452</v>
      </c>
      <c r="B97" s="10" t="s">
        <v>76</v>
      </c>
      <c r="C97" s="10" t="s">
        <v>369</v>
      </c>
      <c r="D97" s="20" t="s">
        <v>370</v>
      </c>
      <c r="E97" s="20" t="s">
        <v>485</v>
      </c>
      <c r="F97" s="10" t="s">
        <v>369</v>
      </c>
      <c r="G97" s="20" t="s">
        <v>370</v>
      </c>
      <c r="H97" s="20" t="s">
        <v>485</v>
      </c>
      <c r="I97" s="10" t="s">
        <v>369</v>
      </c>
      <c r="J97" s="20" t="s">
        <v>398</v>
      </c>
      <c r="K97" s="20" t="s">
        <v>486</v>
      </c>
      <c r="L97" s="9" t="s">
        <v>380</v>
      </c>
      <c r="M97" s="9">
        <v>8</v>
      </c>
      <c r="N97" s="9" t="s">
        <v>353</v>
      </c>
      <c r="O97" s="9" t="s">
        <v>382</v>
      </c>
      <c r="P97" s="12">
        <v>39.101849999999999</v>
      </c>
      <c r="Q97" s="12" t="s">
        <v>355</v>
      </c>
      <c r="R97" s="9" t="s">
        <v>356</v>
      </c>
      <c r="S97" s="13">
        <v>3</v>
      </c>
      <c r="T97" s="13">
        <v>3</v>
      </c>
      <c r="U97" s="14">
        <f t="shared" si="9"/>
        <v>0.6020599913279624</v>
      </c>
      <c r="V97" s="15">
        <v>30</v>
      </c>
      <c r="W97" s="12"/>
      <c r="X97" s="12">
        <v>0.7</v>
      </c>
      <c r="Y97" s="13" t="s">
        <v>358</v>
      </c>
      <c r="Z97" s="9" t="s">
        <v>359</v>
      </c>
      <c r="AA97" s="10" t="s">
        <v>436</v>
      </c>
      <c r="AB97" s="9" t="s">
        <v>355</v>
      </c>
      <c r="AC97" s="15">
        <v>1181</v>
      </c>
      <c r="AD97" s="14">
        <f t="shared" si="10"/>
        <v>3.0722498976135149</v>
      </c>
      <c r="AE97" s="10" t="s">
        <v>487</v>
      </c>
      <c r="AF97" s="9" t="s">
        <v>420</v>
      </c>
      <c r="AG97" s="18">
        <v>35.052591</v>
      </c>
      <c r="AH97" s="7">
        <f t="shared" si="11"/>
        <v>1</v>
      </c>
      <c r="AI97" s="7">
        <f t="shared" si="12"/>
        <v>1</v>
      </c>
      <c r="AJ97" s="7">
        <f t="shared" si="13"/>
        <v>0</v>
      </c>
      <c r="AK97" s="7">
        <f t="shared" si="14"/>
        <v>0</v>
      </c>
      <c r="AL97" s="7" t="s">
        <v>4157</v>
      </c>
      <c r="AM97" s="18">
        <f t="shared" si="15"/>
        <v>1.5447201254528484</v>
      </c>
      <c r="AN97" s="18">
        <v>35.052591</v>
      </c>
      <c r="AO97" s="18">
        <v>-83.196816999999996</v>
      </c>
      <c r="AP97" s="9" t="s">
        <v>363</v>
      </c>
      <c r="AQ97" s="9" t="s">
        <v>449</v>
      </c>
      <c r="AR97" s="15">
        <v>1980</v>
      </c>
      <c r="AS97" s="19" t="s">
        <v>439</v>
      </c>
      <c r="AT97" s="20" t="s">
        <v>440</v>
      </c>
      <c r="AU97" s="40">
        <v>9096515</v>
      </c>
      <c r="AV97" s="35">
        <f t="shared" si="16"/>
        <v>6.9588750399961636</v>
      </c>
      <c r="AW97" s="37" t="s">
        <v>366</v>
      </c>
      <c r="AX97" s="34" t="s">
        <v>355</v>
      </c>
      <c r="AY97" s="40" t="s">
        <v>355</v>
      </c>
      <c r="AZ97" s="36">
        <v>55</v>
      </c>
      <c r="BA97" s="14">
        <f t="shared" si="17"/>
        <v>1.7403626894942439</v>
      </c>
      <c r="BB97" s="37" t="s">
        <v>388</v>
      </c>
      <c r="BC97" s="20">
        <v>3.2953181272512384E-3</v>
      </c>
      <c r="BD97" s="9">
        <v>25.5</v>
      </c>
      <c r="BE97" s="9" t="s">
        <v>368</v>
      </c>
      <c r="BF97" s="9">
        <v>0</v>
      </c>
    </row>
    <row r="98" spans="1:58">
      <c r="A98" s="9">
        <v>454</v>
      </c>
      <c r="B98" s="10" t="s">
        <v>76</v>
      </c>
      <c r="C98" s="10" t="s">
        <v>369</v>
      </c>
      <c r="D98" s="20" t="s">
        <v>370</v>
      </c>
      <c r="E98" s="20" t="s">
        <v>485</v>
      </c>
      <c r="F98" s="10" t="s">
        <v>369</v>
      </c>
      <c r="G98" s="20" t="s">
        <v>370</v>
      </c>
      <c r="H98" s="20" t="s">
        <v>485</v>
      </c>
      <c r="I98" s="10" t="s">
        <v>369</v>
      </c>
      <c r="J98" s="20" t="s">
        <v>398</v>
      </c>
      <c r="K98" s="20" t="s">
        <v>486</v>
      </c>
      <c r="L98" s="9" t="s">
        <v>380</v>
      </c>
      <c r="M98" s="9">
        <v>10</v>
      </c>
      <c r="N98" s="9" t="s">
        <v>381</v>
      </c>
      <c r="O98" s="9" t="s">
        <v>382</v>
      </c>
      <c r="P98" s="12">
        <v>39.429810000000003</v>
      </c>
      <c r="Q98" s="12" t="s">
        <v>355</v>
      </c>
      <c r="R98" s="9" t="s">
        <v>356</v>
      </c>
      <c r="S98" s="13">
        <v>3</v>
      </c>
      <c r="T98" s="13">
        <v>3</v>
      </c>
      <c r="U98" s="14">
        <f t="shared" si="9"/>
        <v>0.6020599913279624</v>
      </c>
      <c r="V98" s="15">
        <v>30</v>
      </c>
      <c r="W98" s="12"/>
      <c r="X98" s="12">
        <v>0.7</v>
      </c>
      <c r="Y98" s="13" t="s">
        <v>358</v>
      </c>
      <c r="Z98" s="9" t="s">
        <v>359</v>
      </c>
      <c r="AA98" s="10" t="s">
        <v>436</v>
      </c>
      <c r="AB98" s="9" t="s">
        <v>355</v>
      </c>
      <c r="AC98" s="15">
        <v>1181</v>
      </c>
      <c r="AD98" s="14">
        <f t="shared" si="10"/>
        <v>3.0722498976135149</v>
      </c>
      <c r="AE98" s="10" t="s">
        <v>487</v>
      </c>
      <c r="AF98" s="9" t="s">
        <v>420</v>
      </c>
      <c r="AG98" s="18">
        <v>35.052591</v>
      </c>
      <c r="AH98" s="7">
        <f t="shared" si="11"/>
        <v>1</v>
      </c>
      <c r="AI98" s="7">
        <f t="shared" si="12"/>
        <v>1</v>
      </c>
      <c r="AJ98" s="7">
        <f t="shared" si="13"/>
        <v>0</v>
      </c>
      <c r="AK98" s="7">
        <f t="shared" si="14"/>
        <v>0</v>
      </c>
      <c r="AL98" s="7" t="s">
        <v>4157</v>
      </c>
      <c r="AM98" s="18">
        <f t="shared" si="15"/>
        <v>1.5447201254528484</v>
      </c>
      <c r="AN98" s="18">
        <v>35.052591</v>
      </c>
      <c r="AO98" s="18">
        <v>-83.196816999999996</v>
      </c>
      <c r="AP98" s="9" t="s">
        <v>363</v>
      </c>
      <c r="AQ98" s="9" t="s">
        <v>446</v>
      </c>
      <c r="AR98" s="15">
        <v>1980</v>
      </c>
      <c r="AS98" s="19" t="s">
        <v>439</v>
      </c>
      <c r="AT98" s="20" t="s">
        <v>440</v>
      </c>
      <c r="AU98" s="40">
        <v>9096515</v>
      </c>
      <c r="AV98" s="35">
        <f t="shared" si="16"/>
        <v>6.9588750399961636</v>
      </c>
      <c r="AW98" s="37" t="s">
        <v>366</v>
      </c>
      <c r="AX98" s="34" t="s">
        <v>355</v>
      </c>
      <c r="AY98" s="40" t="s">
        <v>355</v>
      </c>
      <c r="AZ98" s="36">
        <v>55</v>
      </c>
      <c r="BA98" s="14">
        <f t="shared" si="17"/>
        <v>1.7403626894942439</v>
      </c>
      <c r="BB98" s="37" t="s">
        <v>388</v>
      </c>
      <c r="BC98" s="20">
        <v>3.2953181272512384E-3</v>
      </c>
      <c r="BD98" s="9">
        <v>25.5</v>
      </c>
      <c r="BE98" s="9" t="s">
        <v>368</v>
      </c>
      <c r="BF98" s="9">
        <v>0</v>
      </c>
    </row>
    <row r="99" spans="1:58">
      <c r="A99" s="9">
        <v>453</v>
      </c>
      <c r="B99" s="10" t="s">
        <v>76</v>
      </c>
      <c r="C99" s="10" t="s">
        <v>369</v>
      </c>
      <c r="D99" s="20" t="s">
        <v>370</v>
      </c>
      <c r="E99" s="20" t="s">
        <v>485</v>
      </c>
      <c r="F99" s="10" t="s">
        <v>369</v>
      </c>
      <c r="G99" s="20" t="s">
        <v>370</v>
      </c>
      <c r="H99" s="20" t="s">
        <v>485</v>
      </c>
      <c r="I99" s="10" t="s">
        <v>369</v>
      </c>
      <c r="J99" s="20" t="s">
        <v>398</v>
      </c>
      <c r="K99" s="20" t="s">
        <v>486</v>
      </c>
      <c r="L99" s="9" t="s">
        <v>380</v>
      </c>
      <c r="M99" s="9">
        <v>10</v>
      </c>
      <c r="N99" s="9" t="s">
        <v>381</v>
      </c>
      <c r="O99" s="9" t="s">
        <v>382</v>
      </c>
      <c r="P99" s="12">
        <v>39.431600000000003</v>
      </c>
      <c r="Q99" s="12" t="s">
        <v>355</v>
      </c>
      <c r="R99" s="9" t="s">
        <v>356</v>
      </c>
      <c r="S99" s="13">
        <v>3</v>
      </c>
      <c r="T99" s="13">
        <v>3</v>
      </c>
      <c r="U99" s="14">
        <f t="shared" si="9"/>
        <v>0.6020599913279624</v>
      </c>
      <c r="V99" s="15">
        <v>30</v>
      </c>
      <c r="W99" s="12"/>
      <c r="X99" s="12">
        <v>0.7</v>
      </c>
      <c r="Y99" s="13" t="s">
        <v>358</v>
      </c>
      <c r="Z99" s="9" t="s">
        <v>359</v>
      </c>
      <c r="AA99" s="10" t="s">
        <v>436</v>
      </c>
      <c r="AB99" s="9" t="s">
        <v>355</v>
      </c>
      <c r="AC99" s="15">
        <v>1181</v>
      </c>
      <c r="AD99" s="14">
        <f t="shared" si="10"/>
        <v>3.0722498976135149</v>
      </c>
      <c r="AE99" s="10" t="s">
        <v>487</v>
      </c>
      <c r="AF99" s="9" t="s">
        <v>420</v>
      </c>
      <c r="AG99" s="18">
        <v>35.052591</v>
      </c>
      <c r="AH99" s="7">
        <f t="shared" si="11"/>
        <v>1</v>
      </c>
      <c r="AI99" s="7">
        <f t="shared" si="12"/>
        <v>1</v>
      </c>
      <c r="AJ99" s="7">
        <f t="shared" si="13"/>
        <v>0</v>
      </c>
      <c r="AK99" s="7">
        <f t="shared" si="14"/>
        <v>0</v>
      </c>
      <c r="AL99" s="7" t="s">
        <v>4157</v>
      </c>
      <c r="AM99" s="18">
        <f t="shared" si="15"/>
        <v>1.5447201254528484</v>
      </c>
      <c r="AN99" s="18">
        <v>35.052591</v>
      </c>
      <c r="AO99" s="18">
        <v>-83.196816999999996</v>
      </c>
      <c r="AP99" s="9" t="s">
        <v>363</v>
      </c>
      <c r="AQ99" s="9" t="s">
        <v>445</v>
      </c>
      <c r="AR99" s="15">
        <v>1980</v>
      </c>
      <c r="AS99" s="19" t="s">
        <v>439</v>
      </c>
      <c r="AT99" s="20" t="s">
        <v>440</v>
      </c>
      <c r="AU99" s="40">
        <v>9096515</v>
      </c>
      <c r="AV99" s="35">
        <f t="shared" si="16"/>
        <v>6.9588750399961636</v>
      </c>
      <c r="AW99" s="37" t="s">
        <v>366</v>
      </c>
      <c r="AX99" s="34" t="s">
        <v>355</v>
      </c>
      <c r="AY99" s="40" t="s">
        <v>355</v>
      </c>
      <c r="AZ99" s="36">
        <v>55</v>
      </c>
      <c r="BA99" s="14">
        <f t="shared" si="17"/>
        <v>1.7403626894942439</v>
      </c>
      <c r="BB99" s="37" t="s">
        <v>388</v>
      </c>
      <c r="BC99" s="20">
        <v>3.2953181272512384E-3</v>
      </c>
      <c r="BD99" s="9">
        <v>25.5</v>
      </c>
      <c r="BE99" s="9" t="s">
        <v>368</v>
      </c>
      <c r="BF99" s="9">
        <v>0</v>
      </c>
    </row>
    <row r="100" spans="1:58">
      <c r="A100" s="9">
        <v>456</v>
      </c>
      <c r="B100" s="10" t="s">
        <v>76</v>
      </c>
      <c r="C100" s="10" t="s">
        <v>369</v>
      </c>
      <c r="D100" s="20" t="s">
        <v>370</v>
      </c>
      <c r="E100" s="20" t="s">
        <v>485</v>
      </c>
      <c r="F100" s="10" t="s">
        <v>369</v>
      </c>
      <c r="G100" s="20" t="s">
        <v>370</v>
      </c>
      <c r="H100" s="20" t="s">
        <v>485</v>
      </c>
      <c r="I100" s="10" t="s">
        <v>369</v>
      </c>
      <c r="J100" s="20" t="s">
        <v>398</v>
      </c>
      <c r="K100" s="20" t="s">
        <v>486</v>
      </c>
      <c r="L100" s="9" t="s">
        <v>380</v>
      </c>
      <c r="M100" s="9">
        <v>10</v>
      </c>
      <c r="N100" s="9" t="s">
        <v>381</v>
      </c>
      <c r="O100" s="9" t="s">
        <v>382</v>
      </c>
      <c r="P100" s="12">
        <v>39.45364</v>
      </c>
      <c r="Q100" s="12" t="s">
        <v>355</v>
      </c>
      <c r="R100" s="9" t="s">
        <v>356</v>
      </c>
      <c r="S100" s="13">
        <v>3</v>
      </c>
      <c r="T100" s="13">
        <v>3</v>
      </c>
      <c r="U100" s="14">
        <f t="shared" si="9"/>
        <v>0.6020599913279624</v>
      </c>
      <c r="V100" s="15">
        <v>30</v>
      </c>
      <c r="W100" s="12"/>
      <c r="X100" s="12">
        <v>0.7</v>
      </c>
      <c r="Y100" s="13" t="s">
        <v>358</v>
      </c>
      <c r="Z100" s="9" t="s">
        <v>359</v>
      </c>
      <c r="AA100" s="10" t="s">
        <v>436</v>
      </c>
      <c r="AB100" s="9" t="s">
        <v>355</v>
      </c>
      <c r="AC100" s="15">
        <v>1181</v>
      </c>
      <c r="AD100" s="14">
        <f t="shared" si="10"/>
        <v>3.0722498976135149</v>
      </c>
      <c r="AE100" s="10" t="s">
        <v>487</v>
      </c>
      <c r="AF100" s="9" t="s">
        <v>420</v>
      </c>
      <c r="AG100" s="18">
        <v>35.052591</v>
      </c>
      <c r="AH100" s="7">
        <f t="shared" si="11"/>
        <v>1</v>
      </c>
      <c r="AI100" s="7">
        <f t="shared" si="12"/>
        <v>1</v>
      </c>
      <c r="AJ100" s="7">
        <f t="shared" si="13"/>
        <v>0</v>
      </c>
      <c r="AK100" s="7">
        <f t="shared" si="14"/>
        <v>0</v>
      </c>
      <c r="AL100" s="7" t="s">
        <v>4157</v>
      </c>
      <c r="AM100" s="18">
        <f t="shared" si="15"/>
        <v>1.5447201254528484</v>
      </c>
      <c r="AN100" s="18">
        <v>35.052591</v>
      </c>
      <c r="AO100" s="18">
        <v>-83.196816999999996</v>
      </c>
      <c r="AP100" s="9" t="s">
        <v>363</v>
      </c>
      <c r="AQ100" s="9" t="s">
        <v>443</v>
      </c>
      <c r="AR100" s="15">
        <v>1980</v>
      </c>
      <c r="AS100" s="19" t="s">
        <v>439</v>
      </c>
      <c r="AT100" s="20" t="s">
        <v>440</v>
      </c>
      <c r="AU100" s="40">
        <v>9096515</v>
      </c>
      <c r="AV100" s="35">
        <f t="shared" si="16"/>
        <v>6.9588750399961636</v>
      </c>
      <c r="AW100" s="37" t="s">
        <v>366</v>
      </c>
      <c r="AX100" s="34" t="s">
        <v>355</v>
      </c>
      <c r="AY100" s="40" t="s">
        <v>355</v>
      </c>
      <c r="AZ100" s="36">
        <v>55</v>
      </c>
      <c r="BA100" s="14">
        <f t="shared" si="17"/>
        <v>1.7403626894942439</v>
      </c>
      <c r="BB100" s="37" t="s">
        <v>388</v>
      </c>
      <c r="BC100" s="20">
        <v>3.2953181272512384E-3</v>
      </c>
      <c r="BD100" s="9">
        <v>25.5</v>
      </c>
      <c r="BE100" s="9" t="s">
        <v>368</v>
      </c>
      <c r="BF100" s="9">
        <v>0</v>
      </c>
    </row>
    <row r="101" spans="1:58">
      <c r="A101" s="9">
        <v>455</v>
      </c>
      <c r="B101" s="10" t="s">
        <v>76</v>
      </c>
      <c r="C101" s="10" t="s">
        <v>369</v>
      </c>
      <c r="D101" s="20" t="s">
        <v>370</v>
      </c>
      <c r="E101" s="20" t="s">
        <v>485</v>
      </c>
      <c r="F101" s="10" t="s">
        <v>369</v>
      </c>
      <c r="G101" s="20" t="s">
        <v>370</v>
      </c>
      <c r="H101" s="20" t="s">
        <v>485</v>
      </c>
      <c r="I101" s="10" t="s">
        <v>369</v>
      </c>
      <c r="J101" s="20" t="s">
        <v>398</v>
      </c>
      <c r="K101" s="20" t="s">
        <v>486</v>
      </c>
      <c r="L101" s="9" t="s">
        <v>380</v>
      </c>
      <c r="M101" s="9">
        <v>10</v>
      </c>
      <c r="N101" s="9" t="s">
        <v>381</v>
      </c>
      <c r="O101" s="9" t="s">
        <v>382</v>
      </c>
      <c r="P101" s="12">
        <v>39.538629999999998</v>
      </c>
      <c r="Q101" s="12" t="s">
        <v>355</v>
      </c>
      <c r="R101" s="9" t="s">
        <v>356</v>
      </c>
      <c r="S101" s="13">
        <v>3</v>
      </c>
      <c r="T101" s="13">
        <v>3</v>
      </c>
      <c r="U101" s="14">
        <f t="shared" si="9"/>
        <v>0.6020599913279624</v>
      </c>
      <c r="V101" s="15">
        <v>30</v>
      </c>
      <c r="W101" s="12"/>
      <c r="X101" s="12">
        <v>0.7</v>
      </c>
      <c r="Y101" s="13" t="s">
        <v>358</v>
      </c>
      <c r="Z101" s="9" t="s">
        <v>359</v>
      </c>
      <c r="AA101" s="10" t="s">
        <v>436</v>
      </c>
      <c r="AB101" s="9" t="s">
        <v>355</v>
      </c>
      <c r="AC101" s="15">
        <v>1181</v>
      </c>
      <c r="AD101" s="14">
        <f t="shared" si="10"/>
        <v>3.0722498976135149</v>
      </c>
      <c r="AE101" s="10" t="s">
        <v>487</v>
      </c>
      <c r="AF101" s="9" t="s">
        <v>420</v>
      </c>
      <c r="AG101" s="18">
        <v>35.052591</v>
      </c>
      <c r="AH101" s="7">
        <f t="shared" si="11"/>
        <v>1</v>
      </c>
      <c r="AI101" s="7">
        <f t="shared" si="12"/>
        <v>1</v>
      </c>
      <c r="AJ101" s="7">
        <f t="shared" si="13"/>
        <v>0</v>
      </c>
      <c r="AK101" s="7">
        <f t="shared" si="14"/>
        <v>0</v>
      </c>
      <c r="AL101" s="7" t="s">
        <v>4157</v>
      </c>
      <c r="AM101" s="18">
        <f t="shared" si="15"/>
        <v>1.5447201254528484</v>
      </c>
      <c r="AN101" s="18">
        <v>35.052591</v>
      </c>
      <c r="AO101" s="18">
        <v>-83.196816999999996</v>
      </c>
      <c r="AP101" s="9" t="s">
        <v>363</v>
      </c>
      <c r="AQ101" s="9" t="s">
        <v>444</v>
      </c>
      <c r="AR101" s="15">
        <v>1980</v>
      </c>
      <c r="AS101" s="19" t="s">
        <v>439</v>
      </c>
      <c r="AT101" s="20" t="s">
        <v>440</v>
      </c>
      <c r="AU101" s="40">
        <v>9096515</v>
      </c>
      <c r="AV101" s="35">
        <f t="shared" si="16"/>
        <v>6.9588750399961636</v>
      </c>
      <c r="AW101" s="37" t="s">
        <v>366</v>
      </c>
      <c r="AX101" s="34" t="s">
        <v>355</v>
      </c>
      <c r="AY101" s="40" t="s">
        <v>355</v>
      </c>
      <c r="AZ101" s="36">
        <v>55</v>
      </c>
      <c r="BA101" s="14">
        <f t="shared" si="17"/>
        <v>1.7403626894942439</v>
      </c>
      <c r="BB101" s="37" t="s">
        <v>388</v>
      </c>
      <c r="BC101" s="20">
        <v>3.2953181272512384E-3</v>
      </c>
      <c r="BD101" s="9">
        <v>25.5</v>
      </c>
      <c r="BE101" s="9" t="s">
        <v>368</v>
      </c>
      <c r="BF101" s="9">
        <v>0</v>
      </c>
    </row>
    <row r="102" spans="1:58">
      <c r="A102" s="9">
        <v>451</v>
      </c>
      <c r="B102" s="10" t="s">
        <v>76</v>
      </c>
      <c r="C102" s="10" t="s">
        <v>369</v>
      </c>
      <c r="D102" s="20" t="s">
        <v>370</v>
      </c>
      <c r="E102" s="20" t="s">
        <v>485</v>
      </c>
      <c r="F102" s="10" t="s">
        <v>369</v>
      </c>
      <c r="G102" s="20" t="s">
        <v>370</v>
      </c>
      <c r="H102" s="20" t="s">
        <v>485</v>
      </c>
      <c r="I102" s="10" t="s">
        <v>369</v>
      </c>
      <c r="J102" s="20" t="s">
        <v>398</v>
      </c>
      <c r="K102" s="20" t="s">
        <v>486</v>
      </c>
      <c r="L102" s="9" t="s">
        <v>380</v>
      </c>
      <c r="M102" s="9">
        <v>2</v>
      </c>
      <c r="N102" s="9" t="s">
        <v>353</v>
      </c>
      <c r="O102" s="9" t="s">
        <v>382</v>
      </c>
      <c r="P102" s="12">
        <v>39.573410000000003</v>
      </c>
      <c r="Q102" s="12" t="s">
        <v>355</v>
      </c>
      <c r="R102" s="9" t="s">
        <v>356</v>
      </c>
      <c r="S102" s="13">
        <v>3</v>
      </c>
      <c r="T102" s="13">
        <v>3</v>
      </c>
      <c r="U102" s="14">
        <f t="shared" si="9"/>
        <v>0.6020599913279624</v>
      </c>
      <c r="V102" s="15">
        <v>30</v>
      </c>
      <c r="W102" s="12"/>
      <c r="X102" s="12">
        <v>0.7</v>
      </c>
      <c r="Y102" s="13" t="s">
        <v>358</v>
      </c>
      <c r="Z102" s="9" t="s">
        <v>359</v>
      </c>
      <c r="AA102" s="10" t="s">
        <v>436</v>
      </c>
      <c r="AB102" s="9" t="s">
        <v>355</v>
      </c>
      <c r="AC102" s="15">
        <v>1181</v>
      </c>
      <c r="AD102" s="14">
        <f t="shared" si="10"/>
        <v>3.0722498976135149</v>
      </c>
      <c r="AE102" s="10" t="s">
        <v>487</v>
      </c>
      <c r="AF102" s="9" t="s">
        <v>420</v>
      </c>
      <c r="AG102" s="18">
        <v>35.052591</v>
      </c>
      <c r="AH102" s="7">
        <f t="shared" si="11"/>
        <v>1</v>
      </c>
      <c r="AI102" s="7">
        <f t="shared" si="12"/>
        <v>1</v>
      </c>
      <c r="AJ102" s="7">
        <f t="shared" si="13"/>
        <v>0</v>
      </c>
      <c r="AK102" s="7">
        <f t="shared" si="14"/>
        <v>0</v>
      </c>
      <c r="AL102" s="7" t="s">
        <v>4157</v>
      </c>
      <c r="AM102" s="18">
        <f t="shared" si="15"/>
        <v>1.5447201254528484</v>
      </c>
      <c r="AN102" s="18">
        <v>35.052591</v>
      </c>
      <c r="AO102" s="18">
        <v>-83.196816999999996</v>
      </c>
      <c r="AP102" s="9" t="s">
        <v>363</v>
      </c>
      <c r="AQ102" s="9" t="s">
        <v>442</v>
      </c>
      <c r="AR102" s="15">
        <v>1980</v>
      </c>
      <c r="AS102" s="19" t="s">
        <v>439</v>
      </c>
      <c r="AT102" s="20" t="s">
        <v>440</v>
      </c>
      <c r="AU102" s="40">
        <v>9096515</v>
      </c>
      <c r="AV102" s="35">
        <f t="shared" si="16"/>
        <v>6.9588750399961636</v>
      </c>
      <c r="AW102" s="37" t="s">
        <v>366</v>
      </c>
      <c r="AX102" s="34" t="s">
        <v>355</v>
      </c>
      <c r="AY102" s="40" t="s">
        <v>355</v>
      </c>
      <c r="AZ102" s="36">
        <v>55</v>
      </c>
      <c r="BA102" s="14">
        <f t="shared" si="17"/>
        <v>1.7403626894942439</v>
      </c>
      <c r="BB102" s="37" t="s">
        <v>388</v>
      </c>
      <c r="BC102" s="20">
        <v>3.2953181272512384E-3</v>
      </c>
      <c r="BD102" s="9">
        <v>25.5</v>
      </c>
      <c r="BE102" s="9" t="s">
        <v>368</v>
      </c>
      <c r="BF102" s="9">
        <v>0</v>
      </c>
    </row>
    <row r="103" spans="1:58" ht="15" customHeight="1">
      <c r="A103" s="9">
        <v>969</v>
      </c>
      <c r="B103" s="10" t="s">
        <v>76</v>
      </c>
      <c r="C103" s="10" t="s">
        <v>426</v>
      </c>
      <c r="D103" s="47" t="s">
        <v>488</v>
      </c>
      <c r="E103" s="20" t="s">
        <v>489</v>
      </c>
      <c r="F103" s="10" t="s">
        <v>426</v>
      </c>
      <c r="G103" s="47" t="s">
        <v>488</v>
      </c>
      <c r="H103" s="20" t="s">
        <v>489</v>
      </c>
      <c r="I103" s="10" t="s">
        <v>426</v>
      </c>
      <c r="J103" s="47" t="s">
        <v>488</v>
      </c>
      <c r="K103" s="20" t="s">
        <v>489</v>
      </c>
      <c r="L103" s="9" t="s">
        <v>380</v>
      </c>
      <c r="M103" s="9">
        <v>24</v>
      </c>
      <c r="N103" s="9" t="s">
        <v>381</v>
      </c>
      <c r="O103" s="9" t="s">
        <v>382</v>
      </c>
      <c r="P103" s="12">
        <v>39.9</v>
      </c>
      <c r="Q103" s="12" t="s">
        <v>355</v>
      </c>
      <c r="R103" s="9" t="s">
        <v>356</v>
      </c>
      <c r="S103" s="13" t="s">
        <v>434</v>
      </c>
      <c r="T103" s="13" t="s">
        <v>434</v>
      </c>
      <c r="U103" s="14">
        <f t="shared" si="9"/>
        <v>0.6020599913279624</v>
      </c>
      <c r="V103" s="15">
        <v>20</v>
      </c>
      <c r="W103" s="12"/>
      <c r="X103" s="12">
        <v>1</v>
      </c>
      <c r="Y103" s="13" t="s">
        <v>358</v>
      </c>
      <c r="Z103" s="9" t="s">
        <v>359</v>
      </c>
      <c r="AA103" s="10" t="s">
        <v>479</v>
      </c>
      <c r="AB103" s="9" t="s">
        <v>355</v>
      </c>
      <c r="AC103" s="15">
        <v>785</v>
      </c>
      <c r="AD103" s="14">
        <f t="shared" si="10"/>
        <v>2.8948696567452528</v>
      </c>
      <c r="AE103" s="10" t="s">
        <v>480</v>
      </c>
      <c r="AF103" s="9" t="s">
        <v>420</v>
      </c>
      <c r="AG103" s="18">
        <v>23.550519999999999</v>
      </c>
      <c r="AH103" s="7">
        <f t="shared" si="11"/>
        <v>1</v>
      </c>
      <c r="AI103" s="7">
        <f t="shared" si="12"/>
        <v>0</v>
      </c>
      <c r="AJ103" s="7">
        <f t="shared" si="13"/>
        <v>0</v>
      </c>
      <c r="AK103" s="7">
        <f t="shared" si="14"/>
        <v>0</v>
      </c>
      <c r="AL103" s="7" t="s">
        <v>4159</v>
      </c>
      <c r="AM103" s="18">
        <f t="shared" si="15"/>
        <v>1.3720005008762675</v>
      </c>
      <c r="AN103" s="18">
        <v>-23.550519999999999</v>
      </c>
      <c r="AO103" s="18">
        <v>-46.633308999999997</v>
      </c>
      <c r="AP103" s="9" t="s">
        <v>363</v>
      </c>
      <c r="AQ103" s="9" t="s">
        <v>490</v>
      </c>
      <c r="AR103" s="15">
        <v>2015</v>
      </c>
      <c r="AS103" s="19" t="s">
        <v>482</v>
      </c>
      <c r="AT103" s="20" t="s">
        <v>483</v>
      </c>
      <c r="AU103" s="40">
        <v>7309197</v>
      </c>
      <c r="AV103" s="35">
        <f t="shared" si="16"/>
        <v>6.8638696672964725</v>
      </c>
      <c r="AW103" s="37" t="s">
        <v>366</v>
      </c>
      <c r="AX103" s="34" t="s">
        <v>355</v>
      </c>
      <c r="AY103" s="40">
        <v>2000</v>
      </c>
      <c r="AZ103" s="36">
        <v>33</v>
      </c>
      <c r="BA103" s="14">
        <f t="shared" si="17"/>
        <v>1.5185139398778875</v>
      </c>
      <c r="BB103" s="37" t="s">
        <v>367</v>
      </c>
      <c r="BC103" s="20">
        <v>3.5503801520608322E-2</v>
      </c>
      <c r="BD103" s="9">
        <v>26.1</v>
      </c>
      <c r="BE103" s="9" t="s">
        <v>368</v>
      </c>
      <c r="BF103" s="9">
        <v>0</v>
      </c>
    </row>
    <row r="104" spans="1:58" ht="15" customHeight="1">
      <c r="A104" s="9">
        <v>968</v>
      </c>
      <c r="B104" s="10" t="s">
        <v>76</v>
      </c>
      <c r="C104" s="10" t="s">
        <v>426</v>
      </c>
      <c r="D104" s="47" t="s">
        <v>488</v>
      </c>
      <c r="E104" s="20" t="s">
        <v>489</v>
      </c>
      <c r="F104" s="10" t="s">
        <v>426</v>
      </c>
      <c r="G104" s="47" t="s">
        <v>488</v>
      </c>
      <c r="H104" s="20" t="s">
        <v>489</v>
      </c>
      <c r="I104" s="10" t="s">
        <v>426</v>
      </c>
      <c r="J104" s="47" t="s">
        <v>488</v>
      </c>
      <c r="K104" s="20" t="s">
        <v>489</v>
      </c>
      <c r="L104" s="9" t="s">
        <v>380</v>
      </c>
      <c r="M104" s="9">
        <v>24</v>
      </c>
      <c r="N104" s="9" t="s">
        <v>381</v>
      </c>
      <c r="O104" s="9" t="s">
        <v>382</v>
      </c>
      <c r="P104" s="12">
        <v>40.5</v>
      </c>
      <c r="Q104" s="12" t="s">
        <v>355</v>
      </c>
      <c r="R104" s="9" t="s">
        <v>356</v>
      </c>
      <c r="S104" s="13" t="s">
        <v>434</v>
      </c>
      <c r="T104" s="13" t="s">
        <v>434</v>
      </c>
      <c r="U104" s="14">
        <f t="shared" si="9"/>
        <v>0.6020599913279624</v>
      </c>
      <c r="V104" s="15">
        <v>20</v>
      </c>
      <c r="W104" s="12"/>
      <c r="X104" s="12">
        <v>1</v>
      </c>
      <c r="Y104" s="13" t="s">
        <v>358</v>
      </c>
      <c r="Z104" s="9" t="s">
        <v>359</v>
      </c>
      <c r="AA104" s="10" t="s">
        <v>479</v>
      </c>
      <c r="AB104" s="9" t="s">
        <v>355</v>
      </c>
      <c r="AC104" s="15">
        <v>785</v>
      </c>
      <c r="AD104" s="14">
        <f t="shared" si="10"/>
        <v>2.8948696567452528</v>
      </c>
      <c r="AE104" s="10" t="s">
        <v>480</v>
      </c>
      <c r="AF104" s="9" t="s">
        <v>420</v>
      </c>
      <c r="AG104" s="18">
        <v>23.550519999999999</v>
      </c>
      <c r="AH104" s="7">
        <f t="shared" si="11"/>
        <v>1</v>
      </c>
      <c r="AI104" s="7">
        <f t="shared" si="12"/>
        <v>0</v>
      </c>
      <c r="AJ104" s="7">
        <f t="shared" si="13"/>
        <v>0</v>
      </c>
      <c r="AK104" s="7">
        <f t="shared" si="14"/>
        <v>0</v>
      </c>
      <c r="AL104" s="7" t="s">
        <v>4159</v>
      </c>
      <c r="AM104" s="18">
        <f t="shared" si="15"/>
        <v>1.3720005008762675</v>
      </c>
      <c r="AN104" s="18">
        <v>-23.550519999999999</v>
      </c>
      <c r="AO104" s="18">
        <v>-46.633308999999997</v>
      </c>
      <c r="AP104" s="9" t="s">
        <v>363</v>
      </c>
      <c r="AQ104" s="9" t="s">
        <v>491</v>
      </c>
      <c r="AR104" s="15">
        <v>2015</v>
      </c>
      <c r="AS104" s="19" t="s">
        <v>482</v>
      </c>
      <c r="AT104" s="20" t="s">
        <v>483</v>
      </c>
      <c r="AU104" s="40">
        <v>7309197</v>
      </c>
      <c r="AV104" s="35">
        <f t="shared" si="16"/>
        <v>6.8638696672964725</v>
      </c>
      <c r="AW104" s="37" t="s">
        <v>366</v>
      </c>
      <c r="AX104" s="34" t="s">
        <v>355</v>
      </c>
      <c r="AY104" s="40">
        <v>2000</v>
      </c>
      <c r="AZ104" s="36">
        <v>33</v>
      </c>
      <c r="BA104" s="14">
        <f t="shared" si="17"/>
        <v>1.5185139398778875</v>
      </c>
      <c r="BB104" s="37" t="s">
        <v>367</v>
      </c>
      <c r="BC104" s="20">
        <v>3.5503801520608322E-2</v>
      </c>
      <c r="BD104" s="9">
        <v>26.1</v>
      </c>
      <c r="BE104" s="9" t="s">
        <v>368</v>
      </c>
      <c r="BF104" s="9">
        <v>0</v>
      </c>
    </row>
    <row r="105" spans="1:58" ht="15" customHeight="1">
      <c r="A105" s="9">
        <v>982</v>
      </c>
      <c r="B105" s="10" t="s">
        <v>76</v>
      </c>
      <c r="C105" s="10" t="s">
        <v>426</v>
      </c>
      <c r="D105" s="47" t="s">
        <v>488</v>
      </c>
      <c r="E105" s="20" t="s">
        <v>489</v>
      </c>
      <c r="F105" s="10" t="s">
        <v>426</v>
      </c>
      <c r="G105" s="47" t="s">
        <v>488</v>
      </c>
      <c r="H105" s="20" t="s">
        <v>489</v>
      </c>
      <c r="I105" s="10" t="s">
        <v>426</v>
      </c>
      <c r="J105" s="47" t="s">
        <v>488</v>
      </c>
      <c r="K105" s="20" t="s">
        <v>489</v>
      </c>
      <c r="L105" s="9" t="s">
        <v>380</v>
      </c>
      <c r="M105" s="9">
        <v>24</v>
      </c>
      <c r="N105" s="9" t="s">
        <v>381</v>
      </c>
      <c r="O105" s="9" t="s">
        <v>382</v>
      </c>
      <c r="P105" s="12">
        <v>41.9</v>
      </c>
      <c r="Q105" s="12" t="s">
        <v>355</v>
      </c>
      <c r="R105" s="9" t="s">
        <v>356</v>
      </c>
      <c r="S105" s="13" t="s">
        <v>434</v>
      </c>
      <c r="T105" s="13" t="s">
        <v>434</v>
      </c>
      <c r="U105" s="14">
        <f t="shared" si="9"/>
        <v>0.6020599913279624</v>
      </c>
      <c r="V105" s="15">
        <v>30</v>
      </c>
      <c r="W105" s="12"/>
      <c r="X105" s="12">
        <v>1</v>
      </c>
      <c r="Y105" s="13" t="s">
        <v>358</v>
      </c>
      <c r="Z105" s="9" t="s">
        <v>359</v>
      </c>
      <c r="AA105" s="10" t="s">
        <v>479</v>
      </c>
      <c r="AB105" s="9" t="s">
        <v>355</v>
      </c>
      <c r="AC105" s="15">
        <v>785</v>
      </c>
      <c r="AD105" s="14">
        <f t="shared" si="10"/>
        <v>2.8948696567452528</v>
      </c>
      <c r="AE105" s="10" t="s">
        <v>480</v>
      </c>
      <c r="AF105" s="9" t="s">
        <v>420</v>
      </c>
      <c r="AG105" s="18">
        <v>23.550519999999999</v>
      </c>
      <c r="AH105" s="7">
        <f t="shared" si="11"/>
        <v>1</v>
      </c>
      <c r="AI105" s="7">
        <f t="shared" si="12"/>
        <v>0</v>
      </c>
      <c r="AJ105" s="7">
        <f t="shared" si="13"/>
        <v>0</v>
      </c>
      <c r="AK105" s="7">
        <f t="shared" si="14"/>
        <v>0</v>
      </c>
      <c r="AL105" s="7" t="s">
        <v>4159</v>
      </c>
      <c r="AM105" s="18">
        <f t="shared" si="15"/>
        <v>1.3720005008762675</v>
      </c>
      <c r="AN105" s="18">
        <v>-23.550519999999999</v>
      </c>
      <c r="AO105" s="18">
        <v>-46.633308999999997</v>
      </c>
      <c r="AP105" s="9" t="s">
        <v>363</v>
      </c>
      <c r="AQ105" s="9" t="s">
        <v>490</v>
      </c>
      <c r="AR105" s="15">
        <v>2015</v>
      </c>
      <c r="AS105" s="19" t="s">
        <v>482</v>
      </c>
      <c r="AT105" s="20" t="s">
        <v>483</v>
      </c>
      <c r="AU105" s="40">
        <v>7309197</v>
      </c>
      <c r="AV105" s="35">
        <f t="shared" si="16"/>
        <v>6.8638696672964725</v>
      </c>
      <c r="AW105" s="37" t="s">
        <v>366</v>
      </c>
      <c r="AX105" s="34" t="s">
        <v>355</v>
      </c>
      <c r="AY105" s="40">
        <v>2000</v>
      </c>
      <c r="AZ105" s="36">
        <v>33</v>
      </c>
      <c r="BA105" s="14">
        <f t="shared" si="17"/>
        <v>1.5185139398778875</v>
      </c>
      <c r="BB105" s="37" t="s">
        <v>367</v>
      </c>
      <c r="BC105" s="20">
        <v>3.5503801520608322E-2</v>
      </c>
      <c r="BD105" s="9">
        <v>26.1</v>
      </c>
      <c r="BE105" s="9" t="s">
        <v>368</v>
      </c>
      <c r="BF105" s="9">
        <v>0</v>
      </c>
    </row>
    <row r="106" spans="1:58" ht="15" customHeight="1">
      <c r="A106" s="9">
        <v>981</v>
      </c>
      <c r="B106" s="10" t="s">
        <v>76</v>
      </c>
      <c r="C106" s="10" t="s">
        <v>426</v>
      </c>
      <c r="D106" s="47" t="s">
        <v>488</v>
      </c>
      <c r="E106" s="20" t="s">
        <v>489</v>
      </c>
      <c r="F106" s="10" t="s">
        <v>426</v>
      </c>
      <c r="G106" s="47" t="s">
        <v>488</v>
      </c>
      <c r="H106" s="20" t="s">
        <v>489</v>
      </c>
      <c r="I106" s="10" t="s">
        <v>426</v>
      </c>
      <c r="J106" s="47" t="s">
        <v>488</v>
      </c>
      <c r="K106" s="20" t="s">
        <v>489</v>
      </c>
      <c r="L106" s="9" t="s">
        <v>380</v>
      </c>
      <c r="M106" s="9">
        <v>24</v>
      </c>
      <c r="N106" s="9" t="s">
        <v>381</v>
      </c>
      <c r="O106" s="9" t="s">
        <v>382</v>
      </c>
      <c r="P106" s="12">
        <v>42</v>
      </c>
      <c r="Q106" s="12" t="s">
        <v>355</v>
      </c>
      <c r="R106" s="9" t="s">
        <v>356</v>
      </c>
      <c r="S106" s="13" t="s">
        <v>434</v>
      </c>
      <c r="T106" s="13" t="s">
        <v>434</v>
      </c>
      <c r="U106" s="14">
        <f t="shared" si="9"/>
        <v>0.6020599913279624</v>
      </c>
      <c r="V106" s="15">
        <v>30</v>
      </c>
      <c r="W106" s="12"/>
      <c r="X106" s="12">
        <v>1</v>
      </c>
      <c r="Y106" s="13" t="s">
        <v>358</v>
      </c>
      <c r="Z106" s="9" t="s">
        <v>359</v>
      </c>
      <c r="AA106" s="10" t="s">
        <v>479</v>
      </c>
      <c r="AB106" s="9" t="s">
        <v>355</v>
      </c>
      <c r="AC106" s="15">
        <v>785</v>
      </c>
      <c r="AD106" s="14">
        <f t="shared" si="10"/>
        <v>2.8948696567452528</v>
      </c>
      <c r="AE106" s="10" t="s">
        <v>480</v>
      </c>
      <c r="AF106" s="9" t="s">
        <v>420</v>
      </c>
      <c r="AG106" s="18">
        <v>23.550519999999999</v>
      </c>
      <c r="AH106" s="7">
        <f t="shared" si="11"/>
        <v>1</v>
      </c>
      <c r="AI106" s="7">
        <f t="shared" si="12"/>
        <v>0</v>
      </c>
      <c r="AJ106" s="7">
        <f t="shared" si="13"/>
        <v>0</v>
      </c>
      <c r="AK106" s="7">
        <f t="shared" si="14"/>
        <v>0</v>
      </c>
      <c r="AL106" s="7" t="s">
        <v>4159</v>
      </c>
      <c r="AM106" s="18">
        <f t="shared" si="15"/>
        <v>1.3720005008762675</v>
      </c>
      <c r="AN106" s="18">
        <v>-23.550519999999999</v>
      </c>
      <c r="AO106" s="18">
        <v>-46.633308999999997</v>
      </c>
      <c r="AP106" s="9" t="s">
        <v>363</v>
      </c>
      <c r="AQ106" s="9" t="s">
        <v>491</v>
      </c>
      <c r="AR106" s="15">
        <v>2015</v>
      </c>
      <c r="AS106" s="19" t="s">
        <v>482</v>
      </c>
      <c r="AT106" s="20" t="s">
        <v>483</v>
      </c>
      <c r="AU106" s="40">
        <v>7309197</v>
      </c>
      <c r="AV106" s="35">
        <f t="shared" si="16"/>
        <v>6.8638696672964725</v>
      </c>
      <c r="AW106" s="37" t="s">
        <v>366</v>
      </c>
      <c r="AX106" s="34" t="s">
        <v>355</v>
      </c>
      <c r="AY106" s="40">
        <v>2000</v>
      </c>
      <c r="AZ106" s="36">
        <v>33</v>
      </c>
      <c r="BA106" s="14">
        <f t="shared" si="17"/>
        <v>1.5185139398778875</v>
      </c>
      <c r="BB106" s="37" t="s">
        <v>367</v>
      </c>
      <c r="BC106" s="20">
        <v>3.5503801520608322E-2</v>
      </c>
      <c r="BD106" s="9">
        <v>26.1</v>
      </c>
      <c r="BE106" s="9" t="s">
        <v>368</v>
      </c>
      <c r="BF106" s="9">
        <v>0</v>
      </c>
    </row>
    <row r="107" spans="1:58" ht="15" customHeight="1">
      <c r="A107" s="9">
        <v>970</v>
      </c>
      <c r="B107" s="10" t="s">
        <v>76</v>
      </c>
      <c r="C107" s="10" t="s">
        <v>426</v>
      </c>
      <c r="D107" s="47" t="s">
        <v>427</v>
      </c>
      <c r="E107" s="20" t="s">
        <v>492</v>
      </c>
      <c r="F107" s="10" t="s">
        <v>426</v>
      </c>
      <c r="G107" s="47" t="s">
        <v>427</v>
      </c>
      <c r="H107" s="20" t="s">
        <v>492</v>
      </c>
      <c r="I107" s="10" t="s">
        <v>426</v>
      </c>
      <c r="J107" s="47" t="s">
        <v>427</v>
      </c>
      <c r="K107" s="20" t="s">
        <v>493</v>
      </c>
      <c r="L107" s="9" t="s">
        <v>380</v>
      </c>
      <c r="M107" s="9">
        <v>24</v>
      </c>
      <c r="N107" s="9" t="s">
        <v>381</v>
      </c>
      <c r="O107" s="9" t="s">
        <v>382</v>
      </c>
      <c r="P107" s="12">
        <v>42.9</v>
      </c>
      <c r="Q107" s="12" t="s">
        <v>355</v>
      </c>
      <c r="R107" s="9" t="s">
        <v>356</v>
      </c>
      <c r="S107" s="13" t="s">
        <v>434</v>
      </c>
      <c r="T107" s="13" t="s">
        <v>434</v>
      </c>
      <c r="U107" s="14">
        <f t="shared" si="9"/>
        <v>0.6020599913279624</v>
      </c>
      <c r="V107" s="15">
        <v>20</v>
      </c>
      <c r="W107" s="12"/>
      <c r="X107" s="12">
        <v>1</v>
      </c>
      <c r="Y107" s="13" t="s">
        <v>358</v>
      </c>
      <c r="Z107" s="9" t="s">
        <v>359</v>
      </c>
      <c r="AA107" s="10" t="s">
        <v>479</v>
      </c>
      <c r="AB107" s="9" t="s">
        <v>355</v>
      </c>
      <c r="AC107" s="15">
        <v>785</v>
      </c>
      <c r="AD107" s="14">
        <f t="shared" si="10"/>
        <v>2.8948696567452528</v>
      </c>
      <c r="AE107" s="10" t="s">
        <v>494</v>
      </c>
      <c r="AF107" s="9" t="s">
        <v>420</v>
      </c>
      <c r="AG107" s="18">
        <v>23.550519999999999</v>
      </c>
      <c r="AH107" s="7">
        <f t="shared" si="11"/>
        <v>1</v>
      </c>
      <c r="AI107" s="7">
        <f t="shared" si="12"/>
        <v>0</v>
      </c>
      <c r="AJ107" s="7">
        <f t="shared" si="13"/>
        <v>0</v>
      </c>
      <c r="AK107" s="7">
        <f t="shared" si="14"/>
        <v>0</v>
      </c>
      <c r="AL107" s="7" t="s">
        <v>4159</v>
      </c>
      <c r="AM107" s="18">
        <f t="shared" si="15"/>
        <v>1.3720005008762675</v>
      </c>
      <c r="AN107" s="18">
        <v>-23.550519999999999</v>
      </c>
      <c r="AO107" s="18">
        <v>-46.633308999999997</v>
      </c>
      <c r="AP107" s="9" t="s">
        <v>363</v>
      </c>
      <c r="AQ107" s="9" t="s">
        <v>481</v>
      </c>
      <c r="AR107" s="15">
        <v>2015</v>
      </c>
      <c r="AS107" s="19" t="s">
        <v>482</v>
      </c>
      <c r="AT107" s="20" t="s">
        <v>483</v>
      </c>
      <c r="AU107" s="40">
        <v>1394253</v>
      </c>
      <c r="AV107" s="35">
        <f t="shared" si="16"/>
        <v>6.1443415876316241</v>
      </c>
      <c r="AW107" s="37" t="s">
        <v>366</v>
      </c>
      <c r="AX107" s="34" t="s">
        <v>355</v>
      </c>
      <c r="AY107" s="40">
        <v>750</v>
      </c>
      <c r="AZ107" s="37">
        <v>33.799999999999997</v>
      </c>
      <c r="BA107" s="14">
        <f t="shared" si="17"/>
        <v>1.5289167002776547</v>
      </c>
      <c r="BB107" s="37" t="s">
        <v>367</v>
      </c>
      <c r="BC107" s="20">
        <v>3.5503801520608322E-2</v>
      </c>
      <c r="BD107" s="9">
        <v>26.1</v>
      </c>
      <c r="BE107" s="9" t="s">
        <v>368</v>
      </c>
      <c r="BF107" s="9">
        <v>0</v>
      </c>
    </row>
    <row r="108" spans="1:58" ht="15" customHeight="1">
      <c r="A108" s="9">
        <v>973</v>
      </c>
      <c r="B108" s="10" t="s">
        <v>76</v>
      </c>
      <c r="C108" s="10" t="s">
        <v>426</v>
      </c>
      <c r="D108" s="47" t="s">
        <v>427</v>
      </c>
      <c r="E108" s="20" t="s">
        <v>492</v>
      </c>
      <c r="F108" s="10" t="s">
        <v>426</v>
      </c>
      <c r="G108" s="47" t="s">
        <v>427</v>
      </c>
      <c r="H108" s="20" t="s">
        <v>492</v>
      </c>
      <c r="I108" s="10" t="s">
        <v>426</v>
      </c>
      <c r="J108" s="47" t="s">
        <v>427</v>
      </c>
      <c r="K108" s="20" t="s">
        <v>493</v>
      </c>
      <c r="L108" s="9" t="s">
        <v>380</v>
      </c>
      <c r="M108" s="9">
        <v>24</v>
      </c>
      <c r="N108" s="9" t="s">
        <v>381</v>
      </c>
      <c r="O108" s="9" t="s">
        <v>382</v>
      </c>
      <c r="P108" s="12">
        <v>42.9</v>
      </c>
      <c r="Q108" s="12" t="s">
        <v>355</v>
      </c>
      <c r="R108" s="9" t="s">
        <v>356</v>
      </c>
      <c r="S108" s="13" t="s">
        <v>434</v>
      </c>
      <c r="T108" s="13" t="s">
        <v>434</v>
      </c>
      <c r="U108" s="14">
        <f t="shared" si="9"/>
        <v>0.6020599913279624</v>
      </c>
      <c r="V108" s="15">
        <v>20</v>
      </c>
      <c r="W108" s="12"/>
      <c r="X108" s="12">
        <v>1</v>
      </c>
      <c r="Y108" s="13" t="s">
        <v>358</v>
      </c>
      <c r="Z108" s="9" t="s">
        <v>359</v>
      </c>
      <c r="AA108" s="10" t="s">
        <v>479</v>
      </c>
      <c r="AB108" s="9" t="s">
        <v>355</v>
      </c>
      <c r="AC108" s="15">
        <v>785</v>
      </c>
      <c r="AD108" s="14">
        <f t="shared" si="10"/>
        <v>2.8948696567452528</v>
      </c>
      <c r="AE108" s="10" t="s">
        <v>494</v>
      </c>
      <c r="AF108" s="9" t="s">
        <v>420</v>
      </c>
      <c r="AG108" s="18">
        <v>23.550519999999999</v>
      </c>
      <c r="AH108" s="7">
        <f t="shared" si="11"/>
        <v>1</v>
      </c>
      <c r="AI108" s="7">
        <f t="shared" si="12"/>
        <v>0</v>
      </c>
      <c r="AJ108" s="7">
        <f t="shared" si="13"/>
        <v>0</v>
      </c>
      <c r="AK108" s="7">
        <f t="shared" si="14"/>
        <v>0</v>
      </c>
      <c r="AL108" s="7" t="s">
        <v>4159</v>
      </c>
      <c r="AM108" s="18">
        <f t="shared" si="15"/>
        <v>1.3720005008762675</v>
      </c>
      <c r="AN108" s="18">
        <v>-23.550519999999999</v>
      </c>
      <c r="AO108" s="18">
        <v>-46.633308999999997</v>
      </c>
      <c r="AP108" s="9" t="s">
        <v>363</v>
      </c>
      <c r="AQ108" s="9" t="s">
        <v>484</v>
      </c>
      <c r="AR108" s="15">
        <v>2015</v>
      </c>
      <c r="AS108" s="19" t="s">
        <v>482</v>
      </c>
      <c r="AT108" s="20" t="s">
        <v>483</v>
      </c>
      <c r="AU108" s="40">
        <v>1394253</v>
      </c>
      <c r="AV108" s="35">
        <f t="shared" si="16"/>
        <v>6.1443415876316241</v>
      </c>
      <c r="AW108" s="37" t="s">
        <v>366</v>
      </c>
      <c r="AX108" s="34" t="s">
        <v>355</v>
      </c>
      <c r="AY108" s="40">
        <v>750</v>
      </c>
      <c r="AZ108" s="37">
        <v>33.799999999999997</v>
      </c>
      <c r="BA108" s="14">
        <f t="shared" si="17"/>
        <v>1.5289167002776547</v>
      </c>
      <c r="BB108" s="37" t="s">
        <v>367</v>
      </c>
      <c r="BC108" s="20">
        <v>3.5503801520608322E-2</v>
      </c>
      <c r="BD108" s="9">
        <v>26.1</v>
      </c>
      <c r="BE108" s="9" t="s">
        <v>368</v>
      </c>
      <c r="BF108" s="9">
        <v>0</v>
      </c>
    </row>
    <row r="109" spans="1:58" ht="15" customHeight="1">
      <c r="A109" s="9">
        <v>971</v>
      </c>
      <c r="B109" s="10" t="s">
        <v>76</v>
      </c>
      <c r="C109" s="10" t="s">
        <v>426</v>
      </c>
      <c r="D109" s="47" t="s">
        <v>427</v>
      </c>
      <c r="E109" s="20" t="s">
        <v>492</v>
      </c>
      <c r="F109" s="10" t="s">
        <v>426</v>
      </c>
      <c r="G109" s="47" t="s">
        <v>427</v>
      </c>
      <c r="H109" s="20" t="s">
        <v>492</v>
      </c>
      <c r="I109" s="10" t="s">
        <v>426</v>
      </c>
      <c r="J109" s="47" t="s">
        <v>427</v>
      </c>
      <c r="K109" s="20" t="s">
        <v>493</v>
      </c>
      <c r="L109" s="9" t="s">
        <v>380</v>
      </c>
      <c r="M109" s="9">
        <v>24</v>
      </c>
      <c r="N109" s="9" t="s">
        <v>381</v>
      </c>
      <c r="O109" s="9" t="s">
        <v>382</v>
      </c>
      <c r="P109" s="12">
        <v>43.1</v>
      </c>
      <c r="Q109" s="12" t="s">
        <v>355</v>
      </c>
      <c r="R109" s="9" t="s">
        <v>356</v>
      </c>
      <c r="S109" s="13" t="s">
        <v>434</v>
      </c>
      <c r="T109" s="13" t="s">
        <v>434</v>
      </c>
      <c r="U109" s="14">
        <f t="shared" si="9"/>
        <v>0.6020599913279624</v>
      </c>
      <c r="V109" s="15">
        <v>20</v>
      </c>
      <c r="W109" s="12"/>
      <c r="X109" s="12">
        <v>1</v>
      </c>
      <c r="Y109" s="13" t="s">
        <v>358</v>
      </c>
      <c r="Z109" s="9" t="s">
        <v>359</v>
      </c>
      <c r="AA109" s="10" t="s">
        <v>479</v>
      </c>
      <c r="AB109" s="9" t="s">
        <v>355</v>
      </c>
      <c r="AC109" s="15">
        <v>785</v>
      </c>
      <c r="AD109" s="14">
        <f t="shared" si="10"/>
        <v>2.8948696567452528</v>
      </c>
      <c r="AE109" s="10" t="s">
        <v>494</v>
      </c>
      <c r="AF109" s="9" t="s">
        <v>420</v>
      </c>
      <c r="AG109" s="18">
        <v>23.550519999999999</v>
      </c>
      <c r="AH109" s="7">
        <f t="shared" si="11"/>
        <v>1</v>
      </c>
      <c r="AI109" s="7">
        <f t="shared" si="12"/>
        <v>0</v>
      </c>
      <c r="AJ109" s="7">
        <f t="shared" si="13"/>
        <v>0</v>
      </c>
      <c r="AK109" s="7">
        <f t="shared" si="14"/>
        <v>0</v>
      </c>
      <c r="AL109" s="7" t="s">
        <v>4159</v>
      </c>
      <c r="AM109" s="18">
        <f t="shared" si="15"/>
        <v>1.3720005008762675</v>
      </c>
      <c r="AN109" s="18">
        <v>-23.550519999999999</v>
      </c>
      <c r="AO109" s="18">
        <v>-46.633308999999997</v>
      </c>
      <c r="AP109" s="9" t="s">
        <v>363</v>
      </c>
      <c r="AQ109" s="9" t="s">
        <v>484</v>
      </c>
      <c r="AR109" s="15">
        <v>2015</v>
      </c>
      <c r="AS109" s="19" t="s">
        <v>482</v>
      </c>
      <c r="AT109" s="20" t="s">
        <v>483</v>
      </c>
      <c r="AU109" s="40">
        <v>1394253</v>
      </c>
      <c r="AV109" s="35">
        <f t="shared" si="16"/>
        <v>6.1443415876316241</v>
      </c>
      <c r="AW109" s="37" t="s">
        <v>366</v>
      </c>
      <c r="AX109" s="34" t="s">
        <v>355</v>
      </c>
      <c r="AY109" s="40">
        <v>750</v>
      </c>
      <c r="AZ109" s="37">
        <v>33.799999999999997</v>
      </c>
      <c r="BA109" s="14">
        <f t="shared" si="17"/>
        <v>1.5289167002776547</v>
      </c>
      <c r="BB109" s="37" t="s">
        <v>367</v>
      </c>
      <c r="BC109" s="20">
        <v>3.5503801520608322E-2</v>
      </c>
      <c r="BD109" s="9">
        <v>26.1</v>
      </c>
      <c r="BE109" s="9" t="s">
        <v>368</v>
      </c>
      <c r="BF109" s="9">
        <v>0</v>
      </c>
    </row>
    <row r="110" spans="1:58" ht="15" customHeight="1">
      <c r="A110" s="9">
        <v>972</v>
      </c>
      <c r="B110" s="10" t="s">
        <v>76</v>
      </c>
      <c r="C110" s="10" t="s">
        <v>426</v>
      </c>
      <c r="D110" s="47" t="s">
        <v>427</v>
      </c>
      <c r="E110" s="20" t="s">
        <v>492</v>
      </c>
      <c r="F110" s="10" t="s">
        <v>426</v>
      </c>
      <c r="G110" s="47" t="s">
        <v>427</v>
      </c>
      <c r="H110" s="20" t="s">
        <v>492</v>
      </c>
      <c r="I110" s="10" t="s">
        <v>426</v>
      </c>
      <c r="J110" s="47" t="s">
        <v>427</v>
      </c>
      <c r="K110" s="20" t="s">
        <v>493</v>
      </c>
      <c r="L110" s="9" t="s">
        <v>380</v>
      </c>
      <c r="M110" s="9">
        <v>24</v>
      </c>
      <c r="N110" s="9" t="s">
        <v>381</v>
      </c>
      <c r="O110" s="9" t="s">
        <v>382</v>
      </c>
      <c r="P110" s="12">
        <v>43.1</v>
      </c>
      <c r="Q110" s="12" t="s">
        <v>355</v>
      </c>
      <c r="R110" s="9" t="s">
        <v>356</v>
      </c>
      <c r="S110" s="13" t="s">
        <v>434</v>
      </c>
      <c r="T110" s="13" t="s">
        <v>434</v>
      </c>
      <c r="U110" s="14">
        <f t="shared" si="9"/>
        <v>0.6020599913279624</v>
      </c>
      <c r="V110" s="15">
        <v>20</v>
      </c>
      <c r="W110" s="12"/>
      <c r="X110" s="12">
        <v>1</v>
      </c>
      <c r="Y110" s="13" t="s">
        <v>358</v>
      </c>
      <c r="Z110" s="9" t="s">
        <v>359</v>
      </c>
      <c r="AA110" s="10" t="s">
        <v>479</v>
      </c>
      <c r="AB110" s="9" t="s">
        <v>355</v>
      </c>
      <c r="AC110" s="15">
        <v>785</v>
      </c>
      <c r="AD110" s="14">
        <f t="shared" si="10"/>
        <v>2.8948696567452528</v>
      </c>
      <c r="AE110" s="10" t="s">
        <v>494</v>
      </c>
      <c r="AF110" s="9" t="s">
        <v>420</v>
      </c>
      <c r="AG110" s="18">
        <v>23.550519999999999</v>
      </c>
      <c r="AH110" s="7">
        <f t="shared" si="11"/>
        <v>1</v>
      </c>
      <c r="AI110" s="7">
        <f t="shared" si="12"/>
        <v>0</v>
      </c>
      <c r="AJ110" s="7">
        <f t="shared" si="13"/>
        <v>0</v>
      </c>
      <c r="AK110" s="7">
        <f t="shared" si="14"/>
        <v>0</v>
      </c>
      <c r="AL110" s="7" t="s">
        <v>4159</v>
      </c>
      <c r="AM110" s="18">
        <f t="shared" si="15"/>
        <v>1.3720005008762675</v>
      </c>
      <c r="AN110" s="18">
        <v>-23.550519999999999</v>
      </c>
      <c r="AO110" s="18">
        <v>-46.633308999999997</v>
      </c>
      <c r="AP110" s="9" t="s">
        <v>363</v>
      </c>
      <c r="AQ110" s="9" t="s">
        <v>481</v>
      </c>
      <c r="AR110" s="15">
        <v>2015</v>
      </c>
      <c r="AS110" s="19" t="s">
        <v>482</v>
      </c>
      <c r="AT110" s="20" t="s">
        <v>483</v>
      </c>
      <c r="AU110" s="40">
        <v>1394253</v>
      </c>
      <c r="AV110" s="35">
        <f t="shared" si="16"/>
        <v>6.1443415876316241</v>
      </c>
      <c r="AW110" s="37" t="s">
        <v>366</v>
      </c>
      <c r="AX110" s="34" t="s">
        <v>355</v>
      </c>
      <c r="AY110" s="40">
        <v>750</v>
      </c>
      <c r="AZ110" s="37">
        <v>33.799999999999997</v>
      </c>
      <c r="BA110" s="14">
        <f t="shared" si="17"/>
        <v>1.5289167002776547</v>
      </c>
      <c r="BB110" s="37" t="s">
        <v>367</v>
      </c>
      <c r="BC110" s="20">
        <v>3.5503801520608322E-2</v>
      </c>
      <c r="BD110" s="9">
        <v>26.1</v>
      </c>
      <c r="BE110" s="9" t="s">
        <v>368</v>
      </c>
      <c r="BF110" s="9">
        <v>0</v>
      </c>
    </row>
    <row r="111" spans="1:58" ht="15" customHeight="1">
      <c r="A111" s="9">
        <v>974</v>
      </c>
      <c r="B111" s="10" t="s">
        <v>76</v>
      </c>
      <c r="C111" s="10" t="s">
        <v>426</v>
      </c>
      <c r="D111" s="47" t="s">
        <v>427</v>
      </c>
      <c r="E111" s="20" t="s">
        <v>492</v>
      </c>
      <c r="F111" s="10" t="s">
        <v>426</v>
      </c>
      <c r="G111" s="47" t="s">
        <v>427</v>
      </c>
      <c r="H111" s="20" t="s">
        <v>492</v>
      </c>
      <c r="I111" s="10" t="s">
        <v>426</v>
      </c>
      <c r="J111" s="47" t="s">
        <v>427</v>
      </c>
      <c r="K111" s="20" t="s">
        <v>493</v>
      </c>
      <c r="L111" s="9" t="s">
        <v>380</v>
      </c>
      <c r="M111" s="9">
        <v>24</v>
      </c>
      <c r="N111" s="9" t="s">
        <v>381</v>
      </c>
      <c r="O111" s="9" t="s">
        <v>382</v>
      </c>
      <c r="P111" s="12">
        <v>43.1</v>
      </c>
      <c r="Q111" s="12" t="s">
        <v>355</v>
      </c>
      <c r="R111" s="9" t="s">
        <v>356</v>
      </c>
      <c r="S111" s="13" t="s">
        <v>434</v>
      </c>
      <c r="T111" s="13" t="s">
        <v>434</v>
      </c>
      <c r="U111" s="14">
        <f t="shared" si="9"/>
        <v>0.6020599913279624</v>
      </c>
      <c r="V111" s="15">
        <v>20</v>
      </c>
      <c r="W111" s="12"/>
      <c r="X111" s="12">
        <v>1</v>
      </c>
      <c r="Y111" s="13" t="s">
        <v>358</v>
      </c>
      <c r="Z111" s="9" t="s">
        <v>359</v>
      </c>
      <c r="AA111" s="10" t="s">
        <v>479</v>
      </c>
      <c r="AB111" s="9" t="s">
        <v>355</v>
      </c>
      <c r="AC111" s="15">
        <v>785</v>
      </c>
      <c r="AD111" s="14">
        <f t="shared" si="10"/>
        <v>2.8948696567452528</v>
      </c>
      <c r="AE111" s="10" t="s">
        <v>494</v>
      </c>
      <c r="AF111" s="9" t="s">
        <v>420</v>
      </c>
      <c r="AG111" s="18">
        <v>23.550519999999999</v>
      </c>
      <c r="AH111" s="7">
        <f t="shared" si="11"/>
        <v>1</v>
      </c>
      <c r="AI111" s="7">
        <f t="shared" si="12"/>
        <v>0</v>
      </c>
      <c r="AJ111" s="7">
        <f t="shared" si="13"/>
        <v>0</v>
      </c>
      <c r="AK111" s="7">
        <f t="shared" si="14"/>
        <v>0</v>
      </c>
      <c r="AL111" s="7" t="s">
        <v>4159</v>
      </c>
      <c r="AM111" s="18">
        <f t="shared" si="15"/>
        <v>1.3720005008762675</v>
      </c>
      <c r="AN111" s="18">
        <v>-23.550519999999999</v>
      </c>
      <c r="AO111" s="18">
        <v>-46.633308999999997</v>
      </c>
      <c r="AP111" s="9" t="s">
        <v>363</v>
      </c>
      <c r="AQ111" s="9" t="s">
        <v>491</v>
      </c>
      <c r="AR111" s="15">
        <v>2015</v>
      </c>
      <c r="AS111" s="19" t="s">
        <v>482</v>
      </c>
      <c r="AT111" s="20" t="s">
        <v>483</v>
      </c>
      <c r="AU111" s="40">
        <v>1394253</v>
      </c>
      <c r="AV111" s="35">
        <f t="shared" si="16"/>
        <v>6.1443415876316241</v>
      </c>
      <c r="AW111" s="37" t="s">
        <v>366</v>
      </c>
      <c r="AX111" s="34" t="s">
        <v>355</v>
      </c>
      <c r="AY111" s="40">
        <v>750</v>
      </c>
      <c r="AZ111" s="37">
        <v>33.799999999999997</v>
      </c>
      <c r="BA111" s="14">
        <f t="shared" si="17"/>
        <v>1.5289167002776547</v>
      </c>
      <c r="BB111" s="37" t="s">
        <v>367</v>
      </c>
      <c r="BC111" s="20">
        <v>3.5503801520608322E-2</v>
      </c>
      <c r="BD111" s="9">
        <v>26.1</v>
      </c>
      <c r="BE111" s="9" t="s">
        <v>368</v>
      </c>
      <c r="BF111" s="9">
        <v>0</v>
      </c>
    </row>
    <row r="112" spans="1:58" ht="15" customHeight="1">
      <c r="A112" s="9">
        <v>983</v>
      </c>
      <c r="B112" s="10" t="s">
        <v>76</v>
      </c>
      <c r="C112" s="10" t="s">
        <v>426</v>
      </c>
      <c r="D112" s="47" t="s">
        <v>427</v>
      </c>
      <c r="E112" s="20" t="s">
        <v>492</v>
      </c>
      <c r="F112" s="10" t="s">
        <v>426</v>
      </c>
      <c r="G112" s="47" t="s">
        <v>427</v>
      </c>
      <c r="H112" s="20" t="s">
        <v>492</v>
      </c>
      <c r="I112" s="10" t="s">
        <v>426</v>
      </c>
      <c r="J112" s="47" t="s">
        <v>427</v>
      </c>
      <c r="K112" s="20" t="s">
        <v>493</v>
      </c>
      <c r="L112" s="9" t="s">
        <v>380</v>
      </c>
      <c r="M112" s="9">
        <v>24</v>
      </c>
      <c r="N112" s="9" t="s">
        <v>381</v>
      </c>
      <c r="O112" s="9" t="s">
        <v>382</v>
      </c>
      <c r="P112" s="12">
        <v>44</v>
      </c>
      <c r="Q112" s="12" t="s">
        <v>355</v>
      </c>
      <c r="R112" s="9" t="s">
        <v>356</v>
      </c>
      <c r="S112" s="13" t="s">
        <v>434</v>
      </c>
      <c r="T112" s="13" t="s">
        <v>434</v>
      </c>
      <c r="U112" s="14">
        <f t="shared" si="9"/>
        <v>0.6020599913279624</v>
      </c>
      <c r="V112" s="15">
        <v>30</v>
      </c>
      <c r="W112" s="12"/>
      <c r="X112" s="12">
        <v>1</v>
      </c>
      <c r="Y112" s="13" t="s">
        <v>358</v>
      </c>
      <c r="Z112" s="9" t="s">
        <v>359</v>
      </c>
      <c r="AA112" s="10" t="s">
        <v>479</v>
      </c>
      <c r="AB112" s="9" t="s">
        <v>355</v>
      </c>
      <c r="AC112" s="15">
        <v>785</v>
      </c>
      <c r="AD112" s="14">
        <f t="shared" si="10"/>
        <v>2.8948696567452528</v>
      </c>
      <c r="AE112" s="10" t="s">
        <v>494</v>
      </c>
      <c r="AF112" s="9" t="s">
        <v>420</v>
      </c>
      <c r="AG112" s="18">
        <v>23.550519999999999</v>
      </c>
      <c r="AH112" s="7">
        <f t="shared" si="11"/>
        <v>1</v>
      </c>
      <c r="AI112" s="7">
        <f t="shared" si="12"/>
        <v>0</v>
      </c>
      <c r="AJ112" s="7">
        <f t="shared" si="13"/>
        <v>0</v>
      </c>
      <c r="AK112" s="7">
        <f t="shared" si="14"/>
        <v>0</v>
      </c>
      <c r="AL112" s="7" t="s">
        <v>4159</v>
      </c>
      <c r="AM112" s="18">
        <f t="shared" si="15"/>
        <v>1.3720005008762675</v>
      </c>
      <c r="AN112" s="18">
        <v>-23.550519999999999</v>
      </c>
      <c r="AO112" s="18">
        <v>-46.633308999999997</v>
      </c>
      <c r="AP112" s="9" t="s">
        <v>363</v>
      </c>
      <c r="AQ112" s="9" t="s">
        <v>481</v>
      </c>
      <c r="AR112" s="15">
        <v>2015</v>
      </c>
      <c r="AS112" s="19" t="s">
        <v>482</v>
      </c>
      <c r="AT112" s="20" t="s">
        <v>483</v>
      </c>
      <c r="AU112" s="40">
        <v>1394253</v>
      </c>
      <c r="AV112" s="35">
        <f t="shared" si="16"/>
        <v>6.1443415876316241</v>
      </c>
      <c r="AW112" s="37" t="s">
        <v>366</v>
      </c>
      <c r="AX112" s="34" t="s">
        <v>355</v>
      </c>
      <c r="AY112" s="40">
        <v>750</v>
      </c>
      <c r="AZ112" s="37">
        <v>33.799999999999997</v>
      </c>
      <c r="BA112" s="14">
        <f t="shared" si="17"/>
        <v>1.5289167002776547</v>
      </c>
      <c r="BB112" s="37" t="s">
        <v>367</v>
      </c>
      <c r="BC112" s="20">
        <v>3.5503801520608322E-2</v>
      </c>
      <c r="BD112" s="9">
        <v>26.1</v>
      </c>
      <c r="BE112" s="9" t="s">
        <v>368</v>
      </c>
      <c r="BF112" s="9">
        <v>0</v>
      </c>
    </row>
    <row r="113" spans="1:58" ht="15" customHeight="1">
      <c r="A113" s="9">
        <v>984</v>
      </c>
      <c r="B113" s="10" t="s">
        <v>76</v>
      </c>
      <c r="C113" s="10" t="s">
        <v>426</v>
      </c>
      <c r="D113" s="47" t="s">
        <v>427</v>
      </c>
      <c r="E113" s="20" t="s">
        <v>492</v>
      </c>
      <c r="F113" s="10" t="s">
        <v>426</v>
      </c>
      <c r="G113" s="47" t="s">
        <v>427</v>
      </c>
      <c r="H113" s="20" t="s">
        <v>492</v>
      </c>
      <c r="I113" s="10" t="s">
        <v>426</v>
      </c>
      <c r="J113" s="47" t="s">
        <v>427</v>
      </c>
      <c r="K113" s="20" t="s">
        <v>493</v>
      </c>
      <c r="L113" s="9" t="s">
        <v>380</v>
      </c>
      <c r="M113" s="9">
        <v>24</v>
      </c>
      <c r="N113" s="9" t="s">
        <v>381</v>
      </c>
      <c r="O113" s="9" t="s">
        <v>382</v>
      </c>
      <c r="P113" s="12">
        <v>44</v>
      </c>
      <c r="Q113" s="12" t="s">
        <v>355</v>
      </c>
      <c r="R113" s="9" t="s">
        <v>356</v>
      </c>
      <c r="S113" s="13" t="s">
        <v>434</v>
      </c>
      <c r="T113" s="13" t="s">
        <v>434</v>
      </c>
      <c r="U113" s="14">
        <f t="shared" si="9"/>
        <v>0.6020599913279624</v>
      </c>
      <c r="V113" s="15">
        <v>30</v>
      </c>
      <c r="W113" s="12"/>
      <c r="X113" s="12">
        <v>1</v>
      </c>
      <c r="Y113" s="13" t="s">
        <v>358</v>
      </c>
      <c r="Z113" s="9" t="s">
        <v>359</v>
      </c>
      <c r="AA113" s="10" t="s">
        <v>479</v>
      </c>
      <c r="AB113" s="9" t="s">
        <v>355</v>
      </c>
      <c r="AC113" s="15">
        <v>785</v>
      </c>
      <c r="AD113" s="14">
        <f t="shared" si="10"/>
        <v>2.8948696567452528</v>
      </c>
      <c r="AE113" s="10" t="s">
        <v>494</v>
      </c>
      <c r="AF113" s="9" t="s">
        <v>420</v>
      </c>
      <c r="AG113" s="18">
        <v>23.550519999999999</v>
      </c>
      <c r="AH113" s="7">
        <f t="shared" si="11"/>
        <v>1</v>
      </c>
      <c r="AI113" s="7">
        <f t="shared" si="12"/>
        <v>0</v>
      </c>
      <c r="AJ113" s="7">
        <f t="shared" si="13"/>
        <v>0</v>
      </c>
      <c r="AK113" s="7">
        <f t="shared" si="14"/>
        <v>0</v>
      </c>
      <c r="AL113" s="7" t="s">
        <v>4159</v>
      </c>
      <c r="AM113" s="18">
        <f t="shared" si="15"/>
        <v>1.3720005008762675</v>
      </c>
      <c r="AN113" s="18">
        <v>-23.550519999999999</v>
      </c>
      <c r="AO113" s="18">
        <v>-46.633308999999997</v>
      </c>
      <c r="AP113" s="9" t="s">
        <v>363</v>
      </c>
      <c r="AQ113" s="9" t="s">
        <v>484</v>
      </c>
      <c r="AR113" s="15">
        <v>2015</v>
      </c>
      <c r="AS113" s="19" t="s">
        <v>482</v>
      </c>
      <c r="AT113" s="20" t="s">
        <v>483</v>
      </c>
      <c r="AU113" s="40">
        <v>1394253</v>
      </c>
      <c r="AV113" s="35">
        <f t="shared" si="16"/>
        <v>6.1443415876316241</v>
      </c>
      <c r="AW113" s="37" t="s">
        <v>366</v>
      </c>
      <c r="AX113" s="34" t="s">
        <v>355</v>
      </c>
      <c r="AY113" s="40">
        <v>750</v>
      </c>
      <c r="AZ113" s="37">
        <v>33.799999999999997</v>
      </c>
      <c r="BA113" s="14">
        <f t="shared" si="17"/>
        <v>1.5289167002776547</v>
      </c>
      <c r="BB113" s="37" t="s">
        <v>367</v>
      </c>
      <c r="BC113" s="20">
        <v>3.5503801520608322E-2</v>
      </c>
      <c r="BD113" s="9">
        <v>26.1</v>
      </c>
      <c r="BE113" s="9" t="s">
        <v>368</v>
      </c>
      <c r="BF113" s="9">
        <v>0</v>
      </c>
    </row>
    <row r="114" spans="1:58" ht="15" customHeight="1">
      <c r="A114" s="9">
        <v>986</v>
      </c>
      <c r="B114" s="10" t="s">
        <v>76</v>
      </c>
      <c r="C114" s="10" t="s">
        <v>426</v>
      </c>
      <c r="D114" s="47" t="s">
        <v>427</v>
      </c>
      <c r="E114" s="20" t="s">
        <v>492</v>
      </c>
      <c r="F114" s="10" t="s">
        <v>426</v>
      </c>
      <c r="G114" s="47" t="s">
        <v>427</v>
      </c>
      <c r="H114" s="20" t="s">
        <v>492</v>
      </c>
      <c r="I114" s="10" t="s">
        <v>426</v>
      </c>
      <c r="J114" s="47" t="s">
        <v>427</v>
      </c>
      <c r="K114" s="20" t="s">
        <v>493</v>
      </c>
      <c r="L114" s="9" t="s">
        <v>380</v>
      </c>
      <c r="M114" s="9">
        <v>24</v>
      </c>
      <c r="N114" s="9" t="s">
        <v>381</v>
      </c>
      <c r="O114" s="9" t="s">
        <v>382</v>
      </c>
      <c r="P114" s="12">
        <v>44.1</v>
      </c>
      <c r="Q114" s="12" t="s">
        <v>355</v>
      </c>
      <c r="R114" s="9" t="s">
        <v>356</v>
      </c>
      <c r="S114" s="13" t="s">
        <v>434</v>
      </c>
      <c r="T114" s="13" t="s">
        <v>434</v>
      </c>
      <c r="U114" s="14">
        <f t="shared" si="9"/>
        <v>0.6020599913279624</v>
      </c>
      <c r="V114" s="15">
        <v>30</v>
      </c>
      <c r="W114" s="12"/>
      <c r="X114" s="12">
        <v>1</v>
      </c>
      <c r="Y114" s="13" t="s">
        <v>358</v>
      </c>
      <c r="Z114" s="9" t="s">
        <v>359</v>
      </c>
      <c r="AA114" s="10" t="s">
        <v>479</v>
      </c>
      <c r="AB114" s="9" t="s">
        <v>355</v>
      </c>
      <c r="AC114" s="15">
        <v>785</v>
      </c>
      <c r="AD114" s="14">
        <f t="shared" si="10"/>
        <v>2.8948696567452528</v>
      </c>
      <c r="AE114" s="10" t="s">
        <v>494</v>
      </c>
      <c r="AF114" s="9" t="s">
        <v>420</v>
      </c>
      <c r="AG114" s="18">
        <v>23.550519999999999</v>
      </c>
      <c r="AH114" s="7">
        <f t="shared" si="11"/>
        <v>1</v>
      </c>
      <c r="AI114" s="7">
        <f t="shared" si="12"/>
        <v>0</v>
      </c>
      <c r="AJ114" s="7">
        <f t="shared" si="13"/>
        <v>0</v>
      </c>
      <c r="AK114" s="7">
        <f t="shared" si="14"/>
        <v>0</v>
      </c>
      <c r="AL114" s="7" t="s">
        <v>4159</v>
      </c>
      <c r="AM114" s="18">
        <f t="shared" si="15"/>
        <v>1.3720005008762675</v>
      </c>
      <c r="AN114" s="18">
        <v>-23.550519999999999</v>
      </c>
      <c r="AO114" s="18">
        <v>-46.633308999999997</v>
      </c>
      <c r="AP114" s="9" t="s">
        <v>363</v>
      </c>
      <c r="AQ114" s="9" t="s">
        <v>484</v>
      </c>
      <c r="AR114" s="15">
        <v>2015</v>
      </c>
      <c r="AS114" s="19" t="s">
        <v>482</v>
      </c>
      <c r="AT114" s="20" t="s">
        <v>483</v>
      </c>
      <c r="AU114" s="40">
        <v>1394253</v>
      </c>
      <c r="AV114" s="35">
        <f t="shared" si="16"/>
        <v>6.1443415876316241</v>
      </c>
      <c r="AW114" s="37" t="s">
        <v>366</v>
      </c>
      <c r="AX114" s="34" t="s">
        <v>355</v>
      </c>
      <c r="AY114" s="40">
        <v>750</v>
      </c>
      <c r="AZ114" s="37">
        <v>33.799999999999997</v>
      </c>
      <c r="BA114" s="14">
        <f t="shared" si="17"/>
        <v>1.5289167002776547</v>
      </c>
      <c r="BB114" s="37" t="s">
        <v>367</v>
      </c>
      <c r="BC114" s="20">
        <v>3.5503801520608322E-2</v>
      </c>
      <c r="BD114" s="9">
        <v>26.1</v>
      </c>
      <c r="BE114" s="9" t="s">
        <v>368</v>
      </c>
      <c r="BF114" s="9">
        <v>0</v>
      </c>
    </row>
    <row r="115" spans="1:58" ht="15" customHeight="1">
      <c r="A115" s="9">
        <v>985</v>
      </c>
      <c r="B115" s="10" t="s">
        <v>76</v>
      </c>
      <c r="C115" s="10" t="s">
        <v>426</v>
      </c>
      <c r="D115" s="47" t="s">
        <v>427</v>
      </c>
      <c r="E115" s="20" t="s">
        <v>492</v>
      </c>
      <c r="F115" s="10" t="s">
        <v>426</v>
      </c>
      <c r="G115" s="47" t="s">
        <v>427</v>
      </c>
      <c r="H115" s="20" t="s">
        <v>492</v>
      </c>
      <c r="I115" s="10" t="s">
        <v>426</v>
      </c>
      <c r="J115" s="47" t="s">
        <v>427</v>
      </c>
      <c r="K115" s="20" t="s">
        <v>493</v>
      </c>
      <c r="L115" s="9" t="s">
        <v>380</v>
      </c>
      <c r="M115" s="9">
        <v>24</v>
      </c>
      <c r="N115" s="9" t="s">
        <v>381</v>
      </c>
      <c r="O115" s="9" t="s">
        <v>382</v>
      </c>
      <c r="P115" s="12">
        <v>44.2</v>
      </c>
      <c r="Q115" s="12" t="s">
        <v>355</v>
      </c>
      <c r="R115" s="9" t="s">
        <v>356</v>
      </c>
      <c r="S115" s="13" t="s">
        <v>434</v>
      </c>
      <c r="T115" s="13" t="s">
        <v>434</v>
      </c>
      <c r="U115" s="14">
        <f t="shared" si="9"/>
        <v>0.6020599913279624</v>
      </c>
      <c r="V115" s="15">
        <v>30</v>
      </c>
      <c r="W115" s="12"/>
      <c r="X115" s="12">
        <v>1</v>
      </c>
      <c r="Y115" s="13" t="s">
        <v>358</v>
      </c>
      <c r="Z115" s="9" t="s">
        <v>359</v>
      </c>
      <c r="AA115" s="10" t="s">
        <v>479</v>
      </c>
      <c r="AB115" s="9" t="s">
        <v>355</v>
      </c>
      <c r="AC115" s="15">
        <v>785</v>
      </c>
      <c r="AD115" s="14">
        <f t="shared" si="10"/>
        <v>2.8948696567452528</v>
      </c>
      <c r="AE115" s="10" t="s">
        <v>494</v>
      </c>
      <c r="AF115" s="9" t="s">
        <v>420</v>
      </c>
      <c r="AG115" s="18">
        <v>23.550519999999999</v>
      </c>
      <c r="AH115" s="7">
        <f t="shared" si="11"/>
        <v>1</v>
      </c>
      <c r="AI115" s="7">
        <f t="shared" si="12"/>
        <v>0</v>
      </c>
      <c r="AJ115" s="7">
        <f t="shared" si="13"/>
        <v>0</v>
      </c>
      <c r="AK115" s="7">
        <f t="shared" si="14"/>
        <v>0</v>
      </c>
      <c r="AL115" s="7" t="s">
        <v>4159</v>
      </c>
      <c r="AM115" s="18">
        <f t="shared" si="15"/>
        <v>1.3720005008762675</v>
      </c>
      <c r="AN115" s="18">
        <v>-23.550519999999999</v>
      </c>
      <c r="AO115" s="18">
        <v>-46.633308999999997</v>
      </c>
      <c r="AP115" s="9" t="s">
        <v>363</v>
      </c>
      <c r="AQ115" s="9" t="s">
        <v>481</v>
      </c>
      <c r="AR115" s="15">
        <v>2015</v>
      </c>
      <c r="AS115" s="19" t="s">
        <v>482</v>
      </c>
      <c r="AT115" s="20" t="s">
        <v>483</v>
      </c>
      <c r="AU115" s="40">
        <v>1394253</v>
      </c>
      <c r="AV115" s="35">
        <f t="shared" si="16"/>
        <v>6.1443415876316241</v>
      </c>
      <c r="AW115" s="37" t="s">
        <v>366</v>
      </c>
      <c r="AX115" s="34" t="s">
        <v>355</v>
      </c>
      <c r="AY115" s="40">
        <v>750</v>
      </c>
      <c r="AZ115" s="37">
        <v>33.799999999999997</v>
      </c>
      <c r="BA115" s="14">
        <f t="shared" si="17"/>
        <v>1.5289167002776547</v>
      </c>
      <c r="BB115" s="37" t="s">
        <v>367</v>
      </c>
      <c r="BC115" s="20">
        <v>3.5503801520608322E-2</v>
      </c>
      <c r="BD115" s="9">
        <v>26.1</v>
      </c>
      <c r="BE115" s="9" t="s">
        <v>368</v>
      </c>
      <c r="BF115" s="9">
        <v>0</v>
      </c>
    </row>
    <row r="116" spans="1:58" ht="15" customHeight="1">
      <c r="A116" s="9">
        <v>987</v>
      </c>
      <c r="B116" s="10" t="s">
        <v>76</v>
      </c>
      <c r="C116" s="10" t="s">
        <v>426</v>
      </c>
      <c r="D116" s="47" t="s">
        <v>427</v>
      </c>
      <c r="E116" s="20" t="s">
        <v>492</v>
      </c>
      <c r="F116" s="10" t="s">
        <v>426</v>
      </c>
      <c r="G116" s="47" t="s">
        <v>427</v>
      </c>
      <c r="H116" s="20" t="s">
        <v>492</v>
      </c>
      <c r="I116" s="10" t="s">
        <v>426</v>
      </c>
      <c r="J116" s="47" t="s">
        <v>427</v>
      </c>
      <c r="K116" s="20" t="s">
        <v>493</v>
      </c>
      <c r="L116" s="9" t="s">
        <v>380</v>
      </c>
      <c r="M116" s="9">
        <v>24</v>
      </c>
      <c r="N116" s="9" t="s">
        <v>381</v>
      </c>
      <c r="O116" s="9" t="s">
        <v>382</v>
      </c>
      <c r="P116" s="12">
        <v>44.6</v>
      </c>
      <c r="Q116" s="12" t="s">
        <v>355</v>
      </c>
      <c r="R116" s="9" t="s">
        <v>356</v>
      </c>
      <c r="S116" s="13" t="s">
        <v>434</v>
      </c>
      <c r="T116" s="13" t="s">
        <v>434</v>
      </c>
      <c r="U116" s="14">
        <f t="shared" si="9"/>
        <v>0.6020599913279624</v>
      </c>
      <c r="V116" s="15">
        <v>30</v>
      </c>
      <c r="W116" s="12"/>
      <c r="X116" s="12">
        <v>1</v>
      </c>
      <c r="Y116" s="13" t="s">
        <v>358</v>
      </c>
      <c r="Z116" s="9" t="s">
        <v>359</v>
      </c>
      <c r="AA116" s="10" t="s">
        <v>479</v>
      </c>
      <c r="AB116" s="9" t="s">
        <v>355</v>
      </c>
      <c r="AC116" s="15">
        <v>785</v>
      </c>
      <c r="AD116" s="14">
        <f t="shared" si="10"/>
        <v>2.8948696567452528</v>
      </c>
      <c r="AE116" s="10" t="s">
        <v>494</v>
      </c>
      <c r="AF116" s="9" t="s">
        <v>420</v>
      </c>
      <c r="AG116" s="18">
        <v>23.550519999999999</v>
      </c>
      <c r="AH116" s="7">
        <f t="shared" si="11"/>
        <v>1</v>
      </c>
      <c r="AI116" s="7">
        <f t="shared" si="12"/>
        <v>0</v>
      </c>
      <c r="AJ116" s="7">
        <f t="shared" si="13"/>
        <v>0</v>
      </c>
      <c r="AK116" s="7">
        <f t="shared" si="14"/>
        <v>0</v>
      </c>
      <c r="AL116" s="7" t="s">
        <v>4159</v>
      </c>
      <c r="AM116" s="18">
        <f t="shared" si="15"/>
        <v>1.3720005008762675</v>
      </c>
      <c r="AN116" s="18">
        <v>-23.550519999999999</v>
      </c>
      <c r="AO116" s="18">
        <v>-46.633308999999997</v>
      </c>
      <c r="AP116" s="9" t="s">
        <v>363</v>
      </c>
      <c r="AQ116" s="9" t="s">
        <v>491</v>
      </c>
      <c r="AR116" s="15">
        <v>2015</v>
      </c>
      <c r="AS116" s="19" t="s">
        <v>482</v>
      </c>
      <c r="AT116" s="20" t="s">
        <v>483</v>
      </c>
      <c r="AU116" s="40">
        <v>1394253</v>
      </c>
      <c r="AV116" s="35">
        <f t="shared" si="16"/>
        <v>6.1443415876316241</v>
      </c>
      <c r="AW116" s="37" t="s">
        <v>366</v>
      </c>
      <c r="AX116" s="34" t="s">
        <v>355</v>
      </c>
      <c r="AY116" s="40">
        <v>750</v>
      </c>
      <c r="AZ116" s="37">
        <v>33.799999999999997</v>
      </c>
      <c r="BA116" s="14">
        <f t="shared" si="17"/>
        <v>1.5289167002776547</v>
      </c>
      <c r="BB116" s="37" t="s">
        <v>367</v>
      </c>
      <c r="BC116" s="20">
        <v>3.5503801520608322E-2</v>
      </c>
      <c r="BD116" s="9">
        <v>26.1</v>
      </c>
      <c r="BE116" s="9" t="s">
        <v>368</v>
      </c>
      <c r="BF116" s="9">
        <v>0</v>
      </c>
    </row>
    <row r="117" spans="1:58">
      <c r="A117" s="9">
        <v>417</v>
      </c>
      <c r="B117" s="10" t="s">
        <v>76</v>
      </c>
      <c r="C117" s="10" t="s">
        <v>450</v>
      </c>
      <c r="D117" s="20" t="s">
        <v>495</v>
      </c>
      <c r="E117" s="20" t="s">
        <v>496</v>
      </c>
      <c r="F117" s="20" t="s">
        <v>426</v>
      </c>
      <c r="G117" s="20" t="s">
        <v>463</v>
      </c>
      <c r="H117" s="20" t="s">
        <v>496</v>
      </c>
      <c r="I117" s="20" t="s">
        <v>453</v>
      </c>
      <c r="J117" s="20" t="s">
        <v>495</v>
      </c>
      <c r="K117" s="20" t="s">
        <v>496</v>
      </c>
      <c r="L117" s="9" t="s">
        <v>352</v>
      </c>
      <c r="M117" s="9">
        <v>10</v>
      </c>
      <c r="N117" s="9" t="s">
        <v>381</v>
      </c>
      <c r="O117" s="9" t="s">
        <v>455</v>
      </c>
      <c r="P117" s="12">
        <v>29</v>
      </c>
      <c r="Q117" s="12" t="s">
        <v>355</v>
      </c>
      <c r="R117" s="9" t="s">
        <v>356</v>
      </c>
      <c r="S117" s="13" t="s">
        <v>434</v>
      </c>
      <c r="T117" s="13" t="s">
        <v>434</v>
      </c>
      <c r="U117" s="14">
        <f t="shared" si="9"/>
        <v>0.6020599913279624</v>
      </c>
      <c r="V117" s="15">
        <v>17</v>
      </c>
      <c r="W117" s="12">
        <v>-1.2690538000000018</v>
      </c>
      <c r="X117" s="12">
        <v>0.7</v>
      </c>
      <c r="Y117" s="13" t="s">
        <v>355</v>
      </c>
      <c r="Z117" s="9" t="s">
        <v>359</v>
      </c>
      <c r="AA117" s="10" t="s">
        <v>372</v>
      </c>
      <c r="AB117" s="9" t="s">
        <v>355</v>
      </c>
      <c r="AC117" s="15">
        <v>1682.5</v>
      </c>
      <c r="AD117" s="14">
        <f t="shared" si="10"/>
        <v>3.2259550728960145</v>
      </c>
      <c r="AE117" s="10" t="s">
        <v>456</v>
      </c>
      <c r="AF117" s="9" t="s">
        <v>408</v>
      </c>
      <c r="AG117" s="18">
        <v>11.183299999999999</v>
      </c>
      <c r="AH117" s="7">
        <f t="shared" si="11"/>
        <v>0</v>
      </c>
      <c r="AI117" s="7">
        <f t="shared" si="12"/>
        <v>0</v>
      </c>
      <c r="AJ117" s="7">
        <f t="shared" si="13"/>
        <v>0</v>
      </c>
      <c r="AK117" s="7">
        <f t="shared" si="14"/>
        <v>0</v>
      </c>
      <c r="AL117" s="7" t="s">
        <v>4160</v>
      </c>
      <c r="AM117" s="18">
        <f t="shared" si="15"/>
        <v>1.0485699753140245</v>
      </c>
      <c r="AN117" s="18">
        <v>-11.183299999999999</v>
      </c>
      <c r="AO117" s="18">
        <v>-71.166700000000006</v>
      </c>
      <c r="AP117" s="9" t="s">
        <v>363</v>
      </c>
      <c r="AQ117" s="9" t="s">
        <v>355</v>
      </c>
      <c r="AR117" s="15">
        <v>2014</v>
      </c>
      <c r="AS117" s="19" t="s">
        <v>457</v>
      </c>
      <c r="AT117" s="20" t="s">
        <v>458</v>
      </c>
      <c r="AU117" s="40">
        <v>47944</v>
      </c>
      <c r="AV117" s="35">
        <f t="shared" si="16"/>
        <v>4.6807342646884287</v>
      </c>
      <c r="AW117" s="37" t="s">
        <v>366</v>
      </c>
      <c r="AX117" s="40">
        <v>200</v>
      </c>
      <c r="AY117" s="40">
        <v>1800</v>
      </c>
      <c r="AZ117" s="15">
        <v>32</v>
      </c>
      <c r="BA117" s="14">
        <f t="shared" si="17"/>
        <v>1.505149978319906</v>
      </c>
      <c r="BB117" s="37" t="s">
        <v>367</v>
      </c>
      <c r="BC117" s="20">
        <v>7.0736294517803316E-3</v>
      </c>
      <c r="BD117" s="9">
        <v>31.8</v>
      </c>
      <c r="BE117" s="9" t="s">
        <v>368</v>
      </c>
      <c r="BF117" s="9">
        <v>0</v>
      </c>
    </row>
    <row r="118" spans="1:58">
      <c r="A118" s="9">
        <v>418</v>
      </c>
      <c r="B118" s="10" t="s">
        <v>76</v>
      </c>
      <c r="C118" s="10" t="s">
        <v>450</v>
      </c>
      <c r="D118" s="20" t="s">
        <v>495</v>
      </c>
      <c r="E118" s="20" t="s">
        <v>497</v>
      </c>
      <c r="F118" s="20" t="s">
        <v>426</v>
      </c>
      <c r="G118" s="20" t="s">
        <v>463</v>
      </c>
      <c r="H118" s="20" t="s">
        <v>498</v>
      </c>
      <c r="I118" s="20" t="s">
        <v>453</v>
      </c>
      <c r="J118" s="20" t="s">
        <v>495</v>
      </c>
      <c r="K118" s="20" t="s">
        <v>498</v>
      </c>
      <c r="L118" s="9" t="s">
        <v>352</v>
      </c>
      <c r="M118" s="9">
        <v>10</v>
      </c>
      <c r="N118" s="9" t="s">
        <v>381</v>
      </c>
      <c r="O118" s="9" t="s">
        <v>455</v>
      </c>
      <c r="P118" s="12">
        <v>26.8</v>
      </c>
      <c r="Q118" s="12" t="s">
        <v>355</v>
      </c>
      <c r="R118" s="9" t="s">
        <v>356</v>
      </c>
      <c r="S118" s="13" t="s">
        <v>434</v>
      </c>
      <c r="T118" s="13" t="s">
        <v>434</v>
      </c>
      <c r="U118" s="14">
        <f t="shared" si="9"/>
        <v>0.6020599913279624</v>
      </c>
      <c r="V118" s="15">
        <v>17</v>
      </c>
      <c r="W118" s="12">
        <v>-3.4690538000000011</v>
      </c>
      <c r="X118" s="12">
        <v>0.7</v>
      </c>
      <c r="Y118" s="13" t="s">
        <v>355</v>
      </c>
      <c r="Z118" s="9" t="s">
        <v>359</v>
      </c>
      <c r="AA118" s="10" t="s">
        <v>372</v>
      </c>
      <c r="AB118" s="9" t="s">
        <v>355</v>
      </c>
      <c r="AC118" s="15">
        <v>2407.5</v>
      </c>
      <c r="AD118" s="14">
        <f t="shared" si="10"/>
        <v>3.381566295796572</v>
      </c>
      <c r="AE118" s="10" t="s">
        <v>456</v>
      </c>
      <c r="AF118" s="9" t="s">
        <v>408</v>
      </c>
      <c r="AG118" s="18">
        <v>11.183299999999999</v>
      </c>
      <c r="AH118" s="7">
        <f t="shared" si="11"/>
        <v>0</v>
      </c>
      <c r="AI118" s="7">
        <f t="shared" si="12"/>
        <v>0</v>
      </c>
      <c r="AJ118" s="7">
        <f t="shared" si="13"/>
        <v>0</v>
      </c>
      <c r="AK118" s="7">
        <f t="shared" si="14"/>
        <v>0</v>
      </c>
      <c r="AL118" s="7" t="s">
        <v>4160</v>
      </c>
      <c r="AM118" s="18">
        <f t="shared" si="15"/>
        <v>1.0485699753140245</v>
      </c>
      <c r="AN118" s="18">
        <v>-11.183299999999999</v>
      </c>
      <c r="AO118" s="18">
        <v>-71.166700000000006</v>
      </c>
      <c r="AP118" s="9" t="s">
        <v>363</v>
      </c>
      <c r="AQ118" s="9" t="s">
        <v>355</v>
      </c>
      <c r="AR118" s="15">
        <v>2014</v>
      </c>
      <c r="AS118" s="19" t="s">
        <v>457</v>
      </c>
      <c r="AT118" s="20" t="s">
        <v>458</v>
      </c>
      <c r="AU118" s="40">
        <v>104832</v>
      </c>
      <c r="AV118" s="35">
        <f t="shared" si="16"/>
        <v>5.020493871408287</v>
      </c>
      <c r="AW118" s="37" t="s">
        <v>366</v>
      </c>
      <c r="AX118" s="40">
        <v>1000</v>
      </c>
      <c r="AY118" s="40">
        <v>2400</v>
      </c>
      <c r="AZ118" s="15">
        <v>33</v>
      </c>
      <c r="BA118" s="14">
        <f t="shared" si="17"/>
        <v>1.5185139398778875</v>
      </c>
      <c r="BB118" s="37" t="s">
        <v>367</v>
      </c>
      <c r="BC118" s="20">
        <v>7.0736294517803316E-3</v>
      </c>
      <c r="BD118" s="9">
        <v>31.8</v>
      </c>
      <c r="BE118" s="9" t="s">
        <v>368</v>
      </c>
      <c r="BF118" s="9">
        <v>0</v>
      </c>
    </row>
    <row r="119" spans="1:58">
      <c r="A119" s="9">
        <v>419</v>
      </c>
      <c r="B119" s="10" t="s">
        <v>76</v>
      </c>
      <c r="C119" s="10" t="s">
        <v>450</v>
      </c>
      <c r="D119" s="20" t="s">
        <v>495</v>
      </c>
      <c r="E119" s="20" t="s">
        <v>499</v>
      </c>
      <c r="F119" s="20" t="s">
        <v>426</v>
      </c>
      <c r="G119" s="20" t="s">
        <v>463</v>
      </c>
      <c r="H119" s="20" t="s">
        <v>499</v>
      </c>
      <c r="I119" s="20" t="s">
        <v>453</v>
      </c>
      <c r="J119" s="20" t="s">
        <v>495</v>
      </c>
      <c r="K119" s="20" t="s">
        <v>499</v>
      </c>
      <c r="L119" s="9" t="s">
        <v>352</v>
      </c>
      <c r="M119" s="9">
        <v>10</v>
      </c>
      <c r="N119" s="9" t="s">
        <v>381</v>
      </c>
      <c r="O119" s="9" t="s">
        <v>455</v>
      </c>
      <c r="P119" s="12">
        <v>29.1</v>
      </c>
      <c r="Q119" s="12" t="s">
        <v>355</v>
      </c>
      <c r="R119" s="9" t="s">
        <v>356</v>
      </c>
      <c r="S119" s="13" t="s">
        <v>434</v>
      </c>
      <c r="T119" s="13" t="s">
        <v>434</v>
      </c>
      <c r="U119" s="14">
        <f t="shared" si="9"/>
        <v>0.6020599913279624</v>
      </c>
      <c r="V119" s="15">
        <v>17</v>
      </c>
      <c r="W119" s="12">
        <v>-1.1690538000000004</v>
      </c>
      <c r="X119" s="12">
        <v>0.7</v>
      </c>
      <c r="Y119" s="13" t="s">
        <v>355</v>
      </c>
      <c r="Z119" s="9" t="s">
        <v>359</v>
      </c>
      <c r="AA119" s="10" t="s">
        <v>372</v>
      </c>
      <c r="AB119" s="9" t="s">
        <v>355</v>
      </c>
      <c r="AC119" s="15">
        <v>1777.5</v>
      </c>
      <c r="AD119" s="14">
        <f t="shared" si="10"/>
        <v>3.2498096094018041</v>
      </c>
      <c r="AE119" s="10" t="s">
        <v>456</v>
      </c>
      <c r="AF119" s="9" t="s">
        <v>408</v>
      </c>
      <c r="AG119" s="18">
        <v>11.183299999999999</v>
      </c>
      <c r="AH119" s="7">
        <f t="shared" si="11"/>
        <v>0</v>
      </c>
      <c r="AI119" s="7">
        <f t="shared" si="12"/>
        <v>0</v>
      </c>
      <c r="AJ119" s="7">
        <f t="shared" si="13"/>
        <v>0</v>
      </c>
      <c r="AK119" s="7">
        <f t="shared" si="14"/>
        <v>0</v>
      </c>
      <c r="AL119" s="7" t="s">
        <v>4160</v>
      </c>
      <c r="AM119" s="18">
        <f t="shared" si="15"/>
        <v>1.0485699753140245</v>
      </c>
      <c r="AN119" s="18">
        <v>-11.183299999999999</v>
      </c>
      <c r="AO119" s="18">
        <v>-71.166700000000006</v>
      </c>
      <c r="AP119" s="9" t="s">
        <v>363</v>
      </c>
      <c r="AQ119" s="9" t="s">
        <v>355</v>
      </c>
      <c r="AR119" s="15">
        <v>2014</v>
      </c>
      <c r="AS119" s="19" t="s">
        <v>457</v>
      </c>
      <c r="AT119" s="20" t="s">
        <v>458</v>
      </c>
      <c r="AU119" s="40">
        <v>28</v>
      </c>
      <c r="AV119" s="35">
        <f t="shared" si="16"/>
        <v>1.4471580313422192</v>
      </c>
      <c r="AW119" s="37" t="s">
        <v>366</v>
      </c>
      <c r="AX119" s="40">
        <v>1700</v>
      </c>
      <c r="AY119" s="40" t="s">
        <v>355</v>
      </c>
      <c r="AZ119" s="15">
        <v>33</v>
      </c>
      <c r="BA119" s="14">
        <f t="shared" si="17"/>
        <v>1.5185139398778875</v>
      </c>
      <c r="BB119" s="37" t="s">
        <v>367</v>
      </c>
      <c r="BC119" s="20">
        <v>7.0736294517803316E-3</v>
      </c>
      <c r="BD119" s="9">
        <v>31.8</v>
      </c>
      <c r="BE119" s="9" t="s">
        <v>355</v>
      </c>
      <c r="BF119" s="9"/>
    </row>
    <row r="120" spans="1:58">
      <c r="A120" s="9">
        <v>420</v>
      </c>
      <c r="B120" s="10" t="s">
        <v>76</v>
      </c>
      <c r="C120" s="10" t="s">
        <v>450</v>
      </c>
      <c r="D120" s="20" t="s">
        <v>495</v>
      </c>
      <c r="E120" s="20" t="s">
        <v>500</v>
      </c>
      <c r="F120" s="20" t="s">
        <v>426</v>
      </c>
      <c r="G120" s="20" t="s">
        <v>463</v>
      </c>
      <c r="H120" s="20" t="s">
        <v>500</v>
      </c>
      <c r="I120" s="20" t="s">
        <v>453</v>
      </c>
      <c r="J120" s="20" t="s">
        <v>495</v>
      </c>
      <c r="K120" s="20" t="s">
        <v>500</v>
      </c>
      <c r="L120" s="9" t="s">
        <v>352</v>
      </c>
      <c r="M120" s="9">
        <v>10</v>
      </c>
      <c r="N120" s="9" t="s">
        <v>381</v>
      </c>
      <c r="O120" s="9" t="s">
        <v>455</v>
      </c>
      <c r="P120" s="12">
        <v>29.8</v>
      </c>
      <c r="Q120" s="12" t="s">
        <v>355</v>
      </c>
      <c r="R120" s="9" t="s">
        <v>356</v>
      </c>
      <c r="S120" s="13" t="s">
        <v>434</v>
      </c>
      <c r="T120" s="13" t="s">
        <v>434</v>
      </c>
      <c r="U120" s="14">
        <f t="shared" si="9"/>
        <v>0.6020599913279624</v>
      </c>
      <c r="V120" s="15">
        <v>17</v>
      </c>
      <c r="W120" s="12">
        <v>-0.46905380000000108</v>
      </c>
      <c r="X120" s="12">
        <v>0.7</v>
      </c>
      <c r="Y120" s="13" t="s">
        <v>355</v>
      </c>
      <c r="Z120" s="9" t="s">
        <v>359</v>
      </c>
      <c r="AA120" s="10" t="s">
        <v>372</v>
      </c>
      <c r="AB120" s="9" t="s">
        <v>355</v>
      </c>
      <c r="AC120" s="15">
        <v>1498.5</v>
      </c>
      <c r="AD120" s="14">
        <f t="shared" si="10"/>
        <v>3.1756567472816637</v>
      </c>
      <c r="AE120" s="10" t="s">
        <v>456</v>
      </c>
      <c r="AF120" s="9" t="s">
        <v>408</v>
      </c>
      <c r="AG120" s="18">
        <v>11.183299999999999</v>
      </c>
      <c r="AH120" s="7">
        <f t="shared" si="11"/>
        <v>0</v>
      </c>
      <c r="AI120" s="7">
        <f t="shared" si="12"/>
        <v>0</v>
      </c>
      <c r="AJ120" s="7">
        <f t="shared" si="13"/>
        <v>0</v>
      </c>
      <c r="AK120" s="7">
        <f t="shared" si="14"/>
        <v>0</v>
      </c>
      <c r="AL120" s="7" t="s">
        <v>4160</v>
      </c>
      <c r="AM120" s="18">
        <f t="shared" si="15"/>
        <v>1.0485699753140245</v>
      </c>
      <c r="AN120" s="18">
        <v>-11.183299999999999</v>
      </c>
      <c r="AO120" s="18">
        <v>-71.166700000000006</v>
      </c>
      <c r="AP120" s="9" t="s">
        <v>363</v>
      </c>
      <c r="AQ120" s="9" t="s">
        <v>355</v>
      </c>
      <c r="AR120" s="15">
        <v>2014</v>
      </c>
      <c r="AS120" s="19" t="s">
        <v>457</v>
      </c>
      <c r="AT120" s="20" t="s">
        <v>458</v>
      </c>
      <c r="AU120" s="40">
        <v>210014</v>
      </c>
      <c r="AV120" s="35">
        <f t="shared" si="16"/>
        <v>5.3222482467343237</v>
      </c>
      <c r="AW120" s="37" t="s">
        <v>366</v>
      </c>
      <c r="AX120" s="34" t="s">
        <v>355</v>
      </c>
      <c r="AY120" s="40" t="s">
        <v>355</v>
      </c>
      <c r="AZ120" s="15">
        <v>33</v>
      </c>
      <c r="BA120" s="14">
        <f t="shared" si="17"/>
        <v>1.5185139398778875</v>
      </c>
      <c r="BB120" s="37" t="s">
        <v>367</v>
      </c>
      <c r="BC120" s="20">
        <v>7.0736294517803316E-3</v>
      </c>
      <c r="BD120" s="9">
        <v>31.8</v>
      </c>
      <c r="BE120" s="9" t="s">
        <v>368</v>
      </c>
      <c r="BF120" s="9">
        <v>0</v>
      </c>
    </row>
    <row r="121" spans="1:58">
      <c r="A121" s="9">
        <v>122</v>
      </c>
      <c r="B121" s="10" t="s">
        <v>76</v>
      </c>
      <c r="C121" s="10" t="s">
        <v>77</v>
      </c>
      <c r="D121" s="20" t="s">
        <v>501</v>
      </c>
      <c r="E121" s="20" t="s">
        <v>502</v>
      </c>
      <c r="F121" s="10" t="s">
        <v>77</v>
      </c>
      <c r="G121" s="20" t="s">
        <v>503</v>
      </c>
      <c r="H121" s="20" t="s">
        <v>502</v>
      </c>
      <c r="I121" s="10" t="s">
        <v>77</v>
      </c>
      <c r="J121" s="20" t="s">
        <v>503</v>
      </c>
      <c r="K121" s="20" t="s">
        <v>502</v>
      </c>
      <c r="L121" s="9" t="s">
        <v>352</v>
      </c>
      <c r="M121" s="9">
        <v>8</v>
      </c>
      <c r="N121" s="9" t="s">
        <v>353</v>
      </c>
      <c r="O121" s="9" t="s">
        <v>354</v>
      </c>
      <c r="P121" s="12">
        <v>34.799999999999997</v>
      </c>
      <c r="Q121" s="12" t="s">
        <v>355</v>
      </c>
      <c r="R121" s="9" t="s">
        <v>356</v>
      </c>
      <c r="S121" s="13" t="s">
        <v>434</v>
      </c>
      <c r="T121" s="13" t="s">
        <v>434</v>
      </c>
      <c r="U121" s="14">
        <f t="shared" si="9"/>
        <v>0.6020599913279624</v>
      </c>
      <c r="V121" s="15">
        <v>1E-4</v>
      </c>
      <c r="W121" s="12">
        <v>10.561793199999993</v>
      </c>
      <c r="X121" s="12">
        <v>1</v>
      </c>
      <c r="Y121" s="13" t="s">
        <v>355</v>
      </c>
      <c r="Z121" s="9" t="s">
        <v>359</v>
      </c>
      <c r="AA121" s="10" t="s">
        <v>372</v>
      </c>
      <c r="AB121" s="9" t="s">
        <v>355</v>
      </c>
      <c r="AC121" s="15">
        <v>1167</v>
      </c>
      <c r="AD121" s="14">
        <f t="shared" si="10"/>
        <v>3.0670708560453703</v>
      </c>
      <c r="AE121" s="10" t="s">
        <v>504</v>
      </c>
      <c r="AF121" s="9" t="s">
        <v>362</v>
      </c>
      <c r="AG121" s="18">
        <v>46.769784000000001</v>
      </c>
      <c r="AH121" s="7">
        <f t="shared" si="11"/>
        <v>1</v>
      </c>
      <c r="AI121" s="7">
        <f t="shared" si="12"/>
        <v>1</v>
      </c>
      <c r="AJ121" s="7">
        <f t="shared" si="13"/>
        <v>1</v>
      </c>
      <c r="AK121" s="7">
        <f t="shared" si="14"/>
        <v>0</v>
      </c>
      <c r="AL121" s="7" t="s">
        <v>4158</v>
      </c>
      <c r="AM121" s="18">
        <f t="shared" si="15"/>
        <v>1.6699653641820831</v>
      </c>
      <c r="AN121" s="18">
        <v>46.769784000000001</v>
      </c>
      <c r="AO121" s="18">
        <v>-113.714412</v>
      </c>
      <c r="AP121" s="9" t="s">
        <v>363</v>
      </c>
      <c r="AQ121" s="9" t="s">
        <v>355</v>
      </c>
      <c r="AR121" s="15">
        <v>1973</v>
      </c>
      <c r="AS121" s="19" t="s">
        <v>505</v>
      </c>
      <c r="AT121" s="20" t="s">
        <v>506</v>
      </c>
      <c r="AU121" s="40">
        <v>1540984</v>
      </c>
      <c r="AV121" s="35">
        <f t="shared" si="16"/>
        <v>6.1877981294726148</v>
      </c>
      <c r="AW121" s="37" t="s">
        <v>366</v>
      </c>
      <c r="AX121" s="34" t="s">
        <v>355</v>
      </c>
      <c r="AY121" s="40">
        <v>3000</v>
      </c>
      <c r="AZ121" s="15">
        <v>33</v>
      </c>
      <c r="BA121" s="14">
        <f t="shared" si="17"/>
        <v>1.5185139398778875</v>
      </c>
      <c r="BB121" s="37" t="s">
        <v>367</v>
      </c>
      <c r="BC121" s="20">
        <v>2.5106042416966963E-2</v>
      </c>
      <c r="BD121" s="9">
        <v>27.8</v>
      </c>
      <c r="BE121" s="9" t="s">
        <v>368</v>
      </c>
      <c r="BF121" s="9">
        <v>0</v>
      </c>
    </row>
    <row r="122" spans="1:58">
      <c r="A122" s="9">
        <v>123</v>
      </c>
      <c r="B122" s="10" t="s">
        <v>76</v>
      </c>
      <c r="C122" s="10" t="s">
        <v>77</v>
      </c>
      <c r="D122" s="20" t="s">
        <v>501</v>
      </c>
      <c r="E122" s="20" t="s">
        <v>502</v>
      </c>
      <c r="F122" s="10" t="s">
        <v>77</v>
      </c>
      <c r="G122" s="20" t="s">
        <v>503</v>
      </c>
      <c r="H122" s="20" t="s">
        <v>502</v>
      </c>
      <c r="I122" s="10" t="s">
        <v>77</v>
      </c>
      <c r="J122" s="20" t="s">
        <v>503</v>
      </c>
      <c r="K122" s="20" t="s">
        <v>502</v>
      </c>
      <c r="L122" s="9" t="s">
        <v>352</v>
      </c>
      <c r="M122" s="9">
        <v>8</v>
      </c>
      <c r="N122" s="9" t="s">
        <v>353</v>
      </c>
      <c r="O122" s="9" t="s">
        <v>354</v>
      </c>
      <c r="P122" s="12">
        <v>35.1</v>
      </c>
      <c r="Q122" s="12" t="s">
        <v>355</v>
      </c>
      <c r="R122" s="9" t="s">
        <v>356</v>
      </c>
      <c r="S122" s="13" t="s">
        <v>434</v>
      </c>
      <c r="T122" s="13" t="s">
        <v>434</v>
      </c>
      <c r="U122" s="14">
        <f t="shared" si="9"/>
        <v>0.6020599913279624</v>
      </c>
      <c r="V122" s="15">
        <v>10</v>
      </c>
      <c r="W122" s="12">
        <v>9.2996032000000035</v>
      </c>
      <c r="X122" s="12">
        <v>1</v>
      </c>
      <c r="Y122" s="13" t="s">
        <v>355</v>
      </c>
      <c r="Z122" s="9" t="s">
        <v>359</v>
      </c>
      <c r="AA122" s="10" t="s">
        <v>372</v>
      </c>
      <c r="AB122" s="9" t="s">
        <v>355</v>
      </c>
      <c r="AC122" s="15">
        <v>1167</v>
      </c>
      <c r="AD122" s="14">
        <f t="shared" si="10"/>
        <v>3.0670708560453703</v>
      </c>
      <c r="AE122" s="10" t="s">
        <v>504</v>
      </c>
      <c r="AF122" s="9" t="s">
        <v>362</v>
      </c>
      <c r="AG122" s="18">
        <v>46.769784000000001</v>
      </c>
      <c r="AH122" s="7">
        <f t="shared" si="11"/>
        <v>1</v>
      </c>
      <c r="AI122" s="7">
        <f t="shared" si="12"/>
        <v>1</v>
      </c>
      <c r="AJ122" s="7">
        <f t="shared" si="13"/>
        <v>1</v>
      </c>
      <c r="AK122" s="7">
        <f t="shared" si="14"/>
        <v>0</v>
      </c>
      <c r="AL122" s="7" t="s">
        <v>4158</v>
      </c>
      <c r="AM122" s="18">
        <f t="shared" si="15"/>
        <v>1.6699653641820831</v>
      </c>
      <c r="AN122" s="18">
        <v>46.769784000000001</v>
      </c>
      <c r="AO122" s="18">
        <v>-113.714412</v>
      </c>
      <c r="AP122" s="9" t="s">
        <v>363</v>
      </c>
      <c r="AQ122" s="9" t="s">
        <v>355</v>
      </c>
      <c r="AR122" s="15">
        <v>1973</v>
      </c>
      <c r="AS122" s="19" t="s">
        <v>505</v>
      </c>
      <c r="AT122" s="20" t="s">
        <v>506</v>
      </c>
      <c r="AU122" s="40">
        <v>1540984</v>
      </c>
      <c r="AV122" s="35">
        <f t="shared" si="16"/>
        <v>6.1877981294726148</v>
      </c>
      <c r="AW122" s="37" t="s">
        <v>366</v>
      </c>
      <c r="AX122" s="34" t="s">
        <v>355</v>
      </c>
      <c r="AY122" s="40">
        <v>3000</v>
      </c>
      <c r="AZ122" s="15">
        <v>33</v>
      </c>
      <c r="BA122" s="14">
        <f t="shared" si="17"/>
        <v>1.5185139398778875</v>
      </c>
      <c r="BB122" s="37" t="s">
        <v>367</v>
      </c>
      <c r="BC122" s="20">
        <v>2.5106042416966963E-2</v>
      </c>
      <c r="BD122" s="9">
        <v>27.8</v>
      </c>
      <c r="BE122" s="9" t="s">
        <v>368</v>
      </c>
      <c r="BF122" s="9">
        <v>0</v>
      </c>
    </row>
    <row r="123" spans="1:58">
      <c r="A123" s="9">
        <v>124</v>
      </c>
      <c r="B123" s="10" t="s">
        <v>76</v>
      </c>
      <c r="C123" s="10" t="s">
        <v>77</v>
      </c>
      <c r="D123" s="20" t="s">
        <v>501</v>
      </c>
      <c r="E123" s="20" t="s">
        <v>502</v>
      </c>
      <c r="F123" s="10" t="s">
        <v>77</v>
      </c>
      <c r="G123" s="20" t="s">
        <v>503</v>
      </c>
      <c r="H123" s="20" t="s">
        <v>502</v>
      </c>
      <c r="I123" s="10" t="s">
        <v>77</v>
      </c>
      <c r="J123" s="20" t="s">
        <v>503</v>
      </c>
      <c r="K123" s="20" t="s">
        <v>502</v>
      </c>
      <c r="L123" s="9" t="s">
        <v>352</v>
      </c>
      <c r="M123" s="9">
        <v>8</v>
      </c>
      <c r="N123" s="9" t="s">
        <v>353</v>
      </c>
      <c r="O123" s="9" t="s">
        <v>354</v>
      </c>
      <c r="P123" s="12">
        <v>35.299999999999997</v>
      </c>
      <c r="Q123" s="12" t="s">
        <v>355</v>
      </c>
      <c r="R123" s="9" t="s">
        <v>356</v>
      </c>
      <c r="S123" s="13" t="s">
        <v>434</v>
      </c>
      <c r="T123" s="13" t="s">
        <v>434</v>
      </c>
      <c r="U123" s="14">
        <f t="shared" si="9"/>
        <v>0.6020599913279624</v>
      </c>
      <c r="V123" s="15">
        <v>20</v>
      </c>
      <c r="W123" s="12">
        <v>7.9374131999999982</v>
      </c>
      <c r="X123" s="12">
        <v>1</v>
      </c>
      <c r="Y123" s="13" t="s">
        <v>355</v>
      </c>
      <c r="Z123" s="9" t="s">
        <v>359</v>
      </c>
      <c r="AA123" s="10" t="s">
        <v>372</v>
      </c>
      <c r="AB123" s="9" t="s">
        <v>355</v>
      </c>
      <c r="AC123" s="15">
        <v>1167</v>
      </c>
      <c r="AD123" s="14">
        <f t="shared" si="10"/>
        <v>3.0670708560453703</v>
      </c>
      <c r="AE123" s="10" t="s">
        <v>504</v>
      </c>
      <c r="AF123" s="9" t="s">
        <v>362</v>
      </c>
      <c r="AG123" s="18">
        <v>46.769784000000001</v>
      </c>
      <c r="AH123" s="7">
        <f t="shared" si="11"/>
        <v>1</v>
      </c>
      <c r="AI123" s="7">
        <f t="shared" si="12"/>
        <v>1</v>
      </c>
      <c r="AJ123" s="7">
        <f t="shared" si="13"/>
        <v>1</v>
      </c>
      <c r="AK123" s="7">
        <f t="shared" si="14"/>
        <v>0</v>
      </c>
      <c r="AL123" s="7" t="s">
        <v>4158</v>
      </c>
      <c r="AM123" s="18">
        <f t="shared" si="15"/>
        <v>1.6699653641820831</v>
      </c>
      <c r="AN123" s="18">
        <v>46.769784000000001</v>
      </c>
      <c r="AO123" s="18">
        <v>-113.714412</v>
      </c>
      <c r="AP123" s="9" t="s">
        <v>363</v>
      </c>
      <c r="AQ123" s="9" t="s">
        <v>355</v>
      </c>
      <c r="AR123" s="15">
        <v>1973</v>
      </c>
      <c r="AS123" s="19" t="s">
        <v>505</v>
      </c>
      <c r="AT123" s="20" t="s">
        <v>506</v>
      </c>
      <c r="AU123" s="40">
        <v>1540984</v>
      </c>
      <c r="AV123" s="35">
        <f t="shared" si="16"/>
        <v>6.1877981294726148</v>
      </c>
      <c r="AW123" s="37" t="s">
        <v>366</v>
      </c>
      <c r="AX123" s="34" t="s">
        <v>355</v>
      </c>
      <c r="AY123" s="40">
        <v>3000</v>
      </c>
      <c r="AZ123" s="15">
        <v>33</v>
      </c>
      <c r="BA123" s="14">
        <f t="shared" si="17"/>
        <v>1.5185139398778875</v>
      </c>
      <c r="BB123" s="37" t="s">
        <v>367</v>
      </c>
      <c r="BC123" s="20">
        <v>2.5106042416966963E-2</v>
      </c>
      <c r="BD123" s="9">
        <v>27.8</v>
      </c>
      <c r="BE123" s="9" t="s">
        <v>368</v>
      </c>
      <c r="BF123" s="9">
        <v>0</v>
      </c>
    </row>
    <row r="124" spans="1:58">
      <c r="A124" s="9">
        <v>481</v>
      </c>
      <c r="B124" s="10" t="s">
        <v>76</v>
      </c>
      <c r="C124" s="10" t="s">
        <v>77</v>
      </c>
      <c r="D124" s="20" t="s">
        <v>503</v>
      </c>
      <c r="E124" s="20" t="s">
        <v>507</v>
      </c>
      <c r="F124" s="10" t="s">
        <v>77</v>
      </c>
      <c r="G124" s="20" t="s">
        <v>503</v>
      </c>
      <c r="H124" s="20" t="s">
        <v>507</v>
      </c>
      <c r="I124" s="10" t="s">
        <v>77</v>
      </c>
      <c r="J124" s="20" t="s">
        <v>503</v>
      </c>
      <c r="K124" s="20" t="s">
        <v>507</v>
      </c>
      <c r="L124" s="9" t="s">
        <v>380</v>
      </c>
      <c r="M124" s="9">
        <v>10</v>
      </c>
      <c r="N124" s="9" t="s">
        <v>381</v>
      </c>
      <c r="O124" s="9" t="s">
        <v>382</v>
      </c>
      <c r="P124" s="12">
        <v>38.776899999999998</v>
      </c>
      <c r="Q124" s="12" t="s">
        <v>355</v>
      </c>
      <c r="R124" s="9" t="s">
        <v>356</v>
      </c>
      <c r="S124" s="13">
        <v>3</v>
      </c>
      <c r="T124" s="13">
        <v>3</v>
      </c>
      <c r="U124" s="14">
        <f t="shared" si="9"/>
        <v>0.6020599913279624</v>
      </c>
      <c r="V124" s="15">
        <v>30</v>
      </c>
      <c r="W124" s="12"/>
      <c r="X124" s="12">
        <v>0.7</v>
      </c>
      <c r="Y124" s="13" t="s">
        <v>358</v>
      </c>
      <c r="Z124" s="9" t="s">
        <v>359</v>
      </c>
      <c r="AA124" s="10" t="s">
        <v>436</v>
      </c>
      <c r="AB124" s="9" t="s">
        <v>355</v>
      </c>
      <c r="AC124" s="15">
        <v>213</v>
      </c>
      <c r="AD124" s="14">
        <f t="shared" si="10"/>
        <v>2.3283796034387376</v>
      </c>
      <c r="AE124" s="10" t="s">
        <v>437</v>
      </c>
      <c r="AF124" s="9" t="s">
        <v>420</v>
      </c>
      <c r="AG124" s="18">
        <v>34.683438000000002</v>
      </c>
      <c r="AH124" s="7">
        <f t="shared" si="11"/>
        <v>1</v>
      </c>
      <c r="AI124" s="7">
        <f t="shared" si="12"/>
        <v>1</v>
      </c>
      <c r="AJ124" s="7">
        <f t="shared" si="13"/>
        <v>0</v>
      </c>
      <c r="AK124" s="7">
        <f t="shared" si="14"/>
        <v>0</v>
      </c>
      <c r="AL124" s="7" t="s">
        <v>4157</v>
      </c>
      <c r="AM124" s="18">
        <f t="shared" si="15"/>
        <v>1.5401221404311698</v>
      </c>
      <c r="AN124" s="18">
        <v>34.683438000000002</v>
      </c>
      <c r="AO124" s="18">
        <v>-82.837365000000005</v>
      </c>
      <c r="AP124" s="9" t="s">
        <v>363</v>
      </c>
      <c r="AQ124" s="12" t="s">
        <v>441</v>
      </c>
      <c r="AR124" s="15">
        <v>1980</v>
      </c>
      <c r="AS124" s="19" t="s">
        <v>439</v>
      </c>
      <c r="AT124" s="20" t="s">
        <v>440</v>
      </c>
      <c r="AU124" s="40">
        <v>3425336</v>
      </c>
      <c r="AV124" s="35">
        <f t="shared" si="16"/>
        <v>6.5347031789784316</v>
      </c>
      <c r="AW124" s="37" t="s">
        <v>366</v>
      </c>
      <c r="AX124" s="34" t="s">
        <v>355</v>
      </c>
      <c r="AY124" s="40" t="s">
        <v>355</v>
      </c>
      <c r="AZ124" s="36">
        <v>33</v>
      </c>
      <c r="BA124" s="14">
        <f t="shared" si="17"/>
        <v>1.5185139398778875</v>
      </c>
      <c r="BB124" s="37" t="s">
        <v>367</v>
      </c>
      <c r="BC124" s="20">
        <v>1.137454981992851E-2</v>
      </c>
      <c r="BD124" s="9">
        <v>32</v>
      </c>
      <c r="BE124" s="9" t="s">
        <v>368</v>
      </c>
      <c r="BF124" s="9">
        <v>0</v>
      </c>
    </row>
    <row r="125" spans="1:58">
      <c r="A125" s="9">
        <v>475</v>
      </c>
      <c r="B125" s="10" t="s">
        <v>76</v>
      </c>
      <c r="C125" s="10" t="s">
        <v>77</v>
      </c>
      <c r="D125" s="20" t="s">
        <v>503</v>
      </c>
      <c r="E125" s="20" t="s">
        <v>507</v>
      </c>
      <c r="F125" s="10" t="s">
        <v>77</v>
      </c>
      <c r="G125" s="20" t="s">
        <v>503</v>
      </c>
      <c r="H125" s="20" t="s">
        <v>507</v>
      </c>
      <c r="I125" s="10" t="s">
        <v>77</v>
      </c>
      <c r="J125" s="20" t="s">
        <v>503</v>
      </c>
      <c r="K125" s="20" t="s">
        <v>507</v>
      </c>
      <c r="L125" s="9" t="s">
        <v>380</v>
      </c>
      <c r="M125" s="9">
        <v>10</v>
      </c>
      <c r="N125" s="9" t="s">
        <v>381</v>
      </c>
      <c r="O125" s="9" t="s">
        <v>382</v>
      </c>
      <c r="P125" s="12">
        <v>38.931100000000001</v>
      </c>
      <c r="Q125" s="12" t="s">
        <v>355</v>
      </c>
      <c r="R125" s="9" t="s">
        <v>356</v>
      </c>
      <c r="S125" s="13">
        <v>3</v>
      </c>
      <c r="T125" s="13">
        <v>3</v>
      </c>
      <c r="U125" s="14">
        <f t="shared" si="9"/>
        <v>0.6020599913279624</v>
      </c>
      <c r="V125" s="15">
        <v>30</v>
      </c>
      <c r="W125" s="12"/>
      <c r="X125" s="12">
        <v>0.7</v>
      </c>
      <c r="Y125" s="13" t="s">
        <v>358</v>
      </c>
      <c r="Z125" s="9" t="s">
        <v>359</v>
      </c>
      <c r="AA125" s="10" t="s">
        <v>436</v>
      </c>
      <c r="AB125" s="9" t="s">
        <v>355</v>
      </c>
      <c r="AC125" s="15">
        <v>213</v>
      </c>
      <c r="AD125" s="14">
        <f t="shared" si="10"/>
        <v>2.3283796034387376</v>
      </c>
      <c r="AE125" s="10" t="s">
        <v>437</v>
      </c>
      <c r="AF125" s="9" t="s">
        <v>420</v>
      </c>
      <c r="AG125" s="18">
        <v>34.683438000000002</v>
      </c>
      <c r="AH125" s="7">
        <f t="shared" si="11"/>
        <v>1</v>
      </c>
      <c r="AI125" s="7">
        <f t="shared" si="12"/>
        <v>1</v>
      </c>
      <c r="AJ125" s="7">
        <f t="shared" si="13"/>
        <v>0</v>
      </c>
      <c r="AK125" s="7">
        <f t="shared" si="14"/>
        <v>0</v>
      </c>
      <c r="AL125" s="7" t="s">
        <v>4157</v>
      </c>
      <c r="AM125" s="18">
        <f t="shared" si="15"/>
        <v>1.5401221404311698</v>
      </c>
      <c r="AN125" s="18">
        <v>34.683438000000002</v>
      </c>
      <c r="AO125" s="18">
        <v>-82.837365000000005</v>
      </c>
      <c r="AP125" s="9" t="s">
        <v>363</v>
      </c>
      <c r="AQ125" s="12" t="s">
        <v>448</v>
      </c>
      <c r="AR125" s="15">
        <v>1980</v>
      </c>
      <c r="AS125" s="19" t="s">
        <v>439</v>
      </c>
      <c r="AT125" s="20" t="s">
        <v>440</v>
      </c>
      <c r="AU125" s="40">
        <v>3425336</v>
      </c>
      <c r="AV125" s="35">
        <f t="shared" si="16"/>
        <v>6.5347031789784316</v>
      </c>
      <c r="AW125" s="37" t="s">
        <v>366</v>
      </c>
      <c r="AX125" s="34" t="s">
        <v>355</v>
      </c>
      <c r="AY125" s="40" t="s">
        <v>355</v>
      </c>
      <c r="AZ125" s="36">
        <v>33</v>
      </c>
      <c r="BA125" s="14">
        <f t="shared" si="17"/>
        <v>1.5185139398778875</v>
      </c>
      <c r="BB125" s="37" t="s">
        <v>367</v>
      </c>
      <c r="BC125" s="20">
        <v>1.137454981992851E-2</v>
      </c>
      <c r="BD125" s="9">
        <v>32</v>
      </c>
      <c r="BE125" s="9" t="s">
        <v>368</v>
      </c>
      <c r="BF125" s="9">
        <v>0</v>
      </c>
    </row>
    <row r="126" spans="1:58">
      <c r="A126" s="9">
        <v>482</v>
      </c>
      <c r="B126" s="10" t="s">
        <v>76</v>
      </c>
      <c r="C126" s="10" t="s">
        <v>77</v>
      </c>
      <c r="D126" s="20" t="s">
        <v>503</v>
      </c>
      <c r="E126" s="20" t="s">
        <v>507</v>
      </c>
      <c r="F126" s="10" t="s">
        <v>77</v>
      </c>
      <c r="G126" s="20" t="s">
        <v>503</v>
      </c>
      <c r="H126" s="20" t="s">
        <v>507</v>
      </c>
      <c r="I126" s="10" t="s">
        <v>77</v>
      </c>
      <c r="J126" s="20" t="s">
        <v>503</v>
      </c>
      <c r="K126" s="20" t="s">
        <v>507</v>
      </c>
      <c r="L126" s="9" t="s">
        <v>380</v>
      </c>
      <c r="M126" s="9">
        <v>10</v>
      </c>
      <c r="N126" s="9" t="s">
        <v>381</v>
      </c>
      <c r="O126" s="9" t="s">
        <v>382</v>
      </c>
      <c r="P126" s="12">
        <v>39.38926</v>
      </c>
      <c r="Q126" s="12" t="s">
        <v>355</v>
      </c>
      <c r="R126" s="9" t="s">
        <v>356</v>
      </c>
      <c r="S126" s="13">
        <v>3</v>
      </c>
      <c r="T126" s="13">
        <v>3</v>
      </c>
      <c r="U126" s="14">
        <f t="shared" si="9"/>
        <v>0.6020599913279624</v>
      </c>
      <c r="V126" s="15">
        <v>30</v>
      </c>
      <c r="W126" s="12"/>
      <c r="X126" s="12">
        <v>0.7</v>
      </c>
      <c r="Y126" s="13" t="s">
        <v>358</v>
      </c>
      <c r="Z126" s="9" t="s">
        <v>359</v>
      </c>
      <c r="AA126" s="10" t="s">
        <v>436</v>
      </c>
      <c r="AB126" s="9" t="s">
        <v>355</v>
      </c>
      <c r="AC126" s="15">
        <v>213</v>
      </c>
      <c r="AD126" s="14">
        <f t="shared" si="10"/>
        <v>2.3283796034387376</v>
      </c>
      <c r="AE126" s="10" t="s">
        <v>437</v>
      </c>
      <c r="AF126" s="9" t="s">
        <v>420</v>
      </c>
      <c r="AG126" s="18">
        <v>34.683438000000002</v>
      </c>
      <c r="AH126" s="7">
        <f t="shared" si="11"/>
        <v>1</v>
      </c>
      <c r="AI126" s="7">
        <f t="shared" si="12"/>
        <v>1</v>
      </c>
      <c r="AJ126" s="7">
        <f t="shared" si="13"/>
        <v>0</v>
      </c>
      <c r="AK126" s="7">
        <f t="shared" si="14"/>
        <v>0</v>
      </c>
      <c r="AL126" s="7" t="s">
        <v>4157</v>
      </c>
      <c r="AM126" s="18">
        <f t="shared" si="15"/>
        <v>1.5401221404311698</v>
      </c>
      <c r="AN126" s="18">
        <v>34.683438000000002</v>
      </c>
      <c r="AO126" s="18">
        <v>-82.837365000000005</v>
      </c>
      <c r="AP126" s="9" t="s">
        <v>363</v>
      </c>
      <c r="AQ126" s="12" t="s">
        <v>438</v>
      </c>
      <c r="AR126" s="15">
        <v>1980</v>
      </c>
      <c r="AS126" s="19" t="s">
        <v>439</v>
      </c>
      <c r="AT126" s="20" t="s">
        <v>440</v>
      </c>
      <c r="AU126" s="40">
        <v>3425336</v>
      </c>
      <c r="AV126" s="35">
        <f t="shared" si="16"/>
        <v>6.5347031789784316</v>
      </c>
      <c r="AW126" s="37" t="s">
        <v>366</v>
      </c>
      <c r="AX126" s="34" t="s">
        <v>355</v>
      </c>
      <c r="AY126" s="40" t="s">
        <v>355</v>
      </c>
      <c r="AZ126" s="36">
        <v>33</v>
      </c>
      <c r="BA126" s="14">
        <f t="shared" si="17"/>
        <v>1.5185139398778875</v>
      </c>
      <c r="BB126" s="37" t="s">
        <v>367</v>
      </c>
      <c r="BC126" s="20">
        <v>1.137454981992851E-2</v>
      </c>
      <c r="BD126" s="9">
        <v>32</v>
      </c>
      <c r="BE126" s="9" t="s">
        <v>368</v>
      </c>
      <c r="BF126" s="9">
        <v>0</v>
      </c>
    </row>
    <row r="127" spans="1:58">
      <c r="A127" s="9">
        <v>478</v>
      </c>
      <c r="B127" s="10" t="s">
        <v>76</v>
      </c>
      <c r="C127" s="10" t="s">
        <v>77</v>
      </c>
      <c r="D127" s="20" t="s">
        <v>503</v>
      </c>
      <c r="E127" s="20" t="s">
        <v>507</v>
      </c>
      <c r="F127" s="10" t="s">
        <v>77</v>
      </c>
      <c r="G127" s="20" t="s">
        <v>503</v>
      </c>
      <c r="H127" s="20" t="s">
        <v>507</v>
      </c>
      <c r="I127" s="10" t="s">
        <v>77</v>
      </c>
      <c r="J127" s="20" t="s">
        <v>503</v>
      </c>
      <c r="K127" s="20" t="s">
        <v>507</v>
      </c>
      <c r="L127" s="9" t="s">
        <v>380</v>
      </c>
      <c r="M127" s="9">
        <v>10</v>
      </c>
      <c r="N127" s="9" t="s">
        <v>381</v>
      </c>
      <c r="O127" s="9" t="s">
        <v>382</v>
      </c>
      <c r="P127" s="12">
        <v>39.661859999999997</v>
      </c>
      <c r="Q127" s="12" t="s">
        <v>355</v>
      </c>
      <c r="R127" s="9" t="s">
        <v>356</v>
      </c>
      <c r="S127" s="13">
        <v>3</v>
      </c>
      <c r="T127" s="13">
        <v>3</v>
      </c>
      <c r="U127" s="14">
        <f t="shared" si="9"/>
        <v>0.6020599913279624</v>
      </c>
      <c r="V127" s="15">
        <v>30</v>
      </c>
      <c r="W127" s="12"/>
      <c r="X127" s="12">
        <v>0.7</v>
      </c>
      <c r="Y127" s="13" t="s">
        <v>358</v>
      </c>
      <c r="Z127" s="9" t="s">
        <v>359</v>
      </c>
      <c r="AA127" s="10" t="s">
        <v>436</v>
      </c>
      <c r="AB127" s="9" t="s">
        <v>355</v>
      </c>
      <c r="AC127" s="15">
        <v>213</v>
      </c>
      <c r="AD127" s="14">
        <f t="shared" si="10"/>
        <v>2.3283796034387376</v>
      </c>
      <c r="AE127" s="10" t="s">
        <v>437</v>
      </c>
      <c r="AF127" s="9" t="s">
        <v>420</v>
      </c>
      <c r="AG127" s="18">
        <v>34.683438000000002</v>
      </c>
      <c r="AH127" s="7">
        <f t="shared" si="11"/>
        <v>1</v>
      </c>
      <c r="AI127" s="7">
        <f t="shared" si="12"/>
        <v>1</v>
      </c>
      <c r="AJ127" s="7">
        <f t="shared" si="13"/>
        <v>0</v>
      </c>
      <c r="AK127" s="7">
        <f t="shared" si="14"/>
        <v>0</v>
      </c>
      <c r="AL127" s="7" t="s">
        <v>4157</v>
      </c>
      <c r="AM127" s="18">
        <f t="shared" si="15"/>
        <v>1.5401221404311698</v>
      </c>
      <c r="AN127" s="18">
        <v>34.683438000000002</v>
      </c>
      <c r="AO127" s="18">
        <v>-82.837365000000005</v>
      </c>
      <c r="AP127" s="9" t="s">
        <v>363</v>
      </c>
      <c r="AQ127" s="12" t="s">
        <v>446</v>
      </c>
      <c r="AR127" s="15">
        <v>1980</v>
      </c>
      <c r="AS127" s="19" t="s">
        <v>439</v>
      </c>
      <c r="AT127" s="20" t="s">
        <v>440</v>
      </c>
      <c r="AU127" s="40">
        <v>3425336</v>
      </c>
      <c r="AV127" s="35">
        <f t="shared" si="16"/>
        <v>6.5347031789784316</v>
      </c>
      <c r="AW127" s="37" t="s">
        <v>366</v>
      </c>
      <c r="AX127" s="34" t="s">
        <v>355</v>
      </c>
      <c r="AY127" s="40" t="s">
        <v>355</v>
      </c>
      <c r="AZ127" s="36">
        <v>33</v>
      </c>
      <c r="BA127" s="14">
        <f t="shared" si="17"/>
        <v>1.5185139398778875</v>
      </c>
      <c r="BB127" s="37" t="s">
        <v>367</v>
      </c>
      <c r="BC127" s="20">
        <v>1.137454981992851E-2</v>
      </c>
      <c r="BD127" s="9">
        <v>32</v>
      </c>
      <c r="BE127" s="9" t="s">
        <v>368</v>
      </c>
      <c r="BF127" s="9">
        <v>0</v>
      </c>
    </row>
    <row r="128" spans="1:58">
      <c r="A128" s="9">
        <v>476</v>
      </c>
      <c r="B128" s="10" t="s">
        <v>76</v>
      </c>
      <c r="C128" s="10" t="s">
        <v>77</v>
      </c>
      <c r="D128" s="20" t="s">
        <v>503</v>
      </c>
      <c r="E128" s="20" t="s">
        <v>507</v>
      </c>
      <c r="F128" s="10" t="s">
        <v>77</v>
      </c>
      <c r="G128" s="20" t="s">
        <v>503</v>
      </c>
      <c r="H128" s="20" t="s">
        <v>507</v>
      </c>
      <c r="I128" s="10" t="s">
        <v>77</v>
      </c>
      <c r="J128" s="20" t="s">
        <v>503</v>
      </c>
      <c r="K128" s="20" t="s">
        <v>507</v>
      </c>
      <c r="L128" s="9" t="s">
        <v>380</v>
      </c>
      <c r="M128" s="9">
        <v>10</v>
      </c>
      <c r="N128" s="9" t="s">
        <v>381</v>
      </c>
      <c r="O128" s="9" t="s">
        <v>382</v>
      </c>
      <c r="P128" s="12">
        <v>39.684379999999997</v>
      </c>
      <c r="Q128" s="12" t="s">
        <v>355</v>
      </c>
      <c r="R128" s="9" t="s">
        <v>356</v>
      </c>
      <c r="S128" s="13">
        <v>3</v>
      </c>
      <c r="T128" s="13">
        <v>3</v>
      </c>
      <c r="U128" s="14">
        <f t="shared" si="9"/>
        <v>0.6020599913279624</v>
      </c>
      <c r="V128" s="15">
        <v>30</v>
      </c>
      <c r="W128" s="12"/>
      <c r="X128" s="12">
        <v>0.7</v>
      </c>
      <c r="Y128" s="13" t="s">
        <v>358</v>
      </c>
      <c r="Z128" s="9" t="s">
        <v>359</v>
      </c>
      <c r="AA128" s="10" t="s">
        <v>436</v>
      </c>
      <c r="AB128" s="9" t="s">
        <v>355</v>
      </c>
      <c r="AC128" s="15">
        <v>213</v>
      </c>
      <c r="AD128" s="14">
        <f t="shared" si="10"/>
        <v>2.3283796034387376</v>
      </c>
      <c r="AE128" s="10" t="s">
        <v>437</v>
      </c>
      <c r="AF128" s="9" t="s">
        <v>420</v>
      </c>
      <c r="AG128" s="18">
        <v>34.683438000000002</v>
      </c>
      <c r="AH128" s="7">
        <f t="shared" si="11"/>
        <v>1</v>
      </c>
      <c r="AI128" s="7">
        <f t="shared" si="12"/>
        <v>1</v>
      </c>
      <c r="AJ128" s="7">
        <f t="shared" si="13"/>
        <v>0</v>
      </c>
      <c r="AK128" s="7">
        <f t="shared" si="14"/>
        <v>0</v>
      </c>
      <c r="AL128" s="7" t="s">
        <v>4157</v>
      </c>
      <c r="AM128" s="18">
        <f t="shared" si="15"/>
        <v>1.5401221404311698</v>
      </c>
      <c r="AN128" s="18">
        <v>34.683438000000002</v>
      </c>
      <c r="AO128" s="18">
        <v>-82.837365000000005</v>
      </c>
      <c r="AP128" s="9" t="s">
        <v>363</v>
      </c>
      <c r="AQ128" s="12" t="s">
        <v>449</v>
      </c>
      <c r="AR128" s="15">
        <v>1980</v>
      </c>
      <c r="AS128" s="19" t="s">
        <v>439</v>
      </c>
      <c r="AT128" s="20" t="s">
        <v>440</v>
      </c>
      <c r="AU128" s="40">
        <v>3425336</v>
      </c>
      <c r="AV128" s="35">
        <f t="shared" si="16"/>
        <v>6.5347031789784316</v>
      </c>
      <c r="AW128" s="37" t="s">
        <v>366</v>
      </c>
      <c r="AX128" s="34" t="s">
        <v>355</v>
      </c>
      <c r="AY128" s="40" t="s">
        <v>355</v>
      </c>
      <c r="AZ128" s="36">
        <v>33</v>
      </c>
      <c r="BA128" s="14">
        <f t="shared" si="17"/>
        <v>1.5185139398778875</v>
      </c>
      <c r="BB128" s="37" t="s">
        <v>367</v>
      </c>
      <c r="BC128" s="20">
        <v>1.137454981992851E-2</v>
      </c>
      <c r="BD128" s="9">
        <v>32</v>
      </c>
      <c r="BE128" s="9" t="s">
        <v>368</v>
      </c>
      <c r="BF128" s="9">
        <v>0</v>
      </c>
    </row>
    <row r="129" spans="1:58">
      <c r="A129" s="9">
        <v>479</v>
      </c>
      <c r="B129" s="10" t="s">
        <v>76</v>
      </c>
      <c r="C129" s="10" t="s">
        <v>77</v>
      </c>
      <c r="D129" s="20" t="s">
        <v>503</v>
      </c>
      <c r="E129" s="20" t="s">
        <v>507</v>
      </c>
      <c r="F129" s="10" t="s">
        <v>77</v>
      </c>
      <c r="G129" s="20" t="s">
        <v>503</v>
      </c>
      <c r="H129" s="20" t="s">
        <v>507</v>
      </c>
      <c r="I129" s="10" t="s">
        <v>77</v>
      </c>
      <c r="J129" s="20" t="s">
        <v>503</v>
      </c>
      <c r="K129" s="20" t="s">
        <v>507</v>
      </c>
      <c r="L129" s="9" t="s">
        <v>380</v>
      </c>
      <c r="M129" s="9">
        <v>10</v>
      </c>
      <c r="N129" s="9" t="s">
        <v>381</v>
      </c>
      <c r="O129" s="9" t="s">
        <v>382</v>
      </c>
      <c r="P129" s="12">
        <v>39.87576</v>
      </c>
      <c r="Q129" s="12" t="s">
        <v>355</v>
      </c>
      <c r="R129" s="9" t="s">
        <v>356</v>
      </c>
      <c r="S129" s="13">
        <v>3</v>
      </c>
      <c r="T129" s="13">
        <v>3</v>
      </c>
      <c r="U129" s="14">
        <f t="shared" si="9"/>
        <v>0.6020599913279624</v>
      </c>
      <c r="V129" s="15">
        <v>30</v>
      </c>
      <c r="W129" s="12"/>
      <c r="X129" s="12">
        <v>0.7</v>
      </c>
      <c r="Y129" s="13" t="s">
        <v>358</v>
      </c>
      <c r="Z129" s="9" t="s">
        <v>359</v>
      </c>
      <c r="AA129" s="10" t="s">
        <v>436</v>
      </c>
      <c r="AB129" s="9" t="s">
        <v>355</v>
      </c>
      <c r="AC129" s="15">
        <v>213</v>
      </c>
      <c r="AD129" s="14">
        <f t="shared" si="10"/>
        <v>2.3283796034387376</v>
      </c>
      <c r="AE129" s="10" t="s">
        <v>437</v>
      </c>
      <c r="AF129" s="9" t="s">
        <v>420</v>
      </c>
      <c r="AG129" s="18">
        <v>34.683438000000002</v>
      </c>
      <c r="AH129" s="7">
        <f t="shared" si="11"/>
        <v>1</v>
      </c>
      <c r="AI129" s="7">
        <f t="shared" si="12"/>
        <v>1</v>
      </c>
      <c r="AJ129" s="7">
        <f t="shared" si="13"/>
        <v>0</v>
      </c>
      <c r="AK129" s="7">
        <f t="shared" si="14"/>
        <v>0</v>
      </c>
      <c r="AL129" s="7" t="s">
        <v>4157</v>
      </c>
      <c r="AM129" s="18">
        <f t="shared" si="15"/>
        <v>1.5401221404311698</v>
      </c>
      <c r="AN129" s="18">
        <v>34.683438000000002</v>
      </c>
      <c r="AO129" s="18">
        <v>-82.837365000000005</v>
      </c>
      <c r="AP129" s="9" t="s">
        <v>363</v>
      </c>
      <c r="AQ129" s="12" t="s">
        <v>444</v>
      </c>
      <c r="AR129" s="15">
        <v>1980</v>
      </c>
      <c r="AS129" s="19" t="s">
        <v>439</v>
      </c>
      <c r="AT129" s="20" t="s">
        <v>440</v>
      </c>
      <c r="AU129" s="40">
        <v>3425336</v>
      </c>
      <c r="AV129" s="35">
        <f t="shared" si="16"/>
        <v>6.5347031789784316</v>
      </c>
      <c r="AW129" s="37" t="s">
        <v>366</v>
      </c>
      <c r="AX129" s="34" t="s">
        <v>355</v>
      </c>
      <c r="AY129" s="40" t="s">
        <v>355</v>
      </c>
      <c r="AZ129" s="36">
        <v>33</v>
      </c>
      <c r="BA129" s="14">
        <f t="shared" si="17"/>
        <v>1.5185139398778875</v>
      </c>
      <c r="BB129" s="37" t="s">
        <v>367</v>
      </c>
      <c r="BC129" s="20">
        <v>1.137454981992851E-2</v>
      </c>
      <c r="BD129" s="9">
        <v>32</v>
      </c>
      <c r="BE129" s="9" t="s">
        <v>368</v>
      </c>
      <c r="BF129" s="9">
        <v>0</v>
      </c>
    </row>
    <row r="130" spans="1:58">
      <c r="A130" s="9">
        <v>480</v>
      </c>
      <c r="B130" s="10" t="s">
        <v>76</v>
      </c>
      <c r="C130" s="10" t="s">
        <v>77</v>
      </c>
      <c r="D130" s="20" t="s">
        <v>503</v>
      </c>
      <c r="E130" s="20" t="s">
        <v>507</v>
      </c>
      <c r="F130" s="10" t="s">
        <v>77</v>
      </c>
      <c r="G130" s="20" t="s">
        <v>503</v>
      </c>
      <c r="H130" s="20" t="s">
        <v>507</v>
      </c>
      <c r="I130" s="10" t="s">
        <v>77</v>
      </c>
      <c r="J130" s="20" t="s">
        <v>503</v>
      </c>
      <c r="K130" s="20" t="s">
        <v>507</v>
      </c>
      <c r="L130" s="9" t="s">
        <v>380</v>
      </c>
      <c r="M130" s="9">
        <v>10</v>
      </c>
      <c r="N130" s="9" t="s">
        <v>381</v>
      </c>
      <c r="O130" s="9" t="s">
        <v>382</v>
      </c>
      <c r="P130" s="12">
        <v>39.893650000000001</v>
      </c>
      <c r="Q130" s="12" t="s">
        <v>355</v>
      </c>
      <c r="R130" s="9" t="s">
        <v>356</v>
      </c>
      <c r="S130" s="13">
        <v>3</v>
      </c>
      <c r="T130" s="13">
        <v>3</v>
      </c>
      <c r="U130" s="14">
        <f t="shared" si="9"/>
        <v>0.6020599913279624</v>
      </c>
      <c r="V130" s="15">
        <v>30</v>
      </c>
      <c r="W130" s="12"/>
      <c r="X130" s="12">
        <v>0.7</v>
      </c>
      <c r="Y130" s="13" t="s">
        <v>358</v>
      </c>
      <c r="Z130" s="9" t="s">
        <v>359</v>
      </c>
      <c r="AA130" s="10" t="s">
        <v>436</v>
      </c>
      <c r="AB130" s="9" t="s">
        <v>355</v>
      </c>
      <c r="AC130" s="15">
        <v>213</v>
      </c>
      <c r="AD130" s="14">
        <f t="shared" si="10"/>
        <v>2.3283796034387376</v>
      </c>
      <c r="AE130" s="10" t="s">
        <v>437</v>
      </c>
      <c r="AF130" s="9" t="s">
        <v>420</v>
      </c>
      <c r="AG130" s="18">
        <v>34.683438000000002</v>
      </c>
      <c r="AH130" s="7">
        <f t="shared" si="11"/>
        <v>1</v>
      </c>
      <c r="AI130" s="7">
        <f t="shared" si="12"/>
        <v>1</v>
      </c>
      <c r="AJ130" s="7">
        <f t="shared" si="13"/>
        <v>0</v>
      </c>
      <c r="AK130" s="7">
        <f t="shared" si="14"/>
        <v>0</v>
      </c>
      <c r="AL130" s="7" t="s">
        <v>4157</v>
      </c>
      <c r="AM130" s="18">
        <f t="shared" si="15"/>
        <v>1.5401221404311698</v>
      </c>
      <c r="AN130" s="18">
        <v>34.683438000000002</v>
      </c>
      <c r="AO130" s="18">
        <v>-82.837365000000005</v>
      </c>
      <c r="AP130" s="9" t="s">
        <v>363</v>
      </c>
      <c r="AQ130" s="12" t="s">
        <v>443</v>
      </c>
      <c r="AR130" s="15">
        <v>1980</v>
      </c>
      <c r="AS130" s="19" t="s">
        <v>439</v>
      </c>
      <c r="AT130" s="20" t="s">
        <v>440</v>
      </c>
      <c r="AU130" s="40">
        <v>3425336</v>
      </c>
      <c r="AV130" s="35">
        <f t="shared" si="16"/>
        <v>6.5347031789784316</v>
      </c>
      <c r="AW130" s="37" t="s">
        <v>366</v>
      </c>
      <c r="AX130" s="34" t="s">
        <v>355</v>
      </c>
      <c r="AY130" s="40" t="s">
        <v>355</v>
      </c>
      <c r="AZ130" s="36">
        <v>33</v>
      </c>
      <c r="BA130" s="14">
        <f t="shared" si="17"/>
        <v>1.5185139398778875</v>
      </c>
      <c r="BB130" s="37" t="s">
        <v>367</v>
      </c>
      <c r="BC130" s="20">
        <v>1.137454981992851E-2</v>
      </c>
      <c r="BD130" s="9">
        <v>32</v>
      </c>
      <c r="BE130" s="9" t="s">
        <v>368</v>
      </c>
      <c r="BF130" s="9">
        <v>0</v>
      </c>
    </row>
    <row r="131" spans="1:58">
      <c r="A131" s="9">
        <v>477</v>
      </c>
      <c r="B131" s="10" t="s">
        <v>76</v>
      </c>
      <c r="C131" s="10" t="s">
        <v>77</v>
      </c>
      <c r="D131" s="20" t="s">
        <v>503</v>
      </c>
      <c r="E131" s="20" t="s">
        <v>507</v>
      </c>
      <c r="F131" s="10" t="s">
        <v>77</v>
      </c>
      <c r="G131" s="20" t="s">
        <v>503</v>
      </c>
      <c r="H131" s="20" t="s">
        <v>507</v>
      </c>
      <c r="I131" s="10" t="s">
        <v>77</v>
      </c>
      <c r="J131" s="20" t="s">
        <v>503</v>
      </c>
      <c r="K131" s="20" t="s">
        <v>507</v>
      </c>
      <c r="L131" s="9" t="s">
        <v>380</v>
      </c>
      <c r="M131" s="9">
        <v>10</v>
      </c>
      <c r="N131" s="9" t="s">
        <v>381</v>
      </c>
      <c r="O131" s="9" t="s">
        <v>382</v>
      </c>
      <c r="P131" s="12">
        <v>40.12585</v>
      </c>
      <c r="Q131" s="12" t="s">
        <v>355</v>
      </c>
      <c r="R131" s="9" t="s">
        <v>356</v>
      </c>
      <c r="S131" s="13">
        <v>3</v>
      </c>
      <c r="T131" s="13">
        <v>3</v>
      </c>
      <c r="U131" s="14">
        <f t="shared" si="9"/>
        <v>0.6020599913279624</v>
      </c>
      <c r="V131" s="15">
        <v>30</v>
      </c>
      <c r="W131" s="12"/>
      <c r="X131" s="12">
        <v>0.7</v>
      </c>
      <c r="Y131" s="13" t="s">
        <v>358</v>
      </c>
      <c r="Z131" s="9" t="s">
        <v>359</v>
      </c>
      <c r="AA131" s="10" t="s">
        <v>436</v>
      </c>
      <c r="AB131" s="9" t="s">
        <v>355</v>
      </c>
      <c r="AC131" s="15">
        <v>213</v>
      </c>
      <c r="AD131" s="14">
        <f t="shared" si="10"/>
        <v>2.3283796034387376</v>
      </c>
      <c r="AE131" s="10" t="s">
        <v>437</v>
      </c>
      <c r="AF131" s="9" t="s">
        <v>420</v>
      </c>
      <c r="AG131" s="18">
        <v>34.683438000000002</v>
      </c>
      <c r="AH131" s="7">
        <f t="shared" si="11"/>
        <v>1</v>
      </c>
      <c r="AI131" s="7">
        <f t="shared" si="12"/>
        <v>1</v>
      </c>
      <c r="AJ131" s="7">
        <f t="shared" si="13"/>
        <v>0</v>
      </c>
      <c r="AK131" s="7">
        <f t="shared" si="14"/>
        <v>0</v>
      </c>
      <c r="AL131" s="7" t="s">
        <v>4157</v>
      </c>
      <c r="AM131" s="18">
        <f t="shared" si="15"/>
        <v>1.5401221404311698</v>
      </c>
      <c r="AN131" s="18">
        <v>34.683438000000002</v>
      </c>
      <c r="AO131" s="18">
        <v>-82.837365000000005</v>
      </c>
      <c r="AP131" s="9" t="s">
        <v>363</v>
      </c>
      <c r="AQ131" s="12" t="s">
        <v>445</v>
      </c>
      <c r="AR131" s="15">
        <v>1980</v>
      </c>
      <c r="AS131" s="19" t="s">
        <v>439</v>
      </c>
      <c r="AT131" s="20" t="s">
        <v>440</v>
      </c>
      <c r="AU131" s="40">
        <v>3425336</v>
      </c>
      <c r="AV131" s="35">
        <f t="shared" si="16"/>
        <v>6.5347031789784316</v>
      </c>
      <c r="AW131" s="37" t="s">
        <v>366</v>
      </c>
      <c r="AX131" s="34" t="s">
        <v>355</v>
      </c>
      <c r="AY131" s="40" t="s">
        <v>355</v>
      </c>
      <c r="AZ131" s="36">
        <v>33</v>
      </c>
      <c r="BA131" s="14">
        <f t="shared" si="17"/>
        <v>1.5185139398778875</v>
      </c>
      <c r="BB131" s="37" t="s">
        <v>367</v>
      </c>
      <c r="BC131" s="20">
        <v>1.137454981992851E-2</v>
      </c>
      <c r="BD131" s="9">
        <v>32</v>
      </c>
      <c r="BE131" s="9" t="s">
        <v>368</v>
      </c>
      <c r="BF131" s="9">
        <v>0</v>
      </c>
    </row>
    <row r="132" spans="1:58">
      <c r="A132" s="9">
        <v>421</v>
      </c>
      <c r="B132" s="10" t="s">
        <v>76</v>
      </c>
      <c r="C132" s="10" t="s">
        <v>450</v>
      </c>
      <c r="D132" s="20" t="s">
        <v>508</v>
      </c>
      <c r="E132" s="20" t="s">
        <v>509</v>
      </c>
      <c r="F132" s="20" t="s">
        <v>355</v>
      </c>
      <c r="G132" s="20" t="s">
        <v>355</v>
      </c>
      <c r="H132" s="20" t="s">
        <v>355</v>
      </c>
      <c r="I132" s="10" t="s">
        <v>453</v>
      </c>
      <c r="J132" s="20" t="s">
        <v>508</v>
      </c>
      <c r="K132" s="20" t="s">
        <v>509</v>
      </c>
      <c r="L132" s="9" t="s">
        <v>352</v>
      </c>
      <c r="M132" s="9">
        <v>10</v>
      </c>
      <c r="N132" s="9" t="s">
        <v>381</v>
      </c>
      <c r="O132" s="9" t="s">
        <v>455</v>
      </c>
      <c r="P132" s="12">
        <v>28.2</v>
      </c>
      <c r="Q132" s="12" t="s">
        <v>355</v>
      </c>
      <c r="R132" s="9" t="s">
        <v>356</v>
      </c>
      <c r="S132" s="13" t="s">
        <v>434</v>
      </c>
      <c r="T132" s="13" t="s">
        <v>434</v>
      </c>
      <c r="U132" s="14">
        <f t="shared" si="9"/>
        <v>0.6020599913279624</v>
      </c>
      <c r="V132" s="15">
        <v>17</v>
      </c>
      <c r="W132" s="12">
        <v>-2.0690538000000025</v>
      </c>
      <c r="X132" s="12">
        <v>0.7</v>
      </c>
      <c r="Y132" s="13" t="s">
        <v>355</v>
      </c>
      <c r="Z132" s="9" t="s">
        <v>359</v>
      </c>
      <c r="AA132" s="10" t="s">
        <v>372</v>
      </c>
      <c r="AB132" s="9" t="s">
        <v>355</v>
      </c>
      <c r="AC132" s="15">
        <v>3135.5</v>
      </c>
      <c r="AD132" s="14">
        <f t="shared" si="10"/>
        <v>3.4963068051113688</v>
      </c>
      <c r="AE132" s="10" t="s">
        <v>456</v>
      </c>
      <c r="AF132" s="9" t="s">
        <v>408</v>
      </c>
      <c r="AG132" s="18">
        <v>11.183299999999999</v>
      </c>
      <c r="AH132" s="7">
        <f t="shared" si="11"/>
        <v>0</v>
      </c>
      <c r="AI132" s="7">
        <f t="shared" si="12"/>
        <v>0</v>
      </c>
      <c r="AJ132" s="7">
        <f t="shared" si="13"/>
        <v>0</v>
      </c>
      <c r="AK132" s="7">
        <f t="shared" si="14"/>
        <v>0</v>
      </c>
      <c r="AL132" s="7" t="s">
        <v>4160</v>
      </c>
      <c r="AM132" s="18">
        <f t="shared" si="15"/>
        <v>1.0485699753140245</v>
      </c>
      <c r="AN132" s="18">
        <v>-11.183299999999999</v>
      </c>
      <c r="AO132" s="18">
        <v>-71.166700000000006</v>
      </c>
      <c r="AP132" s="9" t="s">
        <v>363</v>
      </c>
      <c r="AQ132" s="9" t="s">
        <v>461</v>
      </c>
      <c r="AR132" s="15">
        <v>2014</v>
      </c>
      <c r="AS132" s="19" t="s">
        <v>457</v>
      </c>
      <c r="AT132" s="20" t="s">
        <v>458</v>
      </c>
      <c r="AU132" s="9">
        <v>2542</v>
      </c>
      <c r="AV132" s="35">
        <f t="shared" si="16"/>
        <v>3.4051755462179893</v>
      </c>
      <c r="AW132" s="9" t="s">
        <v>366</v>
      </c>
      <c r="AX132" s="9">
        <v>2800</v>
      </c>
      <c r="AY132" s="9">
        <v>3500</v>
      </c>
      <c r="AZ132" s="15">
        <v>22</v>
      </c>
      <c r="BA132" s="14">
        <f t="shared" si="17"/>
        <v>1.3424226808222062</v>
      </c>
      <c r="BB132" s="9" t="s">
        <v>367</v>
      </c>
      <c r="BC132" s="20">
        <v>7.0736294517803316E-3</v>
      </c>
      <c r="BD132" s="9">
        <v>31.8</v>
      </c>
      <c r="BE132" s="9" t="s">
        <v>459</v>
      </c>
      <c r="BF132" s="9">
        <v>1</v>
      </c>
    </row>
    <row r="133" spans="1:58">
      <c r="A133" s="9">
        <v>1015</v>
      </c>
      <c r="B133" s="20" t="s">
        <v>76</v>
      </c>
      <c r="C133" s="20" t="s">
        <v>369</v>
      </c>
      <c r="D133" s="20" t="s">
        <v>370</v>
      </c>
      <c r="E133" s="20" t="s">
        <v>371</v>
      </c>
      <c r="F133" s="20" t="s">
        <v>369</v>
      </c>
      <c r="G133" s="20" t="s">
        <v>370</v>
      </c>
      <c r="H133" s="20" t="s">
        <v>371</v>
      </c>
      <c r="I133" s="20" t="s">
        <v>369</v>
      </c>
      <c r="J133" s="20" t="s">
        <v>370</v>
      </c>
      <c r="K133" s="20" t="s">
        <v>371</v>
      </c>
      <c r="L133" s="9" t="s">
        <v>352</v>
      </c>
      <c r="M133" s="9">
        <v>3</v>
      </c>
      <c r="N133" s="9" t="s">
        <v>353</v>
      </c>
      <c r="O133" s="9" t="s">
        <v>354</v>
      </c>
      <c r="P133" s="12">
        <v>35.099690000000002</v>
      </c>
      <c r="Q133" s="9" t="s">
        <v>355</v>
      </c>
      <c r="R133" s="9" t="s">
        <v>356</v>
      </c>
      <c r="S133" s="9">
        <v>3</v>
      </c>
      <c r="T133" s="9">
        <v>3</v>
      </c>
      <c r="U133" s="14">
        <f t="shared" ref="U133:U196" si="18">LOG(T133+1)</f>
        <v>0.6020599913279624</v>
      </c>
      <c r="V133" s="15">
        <v>23</v>
      </c>
      <c r="W133" s="12">
        <v>9.0403863000000015</v>
      </c>
      <c r="X133" s="9" t="s">
        <v>355</v>
      </c>
      <c r="Y133" s="13" t="s">
        <v>358</v>
      </c>
      <c r="Z133" s="9" t="s">
        <v>359</v>
      </c>
      <c r="AA133" s="10" t="s">
        <v>372</v>
      </c>
      <c r="AB133" s="9" t="s">
        <v>355</v>
      </c>
      <c r="AC133" s="15">
        <v>422</v>
      </c>
      <c r="AD133" s="14">
        <f t="shared" ref="AD133:AD196" si="19">LOG(AC133)</f>
        <v>2.6253124509616739</v>
      </c>
      <c r="AE133" s="10" t="s">
        <v>373</v>
      </c>
      <c r="AF133" s="9" t="s">
        <v>362</v>
      </c>
      <c r="AG133" s="18">
        <v>42</v>
      </c>
      <c r="AH133" s="7">
        <f t="shared" ref="AH133:AH196" si="20">IF(AG133&gt;15,1,0)</f>
        <v>1</v>
      </c>
      <c r="AI133" s="7">
        <f t="shared" ref="AI133:AI196" si="21">IF(AG133&gt;30,1,0)</f>
        <v>1</v>
      </c>
      <c r="AJ133" s="7">
        <f t="shared" ref="AJ133:AJ196" si="22">IF(AG133&gt;45,1,0)</f>
        <v>0</v>
      </c>
      <c r="AK133" s="7">
        <f t="shared" ref="AK133:AK196" si="23">IF(AG133&gt;60,1,0)</f>
        <v>0</v>
      </c>
      <c r="AL133" s="7" t="s">
        <v>4157</v>
      </c>
      <c r="AM133" s="18">
        <f t="shared" ref="AM133:AM196" si="24">LOG(AG133)</f>
        <v>1.6232492903979006</v>
      </c>
      <c r="AN133" s="18">
        <v>42</v>
      </c>
      <c r="AO133" s="18">
        <v>-73.134960000000007</v>
      </c>
      <c r="AP133" s="9" t="s">
        <v>363</v>
      </c>
      <c r="AQ133" s="9" t="s">
        <v>355</v>
      </c>
      <c r="AR133" s="9">
        <v>1962</v>
      </c>
      <c r="AS133" s="10" t="s">
        <v>374</v>
      </c>
      <c r="AT133" s="20" t="s">
        <v>375</v>
      </c>
      <c r="AU133" s="39">
        <v>3826484</v>
      </c>
      <c r="AV133" s="35">
        <f t="shared" ref="AV133:AV196" si="25">LOG(AU133)</f>
        <v>6.5827999017171539</v>
      </c>
      <c r="AW133" s="37" t="s">
        <v>338</v>
      </c>
      <c r="AX133" s="34" t="s">
        <v>355</v>
      </c>
      <c r="AY133" s="40" t="s">
        <v>355</v>
      </c>
      <c r="AZ133" s="15">
        <v>87</v>
      </c>
      <c r="BA133" s="14">
        <f t="shared" ref="BA133:BA196" si="26">LOG(AZ133)</f>
        <v>1.9395192526186185</v>
      </c>
      <c r="BB133" s="41" t="s">
        <v>343</v>
      </c>
      <c r="BC133" s="20">
        <v>2.6780712284914233E-2</v>
      </c>
      <c r="BD133" s="9">
        <v>25.700000000000003</v>
      </c>
      <c r="BE133" s="9" t="s">
        <v>368</v>
      </c>
      <c r="BF133" s="9">
        <v>0</v>
      </c>
    </row>
    <row r="134" spans="1:58">
      <c r="A134" s="9">
        <v>976</v>
      </c>
      <c r="B134" s="10" t="s">
        <v>76</v>
      </c>
      <c r="C134" s="10" t="s">
        <v>389</v>
      </c>
      <c r="D134" s="47" t="s">
        <v>405</v>
      </c>
      <c r="E134" s="20" t="s">
        <v>510</v>
      </c>
      <c r="F134" s="20" t="s">
        <v>389</v>
      </c>
      <c r="G134" s="20" t="s">
        <v>390</v>
      </c>
      <c r="H134" s="20" t="s">
        <v>511</v>
      </c>
      <c r="I134" s="20" t="s">
        <v>389</v>
      </c>
      <c r="J134" s="20" t="s">
        <v>405</v>
      </c>
      <c r="K134" s="20" t="s">
        <v>510</v>
      </c>
      <c r="L134" s="9" t="s">
        <v>380</v>
      </c>
      <c r="M134" s="9">
        <v>24</v>
      </c>
      <c r="N134" s="9" t="s">
        <v>381</v>
      </c>
      <c r="O134" s="9" t="s">
        <v>382</v>
      </c>
      <c r="P134" s="12">
        <v>41.4</v>
      </c>
      <c r="Q134" s="12" t="s">
        <v>355</v>
      </c>
      <c r="R134" s="9" t="s">
        <v>356</v>
      </c>
      <c r="S134" s="13" t="s">
        <v>434</v>
      </c>
      <c r="T134" s="13" t="s">
        <v>434</v>
      </c>
      <c r="U134" s="14">
        <f t="shared" si="18"/>
        <v>0.6020599913279624</v>
      </c>
      <c r="V134" s="15">
        <v>20</v>
      </c>
      <c r="W134" s="12"/>
      <c r="X134" s="12">
        <v>1</v>
      </c>
      <c r="Y134" s="13" t="s">
        <v>358</v>
      </c>
      <c r="Z134" s="9" t="s">
        <v>359</v>
      </c>
      <c r="AA134" s="10" t="s">
        <v>479</v>
      </c>
      <c r="AB134" s="9" t="s">
        <v>355</v>
      </c>
      <c r="AC134" s="15">
        <v>785</v>
      </c>
      <c r="AD134" s="14">
        <f t="shared" si="19"/>
        <v>2.8948696567452528</v>
      </c>
      <c r="AE134" s="10" t="s">
        <v>480</v>
      </c>
      <c r="AF134" s="9" t="s">
        <v>420</v>
      </c>
      <c r="AG134" s="18">
        <v>23.550519999999999</v>
      </c>
      <c r="AH134" s="7">
        <f t="shared" si="20"/>
        <v>1</v>
      </c>
      <c r="AI134" s="7">
        <f t="shared" si="21"/>
        <v>0</v>
      </c>
      <c r="AJ134" s="7">
        <f t="shared" si="22"/>
        <v>0</v>
      </c>
      <c r="AK134" s="7">
        <f t="shared" si="23"/>
        <v>0</v>
      </c>
      <c r="AL134" s="7" t="s">
        <v>4159</v>
      </c>
      <c r="AM134" s="18">
        <f t="shared" si="24"/>
        <v>1.3720005008762675</v>
      </c>
      <c r="AN134" s="18">
        <v>-23.550519999999999</v>
      </c>
      <c r="AO134" s="18">
        <v>-46.633308999999997</v>
      </c>
      <c r="AP134" s="9" t="s">
        <v>363</v>
      </c>
      <c r="AQ134" s="9" t="s">
        <v>512</v>
      </c>
      <c r="AR134" s="15">
        <v>2015</v>
      </c>
      <c r="AS134" s="19" t="s">
        <v>482</v>
      </c>
      <c r="AT134" s="20" t="s">
        <v>483</v>
      </c>
      <c r="AU134" s="40">
        <v>1549588</v>
      </c>
      <c r="AV134" s="35">
        <f t="shared" si="25"/>
        <v>6.1902162445502631</v>
      </c>
      <c r="AW134" s="37" t="s">
        <v>366</v>
      </c>
      <c r="AX134" s="34" t="s">
        <v>355</v>
      </c>
      <c r="AY134" s="40">
        <v>1200</v>
      </c>
      <c r="AZ134" s="36">
        <v>33</v>
      </c>
      <c r="BA134" s="14">
        <f t="shared" si="26"/>
        <v>1.5185139398778875</v>
      </c>
      <c r="BB134" s="37" t="s">
        <v>367</v>
      </c>
      <c r="BC134" s="20">
        <v>3.5503801520608322E-2</v>
      </c>
      <c r="BD134" s="9">
        <v>26.1</v>
      </c>
      <c r="BE134" s="9" t="s">
        <v>368</v>
      </c>
      <c r="BF134" s="9">
        <v>0</v>
      </c>
    </row>
    <row r="135" spans="1:58">
      <c r="A135" s="9">
        <v>989</v>
      </c>
      <c r="B135" s="10" t="s">
        <v>76</v>
      </c>
      <c r="C135" s="10" t="s">
        <v>389</v>
      </c>
      <c r="D135" s="47" t="s">
        <v>405</v>
      </c>
      <c r="E135" s="20" t="s">
        <v>510</v>
      </c>
      <c r="F135" s="20" t="s">
        <v>389</v>
      </c>
      <c r="G135" s="20" t="s">
        <v>390</v>
      </c>
      <c r="H135" s="20" t="s">
        <v>511</v>
      </c>
      <c r="I135" s="20" t="s">
        <v>389</v>
      </c>
      <c r="J135" s="20" t="s">
        <v>405</v>
      </c>
      <c r="K135" s="20" t="s">
        <v>510</v>
      </c>
      <c r="L135" s="9" t="s">
        <v>380</v>
      </c>
      <c r="M135" s="9">
        <v>24</v>
      </c>
      <c r="N135" s="9" t="s">
        <v>381</v>
      </c>
      <c r="O135" s="9" t="s">
        <v>382</v>
      </c>
      <c r="P135" s="12">
        <v>42.4</v>
      </c>
      <c r="Q135" s="12" t="s">
        <v>355</v>
      </c>
      <c r="R135" s="9" t="s">
        <v>356</v>
      </c>
      <c r="S135" s="13" t="s">
        <v>434</v>
      </c>
      <c r="T135" s="13" t="s">
        <v>434</v>
      </c>
      <c r="U135" s="14">
        <f t="shared" si="18"/>
        <v>0.6020599913279624</v>
      </c>
      <c r="V135" s="15">
        <v>30</v>
      </c>
      <c r="W135" s="12"/>
      <c r="X135" s="12">
        <v>1</v>
      </c>
      <c r="Y135" s="13" t="s">
        <v>358</v>
      </c>
      <c r="Z135" s="9" t="s">
        <v>359</v>
      </c>
      <c r="AA135" s="10" t="s">
        <v>479</v>
      </c>
      <c r="AB135" s="9" t="s">
        <v>355</v>
      </c>
      <c r="AC135" s="15">
        <v>785</v>
      </c>
      <c r="AD135" s="14">
        <f t="shared" si="19"/>
        <v>2.8948696567452528</v>
      </c>
      <c r="AE135" s="10" t="s">
        <v>480</v>
      </c>
      <c r="AF135" s="9" t="s">
        <v>420</v>
      </c>
      <c r="AG135" s="18">
        <v>23.550519999999999</v>
      </c>
      <c r="AH135" s="7">
        <f t="shared" si="20"/>
        <v>1</v>
      </c>
      <c r="AI135" s="7">
        <f t="shared" si="21"/>
        <v>0</v>
      </c>
      <c r="AJ135" s="7">
        <f t="shared" si="22"/>
        <v>0</v>
      </c>
      <c r="AK135" s="7">
        <f t="shared" si="23"/>
        <v>0</v>
      </c>
      <c r="AL135" s="7" t="s">
        <v>4159</v>
      </c>
      <c r="AM135" s="18">
        <f t="shared" si="24"/>
        <v>1.3720005008762675</v>
      </c>
      <c r="AN135" s="18">
        <v>-23.550519999999999</v>
      </c>
      <c r="AO135" s="18">
        <v>-46.633308999999997</v>
      </c>
      <c r="AP135" s="9" t="s">
        <v>363</v>
      </c>
      <c r="AQ135" s="9" t="s">
        <v>512</v>
      </c>
      <c r="AR135" s="15">
        <v>2015</v>
      </c>
      <c r="AS135" s="19" t="s">
        <v>482</v>
      </c>
      <c r="AT135" s="20" t="s">
        <v>483</v>
      </c>
      <c r="AU135" s="40">
        <v>1549588</v>
      </c>
      <c r="AV135" s="35">
        <f t="shared" si="25"/>
        <v>6.1902162445502631</v>
      </c>
      <c r="AW135" s="37" t="s">
        <v>366</v>
      </c>
      <c r="AX135" s="34" t="s">
        <v>355</v>
      </c>
      <c r="AY135" s="40">
        <v>1200</v>
      </c>
      <c r="AZ135" s="36">
        <v>33</v>
      </c>
      <c r="BA135" s="14">
        <f t="shared" si="26"/>
        <v>1.5185139398778875</v>
      </c>
      <c r="BB135" s="37" t="s">
        <v>367</v>
      </c>
      <c r="BC135" s="20">
        <v>3.5503801520608322E-2</v>
      </c>
      <c r="BD135" s="9">
        <v>26.1</v>
      </c>
      <c r="BE135" s="9" t="s">
        <v>368</v>
      </c>
      <c r="BF135" s="9">
        <v>0</v>
      </c>
    </row>
    <row r="136" spans="1:58">
      <c r="A136" s="9">
        <v>975</v>
      </c>
      <c r="B136" s="10" t="s">
        <v>76</v>
      </c>
      <c r="C136" s="10" t="s">
        <v>389</v>
      </c>
      <c r="D136" s="47" t="s">
        <v>405</v>
      </c>
      <c r="E136" s="20" t="s">
        <v>510</v>
      </c>
      <c r="F136" s="20" t="s">
        <v>389</v>
      </c>
      <c r="G136" s="20" t="s">
        <v>390</v>
      </c>
      <c r="H136" s="20" t="s">
        <v>511</v>
      </c>
      <c r="I136" s="20" t="s">
        <v>389</v>
      </c>
      <c r="J136" s="20" t="s">
        <v>405</v>
      </c>
      <c r="K136" s="20" t="s">
        <v>510</v>
      </c>
      <c r="L136" s="9" t="s">
        <v>380</v>
      </c>
      <c r="M136" s="9">
        <v>24</v>
      </c>
      <c r="N136" s="9" t="s">
        <v>381</v>
      </c>
      <c r="O136" s="9" t="s">
        <v>382</v>
      </c>
      <c r="P136" s="12">
        <v>42.6</v>
      </c>
      <c r="Q136" s="12" t="s">
        <v>355</v>
      </c>
      <c r="R136" s="9" t="s">
        <v>356</v>
      </c>
      <c r="S136" s="13" t="s">
        <v>434</v>
      </c>
      <c r="T136" s="13" t="s">
        <v>434</v>
      </c>
      <c r="U136" s="14">
        <f t="shared" si="18"/>
        <v>0.6020599913279624</v>
      </c>
      <c r="V136" s="15">
        <v>20</v>
      </c>
      <c r="W136" s="12"/>
      <c r="X136" s="12">
        <v>1</v>
      </c>
      <c r="Y136" s="13" t="s">
        <v>358</v>
      </c>
      <c r="Z136" s="9" t="s">
        <v>359</v>
      </c>
      <c r="AA136" s="10" t="s">
        <v>479</v>
      </c>
      <c r="AB136" s="9" t="s">
        <v>355</v>
      </c>
      <c r="AC136" s="15">
        <v>785</v>
      </c>
      <c r="AD136" s="14">
        <f t="shared" si="19"/>
        <v>2.8948696567452528</v>
      </c>
      <c r="AE136" s="10" t="s">
        <v>480</v>
      </c>
      <c r="AF136" s="9" t="s">
        <v>420</v>
      </c>
      <c r="AG136" s="18">
        <v>23.550519999999999</v>
      </c>
      <c r="AH136" s="7">
        <f t="shared" si="20"/>
        <v>1</v>
      </c>
      <c r="AI136" s="7">
        <f t="shared" si="21"/>
        <v>0</v>
      </c>
      <c r="AJ136" s="7">
        <f t="shared" si="22"/>
        <v>0</v>
      </c>
      <c r="AK136" s="7">
        <f t="shared" si="23"/>
        <v>0</v>
      </c>
      <c r="AL136" s="7" t="s">
        <v>4159</v>
      </c>
      <c r="AM136" s="18">
        <f t="shared" si="24"/>
        <v>1.3720005008762675</v>
      </c>
      <c r="AN136" s="18">
        <v>-23.550519999999999</v>
      </c>
      <c r="AO136" s="18">
        <v>-46.633308999999997</v>
      </c>
      <c r="AP136" s="9" t="s">
        <v>363</v>
      </c>
      <c r="AQ136" s="9" t="s">
        <v>490</v>
      </c>
      <c r="AR136" s="15">
        <v>2015</v>
      </c>
      <c r="AS136" s="19" t="s">
        <v>482</v>
      </c>
      <c r="AT136" s="20" t="s">
        <v>483</v>
      </c>
      <c r="AU136" s="40">
        <v>1549588</v>
      </c>
      <c r="AV136" s="35">
        <f t="shared" si="25"/>
        <v>6.1902162445502631</v>
      </c>
      <c r="AW136" s="37" t="s">
        <v>366</v>
      </c>
      <c r="AX136" s="34" t="s">
        <v>355</v>
      </c>
      <c r="AY136" s="40">
        <v>1200</v>
      </c>
      <c r="AZ136" s="36">
        <v>33</v>
      </c>
      <c r="BA136" s="14">
        <f t="shared" si="26"/>
        <v>1.5185139398778875</v>
      </c>
      <c r="BB136" s="37" t="s">
        <v>367</v>
      </c>
      <c r="BC136" s="20">
        <v>3.5503801520608322E-2</v>
      </c>
      <c r="BD136" s="9">
        <v>26.1</v>
      </c>
      <c r="BE136" s="9" t="s">
        <v>368</v>
      </c>
      <c r="BF136" s="9">
        <v>0</v>
      </c>
    </row>
    <row r="137" spans="1:58">
      <c r="A137" s="9">
        <v>988</v>
      </c>
      <c r="B137" s="10" t="s">
        <v>76</v>
      </c>
      <c r="C137" s="10" t="s">
        <v>389</v>
      </c>
      <c r="D137" s="47" t="s">
        <v>405</v>
      </c>
      <c r="E137" s="20" t="s">
        <v>510</v>
      </c>
      <c r="F137" s="20" t="s">
        <v>389</v>
      </c>
      <c r="G137" s="20" t="s">
        <v>390</v>
      </c>
      <c r="H137" s="20" t="s">
        <v>511</v>
      </c>
      <c r="I137" s="20" t="s">
        <v>389</v>
      </c>
      <c r="J137" s="20" t="s">
        <v>405</v>
      </c>
      <c r="K137" s="20" t="s">
        <v>510</v>
      </c>
      <c r="L137" s="9" t="s">
        <v>380</v>
      </c>
      <c r="M137" s="9">
        <v>24</v>
      </c>
      <c r="N137" s="9" t="s">
        <v>381</v>
      </c>
      <c r="O137" s="9" t="s">
        <v>382</v>
      </c>
      <c r="P137" s="12">
        <v>43.4</v>
      </c>
      <c r="Q137" s="12" t="s">
        <v>355</v>
      </c>
      <c r="R137" s="9" t="s">
        <v>356</v>
      </c>
      <c r="S137" s="13" t="s">
        <v>434</v>
      </c>
      <c r="T137" s="13" t="s">
        <v>434</v>
      </c>
      <c r="U137" s="14">
        <f t="shared" si="18"/>
        <v>0.6020599913279624</v>
      </c>
      <c r="V137" s="15">
        <v>30</v>
      </c>
      <c r="W137" s="12"/>
      <c r="X137" s="12">
        <v>1</v>
      </c>
      <c r="Y137" s="13" t="s">
        <v>358</v>
      </c>
      <c r="Z137" s="9" t="s">
        <v>359</v>
      </c>
      <c r="AA137" s="10" t="s">
        <v>479</v>
      </c>
      <c r="AB137" s="9" t="s">
        <v>355</v>
      </c>
      <c r="AC137" s="15">
        <v>785</v>
      </c>
      <c r="AD137" s="14">
        <f t="shared" si="19"/>
        <v>2.8948696567452528</v>
      </c>
      <c r="AE137" s="10" t="s">
        <v>480</v>
      </c>
      <c r="AF137" s="9" t="s">
        <v>420</v>
      </c>
      <c r="AG137" s="18">
        <v>23.550519999999999</v>
      </c>
      <c r="AH137" s="7">
        <f t="shared" si="20"/>
        <v>1</v>
      </c>
      <c r="AI137" s="7">
        <f t="shared" si="21"/>
        <v>0</v>
      </c>
      <c r="AJ137" s="7">
        <f t="shared" si="22"/>
        <v>0</v>
      </c>
      <c r="AK137" s="7">
        <f t="shared" si="23"/>
        <v>0</v>
      </c>
      <c r="AL137" s="7" t="s">
        <v>4159</v>
      </c>
      <c r="AM137" s="18">
        <f t="shared" si="24"/>
        <v>1.3720005008762675</v>
      </c>
      <c r="AN137" s="18">
        <v>-23.550519999999999</v>
      </c>
      <c r="AO137" s="18">
        <v>-46.633308999999997</v>
      </c>
      <c r="AP137" s="9" t="s">
        <v>363</v>
      </c>
      <c r="AQ137" s="9" t="s">
        <v>490</v>
      </c>
      <c r="AR137" s="15">
        <v>2015</v>
      </c>
      <c r="AS137" s="19" t="s">
        <v>482</v>
      </c>
      <c r="AT137" s="20" t="s">
        <v>483</v>
      </c>
      <c r="AU137" s="40">
        <v>1549588</v>
      </c>
      <c r="AV137" s="35">
        <f t="shared" si="25"/>
        <v>6.1902162445502631</v>
      </c>
      <c r="AW137" s="37" t="s">
        <v>366</v>
      </c>
      <c r="AX137" s="34" t="s">
        <v>355</v>
      </c>
      <c r="AY137" s="40">
        <v>1200</v>
      </c>
      <c r="AZ137" s="36">
        <v>33</v>
      </c>
      <c r="BA137" s="14">
        <f t="shared" si="26"/>
        <v>1.5185139398778875</v>
      </c>
      <c r="BB137" s="37" t="s">
        <v>367</v>
      </c>
      <c r="BC137" s="20">
        <v>3.5503801520608322E-2</v>
      </c>
      <c r="BD137" s="9">
        <v>26.1</v>
      </c>
      <c r="BE137" s="9" t="s">
        <v>368</v>
      </c>
      <c r="BF137" s="9">
        <v>0</v>
      </c>
    </row>
    <row r="138" spans="1:58">
      <c r="A138" s="9">
        <v>947</v>
      </c>
      <c r="B138" s="10" t="s">
        <v>76</v>
      </c>
      <c r="C138" s="10" t="s">
        <v>389</v>
      </c>
      <c r="D138" s="20" t="s">
        <v>390</v>
      </c>
      <c r="E138" s="20" t="s">
        <v>404</v>
      </c>
      <c r="F138" s="10" t="s">
        <v>389</v>
      </c>
      <c r="G138" s="20" t="s">
        <v>390</v>
      </c>
      <c r="H138" s="20" t="s">
        <v>404</v>
      </c>
      <c r="I138" s="10" t="s">
        <v>389</v>
      </c>
      <c r="J138" s="20" t="s">
        <v>405</v>
      </c>
      <c r="K138" s="20" t="s">
        <v>406</v>
      </c>
      <c r="L138" s="9" t="s">
        <v>352</v>
      </c>
      <c r="M138" s="9">
        <v>20</v>
      </c>
      <c r="N138" s="9" t="s">
        <v>381</v>
      </c>
      <c r="O138" s="9" t="s">
        <v>354</v>
      </c>
      <c r="P138" s="12">
        <v>40</v>
      </c>
      <c r="Q138" s="12" t="s">
        <v>355</v>
      </c>
      <c r="R138" s="9" t="s">
        <v>356</v>
      </c>
      <c r="S138" s="13" t="s">
        <v>434</v>
      </c>
      <c r="T138" s="13" t="s">
        <v>434</v>
      </c>
      <c r="U138" s="14">
        <f t="shared" si="18"/>
        <v>0.6020599913279624</v>
      </c>
      <c r="V138" s="15">
        <v>27.5</v>
      </c>
      <c r="W138" s="12">
        <v>8.4281590999999985</v>
      </c>
      <c r="X138" s="12">
        <v>0.57999999999999996</v>
      </c>
      <c r="Y138" s="13" t="s">
        <v>355</v>
      </c>
      <c r="Z138" s="9" t="s">
        <v>359</v>
      </c>
      <c r="AA138" s="10" t="s">
        <v>372</v>
      </c>
      <c r="AB138" s="9" t="s">
        <v>355</v>
      </c>
      <c r="AC138" s="15">
        <v>24</v>
      </c>
      <c r="AD138" s="14">
        <f t="shared" si="19"/>
        <v>1.3802112417116059</v>
      </c>
      <c r="AE138" s="10" t="s">
        <v>513</v>
      </c>
      <c r="AF138" s="9" t="s">
        <v>408</v>
      </c>
      <c r="AG138" s="18">
        <v>17.705845</v>
      </c>
      <c r="AH138" s="7">
        <f t="shared" si="20"/>
        <v>1</v>
      </c>
      <c r="AI138" s="7">
        <f t="shared" si="21"/>
        <v>0</v>
      </c>
      <c r="AJ138" s="7">
        <f t="shared" si="22"/>
        <v>0</v>
      </c>
      <c r="AK138" s="7">
        <f t="shared" si="23"/>
        <v>0</v>
      </c>
      <c r="AL138" s="7" t="s">
        <v>4159</v>
      </c>
      <c r="AM138" s="18">
        <f t="shared" si="24"/>
        <v>1.2481166580119585</v>
      </c>
      <c r="AN138" s="18">
        <v>17.705845</v>
      </c>
      <c r="AO138" s="18">
        <v>-64.858515999999995</v>
      </c>
      <c r="AP138" s="9" t="s">
        <v>363</v>
      </c>
      <c r="AQ138" s="9" t="s">
        <v>355</v>
      </c>
      <c r="AR138" s="15">
        <v>1975</v>
      </c>
      <c r="AS138" s="19" t="s">
        <v>514</v>
      </c>
      <c r="AT138" s="20" t="s">
        <v>515</v>
      </c>
      <c r="AU138" s="40">
        <v>11320528</v>
      </c>
      <c r="AV138" s="35">
        <f t="shared" si="25"/>
        <v>7.0538666832249381</v>
      </c>
      <c r="AW138" s="37" t="s">
        <v>338</v>
      </c>
      <c r="AX138" s="40">
        <v>0</v>
      </c>
      <c r="AY138" s="40">
        <v>2200</v>
      </c>
      <c r="AZ138" s="15">
        <v>146</v>
      </c>
      <c r="BA138" s="14">
        <f t="shared" si="26"/>
        <v>2.1643528557844371</v>
      </c>
      <c r="BB138" s="37" t="s">
        <v>367</v>
      </c>
      <c r="BC138" s="20">
        <v>1.1543817527011458E-2</v>
      </c>
      <c r="BD138" s="9">
        <v>31.400000000000002</v>
      </c>
      <c r="BE138" s="9" t="s">
        <v>368</v>
      </c>
      <c r="BF138" s="9">
        <v>0</v>
      </c>
    </row>
    <row r="139" spans="1:58">
      <c r="A139" s="9">
        <v>1035</v>
      </c>
      <c r="B139" s="20" t="s">
        <v>76</v>
      </c>
      <c r="C139" s="20" t="s">
        <v>389</v>
      </c>
      <c r="D139" s="20" t="s">
        <v>390</v>
      </c>
      <c r="E139" s="20" t="s">
        <v>404</v>
      </c>
      <c r="F139" s="20" t="s">
        <v>389</v>
      </c>
      <c r="G139" s="20" t="s">
        <v>390</v>
      </c>
      <c r="H139" s="20" t="s">
        <v>404</v>
      </c>
      <c r="I139" s="20" t="s">
        <v>389</v>
      </c>
      <c r="J139" s="20" t="s">
        <v>405</v>
      </c>
      <c r="K139" s="20" t="s">
        <v>406</v>
      </c>
      <c r="L139" s="9" t="s">
        <v>352</v>
      </c>
      <c r="M139" s="9">
        <v>3</v>
      </c>
      <c r="N139" s="9" t="s">
        <v>353</v>
      </c>
      <c r="O139" s="9" t="s">
        <v>354</v>
      </c>
      <c r="P139" s="12">
        <v>41.702530000000003</v>
      </c>
      <c r="Q139" s="9" t="s">
        <v>355</v>
      </c>
      <c r="R139" s="9" t="s">
        <v>356</v>
      </c>
      <c r="S139" s="9">
        <v>3</v>
      </c>
      <c r="T139" s="9">
        <v>3</v>
      </c>
      <c r="U139" s="14">
        <f t="shared" si="18"/>
        <v>0.6020599913279624</v>
      </c>
      <c r="V139" s="15">
        <v>38</v>
      </c>
      <c r="W139" s="12">
        <v>8.4903896000000039</v>
      </c>
      <c r="X139" s="9" t="s">
        <v>355</v>
      </c>
      <c r="Y139" s="13" t="s">
        <v>401</v>
      </c>
      <c r="Z139" s="9" t="s">
        <v>359</v>
      </c>
      <c r="AA139" s="10" t="s">
        <v>372</v>
      </c>
      <c r="AB139" s="9" t="s">
        <v>355</v>
      </c>
      <c r="AC139" s="15">
        <v>57</v>
      </c>
      <c r="AD139" s="14">
        <f t="shared" si="19"/>
        <v>1.7558748556724915</v>
      </c>
      <c r="AE139" s="10" t="s">
        <v>407</v>
      </c>
      <c r="AF139" s="9" t="s">
        <v>408</v>
      </c>
      <c r="AG139" s="18">
        <v>9.1521019999999993</v>
      </c>
      <c r="AH139" s="7">
        <f t="shared" si="20"/>
        <v>0</v>
      </c>
      <c r="AI139" s="7">
        <f t="shared" si="21"/>
        <v>0</v>
      </c>
      <c r="AJ139" s="7">
        <f t="shared" si="22"/>
        <v>0</v>
      </c>
      <c r="AK139" s="7">
        <f t="shared" si="23"/>
        <v>0</v>
      </c>
      <c r="AL139" s="7" t="s">
        <v>4160</v>
      </c>
      <c r="AM139" s="18">
        <f t="shared" si="24"/>
        <v>0.96152085167953272</v>
      </c>
      <c r="AN139" s="18">
        <v>9.1521019999999993</v>
      </c>
      <c r="AO139" s="18">
        <v>-79.84648</v>
      </c>
      <c r="AP139" s="9" t="s">
        <v>363</v>
      </c>
      <c r="AQ139" s="9" t="s">
        <v>355</v>
      </c>
      <c r="AR139" s="9">
        <v>1962</v>
      </c>
      <c r="AS139" s="10" t="s">
        <v>374</v>
      </c>
      <c r="AT139" s="20" t="s">
        <v>375</v>
      </c>
      <c r="AU139" s="39">
        <v>11320528</v>
      </c>
      <c r="AV139" s="35">
        <f t="shared" si="25"/>
        <v>7.0538666832249381</v>
      </c>
      <c r="AW139" s="37" t="s">
        <v>338</v>
      </c>
      <c r="AX139" s="40">
        <v>0</v>
      </c>
      <c r="AY139" s="40">
        <v>2200</v>
      </c>
      <c r="AZ139" s="15">
        <v>146</v>
      </c>
      <c r="BA139" s="14">
        <f t="shared" si="26"/>
        <v>2.1643528557844371</v>
      </c>
      <c r="BB139" s="37" t="s">
        <v>367</v>
      </c>
      <c r="BC139" s="20">
        <v>6.6782713085232533E-3</v>
      </c>
      <c r="BD139" s="9">
        <v>31.400000000000002</v>
      </c>
      <c r="BE139" s="9" t="s">
        <v>368</v>
      </c>
      <c r="BF139" s="9">
        <v>0</v>
      </c>
    </row>
    <row r="140" spans="1:58">
      <c r="A140" s="9">
        <v>37</v>
      </c>
      <c r="B140" s="10" t="s">
        <v>76</v>
      </c>
      <c r="C140" s="10" t="s">
        <v>516</v>
      </c>
      <c r="D140" s="20" t="s">
        <v>517</v>
      </c>
      <c r="E140" s="20" t="s">
        <v>518</v>
      </c>
      <c r="F140" s="10" t="s">
        <v>516</v>
      </c>
      <c r="G140" s="20" t="s">
        <v>517</v>
      </c>
      <c r="H140" s="20" t="s">
        <v>518</v>
      </c>
      <c r="I140" s="10" t="s">
        <v>516</v>
      </c>
      <c r="J140" s="20" t="s">
        <v>517</v>
      </c>
      <c r="K140" s="20" t="s">
        <v>518</v>
      </c>
      <c r="L140" s="9" t="s">
        <v>380</v>
      </c>
      <c r="M140" s="9">
        <v>15</v>
      </c>
      <c r="N140" s="9" t="s">
        <v>381</v>
      </c>
      <c r="O140" s="9" t="s">
        <v>382</v>
      </c>
      <c r="P140" s="12">
        <v>38.200000000000003</v>
      </c>
      <c r="Q140" s="12" t="s">
        <v>355</v>
      </c>
      <c r="R140" s="9" t="s">
        <v>356</v>
      </c>
      <c r="S140" s="13">
        <v>4</v>
      </c>
      <c r="T140" s="13">
        <v>4</v>
      </c>
      <c r="U140" s="14">
        <f t="shared" si="18"/>
        <v>0.69897000433601886</v>
      </c>
      <c r="V140" s="15">
        <v>20</v>
      </c>
      <c r="W140" s="12"/>
      <c r="X140" s="12">
        <v>1</v>
      </c>
      <c r="Y140" s="13" t="s">
        <v>358</v>
      </c>
      <c r="Z140" s="9" t="s">
        <v>417</v>
      </c>
      <c r="AA140" s="10" t="s">
        <v>418</v>
      </c>
      <c r="AB140" s="9" t="s">
        <v>355</v>
      </c>
      <c r="AC140" s="15">
        <v>1756</v>
      </c>
      <c r="AD140" s="14">
        <f t="shared" si="19"/>
        <v>3.2445245115700838</v>
      </c>
      <c r="AE140" s="10" t="s">
        <v>519</v>
      </c>
      <c r="AF140" s="9" t="s">
        <v>420</v>
      </c>
      <c r="AG140" s="18">
        <v>37.378830999999998</v>
      </c>
      <c r="AH140" s="7">
        <f t="shared" si="20"/>
        <v>1</v>
      </c>
      <c r="AI140" s="7">
        <f t="shared" si="21"/>
        <v>1</v>
      </c>
      <c r="AJ140" s="7">
        <f t="shared" si="22"/>
        <v>0</v>
      </c>
      <c r="AK140" s="7">
        <f t="shared" si="23"/>
        <v>0</v>
      </c>
      <c r="AL140" s="7" t="s">
        <v>4157</v>
      </c>
      <c r="AM140" s="18">
        <f t="shared" si="24"/>
        <v>1.5726257149618044</v>
      </c>
      <c r="AN140" s="18">
        <v>37.378830999999998</v>
      </c>
      <c r="AO140" s="18">
        <v>-2.8584580000000002</v>
      </c>
      <c r="AP140" s="9" t="s">
        <v>363</v>
      </c>
      <c r="AQ140" s="9" t="s">
        <v>355</v>
      </c>
      <c r="AR140" s="15">
        <v>2012</v>
      </c>
      <c r="AS140" s="19" t="s">
        <v>520</v>
      </c>
      <c r="AT140" s="20" t="s">
        <v>521</v>
      </c>
      <c r="AU140" s="40">
        <v>166791</v>
      </c>
      <c r="AV140" s="35">
        <f t="shared" si="25"/>
        <v>5.2221726125140098</v>
      </c>
      <c r="AW140" s="37" t="s">
        <v>366</v>
      </c>
      <c r="AX140" s="40">
        <v>100</v>
      </c>
      <c r="AY140" s="40">
        <v>1300</v>
      </c>
      <c r="AZ140" s="36">
        <v>33</v>
      </c>
      <c r="BA140" s="14">
        <f t="shared" si="26"/>
        <v>1.5185139398778875</v>
      </c>
      <c r="BB140" s="37" t="s">
        <v>388</v>
      </c>
      <c r="BC140" s="20">
        <v>3.0292917166866652E-2</v>
      </c>
      <c r="BD140" s="9">
        <v>28.8</v>
      </c>
      <c r="BE140" s="9" t="s">
        <v>459</v>
      </c>
      <c r="BF140" s="9">
        <v>1</v>
      </c>
    </row>
    <row r="141" spans="1:58">
      <c r="A141" s="9">
        <v>38</v>
      </c>
      <c r="B141" s="10" t="s">
        <v>76</v>
      </c>
      <c r="C141" s="10" t="s">
        <v>516</v>
      </c>
      <c r="D141" s="20" t="s">
        <v>517</v>
      </c>
      <c r="E141" s="20" t="s">
        <v>522</v>
      </c>
      <c r="F141" s="10" t="s">
        <v>516</v>
      </c>
      <c r="G141" s="20" t="s">
        <v>517</v>
      </c>
      <c r="H141" s="20" t="s">
        <v>522</v>
      </c>
      <c r="I141" s="10" t="s">
        <v>516</v>
      </c>
      <c r="J141" s="20" t="s">
        <v>517</v>
      </c>
      <c r="K141" s="20" t="s">
        <v>522</v>
      </c>
      <c r="L141" s="9" t="s">
        <v>380</v>
      </c>
      <c r="M141" s="9">
        <v>15</v>
      </c>
      <c r="N141" s="9" t="s">
        <v>381</v>
      </c>
      <c r="O141" s="9" t="s">
        <v>382</v>
      </c>
      <c r="P141" s="12">
        <v>37.6</v>
      </c>
      <c r="Q141" s="12" t="s">
        <v>355</v>
      </c>
      <c r="R141" s="9" t="s">
        <v>356</v>
      </c>
      <c r="S141" s="13">
        <v>4</v>
      </c>
      <c r="T141" s="13">
        <v>4</v>
      </c>
      <c r="U141" s="14">
        <f t="shared" si="18"/>
        <v>0.69897000433601886</v>
      </c>
      <c r="V141" s="15">
        <v>20</v>
      </c>
      <c r="W141" s="12"/>
      <c r="X141" s="12">
        <v>1</v>
      </c>
      <c r="Y141" s="13" t="s">
        <v>358</v>
      </c>
      <c r="Z141" s="9" t="s">
        <v>417</v>
      </c>
      <c r="AA141" s="10" t="s">
        <v>418</v>
      </c>
      <c r="AB141" s="9" t="s">
        <v>355</v>
      </c>
      <c r="AC141" s="15">
        <v>1756</v>
      </c>
      <c r="AD141" s="14">
        <f t="shared" si="19"/>
        <v>3.2445245115700838</v>
      </c>
      <c r="AE141" s="10" t="s">
        <v>519</v>
      </c>
      <c r="AF141" s="9" t="s">
        <v>420</v>
      </c>
      <c r="AG141" s="18">
        <v>37.378830999999998</v>
      </c>
      <c r="AH141" s="7">
        <f t="shared" si="20"/>
        <v>1</v>
      </c>
      <c r="AI141" s="7">
        <f t="shared" si="21"/>
        <v>1</v>
      </c>
      <c r="AJ141" s="7">
        <f t="shared" si="22"/>
        <v>0</v>
      </c>
      <c r="AK141" s="7">
        <f t="shared" si="23"/>
        <v>0</v>
      </c>
      <c r="AL141" s="7" t="s">
        <v>4157</v>
      </c>
      <c r="AM141" s="18">
        <f t="shared" si="24"/>
        <v>1.5726257149618044</v>
      </c>
      <c r="AN141" s="18">
        <v>37.378830999999998</v>
      </c>
      <c r="AO141" s="18">
        <v>-2.8584580000000002</v>
      </c>
      <c r="AP141" s="9" t="s">
        <v>363</v>
      </c>
      <c r="AQ141" s="9" t="s">
        <v>355</v>
      </c>
      <c r="AR141" s="15">
        <v>2012</v>
      </c>
      <c r="AS141" s="19" t="s">
        <v>520</v>
      </c>
      <c r="AT141" s="20" t="s">
        <v>521</v>
      </c>
      <c r="AU141" s="40">
        <v>30769</v>
      </c>
      <c r="AV141" s="35">
        <f t="shared" si="25"/>
        <v>4.4881133818002965</v>
      </c>
      <c r="AW141" s="37" t="s">
        <v>366</v>
      </c>
      <c r="AX141" s="40">
        <v>700</v>
      </c>
      <c r="AY141" s="40">
        <v>2140</v>
      </c>
      <c r="AZ141" s="36">
        <v>55</v>
      </c>
      <c r="BA141" s="14">
        <f t="shared" si="26"/>
        <v>1.7403626894942439</v>
      </c>
      <c r="BB141" s="37" t="s">
        <v>388</v>
      </c>
      <c r="BC141" s="20">
        <v>3.0292917166866652E-2</v>
      </c>
      <c r="BD141" s="9">
        <v>28.8</v>
      </c>
      <c r="BE141" s="9" t="s">
        <v>459</v>
      </c>
      <c r="BF141" s="9">
        <v>1</v>
      </c>
    </row>
    <row r="142" spans="1:58">
      <c r="A142" s="9">
        <v>39</v>
      </c>
      <c r="B142" s="10" t="s">
        <v>76</v>
      </c>
      <c r="C142" s="10" t="s">
        <v>516</v>
      </c>
      <c r="D142" s="20" t="s">
        <v>517</v>
      </c>
      <c r="E142" s="20" t="s">
        <v>523</v>
      </c>
      <c r="F142" s="10" t="s">
        <v>516</v>
      </c>
      <c r="G142" s="20" t="s">
        <v>517</v>
      </c>
      <c r="H142" s="20" t="s">
        <v>523</v>
      </c>
      <c r="I142" s="10" t="s">
        <v>516</v>
      </c>
      <c r="J142" s="20" t="s">
        <v>517</v>
      </c>
      <c r="K142" s="20" t="s">
        <v>523</v>
      </c>
      <c r="L142" s="9" t="s">
        <v>380</v>
      </c>
      <c r="M142" s="9">
        <v>15</v>
      </c>
      <c r="N142" s="9" t="s">
        <v>381</v>
      </c>
      <c r="O142" s="9" t="s">
        <v>382</v>
      </c>
      <c r="P142" s="12">
        <v>38.200000000000003</v>
      </c>
      <c r="Q142" s="12" t="s">
        <v>355</v>
      </c>
      <c r="R142" s="9" t="s">
        <v>356</v>
      </c>
      <c r="S142" s="13">
        <v>4</v>
      </c>
      <c r="T142" s="13">
        <v>4</v>
      </c>
      <c r="U142" s="14">
        <f t="shared" si="18"/>
        <v>0.69897000433601886</v>
      </c>
      <c r="V142" s="15">
        <v>20</v>
      </c>
      <c r="W142" s="12"/>
      <c r="X142" s="12">
        <v>1</v>
      </c>
      <c r="Y142" s="13" t="s">
        <v>358</v>
      </c>
      <c r="Z142" s="9" t="s">
        <v>417</v>
      </c>
      <c r="AA142" s="10" t="s">
        <v>418</v>
      </c>
      <c r="AB142" s="9" t="s">
        <v>355</v>
      </c>
      <c r="AC142" s="15">
        <v>1756</v>
      </c>
      <c r="AD142" s="14">
        <f t="shared" si="19"/>
        <v>3.2445245115700838</v>
      </c>
      <c r="AE142" s="10" t="s">
        <v>519</v>
      </c>
      <c r="AF142" s="9" t="s">
        <v>420</v>
      </c>
      <c r="AG142" s="18">
        <v>37.378830999999998</v>
      </c>
      <c r="AH142" s="7">
        <f t="shared" si="20"/>
        <v>1</v>
      </c>
      <c r="AI142" s="7">
        <f t="shared" si="21"/>
        <v>1</v>
      </c>
      <c r="AJ142" s="7">
        <f t="shared" si="22"/>
        <v>0</v>
      </c>
      <c r="AK142" s="7">
        <f t="shared" si="23"/>
        <v>0</v>
      </c>
      <c r="AL142" s="7" t="s">
        <v>4157</v>
      </c>
      <c r="AM142" s="18">
        <f t="shared" si="24"/>
        <v>1.5726257149618044</v>
      </c>
      <c r="AN142" s="18">
        <v>37.378830999999998</v>
      </c>
      <c r="AO142" s="18">
        <v>-2.8584580000000002</v>
      </c>
      <c r="AP142" s="9" t="s">
        <v>363</v>
      </c>
      <c r="AQ142" s="9" t="s">
        <v>355</v>
      </c>
      <c r="AR142" s="15">
        <v>2012</v>
      </c>
      <c r="AS142" s="19" t="s">
        <v>520</v>
      </c>
      <c r="AT142" s="20" t="s">
        <v>521</v>
      </c>
      <c r="AU142" s="40">
        <v>366</v>
      </c>
      <c r="AV142" s="35">
        <f t="shared" si="25"/>
        <v>2.5634810853944106</v>
      </c>
      <c r="AW142" s="37" t="s">
        <v>366</v>
      </c>
      <c r="AX142" s="40">
        <v>10</v>
      </c>
      <c r="AY142" s="40">
        <v>850</v>
      </c>
      <c r="AZ142" s="36">
        <v>33</v>
      </c>
      <c r="BA142" s="14">
        <f t="shared" si="26"/>
        <v>1.5185139398778875</v>
      </c>
      <c r="BB142" s="37" t="s">
        <v>388</v>
      </c>
      <c r="BC142" s="20">
        <v>3.0292917166866652E-2</v>
      </c>
      <c r="BD142" s="9">
        <v>28.8</v>
      </c>
      <c r="BE142" s="9" t="s">
        <v>459</v>
      </c>
      <c r="BF142" s="9">
        <v>1</v>
      </c>
    </row>
    <row r="143" spans="1:58">
      <c r="A143" s="9">
        <v>775</v>
      </c>
      <c r="B143" s="10" t="s">
        <v>348</v>
      </c>
      <c r="C143" s="10" t="s">
        <v>377</v>
      </c>
      <c r="D143" s="20" t="s">
        <v>378</v>
      </c>
      <c r="E143" s="20" t="s">
        <v>379</v>
      </c>
      <c r="F143" s="10" t="s">
        <v>377</v>
      </c>
      <c r="G143" s="20" t="s">
        <v>378</v>
      </c>
      <c r="H143" s="20" t="s">
        <v>379</v>
      </c>
      <c r="I143" s="10" t="s">
        <v>377</v>
      </c>
      <c r="J143" s="20" t="s">
        <v>378</v>
      </c>
      <c r="K143" s="20" t="s">
        <v>379</v>
      </c>
      <c r="L143" s="9" t="s">
        <v>380</v>
      </c>
      <c r="M143" s="9">
        <v>15</v>
      </c>
      <c r="N143" s="9" t="s">
        <v>381</v>
      </c>
      <c r="O143" s="9" t="s">
        <v>382</v>
      </c>
      <c r="P143" s="12">
        <v>33.558295999999999</v>
      </c>
      <c r="Q143" s="12" t="s">
        <v>355</v>
      </c>
      <c r="R143" s="9" t="s">
        <v>356</v>
      </c>
      <c r="S143" s="13" t="s">
        <v>524</v>
      </c>
      <c r="T143" s="13" t="s">
        <v>524</v>
      </c>
      <c r="U143" s="14">
        <f t="shared" si="18"/>
        <v>0.69897000433601886</v>
      </c>
      <c r="V143" s="15">
        <v>1.8</v>
      </c>
      <c r="W143" s="12"/>
      <c r="X143" s="12">
        <v>1</v>
      </c>
      <c r="Y143" s="13" t="s">
        <v>384</v>
      </c>
      <c r="Z143" s="9" t="s">
        <v>359</v>
      </c>
      <c r="AA143" s="10" t="s">
        <v>372</v>
      </c>
      <c r="AB143" s="9" t="s">
        <v>355</v>
      </c>
      <c r="AC143" s="15">
        <v>689</v>
      </c>
      <c r="AD143" s="14">
        <f t="shared" si="19"/>
        <v>2.8382192219076257</v>
      </c>
      <c r="AE143" s="10" t="s">
        <v>385</v>
      </c>
      <c r="AF143" s="9" t="s">
        <v>362</v>
      </c>
      <c r="AG143" s="18">
        <v>40.841022000000002</v>
      </c>
      <c r="AH143" s="7">
        <f t="shared" si="20"/>
        <v>1</v>
      </c>
      <c r="AI143" s="7">
        <f t="shared" si="21"/>
        <v>1</v>
      </c>
      <c r="AJ143" s="7">
        <f t="shared" si="22"/>
        <v>0</v>
      </c>
      <c r="AK143" s="7">
        <f t="shared" si="23"/>
        <v>0</v>
      </c>
      <c r="AL143" s="7" t="s">
        <v>4157</v>
      </c>
      <c r="AM143" s="18">
        <f t="shared" si="24"/>
        <v>1.6110966012749866</v>
      </c>
      <c r="AN143" s="18">
        <v>40.841022000000002</v>
      </c>
      <c r="AO143" s="18">
        <v>-99.101349999999996</v>
      </c>
      <c r="AP143" s="9" t="s">
        <v>363</v>
      </c>
      <c r="AQ143" s="9" t="s">
        <v>355</v>
      </c>
      <c r="AR143" s="15">
        <v>1980</v>
      </c>
      <c r="AS143" s="19" t="s">
        <v>386</v>
      </c>
      <c r="AT143" s="20" t="s">
        <v>387</v>
      </c>
      <c r="AU143" s="34">
        <v>4317635</v>
      </c>
      <c r="AV143" s="35">
        <f t="shared" si="25"/>
        <v>6.6352459255882987</v>
      </c>
      <c r="AW143" s="36" t="s">
        <v>366</v>
      </c>
      <c r="AX143" s="34">
        <v>0</v>
      </c>
      <c r="AY143" s="34">
        <v>3660</v>
      </c>
      <c r="AZ143" s="36">
        <v>265</v>
      </c>
      <c r="BA143" s="14">
        <f t="shared" si="26"/>
        <v>2.4232458739368079</v>
      </c>
      <c r="BB143" s="36" t="s">
        <v>388</v>
      </c>
      <c r="BC143" s="20">
        <v>2.1618647458982974E-2</v>
      </c>
      <c r="BD143" s="9">
        <v>31</v>
      </c>
      <c r="BE143" s="9" t="s">
        <v>368</v>
      </c>
      <c r="BF143" s="9">
        <v>0</v>
      </c>
    </row>
    <row r="144" spans="1:58">
      <c r="A144" s="9">
        <v>771</v>
      </c>
      <c r="B144" s="10" t="s">
        <v>348</v>
      </c>
      <c r="C144" s="10" t="s">
        <v>377</v>
      </c>
      <c r="D144" s="20" t="s">
        <v>378</v>
      </c>
      <c r="E144" s="20" t="s">
        <v>379</v>
      </c>
      <c r="F144" s="10" t="s">
        <v>377</v>
      </c>
      <c r="G144" s="20" t="s">
        <v>378</v>
      </c>
      <c r="H144" s="20" t="s">
        <v>379</v>
      </c>
      <c r="I144" s="10" t="s">
        <v>377</v>
      </c>
      <c r="J144" s="20" t="s">
        <v>378</v>
      </c>
      <c r="K144" s="20" t="s">
        <v>379</v>
      </c>
      <c r="L144" s="9" t="s">
        <v>380</v>
      </c>
      <c r="M144" s="9">
        <v>15</v>
      </c>
      <c r="N144" s="9" t="s">
        <v>381</v>
      </c>
      <c r="O144" s="9" t="s">
        <v>382</v>
      </c>
      <c r="P144" s="12">
        <v>38.488506000000001</v>
      </c>
      <c r="Q144" s="12" t="s">
        <v>355</v>
      </c>
      <c r="R144" s="9" t="s">
        <v>356</v>
      </c>
      <c r="S144" s="13" t="s">
        <v>524</v>
      </c>
      <c r="T144" s="13" t="s">
        <v>524</v>
      </c>
      <c r="U144" s="14">
        <f t="shared" si="18"/>
        <v>0.69897000433601886</v>
      </c>
      <c r="V144" s="15">
        <v>27.9</v>
      </c>
      <c r="W144" s="12"/>
      <c r="X144" s="12">
        <v>1</v>
      </c>
      <c r="Y144" s="13" t="s">
        <v>384</v>
      </c>
      <c r="Z144" s="9" t="s">
        <v>359</v>
      </c>
      <c r="AA144" s="10" t="s">
        <v>372</v>
      </c>
      <c r="AB144" s="9" t="s">
        <v>355</v>
      </c>
      <c r="AC144" s="15">
        <v>689</v>
      </c>
      <c r="AD144" s="14">
        <f t="shared" si="19"/>
        <v>2.8382192219076257</v>
      </c>
      <c r="AE144" s="10" t="s">
        <v>385</v>
      </c>
      <c r="AF144" s="9" t="s">
        <v>362</v>
      </c>
      <c r="AG144" s="18">
        <v>40.841022000000002</v>
      </c>
      <c r="AH144" s="7">
        <f t="shared" si="20"/>
        <v>1</v>
      </c>
      <c r="AI144" s="7">
        <f t="shared" si="21"/>
        <v>1</v>
      </c>
      <c r="AJ144" s="7">
        <f t="shared" si="22"/>
        <v>0</v>
      </c>
      <c r="AK144" s="7">
        <f t="shared" si="23"/>
        <v>0</v>
      </c>
      <c r="AL144" s="7" t="s">
        <v>4157</v>
      </c>
      <c r="AM144" s="18">
        <f t="shared" si="24"/>
        <v>1.6110966012749866</v>
      </c>
      <c r="AN144" s="18">
        <v>40.841022000000002</v>
      </c>
      <c r="AO144" s="18">
        <v>-99.101349999999996</v>
      </c>
      <c r="AP144" s="9" t="s">
        <v>363</v>
      </c>
      <c r="AQ144" s="9" t="s">
        <v>355</v>
      </c>
      <c r="AR144" s="15">
        <v>1980</v>
      </c>
      <c r="AS144" s="19" t="s">
        <v>386</v>
      </c>
      <c r="AT144" s="20" t="s">
        <v>387</v>
      </c>
      <c r="AU144" s="34">
        <v>4317635</v>
      </c>
      <c r="AV144" s="35">
        <f t="shared" si="25"/>
        <v>6.6352459255882987</v>
      </c>
      <c r="AW144" s="36" t="s">
        <v>366</v>
      </c>
      <c r="AX144" s="34">
        <v>0</v>
      </c>
      <c r="AY144" s="34">
        <v>3660</v>
      </c>
      <c r="AZ144" s="36">
        <v>265</v>
      </c>
      <c r="BA144" s="14">
        <f t="shared" si="26"/>
        <v>2.4232458739368079</v>
      </c>
      <c r="BB144" s="36" t="s">
        <v>388</v>
      </c>
      <c r="BC144" s="20">
        <v>2.1618647458982974E-2</v>
      </c>
      <c r="BD144" s="9">
        <v>31</v>
      </c>
      <c r="BE144" s="9" t="s">
        <v>368</v>
      </c>
      <c r="BF144" s="9">
        <v>0</v>
      </c>
    </row>
    <row r="145" spans="1:58">
      <c r="A145" s="9">
        <v>497</v>
      </c>
      <c r="B145" s="10" t="s">
        <v>76</v>
      </c>
      <c r="C145" s="10" t="s">
        <v>389</v>
      </c>
      <c r="D145" s="20" t="s">
        <v>390</v>
      </c>
      <c r="E145" s="20" t="s">
        <v>435</v>
      </c>
      <c r="F145" s="10" t="s">
        <v>389</v>
      </c>
      <c r="G145" s="20" t="s">
        <v>390</v>
      </c>
      <c r="H145" s="20" t="s">
        <v>435</v>
      </c>
      <c r="I145" s="10" t="s">
        <v>389</v>
      </c>
      <c r="J145" s="20" t="s">
        <v>392</v>
      </c>
      <c r="K145" s="20" t="s">
        <v>435</v>
      </c>
      <c r="L145" s="9" t="s">
        <v>380</v>
      </c>
      <c r="M145" s="9">
        <v>10</v>
      </c>
      <c r="N145" s="9" t="s">
        <v>381</v>
      </c>
      <c r="O145" s="9" t="s">
        <v>382</v>
      </c>
      <c r="P145" s="12">
        <v>38.706719999999997</v>
      </c>
      <c r="Q145" s="12" t="s">
        <v>355</v>
      </c>
      <c r="R145" s="9" t="s">
        <v>356</v>
      </c>
      <c r="S145" s="13">
        <v>4</v>
      </c>
      <c r="T145" s="13">
        <v>4</v>
      </c>
      <c r="U145" s="14">
        <f t="shared" si="18"/>
        <v>0.69897000433601886</v>
      </c>
      <c r="V145" s="15">
        <v>20</v>
      </c>
      <c r="W145" s="12"/>
      <c r="X145" s="12">
        <v>0.7</v>
      </c>
      <c r="Y145" s="13" t="s">
        <v>358</v>
      </c>
      <c r="Z145" s="9" t="s">
        <v>359</v>
      </c>
      <c r="AA145" s="10" t="s">
        <v>436</v>
      </c>
      <c r="AB145" s="9" t="s">
        <v>355</v>
      </c>
      <c r="AC145" s="15">
        <v>213</v>
      </c>
      <c r="AD145" s="14">
        <f t="shared" si="19"/>
        <v>2.3283796034387376</v>
      </c>
      <c r="AE145" s="10" t="s">
        <v>437</v>
      </c>
      <c r="AF145" s="9" t="s">
        <v>420</v>
      </c>
      <c r="AG145" s="18">
        <v>34.683438000000002</v>
      </c>
      <c r="AH145" s="7">
        <f t="shared" si="20"/>
        <v>1</v>
      </c>
      <c r="AI145" s="7">
        <f t="shared" si="21"/>
        <v>1</v>
      </c>
      <c r="AJ145" s="7">
        <f t="shared" si="22"/>
        <v>0</v>
      </c>
      <c r="AK145" s="7">
        <f t="shared" si="23"/>
        <v>0</v>
      </c>
      <c r="AL145" s="7" t="s">
        <v>4157</v>
      </c>
      <c r="AM145" s="18">
        <f t="shared" si="24"/>
        <v>1.5401221404311698</v>
      </c>
      <c r="AN145" s="18">
        <v>34.683438000000002</v>
      </c>
      <c r="AO145" s="18">
        <v>-82.837365000000005</v>
      </c>
      <c r="AP145" s="9" t="s">
        <v>363</v>
      </c>
      <c r="AQ145" s="9" t="s">
        <v>525</v>
      </c>
      <c r="AR145" s="15">
        <v>1980</v>
      </c>
      <c r="AS145" s="19" t="s">
        <v>439</v>
      </c>
      <c r="AT145" s="20" t="s">
        <v>440</v>
      </c>
      <c r="AU145" s="40">
        <v>5638611</v>
      </c>
      <c r="AV145" s="35">
        <f t="shared" si="25"/>
        <v>6.7511721342441762</v>
      </c>
      <c r="AW145" s="37" t="s">
        <v>366</v>
      </c>
      <c r="AX145" s="34" t="s">
        <v>355</v>
      </c>
      <c r="AY145" s="40" t="s">
        <v>355</v>
      </c>
      <c r="AZ145" s="36">
        <v>113</v>
      </c>
      <c r="BA145" s="14">
        <f t="shared" si="26"/>
        <v>2.0530784434834195</v>
      </c>
      <c r="BB145" s="37" t="s">
        <v>367</v>
      </c>
      <c r="BC145" s="20">
        <v>1.137454981992851E-2</v>
      </c>
      <c r="BD145" s="9">
        <v>32</v>
      </c>
      <c r="BE145" s="9" t="s">
        <v>368</v>
      </c>
      <c r="BF145" s="9">
        <v>0</v>
      </c>
    </row>
    <row r="146" spans="1:58">
      <c r="A146" s="9">
        <v>498</v>
      </c>
      <c r="B146" s="10" t="s">
        <v>76</v>
      </c>
      <c r="C146" s="10" t="s">
        <v>389</v>
      </c>
      <c r="D146" s="20" t="s">
        <v>390</v>
      </c>
      <c r="E146" s="20" t="s">
        <v>435</v>
      </c>
      <c r="F146" s="10" t="s">
        <v>389</v>
      </c>
      <c r="G146" s="20" t="s">
        <v>390</v>
      </c>
      <c r="H146" s="20" t="s">
        <v>435</v>
      </c>
      <c r="I146" s="10" t="s">
        <v>389</v>
      </c>
      <c r="J146" s="20" t="s">
        <v>392</v>
      </c>
      <c r="K146" s="20" t="s">
        <v>435</v>
      </c>
      <c r="L146" s="9" t="s">
        <v>380</v>
      </c>
      <c r="M146" s="9">
        <v>10</v>
      </c>
      <c r="N146" s="9" t="s">
        <v>381</v>
      </c>
      <c r="O146" s="9" t="s">
        <v>382</v>
      </c>
      <c r="P146" s="12">
        <v>39.24671</v>
      </c>
      <c r="Q146" s="12" t="s">
        <v>355</v>
      </c>
      <c r="R146" s="9" t="s">
        <v>356</v>
      </c>
      <c r="S146" s="13">
        <v>4</v>
      </c>
      <c r="T146" s="13">
        <v>4</v>
      </c>
      <c r="U146" s="14">
        <f t="shared" si="18"/>
        <v>0.69897000433601886</v>
      </c>
      <c r="V146" s="15">
        <v>20</v>
      </c>
      <c r="W146" s="12"/>
      <c r="X146" s="12">
        <v>0.7</v>
      </c>
      <c r="Y146" s="13" t="s">
        <v>358</v>
      </c>
      <c r="Z146" s="9" t="s">
        <v>359</v>
      </c>
      <c r="AA146" s="10" t="s">
        <v>436</v>
      </c>
      <c r="AB146" s="9" t="s">
        <v>355</v>
      </c>
      <c r="AC146" s="15">
        <v>213</v>
      </c>
      <c r="AD146" s="14">
        <f t="shared" si="19"/>
        <v>2.3283796034387376</v>
      </c>
      <c r="AE146" s="10" t="s">
        <v>437</v>
      </c>
      <c r="AF146" s="9" t="s">
        <v>420</v>
      </c>
      <c r="AG146" s="18">
        <v>34.683438000000002</v>
      </c>
      <c r="AH146" s="7">
        <f t="shared" si="20"/>
        <v>1</v>
      </c>
      <c r="AI146" s="7">
        <f t="shared" si="21"/>
        <v>1</v>
      </c>
      <c r="AJ146" s="7">
        <f t="shared" si="22"/>
        <v>0</v>
      </c>
      <c r="AK146" s="7">
        <f t="shared" si="23"/>
        <v>0</v>
      </c>
      <c r="AL146" s="7" t="s">
        <v>4157</v>
      </c>
      <c r="AM146" s="18">
        <f t="shared" si="24"/>
        <v>1.5401221404311698</v>
      </c>
      <c r="AN146" s="18">
        <v>34.683438000000002</v>
      </c>
      <c r="AO146" s="18">
        <v>-82.837365000000005</v>
      </c>
      <c r="AP146" s="9" t="s">
        <v>363</v>
      </c>
      <c r="AQ146" s="9" t="s">
        <v>438</v>
      </c>
      <c r="AR146" s="15">
        <v>1980</v>
      </c>
      <c r="AS146" s="19" t="s">
        <v>439</v>
      </c>
      <c r="AT146" s="20" t="s">
        <v>440</v>
      </c>
      <c r="AU146" s="40">
        <v>5638611</v>
      </c>
      <c r="AV146" s="35">
        <f t="shared" si="25"/>
        <v>6.7511721342441762</v>
      </c>
      <c r="AW146" s="37" t="s">
        <v>366</v>
      </c>
      <c r="AX146" s="34" t="s">
        <v>355</v>
      </c>
      <c r="AY146" s="40" t="s">
        <v>355</v>
      </c>
      <c r="AZ146" s="36">
        <v>113</v>
      </c>
      <c r="BA146" s="14">
        <f t="shared" si="26"/>
        <v>2.0530784434834195</v>
      </c>
      <c r="BB146" s="37" t="s">
        <v>367</v>
      </c>
      <c r="BC146" s="20">
        <v>1.137454981992851E-2</v>
      </c>
      <c r="BD146" s="9">
        <v>32</v>
      </c>
      <c r="BE146" s="9" t="s">
        <v>368</v>
      </c>
      <c r="BF146" s="9">
        <v>0</v>
      </c>
    </row>
    <row r="147" spans="1:58">
      <c r="A147" s="9">
        <v>496</v>
      </c>
      <c r="B147" s="10" t="s">
        <v>76</v>
      </c>
      <c r="C147" s="10" t="s">
        <v>389</v>
      </c>
      <c r="D147" s="20" t="s">
        <v>390</v>
      </c>
      <c r="E147" s="20" t="s">
        <v>435</v>
      </c>
      <c r="F147" s="10" t="s">
        <v>389</v>
      </c>
      <c r="G147" s="20" t="s">
        <v>390</v>
      </c>
      <c r="H147" s="20" t="s">
        <v>435</v>
      </c>
      <c r="I147" s="10" t="s">
        <v>389</v>
      </c>
      <c r="J147" s="20" t="s">
        <v>392</v>
      </c>
      <c r="K147" s="20" t="s">
        <v>435</v>
      </c>
      <c r="L147" s="9" t="s">
        <v>380</v>
      </c>
      <c r="M147" s="9">
        <v>10</v>
      </c>
      <c r="N147" s="9" t="s">
        <v>381</v>
      </c>
      <c r="O147" s="9" t="s">
        <v>382</v>
      </c>
      <c r="P147" s="12">
        <v>39.98151</v>
      </c>
      <c r="Q147" s="12" t="s">
        <v>355</v>
      </c>
      <c r="R147" s="9" t="s">
        <v>356</v>
      </c>
      <c r="S147" s="13">
        <v>4</v>
      </c>
      <c r="T147" s="13">
        <v>4</v>
      </c>
      <c r="U147" s="14">
        <f t="shared" si="18"/>
        <v>0.69897000433601886</v>
      </c>
      <c r="V147" s="15">
        <v>20</v>
      </c>
      <c r="W147" s="12"/>
      <c r="X147" s="12">
        <v>0.7</v>
      </c>
      <c r="Y147" s="13" t="s">
        <v>358</v>
      </c>
      <c r="Z147" s="9" t="s">
        <v>359</v>
      </c>
      <c r="AA147" s="10" t="s">
        <v>436</v>
      </c>
      <c r="AB147" s="9" t="s">
        <v>355</v>
      </c>
      <c r="AC147" s="15">
        <v>213</v>
      </c>
      <c r="AD147" s="14">
        <f t="shared" si="19"/>
        <v>2.3283796034387376</v>
      </c>
      <c r="AE147" s="10" t="s">
        <v>437</v>
      </c>
      <c r="AF147" s="9" t="s">
        <v>420</v>
      </c>
      <c r="AG147" s="18">
        <v>34.683438000000002</v>
      </c>
      <c r="AH147" s="7">
        <f t="shared" si="20"/>
        <v>1</v>
      </c>
      <c r="AI147" s="7">
        <f t="shared" si="21"/>
        <v>1</v>
      </c>
      <c r="AJ147" s="7">
        <f t="shared" si="22"/>
        <v>0</v>
      </c>
      <c r="AK147" s="7">
        <f t="shared" si="23"/>
        <v>0</v>
      </c>
      <c r="AL147" s="7" t="s">
        <v>4157</v>
      </c>
      <c r="AM147" s="18">
        <f t="shared" si="24"/>
        <v>1.5401221404311698</v>
      </c>
      <c r="AN147" s="18">
        <v>34.683438000000002</v>
      </c>
      <c r="AO147" s="18">
        <v>-82.837365000000005</v>
      </c>
      <c r="AP147" s="9" t="s">
        <v>363</v>
      </c>
      <c r="AQ147" s="9" t="s">
        <v>441</v>
      </c>
      <c r="AR147" s="15">
        <v>1980</v>
      </c>
      <c r="AS147" s="19" t="s">
        <v>439</v>
      </c>
      <c r="AT147" s="20" t="s">
        <v>440</v>
      </c>
      <c r="AU147" s="40">
        <v>5638611</v>
      </c>
      <c r="AV147" s="35">
        <f t="shared" si="25"/>
        <v>6.7511721342441762</v>
      </c>
      <c r="AW147" s="37" t="s">
        <v>366</v>
      </c>
      <c r="AX147" s="34" t="s">
        <v>355</v>
      </c>
      <c r="AY147" s="40" t="s">
        <v>355</v>
      </c>
      <c r="AZ147" s="36">
        <v>113</v>
      </c>
      <c r="BA147" s="14">
        <f t="shared" si="26"/>
        <v>2.0530784434834195</v>
      </c>
      <c r="BB147" s="37" t="s">
        <v>367</v>
      </c>
      <c r="BC147" s="20">
        <v>1.137454981992851E-2</v>
      </c>
      <c r="BD147" s="9">
        <v>32</v>
      </c>
      <c r="BE147" s="9" t="s">
        <v>368</v>
      </c>
      <c r="BF147" s="9">
        <v>0</v>
      </c>
    </row>
    <row r="148" spans="1:58">
      <c r="A148" s="9">
        <v>490</v>
      </c>
      <c r="B148" s="10" t="s">
        <v>76</v>
      </c>
      <c r="C148" s="10" t="s">
        <v>389</v>
      </c>
      <c r="D148" s="20" t="s">
        <v>390</v>
      </c>
      <c r="E148" s="20" t="s">
        <v>435</v>
      </c>
      <c r="F148" s="10" t="s">
        <v>389</v>
      </c>
      <c r="G148" s="20" t="s">
        <v>390</v>
      </c>
      <c r="H148" s="20" t="s">
        <v>435</v>
      </c>
      <c r="I148" s="10" t="s">
        <v>389</v>
      </c>
      <c r="J148" s="20" t="s">
        <v>392</v>
      </c>
      <c r="K148" s="20" t="s">
        <v>435</v>
      </c>
      <c r="L148" s="9" t="s">
        <v>380</v>
      </c>
      <c r="M148" s="9">
        <v>10</v>
      </c>
      <c r="N148" s="9" t="s">
        <v>381</v>
      </c>
      <c r="O148" s="9" t="s">
        <v>382</v>
      </c>
      <c r="P148" s="12">
        <v>40.161749999999998</v>
      </c>
      <c r="Q148" s="12" t="s">
        <v>355</v>
      </c>
      <c r="R148" s="9" t="s">
        <v>356</v>
      </c>
      <c r="S148" s="13">
        <v>4</v>
      </c>
      <c r="T148" s="13">
        <v>4</v>
      </c>
      <c r="U148" s="14">
        <f t="shared" si="18"/>
        <v>0.69897000433601886</v>
      </c>
      <c r="V148" s="15">
        <v>20</v>
      </c>
      <c r="W148" s="12"/>
      <c r="X148" s="12">
        <v>0.7</v>
      </c>
      <c r="Y148" s="13" t="s">
        <v>358</v>
      </c>
      <c r="Z148" s="9" t="s">
        <v>359</v>
      </c>
      <c r="AA148" s="10" t="s">
        <v>436</v>
      </c>
      <c r="AB148" s="9" t="s">
        <v>355</v>
      </c>
      <c r="AC148" s="15">
        <v>213</v>
      </c>
      <c r="AD148" s="14">
        <f t="shared" si="19"/>
        <v>2.3283796034387376</v>
      </c>
      <c r="AE148" s="10" t="s">
        <v>437</v>
      </c>
      <c r="AF148" s="9" t="s">
        <v>420</v>
      </c>
      <c r="AG148" s="18">
        <v>34.683438000000002</v>
      </c>
      <c r="AH148" s="7">
        <f t="shared" si="20"/>
        <v>1</v>
      </c>
      <c r="AI148" s="7">
        <f t="shared" si="21"/>
        <v>1</v>
      </c>
      <c r="AJ148" s="7">
        <f t="shared" si="22"/>
        <v>0</v>
      </c>
      <c r="AK148" s="7">
        <f t="shared" si="23"/>
        <v>0</v>
      </c>
      <c r="AL148" s="7" t="s">
        <v>4157</v>
      </c>
      <c r="AM148" s="18">
        <f t="shared" si="24"/>
        <v>1.5401221404311698</v>
      </c>
      <c r="AN148" s="18">
        <v>34.683438000000002</v>
      </c>
      <c r="AO148" s="18">
        <v>-82.837365000000005</v>
      </c>
      <c r="AP148" s="9" t="s">
        <v>363</v>
      </c>
      <c r="AQ148" s="9" t="s">
        <v>442</v>
      </c>
      <c r="AR148" s="15">
        <v>1980</v>
      </c>
      <c r="AS148" s="19" t="s">
        <v>439</v>
      </c>
      <c r="AT148" s="20" t="s">
        <v>440</v>
      </c>
      <c r="AU148" s="40">
        <v>5638611</v>
      </c>
      <c r="AV148" s="35">
        <f t="shared" si="25"/>
        <v>6.7511721342441762</v>
      </c>
      <c r="AW148" s="37" t="s">
        <v>366</v>
      </c>
      <c r="AX148" s="34" t="s">
        <v>355</v>
      </c>
      <c r="AY148" s="40" t="s">
        <v>355</v>
      </c>
      <c r="AZ148" s="36">
        <v>113</v>
      </c>
      <c r="BA148" s="14">
        <f t="shared" si="26"/>
        <v>2.0530784434834195</v>
      </c>
      <c r="BB148" s="37" t="s">
        <v>367</v>
      </c>
      <c r="BC148" s="20">
        <v>1.137454981992851E-2</v>
      </c>
      <c r="BD148" s="9">
        <v>32</v>
      </c>
      <c r="BE148" s="9" t="s">
        <v>368</v>
      </c>
      <c r="BF148" s="9">
        <v>0</v>
      </c>
    </row>
    <row r="149" spans="1:58">
      <c r="A149" s="9">
        <v>492</v>
      </c>
      <c r="B149" s="10" t="s">
        <v>76</v>
      </c>
      <c r="C149" s="10" t="s">
        <v>389</v>
      </c>
      <c r="D149" s="20" t="s">
        <v>390</v>
      </c>
      <c r="E149" s="20" t="s">
        <v>435</v>
      </c>
      <c r="F149" s="10" t="s">
        <v>389</v>
      </c>
      <c r="G149" s="20" t="s">
        <v>390</v>
      </c>
      <c r="H149" s="20" t="s">
        <v>435</v>
      </c>
      <c r="I149" s="10" t="s">
        <v>389</v>
      </c>
      <c r="J149" s="20" t="s">
        <v>392</v>
      </c>
      <c r="K149" s="20" t="s">
        <v>435</v>
      </c>
      <c r="L149" s="9" t="s">
        <v>380</v>
      </c>
      <c r="M149" s="9">
        <v>10</v>
      </c>
      <c r="N149" s="9" t="s">
        <v>381</v>
      </c>
      <c r="O149" s="9" t="s">
        <v>382</v>
      </c>
      <c r="P149" s="12">
        <v>40.332740000000001</v>
      </c>
      <c r="Q149" s="12" t="s">
        <v>355</v>
      </c>
      <c r="R149" s="9" t="s">
        <v>356</v>
      </c>
      <c r="S149" s="13">
        <v>4</v>
      </c>
      <c r="T149" s="13">
        <v>4</v>
      </c>
      <c r="U149" s="14">
        <f t="shared" si="18"/>
        <v>0.69897000433601886</v>
      </c>
      <c r="V149" s="15">
        <v>20</v>
      </c>
      <c r="W149" s="12"/>
      <c r="X149" s="12">
        <v>0.7</v>
      </c>
      <c r="Y149" s="13" t="s">
        <v>358</v>
      </c>
      <c r="Z149" s="9" t="s">
        <v>359</v>
      </c>
      <c r="AA149" s="10" t="s">
        <v>436</v>
      </c>
      <c r="AB149" s="9" t="s">
        <v>355</v>
      </c>
      <c r="AC149" s="15">
        <v>213</v>
      </c>
      <c r="AD149" s="14">
        <f t="shared" si="19"/>
        <v>2.3283796034387376</v>
      </c>
      <c r="AE149" s="10" t="s">
        <v>437</v>
      </c>
      <c r="AF149" s="9" t="s">
        <v>420</v>
      </c>
      <c r="AG149" s="18">
        <v>34.683438000000002</v>
      </c>
      <c r="AH149" s="7">
        <f t="shared" si="20"/>
        <v>1</v>
      </c>
      <c r="AI149" s="7">
        <f t="shared" si="21"/>
        <v>1</v>
      </c>
      <c r="AJ149" s="7">
        <f t="shared" si="22"/>
        <v>0</v>
      </c>
      <c r="AK149" s="7">
        <f t="shared" si="23"/>
        <v>0</v>
      </c>
      <c r="AL149" s="7" t="s">
        <v>4157</v>
      </c>
      <c r="AM149" s="18">
        <f t="shared" si="24"/>
        <v>1.5401221404311698</v>
      </c>
      <c r="AN149" s="18">
        <v>34.683438000000002</v>
      </c>
      <c r="AO149" s="18">
        <v>-82.837365000000005</v>
      </c>
      <c r="AP149" s="9" t="s">
        <v>363</v>
      </c>
      <c r="AQ149" s="9" t="s">
        <v>445</v>
      </c>
      <c r="AR149" s="15">
        <v>1980</v>
      </c>
      <c r="AS149" s="19" t="s">
        <v>439</v>
      </c>
      <c r="AT149" s="20" t="s">
        <v>440</v>
      </c>
      <c r="AU149" s="40">
        <v>5638611</v>
      </c>
      <c r="AV149" s="35">
        <f t="shared" si="25"/>
        <v>6.7511721342441762</v>
      </c>
      <c r="AW149" s="37" t="s">
        <v>366</v>
      </c>
      <c r="AX149" s="34" t="s">
        <v>355</v>
      </c>
      <c r="AY149" s="40" t="s">
        <v>355</v>
      </c>
      <c r="AZ149" s="36">
        <v>113</v>
      </c>
      <c r="BA149" s="14">
        <f t="shared" si="26"/>
        <v>2.0530784434834195</v>
      </c>
      <c r="BB149" s="37" t="s">
        <v>367</v>
      </c>
      <c r="BC149" s="20">
        <v>1.137454981992851E-2</v>
      </c>
      <c r="BD149" s="9">
        <v>32</v>
      </c>
      <c r="BE149" s="9" t="s">
        <v>368</v>
      </c>
      <c r="BF149" s="9">
        <v>0</v>
      </c>
    </row>
    <row r="150" spans="1:58">
      <c r="A150" s="9">
        <v>493</v>
      </c>
      <c r="B150" s="10" t="s">
        <v>76</v>
      </c>
      <c r="C150" s="10" t="s">
        <v>389</v>
      </c>
      <c r="D150" s="20" t="s">
        <v>390</v>
      </c>
      <c r="E150" s="20" t="s">
        <v>435</v>
      </c>
      <c r="F150" s="10" t="s">
        <v>389</v>
      </c>
      <c r="G150" s="20" t="s">
        <v>390</v>
      </c>
      <c r="H150" s="20" t="s">
        <v>435</v>
      </c>
      <c r="I150" s="10" t="s">
        <v>389</v>
      </c>
      <c r="J150" s="20" t="s">
        <v>392</v>
      </c>
      <c r="K150" s="20" t="s">
        <v>435</v>
      </c>
      <c r="L150" s="9" t="s">
        <v>380</v>
      </c>
      <c r="M150" s="9">
        <v>10</v>
      </c>
      <c r="N150" s="9" t="s">
        <v>381</v>
      </c>
      <c r="O150" s="9" t="s">
        <v>382</v>
      </c>
      <c r="P150" s="12">
        <v>40.418419999999998</v>
      </c>
      <c r="Q150" s="12" t="s">
        <v>355</v>
      </c>
      <c r="R150" s="9" t="s">
        <v>356</v>
      </c>
      <c r="S150" s="13">
        <v>4</v>
      </c>
      <c r="T150" s="13">
        <v>4</v>
      </c>
      <c r="U150" s="14">
        <f t="shared" si="18"/>
        <v>0.69897000433601886</v>
      </c>
      <c r="V150" s="15">
        <v>20</v>
      </c>
      <c r="W150" s="12"/>
      <c r="X150" s="12">
        <v>0.7</v>
      </c>
      <c r="Y150" s="13" t="s">
        <v>358</v>
      </c>
      <c r="Z150" s="9" t="s">
        <v>359</v>
      </c>
      <c r="AA150" s="10" t="s">
        <v>436</v>
      </c>
      <c r="AB150" s="9" t="s">
        <v>355</v>
      </c>
      <c r="AC150" s="15">
        <v>213</v>
      </c>
      <c r="AD150" s="14">
        <f t="shared" si="19"/>
        <v>2.3283796034387376</v>
      </c>
      <c r="AE150" s="10" t="s">
        <v>437</v>
      </c>
      <c r="AF150" s="9" t="s">
        <v>420</v>
      </c>
      <c r="AG150" s="18">
        <v>34.683438000000002</v>
      </c>
      <c r="AH150" s="7">
        <f t="shared" si="20"/>
        <v>1</v>
      </c>
      <c r="AI150" s="7">
        <f t="shared" si="21"/>
        <v>1</v>
      </c>
      <c r="AJ150" s="7">
        <f t="shared" si="22"/>
        <v>0</v>
      </c>
      <c r="AK150" s="7">
        <f t="shared" si="23"/>
        <v>0</v>
      </c>
      <c r="AL150" s="7" t="s">
        <v>4157</v>
      </c>
      <c r="AM150" s="18">
        <f t="shared" si="24"/>
        <v>1.5401221404311698</v>
      </c>
      <c r="AN150" s="18">
        <v>34.683438000000002</v>
      </c>
      <c r="AO150" s="18">
        <v>-82.837365000000005</v>
      </c>
      <c r="AP150" s="9" t="s">
        <v>363</v>
      </c>
      <c r="AQ150" s="9" t="s">
        <v>446</v>
      </c>
      <c r="AR150" s="15">
        <v>1980</v>
      </c>
      <c r="AS150" s="19" t="s">
        <v>439</v>
      </c>
      <c r="AT150" s="20" t="s">
        <v>440</v>
      </c>
      <c r="AU150" s="40">
        <v>5638611</v>
      </c>
      <c r="AV150" s="35">
        <f t="shared" si="25"/>
        <v>6.7511721342441762</v>
      </c>
      <c r="AW150" s="37" t="s">
        <v>366</v>
      </c>
      <c r="AX150" s="34" t="s">
        <v>355</v>
      </c>
      <c r="AY150" s="40" t="s">
        <v>355</v>
      </c>
      <c r="AZ150" s="36">
        <v>113</v>
      </c>
      <c r="BA150" s="14">
        <f t="shared" si="26"/>
        <v>2.0530784434834195</v>
      </c>
      <c r="BB150" s="37" t="s">
        <v>367</v>
      </c>
      <c r="BC150" s="20">
        <v>1.137454981992851E-2</v>
      </c>
      <c r="BD150" s="9">
        <v>32</v>
      </c>
      <c r="BE150" s="9" t="s">
        <v>368</v>
      </c>
      <c r="BF150" s="9">
        <v>0</v>
      </c>
    </row>
    <row r="151" spans="1:58">
      <c r="A151" s="9">
        <v>494</v>
      </c>
      <c r="B151" s="10" t="s">
        <v>76</v>
      </c>
      <c r="C151" s="10" t="s">
        <v>389</v>
      </c>
      <c r="D151" s="20" t="s">
        <v>390</v>
      </c>
      <c r="E151" s="20" t="s">
        <v>435</v>
      </c>
      <c r="F151" s="10" t="s">
        <v>389</v>
      </c>
      <c r="G151" s="20" t="s">
        <v>390</v>
      </c>
      <c r="H151" s="20" t="s">
        <v>435</v>
      </c>
      <c r="I151" s="10" t="s">
        <v>389</v>
      </c>
      <c r="J151" s="20" t="s">
        <v>392</v>
      </c>
      <c r="K151" s="20" t="s">
        <v>435</v>
      </c>
      <c r="L151" s="9" t="s">
        <v>380</v>
      </c>
      <c r="M151" s="9">
        <v>10</v>
      </c>
      <c r="N151" s="9" t="s">
        <v>381</v>
      </c>
      <c r="O151" s="9" t="s">
        <v>382</v>
      </c>
      <c r="P151" s="12">
        <v>40.583359999999999</v>
      </c>
      <c r="Q151" s="12" t="s">
        <v>355</v>
      </c>
      <c r="R151" s="9" t="s">
        <v>356</v>
      </c>
      <c r="S151" s="13">
        <v>4</v>
      </c>
      <c r="T151" s="13">
        <v>4</v>
      </c>
      <c r="U151" s="14">
        <f t="shared" si="18"/>
        <v>0.69897000433601886</v>
      </c>
      <c r="V151" s="15">
        <v>20</v>
      </c>
      <c r="W151" s="12"/>
      <c r="X151" s="12">
        <v>0.7</v>
      </c>
      <c r="Y151" s="13" t="s">
        <v>358</v>
      </c>
      <c r="Z151" s="9" t="s">
        <v>359</v>
      </c>
      <c r="AA151" s="10" t="s">
        <v>436</v>
      </c>
      <c r="AB151" s="9" t="s">
        <v>355</v>
      </c>
      <c r="AC151" s="15">
        <v>213</v>
      </c>
      <c r="AD151" s="14">
        <f t="shared" si="19"/>
        <v>2.3283796034387376</v>
      </c>
      <c r="AE151" s="10" t="s">
        <v>437</v>
      </c>
      <c r="AF151" s="9" t="s">
        <v>420</v>
      </c>
      <c r="AG151" s="18">
        <v>34.683438000000002</v>
      </c>
      <c r="AH151" s="7">
        <f t="shared" si="20"/>
        <v>1</v>
      </c>
      <c r="AI151" s="7">
        <f t="shared" si="21"/>
        <v>1</v>
      </c>
      <c r="AJ151" s="7">
        <f t="shared" si="22"/>
        <v>0</v>
      </c>
      <c r="AK151" s="7">
        <f t="shared" si="23"/>
        <v>0</v>
      </c>
      <c r="AL151" s="7" t="s">
        <v>4157</v>
      </c>
      <c r="AM151" s="18">
        <f t="shared" si="24"/>
        <v>1.5401221404311698</v>
      </c>
      <c r="AN151" s="18">
        <v>34.683438000000002</v>
      </c>
      <c r="AO151" s="18">
        <v>-82.837365000000005</v>
      </c>
      <c r="AP151" s="9" t="s">
        <v>363</v>
      </c>
      <c r="AQ151" s="9" t="s">
        <v>444</v>
      </c>
      <c r="AR151" s="15">
        <v>1980</v>
      </c>
      <c r="AS151" s="19" t="s">
        <v>439</v>
      </c>
      <c r="AT151" s="20" t="s">
        <v>440</v>
      </c>
      <c r="AU151" s="40">
        <v>5638611</v>
      </c>
      <c r="AV151" s="35">
        <f t="shared" si="25"/>
        <v>6.7511721342441762</v>
      </c>
      <c r="AW151" s="37" t="s">
        <v>366</v>
      </c>
      <c r="AX151" s="34" t="s">
        <v>355</v>
      </c>
      <c r="AY151" s="40" t="s">
        <v>355</v>
      </c>
      <c r="AZ151" s="36">
        <v>113</v>
      </c>
      <c r="BA151" s="14">
        <f t="shared" si="26"/>
        <v>2.0530784434834195</v>
      </c>
      <c r="BB151" s="37" t="s">
        <v>367</v>
      </c>
      <c r="BC151" s="20">
        <v>1.137454981992851E-2</v>
      </c>
      <c r="BD151" s="9">
        <v>32</v>
      </c>
      <c r="BE151" s="9" t="s">
        <v>368</v>
      </c>
      <c r="BF151" s="9">
        <v>0</v>
      </c>
    </row>
    <row r="152" spans="1:58">
      <c r="A152" s="9">
        <v>495</v>
      </c>
      <c r="B152" s="10" t="s">
        <v>76</v>
      </c>
      <c r="C152" s="10" t="s">
        <v>389</v>
      </c>
      <c r="D152" s="20" t="s">
        <v>390</v>
      </c>
      <c r="E152" s="20" t="s">
        <v>435</v>
      </c>
      <c r="F152" s="10" t="s">
        <v>389</v>
      </c>
      <c r="G152" s="20" t="s">
        <v>390</v>
      </c>
      <c r="H152" s="20" t="s">
        <v>435</v>
      </c>
      <c r="I152" s="10" t="s">
        <v>389</v>
      </c>
      <c r="J152" s="20" t="s">
        <v>392</v>
      </c>
      <c r="K152" s="20" t="s">
        <v>435</v>
      </c>
      <c r="L152" s="9" t="s">
        <v>380</v>
      </c>
      <c r="M152" s="9">
        <v>10</v>
      </c>
      <c r="N152" s="9" t="s">
        <v>381</v>
      </c>
      <c r="O152" s="9" t="s">
        <v>382</v>
      </c>
      <c r="P152" s="12">
        <v>40.64273</v>
      </c>
      <c r="Q152" s="12" t="s">
        <v>355</v>
      </c>
      <c r="R152" s="9" t="s">
        <v>356</v>
      </c>
      <c r="S152" s="13">
        <v>4</v>
      </c>
      <c r="T152" s="13">
        <v>4</v>
      </c>
      <c r="U152" s="14">
        <f t="shared" si="18"/>
        <v>0.69897000433601886</v>
      </c>
      <c r="V152" s="15">
        <v>20</v>
      </c>
      <c r="W152" s="12"/>
      <c r="X152" s="12">
        <v>0.7</v>
      </c>
      <c r="Y152" s="13" t="s">
        <v>358</v>
      </c>
      <c r="Z152" s="9" t="s">
        <v>359</v>
      </c>
      <c r="AA152" s="10" t="s">
        <v>436</v>
      </c>
      <c r="AB152" s="9" t="s">
        <v>355</v>
      </c>
      <c r="AC152" s="15">
        <v>213</v>
      </c>
      <c r="AD152" s="14">
        <f t="shared" si="19"/>
        <v>2.3283796034387376</v>
      </c>
      <c r="AE152" s="10" t="s">
        <v>437</v>
      </c>
      <c r="AF152" s="9" t="s">
        <v>420</v>
      </c>
      <c r="AG152" s="18">
        <v>34.683438000000002</v>
      </c>
      <c r="AH152" s="7">
        <f t="shared" si="20"/>
        <v>1</v>
      </c>
      <c r="AI152" s="7">
        <f t="shared" si="21"/>
        <v>1</v>
      </c>
      <c r="AJ152" s="7">
        <f t="shared" si="22"/>
        <v>0</v>
      </c>
      <c r="AK152" s="7">
        <f t="shared" si="23"/>
        <v>0</v>
      </c>
      <c r="AL152" s="7" t="s">
        <v>4157</v>
      </c>
      <c r="AM152" s="18">
        <f t="shared" si="24"/>
        <v>1.5401221404311698</v>
      </c>
      <c r="AN152" s="18">
        <v>34.683438000000002</v>
      </c>
      <c r="AO152" s="18">
        <v>-82.837365000000005</v>
      </c>
      <c r="AP152" s="9" t="s">
        <v>363</v>
      </c>
      <c r="AQ152" s="9" t="s">
        <v>443</v>
      </c>
      <c r="AR152" s="15">
        <v>1980</v>
      </c>
      <c r="AS152" s="19" t="s">
        <v>439</v>
      </c>
      <c r="AT152" s="20" t="s">
        <v>440</v>
      </c>
      <c r="AU152" s="40">
        <v>5638611</v>
      </c>
      <c r="AV152" s="35">
        <f t="shared" si="25"/>
        <v>6.7511721342441762</v>
      </c>
      <c r="AW152" s="37" t="s">
        <v>366</v>
      </c>
      <c r="AX152" s="34" t="s">
        <v>355</v>
      </c>
      <c r="AY152" s="40" t="s">
        <v>355</v>
      </c>
      <c r="AZ152" s="36">
        <v>113</v>
      </c>
      <c r="BA152" s="14">
        <f t="shared" si="26"/>
        <v>2.0530784434834195</v>
      </c>
      <c r="BB152" s="37" t="s">
        <v>367</v>
      </c>
      <c r="BC152" s="20">
        <v>1.137454981992851E-2</v>
      </c>
      <c r="BD152" s="9">
        <v>32</v>
      </c>
      <c r="BE152" s="9" t="s">
        <v>368</v>
      </c>
      <c r="BF152" s="9">
        <v>0</v>
      </c>
    </row>
    <row r="153" spans="1:58">
      <c r="A153" s="9">
        <v>491</v>
      </c>
      <c r="B153" s="10" t="s">
        <v>76</v>
      </c>
      <c r="C153" s="10" t="s">
        <v>389</v>
      </c>
      <c r="D153" s="20" t="s">
        <v>390</v>
      </c>
      <c r="E153" s="20" t="s">
        <v>435</v>
      </c>
      <c r="F153" s="10" t="s">
        <v>389</v>
      </c>
      <c r="G153" s="20" t="s">
        <v>390</v>
      </c>
      <c r="H153" s="20" t="s">
        <v>435</v>
      </c>
      <c r="I153" s="10" t="s">
        <v>389</v>
      </c>
      <c r="J153" s="20" t="s">
        <v>392</v>
      </c>
      <c r="K153" s="20" t="s">
        <v>435</v>
      </c>
      <c r="L153" s="9" t="s">
        <v>380</v>
      </c>
      <c r="M153" s="9">
        <v>10</v>
      </c>
      <c r="N153" s="9" t="s">
        <v>381</v>
      </c>
      <c r="O153" s="9" t="s">
        <v>382</v>
      </c>
      <c r="P153" s="12">
        <v>40.647350000000003</v>
      </c>
      <c r="Q153" s="12" t="s">
        <v>355</v>
      </c>
      <c r="R153" s="9" t="s">
        <v>356</v>
      </c>
      <c r="S153" s="13">
        <v>4</v>
      </c>
      <c r="T153" s="13">
        <v>4</v>
      </c>
      <c r="U153" s="14">
        <f t="shared" si="18"/>
        <v>0.69897000433601886</v>
      </c>
      <c r="V153" s="15">
        <v>20</v>
      </c>
      <c r="W153" s="12"/>
      <c r="X153" s="12">
        <v>0.7</v>
      </c>
      <c r="Y153" s="13" t="s">
        <v>358</v>
      </c>
      <c r="Z153" s="9" t="s">
        <v>359</v>
      </c>
      <c r="AA153" s="10" t="s">
        <v>436</v>
      </c>
      <c r="AB153" s="9" t="s">
        <v>355</v>
      </c>
      <c r="AC153" s="15">
        <v>213</v>
      </c>
      <c r="AD153" s="14">
        <f t="shared" si="19"/>
        <v>2.3283796034387376</v>
      </c>
      <c r="AE153" s="10" t="s">
        <v>437</v>
      </c>
      <c r="AF153" s="9" t="s">
        <v>420</v>
      </c>
      <c r="AG153" s="18">
        <v>34.683438000000002</v>
      </c>
      <c r="AH153" s="7">
        <f t="shared" si="20"/>
        <v>1</v>
      </c>
      <c r="AI153" s="7">
        <f t="shared" si="21"/>
        <v>1</v>
      </c>
      <c r="AJ153" s="7">
        <f t="shared" si="22"/>
        <v>0</v>
      </c>
      <c r="AK153" s="7">
        <f t="shared" si="23"/>
        <v>0</v>
      </c>
      <c r="AL153" s="7" t="s">
        <v>4157</v>
      </c>
      <c r="AM153" s="18">
        <f t="shared" si="24"/>
        <v>1.5401221404311698</v>
      </c>
      <c r="AN153" s="18">
        <v>34.683438000000002</v>
      </c>
      <c r="AO153" s="18">
        <v>-82.837365000000005</v>
      </c>
      <c r="AP153" s="9" t="s">
        <v>363</v>
      </c>
      <c r="AQ153" s="9" t="s">
        <v>449</v>
      </c>
      <c r="AR153" s="15">
        <v>1980</v>
      </c>
      <c r="AS153" s="19" t="s">
        <v>439</v>
      </c>
      <c r="AT153" s="20" t="s">
        <v>440</v>
      </c>
      <c r="AU153" s="40">
        <v>5638611</v>
      </c>
      <c r="AV153" s="35">
        <f t="shared" si="25"/>
        <v>6.7511721342441762</v>
      </c>
      <c r="AW153" s="37" t="s">
        <v>366</v>
      </c>
      <c r="AX153" s="34" t="s">
        <v>355</v>
      </c>
      <c r="AY153" s="40" t="s">
        <v>355</v>
      </c>
      <c r="AZ153" s="36">
        <v>113</v>
      </c>
      <c r="BA153" s="14">
        <f t="shared" si="26"/>
        <v>2.0530784434834195</v>
      </c>
      <c r="BB153" s="37" t="s">
        <v>367</v>
      </c>
      <c r="BC153" s="20">
        <v>1.137454981992851E-2</v>
      </c>
      <c r="BD153" s="9">
        <v>32</v>
      </c>
      <c r="BE153" s="9" t="s">
        <v>368</v>
      </c>
      <c r="BF153" s="9">
        <v>0</v>
      </c>
    </row>
    <row r="154" spans="1:58">
      <c r="A154" s="9">
        <v>519</v>
      </c>
      <c r="B154" s="10" t="s">
        <v>76</v>
      </c>
      <c r="C154" s="10" t="s">
        <v>389</v>
      </c>
      <c r="D154" s="20" t="s">
        <v>390</v>
      </c>
      <c r="E154" s="20" t="s">
        <v>447</v>
      </c>
      <c r="F154" s="10" t="s">
        <v>389</v>
      </c>
      <c r="G154" s="20" t="s">
        <v>390</v>
      </c>
      <c r="H154" s="20" t="s">
        <v>447</v>
      </c>
      <c r="I154" s="10" t="s">
        <v>389</v>
      </c>
      <c r="J154" s="20" t="s">
        <v>392</v>
      </c>
      <c r="K154" s="20" t="s">
        <v>447</v>
      </c>
      <c r="L154" s="9" t="s">
        <v>380</v>
      </c>
      <c r="M154" s="9">
        <v>8</v>
      </c>
      <c r="N154" s="9" t="s">
        <v>353</v>
      </c>
      <c r="O154" s="9" t="s">
        <v>382</v>
      </c>
      <c r="P154" s="12">
        <v>39.124310000000001</v>
      </c>
      <c r="Q154" s="12" t="s">
        <v>355</v>
      </c>
      <c r="R154" s="9" t="s">
        <v>356</v>
      </c>
      <c r="S154" s="13">
        <v>4</v>
      </c>
      <c r="T154" s="13">
        <v>4</v>
      </c>
      <c r="U154" s="14">
        <f t="shared" si="18"/>
        <v>0.69897000433601886</v>
      </c>
      <c r="V154" s="15">
        <v>20</v>
      </c>
      <c r="W154" s="12"/>
      <c r="X154" s="12">
        <v>0.7</v>
      </c>
      <c r="Y154" s="13" t="s">
        <v>358</v>
      </c>
      <c r="Z154" s="9" t="s">
        <v>359</v>
      </c>
      <c r="AA154" s="10" t="s">
        <v>436</v>
      </c>
      <c r="AB154" s="9" t="s">
        <v>355</v>
      </c>
      <c r="AC154" s="15">
        <v>213</v>
      </c>
      <c r="AD154" s="14">
        <f t="shared" si="19"/>
        <v>2.3283796034387376</v>
      </c>
      <c r="AE154" s="10" t="s">
        <v>437</v>
      </c>
      <c r="AF154" s="9" t="s">
        <v>420</v>
      </c>
      <c r="AG154" s="18">
        <v>34.683438000000002</v>
      </c>
      <c r="AH154" s="7">
        <f t="shared" si="20"/>
        <v>1</v>
      </c>
      <c r="AI154" s="7">
        <f t="shared" si="21"/>
        <v>1</v>
      </c>
      <c r="AJ154" s="7">
        <f t="shared" si="22"/>
        <v>0</v>
      </c>
      <c r="AK154" s="7">
        <f t="shared" si="23"/>
        <v>0</v>
      </c>
      <c r="AL154" s="7" t="s">
        <v>4157</v>
      </c>
      <c r="AM154" s="18">
        <f t="shared" si="24"/>
        <v>1.5401221404311698</v>
      </c>
      <c r="AN154" s="18">
        <v>34.683438000000002</v>
      </c>
      <c r="AO154" s="18">
        <v>-82.837365000000005</v>
      </c>
      <c r="AP154" s="9" t="s">
        <v>363</v>
      </c>
      <c r="AQ154" s="9" t="s">
        <v>441</v>
      </c>
      <c r="AR154" s="15">
        <v>1980</v>
      </c>
      <c r="AS154" s="19" t="s">
        <v>439</v>
      </c>
      <c r="AT154" s="20" t="s">
        <v>440</v>
      </c>
      <c r="AU154" s="40">
        <v>3240610</v>
      </c>
      <c r="AV154" s="35">
        <f t="shared" si="25"/>
        <v>6.5106267678296579</v>
      </c>
      <c r="AW154" s="41" t="s">
        <v>366</v>
      </c>
      <c r="AX154" s="34" t="s">
        <v>355</v>
      </c>
      <c r="AY154" s="40" t="s">
        <v>355</v>
      </c>
      <c r="AZ154" s="36">
        <v>87</v>
      </c>
      <c r="BA154" s="14">
        <f t="shared" si="26"/>
        <v>1.9395192526186185</v>
      </c>
      <c r="BB154" s="37" t="s">
        <v>367</v>
      </c>
      <c r="BC154" s="20">
        <v>1.137454981992851E-2</v>
      </c>
      <c r="BD154" s="9">
        <v>32</v>
      </c>
      <c r="BE154" s="9" t="s">
        <v>368</v>
      </c>
      <c r="BF154" s="9">
        <v>0</v>
      </c>
    </row>
    <row r="155" spans="1:58">
      <c r="A155" s="9">
        <v>518</v>
      </c>
      <c r="B155" s="10" t="s">
        <v>76</v>
      </c>
      <c r="C155" s="10" t="s">
        <v>389</v>
      </c>
      <c r="D155" s="20" t="s">
        <v>390</v>
      </c>
      <c r="E155" s="20" t="s">
        <v>447</v>
      </c>
      <c r="F155" s="10" t="s">
        <v>389</v>
      </c>
      <c r="G155" s="20" t="s">
        <v>390</v>
      </c>
      <c r="H155" s="20" t="s">
        <v>447</v>
      </c>
      <c r="I155" s="10" t="s">
        <v>389</v>
      </c>
      <c r="J155" s="20" t="s">
        <v>392</v>
      </c>
      <c r="K155" s="20" t="s">
        <v>447</v>
      </c>
      <c r="L155" s="9" t="s">
        <v>380</v>
      </c>
      <c r="M155" s="9">
        <v>9</v>
      </c>
      <c r="N155" s="9" t="s">
        <v>353</v>
      </c>
      <c r="O155" s="9" t="s">
        <v>382</v>
      </c>
      <c r="P155" s="12">
        <v>39.303559999999997</v>
      </c>
      <c r="Q155" s="12" t="s">
        <v>355</v>
      </c>
      <c r="R155" s="9" t="s">
        <v>356</v>
      </c>
      <c r="S155" s="13">
        <v>4</v>
      </c>
      <c r="T155" s="13">
        <v>4</v>
      </c>
      <c r="U155" s="14">
        <f t="shared" si="18"/>
        <v>0.69897000433601886</v>
      </c>
      <c r="V155" s="15">
        <v>20</v>
      </c>
      <c r="W155" s="12"/>
      <c r="X155" s="12">
        <v>0.7</v>
      </c>
      <c r="Y155" s="13" t="s">
        <v>358</v>
      </c>
      <c r="Z155" s="9" t="s">
        <v>359</v>
      </c>
      <c r="AA155" s="10" t="s">
        <v>436</v>
      </c>
      <c r="AB155" s="9" t="s">
        <v>355</v>
      </c>
      <c r="AC155" s="15">
        <v>213</v>
      </c>
      <c r="AD155" s="14">
        <f t="shared" si="19"/>
        <v>2.3283796034387376</v>
      </c>
      <c r="AE155" s="10" t="s">
        <v>437</v>
      </c>
      <c r="AF155" s="9" t="s">
        <v>420</v>
      </c>
      <c r="AG155" s="18">
        <v>34.683438000000002</v>
      </c>
      <c r="AH155" s="7">
        <f t="shared" si="20"/>
        <v>1</v>
      </c>
      <c r="AI155" s="7">
        <f t="shared" si="21"/>
        <v>1</v>
      </c>
      <c r="AJ155" s="7">
        <f t="shared" si="22"/>
        <v>0</v>
      </c>
      <c r="AK155" s="7">
        <f t="shared" si="23"/>
        <v>0</v>
      </c>
      <c r="AL155" s="7" t="s">
        <v>4157</v>
      </c>
      <c r="AM155" s="18">
        <f t="shared" si="24"/>
        <v>1.5401221404311698</v>
      </c>
      <c r="AN155" s="18">
        <v>34.683438000000002</v>
      </c>
      <c r="AO155" s="18">
        <v>-82.837365000000005</v>
      </c>
      <c r="AP155" s="9" t="s">
        <v>363</v>
      </c>
      <c r="AQ155" s="9" t="s">
        <v>443</v>
      </c>
      <c r="AR155" s="15">
        <v>1980</v>
      </c>
      <c r="AS155" s="19" t="s">
        <v>439</v>
      </c>
      <c r="AT155" s="20" t="s">
        <v>440</v>
      </c>
      <c r="AU155" s="40">
        <v>3240610</v>
      </c>
      <c r="AV155" s="35">
        <f t="shared" si="25"/>
        <v>6.5106267678296579</v>
      </c>
      <c r="AW155" s="41" t="s">
        <v>366</v>
      </c>
      <c r="AX155" s="34" t="s">
        <v>355</v>
      </c>
      <c r="AY155" s="40" t="s">
        <v>355</v>
      </c>
      <c r="AZ155" s="36">
        <v>87</v>
      </c>
      <c r="BA155" s="14">
        <f t="shared" si="26"/>
        <v>1.9395192526186185</v>
      </c>
      <c r="BB155" s="37" t="s">
        <v>367</v>
      </c>
      <c r="BC155" s="20">
        <v>1.137454981992851E-2</v>
      </c>
      <c r="BD155" s="9">
        <v>32</v>
      </c>
      <c r="BE155" s="9" t="s">
        <v>368</v>
      </c>
      <c r="BF155" s="9">
        <v>0</v>
      </c>
    </row>
    <row r="156" spans="1:58">
      <c r="A156" s="9">
        <v>517</v>
      </c>
      <c r="B156" s="10" t="s">
        <v>76</v>
      </c>
      <c r="C156" s="10" t="s">
        <v>389</v>
      </c>
      <c r="D156" s="20" t="s">
        <v>390</v>
      </c>
      <c r="E156" s="20" t="s">
        <v>447</v>
      </c>
      <c r="F156" s="10" t="s">
        <v>389</v>
      </c>
      <c r="G156" s="20" t="s">
        <v>390</v>
      </c>
      <c r="H156" s="20" t="s">
        <v>447</v>
      </c>
      <c r="I156" s="10" t="s">
        <v>389</v>
      </c>
      <c r="J156" s="20" t="s">
        <v>392</v>
      </c>
      <c r="K156" s="20" t="s">
        <v>447</v>
      </c>
      <c r="L156" s="9" t="s">
        <v>380</v>
      </c>
      <c r="M156" s="9">
        <v>6</v>
      </c>
      <c r="N156" s="9" t="s">
        <v>353</v>
      </c>
      <c r="O156" s="9" t="s">
        <v>382</v>
      </c>
      <c r="P156" s="12">
        <v>39.896590000000003</v>
      </c>
      <c r="Q156" s="12" t="s">
        <v>355</v>
      </c>
      <c r="R156" s="9" t="s">
        <v>356</v>
      </c>
      <c r="S156" s="13">
        <v>4</v>
      </c>
      <c r="T156" s="13">
        <v>4</v>
      </c>
      <c r="U156" s="14">
        <f t="shared" si="18"/>
        <v>0.69897000433601886</v>
      </c>
      <c r="V156" s="15">
        <v>20</v>
      </c>
      <c r="W156" s="12"/>
      <c r="X156" s="12">
        <v>0.7</v>
      </c>
      <c r="Y156" s="13" t="s">
        <v>358</v>
      </c>
      <c r="Z156" s="9" t="s">
        <v>359</v>
      </c>
      <c r="AA156" s="10" t="s">
        <v>436</v>
      </c>
      <c r="AB156" s="9" t="s">
        <v>355</v>
      </c>
      <c r="AC156" s="15">
        <v>213</v>
      </c>
      <c r="AD156" s="14">
        <f t="shared" si="19"/>
        <v>2.3283796034387376</v>
      </c>
      <c r="AE156" s="10" t="s">
        <v>437</v>
      </c>
      <c r="AF156" s="9" t="s">
        <v>420</v>
      </c>
      <c r="AG156" s="18">
        <v>34.683438000000002</v>
      </c>
      <c r="AH156" s="7">
        <f t="shared" si="20"/>
        <v>1</v>
      </c>
      <c r="AI156" s="7">
        <f t="shared" si="21"/>
        <v>1</v>
      </c>
      <c r="AJ156" s="7">
        <f t="shared" si="22"/>
        <v>0</v>
      </c>
      <c r="AK156" s="7">
        <f t="shared" si="23"/>
        <v>0</v>
      </c>
      <c r="AL156" s="7" t="s">
        <v>4157</v>
      </c>
      <c r="AM156" s="18">
        <f t="shared" si="24"/>
        <v>1.5401221404311698</v>
      </c>
      <c r="AN156" s="18">
        <v>34.683438000000002</v>
      </c>
      <c r="AO156" s="18">
        <v>-82.837365000000005</v>
      </c>
      <c r="AP156" s="9" t="s">
        <v>363</v>
      </c>
      <c r="AQ156" s="9" t="s">
        <v>444</v>
      </c>
      <c r="AR156" s="15">
        <v>1980</v>
      </c>
      <c r="AS156" s="19" t="s">
        <v>439</v>
      </c>
      <c r="AT156" s="20" t="s">
        <v>440</v>
      </c>
      <c r="AU156" s="40">
        <v>3240610</v>
      </c>
      <c r="AV156" s="35">
        <f t="shared" si="25"/>
        <v>6.5106267678296579</v>
      </c>
      <c r="AW156" s="41" t="s">
        <v>366</v>
      </c>
      <c r="AX156" s="34" t="s">
        <v>355</v>
      </c>
      <c r="AY156" s="40" t="s">
        <v>355</v>
      </c>
      <c r="AZ156" s="36">
        <v>87</v>
      </c>
      <c r="BA156" s="14">
        <f t="shared" si="26"/>
        <v>1.9395192526186185</v>
      </c>
      <c r="BB156" s="37" t="s">
        <v>367</v>
      </c>
      <c r="BC156" s="20">
        <v>1.137454981992851E-2</v>
      </c>
      <c r="BD156" s="9">
        <v>32</v>
      </c>
      <c r="BE156" s="9" t="s">
        <v>368</v>
      </c>
      <c r="BF156" s="9">
        <v>0</v>
      </c>
    </row>
    <row r="157" spans="1:58">
      <c r="A157" s="9">
        <v>516</v>
      </c>
      <c r="B157" s="10" t="s">
        <v>76</v>
      </c>
      <c r="C157" s="10" t="s">
        <v>389</v>
      </c>
      <c r="D157" s="20" t="s">
        <v>390</v>
      </c>
      <c r="E157" s="20" t="s">
        <v>447</v>
      </c>
      <c r="F157" s="10" t="s">
        <v>389</v>
      </c>
      <c r="G157" s="20" t="s">
        <v>390</v>
      </c>
      <c r="H157" s="20" t="s">
        <v>447</v>
      </c>
      <c r="I157" s="10" t="s">
        <v>389</v>
      </c>
      <c r="J157" s="20" t="s">
        <v>392</v>
      </c>
      <c r="K157" s="20" t="s">
        <v>447</v>
      </c>
      <c r="L157" s="9" t="s">
        <v>380</v>
      </c>
      <c r="M157" s="9">
        <v>8</v>
      </c>
      <c r="N157" s="9" t="s">
        <v>353</v>
      </c>
      <c r="O157" s="9" t="s">
        <v>382</v>
      </c>
      <c r="P157" s="12">
        <v>39.972499999999997</v>
      </c>
      <c r="Q157" s="12" t="s">
        <v>355</v>
      </c>
      <c r="R157" s="9" t="s">
        <v>356</v>
      </c>
      <c r="S157" s="13">
        <v>4</v>
      </c>
      <c r="T157" s="13">
        <v>4</v>
      </c>
      <c r="U157" s="14">
        <f t="shared" si="18"/>
        <v>0.69897000433601886</v>
      </c>
      <c r="V157" s="15">
        <v>20</v>
      </c>
      <c r="W157" s="12"/>
      <c r="X157" s="12">
        <v>0.7</v>
      </c>
      <c r="Y157" s="13" t="s">
        <v>358</v>
      </c>
      <c r="Z157" s="9" t="s">
        <v>359</v>
      </c>
      <c r="AA157" s="10" t="s">
        <v>436</v>
      </c>
      <c r="AB157" s="9" t="s">
        <v>355</v>
      </c>
      <c r="AC157" s="15">
        <v>213</v>
      </c>
      <c r="AD157" s="14">
        <f t="shared" si="19"/>
        <v>2.3283796034387376</v>
      </c>
      <c r="AE157" s="10" t="s">
        <v>437</v>
      </c>
      <c r="AF157" s="9" t="s">
        <v>420</v>
      </c>
      <c r="AG157" s="18">
        <v>34.683438000000002</v>
      </c>
      <c r="AH157" s="7">
        <f t="shared" si="20"/>
        <v>1</v>
      </c>
      <c r="AI157" s="7">
        <f t="shared" si="21"/>
        <v>1</v>
      </c>
      <c r="AJ157" s="7">
        <f t="shared" si="22"/>
        <v>0</v>
      </c>
      <c r="AK157" s="7">
        <f t="shared" si="23"/>
        <v>0</v>
      </c>
      <c r="AL157" s="7" t="s">
        <v>4157</v>
      </c>
      <c r="AM157" s="18">
        <f t="shared" si="24"/>
        <v>1.5401221404311698</v>
      </c>
      <c r="AN157" s="18">
        <v>34.683438000000002</v>
      </c>
      <c r="AO157" s="18">
        <v>-82.837365000000005</v>
      </c>
      <c r="AP157" s="9" t="s">
        <v>363</v>
      </c>
      <c r="AQ157" s="9" t="s">
        <v>446</v>
      </c>
      <c r="AR157" s="15">
        <v>1980</v>
      </c>
      <c r="AS157" s="19" t="s">
        <v>439</v>
      </c>
      <c r="AT157" s="20" t="s">
        <v>440</v>
      </c>
      <c r="AU157" s="40">
        <v>3240610</v>
      </c>
      <c r="AV157" s="35">
        <f t="shared" si="25"/>
        <v>6.5106267678296579</v>
      </c>
      <c r="AW157" s="41" t="s">
        <v>366</v>
      </c>
      <c r="AX157" s="34" t="s">
        <v>355</v>
      </c>
      <c r="AY157" s="40" t="s">
        <v>355</v>
      </c>
      <c r="AZ157" s="36">
        <v>87</v>
      </c>
      <c r="BA157" s="14">
        <f t="shared" si="26"/>
        <v>1.9395192526186185</v>
      </c>
      <c r="BB157" s="37" t="s">
        <v>367</v>
      </c>
      <c r="BC157" s="20">
        <v>1.137454981992851E-2</v>
      </c>
      <c r="BD157" s="9">
        <v>32</v>
      </c>
      <c r="BE157" s="9" t="s">
        <v>368</v>
      </c>
      <c r="BF157" s="9">
        <v>0</v>
      </c>
    </row>
    <row r="158" spans="1:58">
      <c r="A158" s="9">
        <v>515</v>
      </c>
      <c r="B158" s="10" t="s">
        <v>76</v>
      </c>
      <c r="C158" s="10" t="s">
        <v>389</v>
      </c>
      <c r="D158" s="20" t="s">
        <v>390</v>
      </c>
      <c r="E158" s="20" t="s">
        <v>447</v>
      </c>
      <c r="F158" s="10" t="s">
        <v>389</v>
      </c>
      <c r="G158" s="20" t="s">
        <v>390</v>
      </c>
      <c r="H158" s="20" t="s">
        <v>447</v>
      </c>
      <c r="I158" s="10" t="s">
        <v>389</v>
      </c>
      <c r="J158" s="20" t="s">
        <v>392</v>
      </c>
      <c r="K158" s="20" t="s">
        <v>447</v>
      </c>
      <c r="L158" s="9" t="s">
        <v>380</v>
      </c>
      <c r="M158" s="9">
        <v>8</v>
      </c>
      <c r="N158" s="9" t="s">
        <v>353</v>
      </c>
      <c r="O158" s="9" t="s">
        <v>382</v>
      </c>
      <c r="P158" s="12">
        <v>39.996360000000003</v>
      </c>
      <c r="Q158" s="12" t="s">
        <v>355</v>
      </c>
      <c r="R158" s="9" t="s">
        <v>356</v>
      </c>
      <c r="S158" s="13">
        <v>4</v>
      </c>
      <c r="T158" s="13">
        <v>4</v>
      </c>
      <c r="U158" s="14">
        <f t="shared" si="18"/>
        <v>0.69897000433601886</v>
      </c>
      <c r="V158" s="15">
        <v>20</v>
      </c>
      <c r="W158" s="12"/>
      <c r="X158" s="12">
        <v>0.7</v>
      </c>
      <c r="Y158" s="13" t="s">
        <v>358</v>
      </c>
      <c r="Z158" s="9" t="s">
        <v>359</v>
      </c>
      <c r="AA158" s="10" t="s">
        <v>436</v>
      </c>
      <c r="AB158" s="9" t="s">
        <v>355</v>
      </c>
      <c r="AC158" s="15">
        <v>213</v>
      </c>
      <c r="AD158" s="14">
        <f t="shared" si="19"/>
        <v>2.3283796034387376</v>
      </c>
      <c r="AE158" s="10" t="s">
        <v>437</v>
      </c>
      <c r="AF158" s="9" t="s">
        <v>420</v>
      </c>
      <c r="AG158" s="18">
        <v>34.683438000000002</v>
      </c>
      <c r="AH158" s="7">
        <f t="shared" si="20"/>
        <v>1</v>
      </c>
      <c r="AI158" s="7">
        <f t="shared" si="21"/>
        <v>1</v>
      </c>
      <c r="AJ158" s="7">
        <f t="shared" si="22"/>
        <v>0</v>
      </c>
      <c r="AK158" s="7">
        <f t="shared" si="23"/>
        <v>0</v>
      </c>
      <c r="AL158" s="7" t="s">
        <v>4157</v>
      </c>
      <c r="AM158" s="18">
        <f t="shared" si="24"/>
        <v>1.5401221404311698</v>
      </c>
      <c r="AN158" s="18">
        <v>34.683438000000002</v>
      </c>
      <c r="AO158" s="18">
        <v>-82.837365000000005</v>
      </c>
      <c r="AP158" s="9" t="s">
        <v>363</v>
      </c>
      <c r="AQ158" s="9" t="s">
        <v>445</v>
      </c>
      <c r="AR158" s="15">
        <v>1980</v>
      </c>
      <c r="AS158" s="19" t="s">
        <v>439</v>
      </c>
      <c r="AT158" s="20" t="s">
        <v>440</v>
      </c>
      <c r="AU158" s="40">
        <v>3240610</v>
      </c>
      <c r="AV158" s="35">
        <f t="shared" si="25"/>
        <v>6.5106267678296579</v>
      </c>
      <c r="AW158" s="41" t="s">
        <v>366</v>
      </c>
      <c r="AX158" s="34" t="s">
        <v>355</v>
      </c>
      <c r="AY158" s="40" t="s">
        <v>355</v>
      </c>
      <c r="AZ158" s="36">
        <v>87</v>
      </c>
      <c r="BA158" s="14">
        <f t="shared" si="26"/>
        <v>1.9395192526186185</v>
      </c>
      <c r="BB158" s="37" t="s">
        <v>367</v>
      </c>
      <c r="BC158" s="20">
        <v>1.137454981992851E-2</v>
      </c>
      <c r="BD158" s="9">
        <v>32</v>
      </c>
      <c r="BE158" s="9" t="s">
        <v>368</v>
      </c>
      <c r="BF158" s="9">
        <v>0</v>
      </c>
    </row>
    <row r="159" spans="1:58">
      <c r="A159" s="9">
        <v>526</v>
      </c>
      <c r="B159" s="10" t="s">
        <v>76</v>
      </c>
      <c r="C159" s="10" t="s">
        <v>389</v>
      </c>
      <c r="D159" s="20" t="s">
        <v>390</v>
      </c>
      <c r="E159" s="20" t="s">
        <v>447</v>
      </c>
      <c r="F159" s="10" t="s">
        <v>389</v>
      </c>
      <c r="G159" s="20" t="s">
        <v>390</v>
      </c>
      <c r="H159" s="20" t="s">
        <v>447</v>
      </c>
      <c r="I159" s="10" t="s">
        <v>389</v>
      </c>
      <c r="J159" s="20" t="s">
        <v>392</v>
      </c>
      <c r="K159" s="20" t="s">
        <v>447</v>
      </c>
      <c r="L159" s="9" t="s">
        <v>380</v>
      </c>
      <c r="M159" s="9">
        <v>10</v>
      </c>
      <c r="N159" s="9" t="s">
        <v>381</v>
      </c>
      <c r="O159" s="9" t="s">
        <v>382</v>
      </c>
      <c r="P159" s="12">
        <v>40.122880000000002</v>
      </c>
      <c r="Q159" s="12" t="s">
        <v>355</v>
      </c>
      <c r="R159" s="9" t="s">
        <v>356</v>
      </c>
      <c r="S159" s="13">
        <v>4</v>
      </c>
      <c r="T159" s="13">
        <v>4</v>
      </c>
      <c r="U159" s="14">
        <f t="shared" si="18"/>
        <v>0.69897000433601886</v>
      </c>
      <c r="V159" s="15">
        <v>20</v>
      </c>
      <c r="W159" s="12"/>
      <c r="X159" s="12">
        <v>0.7</v>
      </c>
      <c r="Y159" s="13" t="s">
        <v>358</v>
      </c>
      <c r="Z159" s="9" t="s">
        <v>359</v>
      </c>
      <c r="AA159" s="10" t="s">
        <v>436</v>
      </c>
      <c r="AB159" s="9" t="s">
        <v>355</v>
      </c>
      <c r="AC159" s="15">
        <v>213</v>
      </c>
      <c r="AD159" s="14">
        <f t="shared" si="19"/>
        <v>2.3283796034387376</v>
      </c>
      <c r="AE159" s="10" t="s">
        <v>437</v>
      </c>
      <c r="AF159" s="9" t="s">
        <v>420</v>
      </c>
      <c r="AG159" s="18">
        <v>34.683438000000002</v>
      </c>
      <c r="AH159" s="7">
        <f t="shared" si="20"/>
        <v>1</v>
      </c>
      <c r="AI159" s="7">
        <f t="shared" si="21"/>
        <v>1</v>
      </c>
      <c r="AJ159" s="7">
        <f t="shared" si="22"/>
        <v>0</v>
      </c>
      <c r="AK159" s="7">
        <f t="shared" si="23"/>
        <v>0</v>
      </c>
      <c r="AL159" s="7" t="s">
        <v>4157</v>
      </c>
      <c r="AM159" s="18">
        <f t="shared" si="24"/>
        <v>1.5401221404311698</v>
      </c>
      <c r="AN159" s="18">
        <v>34.683438000000002</v>
      </c>
      <c r="AO159" s="18">
        <v>-82.837365000000005</v>
      </c>
      <c r="AP159" s="9" t="s">
        <v>363</v>
      </c>
      <c r="AQ159" s="9" t="s">
        <v>441</v>
      </c>
      <c r="AR159" s="15">
        <v>1980</v>
      </c>
      <c r="AS159" s="19" t="s">
        <v>439</v>
      </c>
      <c r="AT159" s="20" t="s">
        <v>440</v>
      </c>
      <c r="AU159" s="40">
        <v>3240610</v>
      </c>
      <c r="AV159" s="35">
        <f t="shared" si="25"/>
        <v>6.5106267678296579</v>
      </c>
      <c r="AW159" s="41" t="s">
        <v>366</v>
      </c>
      <c r="AX159" s="34" t="s">
        <v>355</v>
      </c>
      <c r="AY159" s="40" t="s">
        <v>355</v>
      </c>
      <c r="AZ159" s="36">
        <v>87</v>
      </c>
      <c r="BA159" s="14">
        <f t="shared" si="26"/>
        <v>1.9395192526186185</v>
      </c>
      <c r="BB159" s="37" t="s">
        <v>367</v>
      </c>
      <c r="BC159" s="20">
        <v>1.137454981992851E-2</v>
      </c>
      <c r="BD159" s="9">
        <v>32</v>
      </c>
      <c r="BE159" s="9" t="s">
        <v>368</v>
      </c>
      <c r="BF159" s="9">
        <v>0</v>
      </c>
    </row>
    <row r="160" spans="1:58">
      <c r="A160" s="9">
        <v>527</v>
      </c>
      <c r="B160" s="10" t="s">
        <v>76</v>
      </c>
      <c r="C160" s="10" t="s">
        <v>389</v>
      </c>
      <c r="D160" s="20" t="s">
        <v>390</v>
      </c>
      <c r="E160" s="20" t="s">
        <v>447</v>
      </c>
      <c r="F160" s="10" t="s">
        <v>389</v>
      </c>
      <c r="G160" s="20" t="s">
        <v>390</v>
      </c>
      <c r="H160" s="20" t="s">
        <v>447</v>
      </c>
      <c r="I160" s="10" t="s">
        <v>389</v>
      </c>
      <c r="J160" s="20" t="s">
        <v>392</v>
      </c>
      <c r="K160" s="20" t="s">
        <v>447</v>
      </c>
      <c r="L160" s="9" t="s">
        <v>380</v>
      </c>
      <c r="M160" s="9">
        <v>10</v>
      </c>
      <c r="N160" s="9" t="s">
        <v>381</v>
      </c>
      <c r="O160" s="9" t="s">
        <v>382</v>
      </c>
      <c r="P160" s="12">
        <v>40.15063</v>
      </c>
      <c r="Q160" s="12" t="s">
        <v>355</v>
      </c>
      <c r="R160" s="9" t="s">
        <v>356</v>
      </c>
      <c r="S160" s="13">
        <v>4</v>
      </c>
      <c r="T160" s="13">
        <v>4</v>
      </c>
      <c r="U160" s="14">
        <f t="shared" si="18"/>
        <v>0.69897000433601886</v>
      </c>
      <c r="V160" s="15">
        <v>20</v>
      </c>
      <c r="W160" s="12"/>
      <c r="X160" s="12">
        <v>0.7</v>
      </c>
      <c r="Y160" s="13" t="s">
        <v>358</v>
      </c>
      <c r="Z160" s="9" t="s">
        <v>359</v>
      </c>
      <c r="AA160" s="10" t="s">
        <v>436</v>
      </c>
      <c r="AB160" s="9" t="s">
        <v>355</v>
      </c>
      <c r="AC160" s="15">
        <v>213</v>
      </c>
      <c r="AD160" s="14">
        <f t="shared" si="19"/>
        <v>2.3283796034387376</v>
      </c>
      <c r="AE160" s="10" t="s">
        <v>437</v>
      </c>
      <c r="AF160" s="9" t="s">
        <v>420</v>
      </c>
      <c r="AG160" s="18">
        <v>34.683438000000002</v>
      </c>
      <c r="AH160" s="7">
        <f t="shared" si="20"/>
        <v>1</v>
      </c>
      <c r="AI160" s="7">
        <f t="shared" si="21"/>
        <v>1</v>
      </c>
      <c r="AJ160" s="7">
        <f t="shared" si="22"/>
        <v>0</v>
      </c>
      <c r="AK160" s="7">
        <f t="shared" si="23"/>
        <v>0</v>
      </c>
      <c r="AL160" s="7" t="s">
        <v>4157</v>
      </c>
      <c r="AM160" s="18">
        <f t="shared" si="24"/>
        <v>1.5401221404311698</v>
      </c>
      <c r="AN160" s="18">
        <v>34.683438000000002</v>
      </c>
      <c r="AO160" s="18">
        <v>-82.837365000000005</v>
      </c>
      <c r="AP160" s="9" t="s">
        <v>363</v>
      </c>
      <c r="AQ160" s="9" t="s">
        <v>438</v>
      </c>
      <c r="AR160" s="15">
        <v>1980</v>
      </c>
      <c r="AS160" s="19" t="s">
        <v>439</v>
      </c>
      <c r="AT160" s="20" t="s">
        <v>440</v>
      </c>
      <c r="AU160" s="40">
        <v>3240610</v>
      </c>
      <c r="AV160" s="35">
        <f t="shared" si="25"/>
        <v>6.5106267678296579</v>
      </c>
      <c r="AW160" s="41" t="s">
        <v>366</v>
      </c>
      <c r="AX160" s="34" t="s">
        <v>355</v>
      </c>
      <c r="AY160" s="40" t="s">
        <v>355</v>
      </c>
      <c r="AZ160" s="36">
        <v>87</v>
      </c>
      <c r="BA160" s="14">
        <f t="shared" si="26"/>
        <v>1.9395192526186185</v>
      </c>
      <c r="BB160" s="37" t="s">
        <v>367</v>
      </c>
      <c r="BC160" s="20">
        <v>1.137454981992851E-2</v>
      </c>
      <c r="BD160" s="9">
        <v>32</v>
      </c>
      <c r="BE160" s="9" t="s">
        <v>368</v>
      </c>
      <c r="BF160" s="9">
        <v>0</v>
      </c>
    </row>
    <row r="161" spans="1:58">
      <c r="A161" s="9">
        <v>520</v>
      </c>
      <c r="B161" s="10" t="s">
        <v>76</v>
      </c>
      <c r="C161" s="10" t="s">
        <v>389</v>
      </c>
      <c r="D161" s="20" t="s">
        <v>390</v>
      </c>
      <c r="E161" s="20" t="s">
        <v>447</v>
      </c>
      <c r="F161" s="10" t="s">
        <v>389</v>
      </c>
      <c r="G161" s="20" t="s">
        <v>390</v>
      </c>
      <c r="H161" s="20" t="s">
        <v>447</v>
      </c>
      <c r="I161" s="10" t="s">
        <v>389</v>
      </c>
      <c r="J161" s="20" t="s">
        <v>392</v>
      </c>
      <c r="K161" s="20" t="s">
        <v>447</v>
      </c>
      <c r="L161" s="9" t="s">
        <v>380</v>
      </c>
      <c r="M161" s="9">
        <v>10</v>
      </c>
      <c r="N161" s="9" t="s">
        <v>381</v>
      </c>
      <c r="O161" s="9" t="s">
        <v>382</v>
      </c>
      <c r="P161" s="12">
        <v>40.215739999999997</v>
      </c>
      <c r="Q161" s="12" t="s">
        <v>355</v>
      </c>
      <c r="R161" s="9" t="s">
        <v>356</v>
      </c>
      <c r="S161" s="13">
        <v>4</v>
      </c>
      <c r="T161" s="13">
        <v>4</v>
      </c>
      <c r="U161" s="14">
        <f t="shared" si="18"/>
        <v>0.69897000433601886</v>
      </c>
      <c r="V161" s="15">
        <v>20</v>
      </c>
      <c r="W161" s="12"/>
      <c r="X161" s="12">
        <v>0.7</v>
      </c>
      <c r="Y161" s="13" t="s">
        <v>358</v>
      </c>
      <c r="Z161" s="9" t="s">
        <v>359</v>
      </c>
      <c r="AA161" s="10" t="s">
        <v>436</v>
      </c>
      <c r="AB161" s="9" t="s">
        <v>355</v>
      </c>
      <c r="AC161" s="15">
        <v>213</v>
      </c>
      <c r="AD161" s="14">
        <f t="shared" si="19"/>
        <v>2.3283796034387376</v>
      </c>
      <c r="AE161" s="10" t="s">
        <v>437</v>
      </c>
      <c r="AF161" s="9" t="s">
        <v>420</v>
      </c>
      <c r="AG161" s="18">
        <v>34.683438000000002</v>
      </c>
      <c r="AH161" s="7">
        <f t="shared" si="20"/>
        <v>1</v>
      </c>
      <c r="AI161" s="7">
        <f t="shared" si="21"/>
        <v>1</v>
      </c>
      <c r="AJ161" s="7">
        <f t="shared" si="22"/>
        <v>0</v>
      </c>
      <c r="AK161" s="7">
        <f t="shared" si="23"/>
        <v>0</v>
      </c>
      <c r="AL161" s="7" t="s">
        <v>4157</v>
      </c>
      <c r="AM161" s="18">
        <f t="shared" si="24"/>
        <v>1.5401221404311698</v>
      </c>
      <c r="AN161" s="18">
        <v>34.683438000000002</v>
      </c>
      <c r="AO161" s="18">
        <v>-82.837365000000005</v>
      </c>
      <c r="AP161" s="9" t="s">
        <v>363</v>
      </c>
      <c r="AQ161" s="9" t="s">
        <v>448</v>
      </c>
      <c r="AR161" s="15">
        <v>1980</v>
      </c>
      <c r="AS161" s="19" t="s">
        <v>439</v>
      </c>
      <c r="AT161" s="20" t="s">
        <v>440</v>
      </c>
      <c r="AU161" s="40">
        <v>3240610</v>
      </c>
      <c r="AV161" s="35">
        <f t="shared" si="25"/>
        <v>6.5106267678296579</v>
      </c>
      <c r="AW161" s="41" t="s">
        <v>366</v>
      </c>
      <c r="AX161" s="34" t="s">
        <v>355</v>
      </c>
      <c r="AY161" s="40" t="s">
        <v>355</v>
      </c>
      <c r="AZ161" s="36">
        <v>87</v>
      </c>
      <c r="BA161" s="14">
        <f t="shared" si="26"/>
        <v>1.9395192526186185</v>
      </c>
      <c r="BB161" s="37" t="s">
        <v>367</v>
      </c>
      <c r="BC161" s="20">
        <v>1.137454981992851E-2</v>
      </c>
      <c r="BD161" s="9">
        <v>32</v>
      </c>
      <c r="BE161" s="9" t="s">
        <v>368</v>
      </c>
      <c r="BF161" s="9">
        <v>0</v>
      </c>
    </row>
    <row r="162" spans="1:58">
      <c r="A162" s="9">
        <v>522</v>
      </c>
      <c r="B162" s="10" t="s">
        <v>76</v>
      </c>
      <c r="C162" s="10" t="s">
        <v>389</v>
      </c>
      <c r="D162" s="20" t="s">
        <v>390</v>
      </c>
      <c r="E162" s="20" t="s">
        <v>447</v>
      </c>
      <c r="F162" s="10" t="s">
        <v>389</v>
      </c>
      <c r="G162" s="20" t="s">
        <v>390</v>
      </c>
      <c r="H162" s="20" t="s">
        <v>447</v>
      </c>
      <c r="I162" s="10" t="s">
        <v>389</v>
      </c>
      <c r="J162" s="20" t="s">
        <v>392</v>
      </c>
      <c r="K162" s="20" t="s">
        <v>447</v>
      </c>
      <c r="L162" s="9" t="s">
        <v>380</v>
      </c>
      <c r="M162" s="9">
        <v>10</v>
      </c>
      <c r="N162" s="9" t="s">
        <v>381</v>
      </c>
      <c r="O162" s="9" t="s">
        <v>382</v>
      </c>
      <c r="P162" s="12">
        <v>40.736420000000003</v>
      </c>
      <c r="Q162" s="12" t="s">
        <v>355</v>
      </c>
      <c r="R162" s="9" t="s">
        <v>356</v>
      </c>
      <c r="S162" s="13">
        <v>4</v>
      </c>
      <c r="T162" s="13">
        <v>4</v>
      </c>
      <c r="U162" s="14">
        <f t="shared" si="18"/>
        <v>0.69897000433601886</v>
      </c>
      <c r="V162" s="15">
        <v>20</v>
      </c>
      <c r="W162" s="12"/>
      <c r="X162" s="12">
        <v>0.7</v>
      </c>
      <c r="Y162" s="13" t="s">
        <v>358</v>
      </c>
      <c r="Z162" s="9" t="s">
        <v>359</v>
      </c>
      <c r="AA162" s="10" t="s">
        <v>436</v>
      </c>
      <c r="AB162" s="9" t="s">
        <v>355</v>
      </c>
      <c r="AC162" s="15">
        <v>213</v>
      </c>
      <c r="AD162" s="14">
        <f t="shared" si="19"/>
        <v>2.3283796034387376</v>
      </c>
      <c r="AE162" s="10" t="s">
        <v>437</v>
      </c>
      <c r="AF162" s="9" t="s">
        <v>420</v>
      </c>
      <c r="AG162" s="18">
        <v>34.683438000000002</v>
      </c>
      <c r="AH162" s="7">
        <f t="shared" si="20"/>
        <v>1</v>
      </c>
      <c r="AI162" s="7">
        <f t="shared" si="21"/>
        <v>1</v>
      </c>
      <c r="AJ162" s="7">
        <f t="shared" si="22"/>
        <v>0</v>
      </c>
      <c r="AK162" s="7">
        <f t="shared" si="23"/>
        <v>0</v>
      </c>
      <c r="AL162" s="7" t="s">
        <v>4157</v>
      </c>
      <c r="AM162" s="18">
        <f t="shared" si="24"/>
        <v>1.5401221404311698</v>
      </c>
      <c r="AN162" s="18">
        <v>34.683438000000002</v>
      </c>
      <c r="AO162" s="18">
        <v>-82.837365000000005</v>
      </c>
      <c r="AP162" s="9" t="s">
        <v>363</v>
      </c>
      <c r="AQ162" s="9" t="s">
        <v>445</v>
      </c>
      <c r="AR162" s="15">
        <v>1980</v>
      </c>
      <c r="AS162" s="19" t="s">
        <v>439</v>
      </c>
      <c r="AT162" s="20" t="s">
        <v>440</v>
      </c>
      <c r="AU162" s="40">
        <v>3240610</v>
      </c>
      <c r="AV162" s="35">
        <f t="shared" si="25"/>
        <v>6.5106267678296579</v>
      </c>
      <c r="AW162" s="41" t="s">
        <v>366</v>
      </c>
      <c r="AX162" s="34" t="s">
        <v>355</v>
      </c>
      <c r="AY162" s="40" t="s">
        <v>355</v>
      </c>
      <c r="AZ162" s="36">
        <v>87</v>
      </c>
      <c r="BA162" s="14">
        <f t="shared" si="26"/>
        <v>1.9395192526186185</v>
      </c>
      <c r="BB162" s="37" t="s">
        <v>367</v>
      </c>
      <c r="BC162" s="20">
        <v>1.137454981992851E-2</v>
      </c>
      <c r="BD162" s="9">
        <v>32</v>
      </c>
      <c r="BE162" s="9" t="s">
        <v>368</v>
      </c>
      <c r="BF162" s="9">
        <v>0</v>
      </c>
    </row>
    <row r="163" spans="1:58">
      <c r="A163" s="9">
        <v>525</v>
      </c>
      <c r="B163" s="10" t="s">
        <v>76</v>
      </c>
      <c r="C163" s="10" t="s">
        <v>389</v>
      </c>
      <c r="D163" s="20" t="s">
        <v>390</v>
      </c>
      <c r="E163" s="20" t="s">
        <v>447</v>
      </c>
      <c r="F163" s="10" t="s">
        <v>389</v>
      </c>
      <c r="G163" s="20" t="s">
        <v>390</v>
      </c>
      <c r="H163" s="20" t="s">
        <v>447</v>
      </c>
      <c r="I163" s="10" t="s">
        <v>389</v>
      </c>
      <c r="J163" s="20" t="s">
        <v>392</v>
      </c>
      <c r="K163" s="20" t="s">
        <v>447</v>
      </c>
      <c r="L163" s="9" t="s">
        <v>380</v>
      </c>
      <c r="M163" s="9">
        <v>10</v>
      </c>
      <c r="N163" s="9" t="s">
        <v>381</v>
      </c>
      <c r="O163" s="9" t="s">
        <v>382</v>
      </c>
      <c r="P163" s="12">
        <v>40.793500000000002</v>
      </c>
      <c r="Q163" s="12" t="s">
        <v>355</v>
      </c>
      <c r="R163" s="9" t="s">
        <v>356</v>
      </c>
      <c r="S163" s="13">
        <v>4</v>
      </c>
      <c r="T163" s="13">
        <v>4</v>
      </c>
      <c r="U163" s="14">
        <f t="shared" si="18"/>
        <v>0.69897000433601886</v>
      </c>
      <c r="V163" s="15">
        <v>20</v>
      </c>
      <c r="W163" s="12"/>
      <c r="X163" s="12">
        <v>0.7</v>
      </c>
      <c r="Y163" s="13" t="s">
        <v>358</v>
      </c>
      <c r="Z163" s="9" t="s">
        <v>359</v>
      </c>
      <c r="AA163" s="10" t="s">
        <v>436</v>
      </c>
      <c r="AB163" s="9" t="s">
        <v>355</v>
      </c>
      <c r="AC163" s="15">
        <v>213</v>
      </c>
      <c r="AD163" s="14">
        <f t="shared" si="19"/>
        <v>2.3283796034387376</v>
      </c>
      <c r="AE163" s="10" t="s">
        <v>437</v>
      </c>
      <c r="AF163" s="9" t="s">
        <v>420</v>
      </c>
      <c r="AG163" s="18">
        <v>34.683438000000002</v>
      </c>
      <c r="AH163" s="7">
        <f t="shared" si="20"/>
        <v>1</v>
      </c>
      <c r="AI163" s="7">
        <f t="shared" si="21"/>
        <v>1</v>
      </c>
      <c r="AJ163" s="7">
        <f t="shared" si="22"/>
        <v>0</v>
      </c>
      <c r="AK163" s="7">
        <f t="shared" si="23"/>
        <v>0</v>
      </c>
      <c r="AL163" s="7" t="s">
        <v>4157</v>
      </c>
      <c r="AM163" s="18">
        <f t="shared" si="24"/>
        <v>1.5401221404311698</v>
      </c>
      <c r="AN163" s="18">
        <v>34.683438000000002</v>
      </c>
      <c r="AO163" s="18">
        <v>-82.837365000000005</v>
      </c>
      <c r="AP163" s="9" t="s">
        <v>363</v>
      </c>
      <c r="AQ163" s="9" t="s">
        <v>443</v>
      </c>
      <c r="AR163" s="15">
        <v>1980</v>
      </c>
      <c r="AS163" s="19" t="s">
        <v>439</v>
      </c>
      <c r="AT163" s="20" t="s">
        <v>440</v>
      </c>
      <c r="AU163" s="40">
        <v>3240610</v>
      </c>
      <c r="AV163" s="35">
        <f t="shared" si="25"/>
        <v>6.5106267678296579</v>
      </c>
      <c r="AW163" s="41" t="s">
        <v>366</v>
      </c>
      <c r="AX163" s="34" t="s">
        <v>355</v>
      </c>
      <c r="AY163" s="40" t="s">
        <v>355</v>
      </c>
      <c r="AZ163" s="36">
        <v>87</v>
      </c>
      <c r="BA163" s="14">
        <f t="shared" si="26"/>
        <v>1.9395192526186185</v>
      </c>
      <c r="BB163" s="37" t="s">
        <v>367</v>
      </c>
      <c r="BC163" s="20">
        <v>1.137454981992851E-2</v>
      </c>
      <c r="BD163" s="9">
        <v>32</v>
      </c>
      <c r="BE163" s="9" t="s">
        <v>368</v>
      </c>
      <c r="BF163" s="9">
        <v>0</v>
      </c>
    </row>
    <row r="164" spans="1:58">
      <c r="A164" s="9">
        <v>524</v>
      </c>
      <c r="B164" s="10" t="s">
        <v>76</v>
      </c>
      <c r="C164" s="10" t="s">
        <v>389</v>
      </c>
      <c r="D164" s="20" t="s">
        <v>390</v>
      </c>
      <c r="E164" s="20" t="s">
        <v>447</v>
      </c>
      <c r="F164" s="10" t="s">
        <v>389</v>
      </c>
      <c r="G164" s="20" t="s">
        <v>390</v>
      </c>
      <c r="H164" s="20" t="s">
        <v>447</v>
      </c>
      <c r="I164" s="10" t="s">
        <v>389</v>
      </c>
      <c r="J164" s="20" t="s">
        <v>392</v>
      </c>
      <c r="K164" s="20" t="s">
        <v>447</v>
      </c>
      <c r="L164" s="9" t="s">
        <v>380</v>
      </c>
      <c r="M164" s="9">
        <v>10</v>
      </c>
      <c r="N164" s="9" t="s">
        <v>381</v>
      </c>
      <c r="O164" s="9" t="s">
        <v>382</v>
      </c>
      <c r="P164" s="12">
        <v>41.02469</v>
      </c>
      <c r="Q164" s="12" t="s">
        <v>355</v>
      </c>
      <c r="R164" s="9" t="s">
        <v>356</v>
      </c>
      <c r="S164" s="13">
        <v>4</v>
      </c>
      <c r="T164" s="13">
        <v>4</v>
      </c>
      <c r="U164" s="14">
        <f t="shared" si="18"/>
        <v>0.69897000433601886</v>
      </c>
      <c r="V164" s="15">
        <v>20</v>
      </c>
      <c r="W164" s="12"/>
      <c r="X164" s="12">
        <v>0.7</v>
      </c>
      <c r="Y164" s="13" t="s">
        <v>358</v>
      </c>
      <c r="Z164" s="9" t="s">
        <v>359</v>
      </c>
      <c r="AA164" s="10" t="s">
        <v>436</v>
      </c>
      <c r="AB164" s="9" t="s">
        <v>355</v>
      </c>
      <c r="AC164" s="15">
        <v>213</v>
      </c>
      <c r="AD164" s="14">
        <f t="shared" si="19"/>
        <v>2.3283796034387376</v>
      </c>
      <c r="AE164" s="10" t="s">
        <v>437</v>
      </c>
      <c r="AF164" s="9" t="s">
        <v>420</v>
      </c>
      <c r="AG164" s="18">
        <v>34.683438000000002</v>
      </c>
      <c r="AH164" s="7">
        <f t="shared" si="20"/>
        <v>1</v>
      </c>
      <c r="AI164" s="7">
        <f t="shared" si="21"/>
        <v>1</v>
      </c>
      <c r="AJ164" s="7">
        <f t="shared" si="22"/>
        <v>0</v>
      </c>
      <c r="AK164" s="7">
        <f t="shared" si="23"/>
        <v>0</v>
      </c>
      <c r="AL164" s="7" t="s">
        <v>4157</v>
      </c>
      <c r="AM164" s="18">
        <f t="shared" si="24"/>
        <v>1.5401221404311698</v>
      </c>
      <c r="AN164" s="18">
        <v>34.683438000000002</v>
      </c>
      <c r="AO164" s="18">
        <v>-82.837365000000005</v>
      </c>
      <c r="AP164" s="9" t="s">
        <v>363</v>
      </c>
      <c r="AQ164" s="9" t="s">
        <v>444</v>
      </c>
      <c r="AR164" s="15">
        <v>1980</v>
      </c>
      <c r="AS164" s="19" t="s">
        <v>439</v>
      </c>
      <c r="AT164" s="20" t="s">
        <v>440</v>
      </c>
      <c r="AU164" s="40">
        <v>3240610</v>
      </c>
      <c r="AV164" s="35">
        <f t="shared" si="25"/>
        <v>6.5106267678296579</v>
      </c>
      <c r="AW164" s="41" t="s">
        <v>366</v>
      </c>
      <c r="AX164" s="34" t="s">
        <v>355</v>
      </c>
      <c r="AY164" s="40" t="s">
        <v>355</v>
      </c>
      <c r="AZ164" s="36">
        <v>87</v>
      </c>
      <c r="BA164" s="14">
        <f t="shared" si="26"/>
        <v>1.9395192526186185</v>
      </c>
      <c r="BB164" s="37" t="s">
        <v>367</v>
      </c>
      <c r="BC164" s="20">
        <v>1.137454981992851E-2</v>
      </c>
      <c r="BD164" s="9">
        <v>32</v>
      </c>
      <c r="BE164" s="9" t="s">
        <v>368</v>
      </c>
      <c r="BF164" s="9">
        <v>0</v>
      </c>
    </row>
    <row r="165" spans="1:58">
      <c r="A165" s="9">
        <v>521</v>
      </c>
      <c r="B165" s="10" t="s">
        <v>76</v>
      </c>
      <c r="C165" s="10" t="s">
        <v>389</v>
      </c>
      <c r="D165" s="20" t="s">
        <v>390</v>
      </c>
      <c r="E165" s="20" t="s">
        <v>447</v>
      </c>
      <c r="F165" s="10" t="s">
        <v>389</v>
      </c>
      <c r="G165" s="20" t="s">
        <v>390</v>
      </c>
      <c r="H165" s="20" t="s">
        <v>447</v>
      </c>
      <c r="I165" s="10" t="s">
        <v>389</v>
      </c>
      <c r="J165" s="20" t="s">
        <v>392</v>
      </c>
      <c r="K165" s="20" t="s">
        <v>447</v>
      </c>
      <c r="L165" s="9" t="s">
        <v>380</v>
      </c>
      <c r="M165" s="9">
        <v>10</v>
      </c>
      <c r="N165" s="9" t="s">
        <v>381</v>
      </c>
      <c r="O165" s="9" t="s">
        <v>382</v>
      </c>
      <c r="P165" s="12">
        <v>41.071060000000003</v>
      </c>
      <c r="Q165" s="12" t="s">
        <v>355</v>
      </c>
      <c r="R165" s="9" t="s">
        <v>356</v>
      </c>
      <c r="S165" s="13">
        <v>4</v>
      </c>
      <c r="T165" s="13">
        <v>4</v>
      </c>
      <c r="U165" s="14">
        <f t="shared" si="18"/>
        <v>0.69897000433601886</v>
      </c>
      <c r="V165" s="15">
        <v>20</v>
      </c>
      <c r="W165" s="12"/>
      <c r="X165" s="12">
        <v>0.7</v>
      </c>
      <c r="Y165" s="13" t="s">
        <v>358</v>
      </c>
      <c r="Z165" s="9" t="s">
        <v>359</v>
      </c>
      <c r="AA165" s="10" t="s">
        <v>436</v>
      </c>
      <c r="AB165" s="9" t="s">
        <v>355</v>
      </c>
      <c r="AC165" s="15">
        <v>213</v>
      </c>
      <c r="AD165" s="14">
        <f t="shared" si="19"/>
        <v>2.3283796034387376</v>
      </c>
      <c r="AE165" s="10" t="s">
        <v>437</v>
      </c>
      <c r="AF165" s="9" t="s">
        <v>420</v>
      </c>
      <c r="AG165" s="18">
        <v>34.683438000000002</v>
      </c>
      <c r="AH165" s="7">
        <f t="shared" si="20"/>
        <v>1</v>
      </c>
      <c r="AI165" s="7">
        <f t="shared" si="21"/>
        <v>1</v>
      </c>
      <c r="AJ165" s="7">
        <f t="shared" si="22"/>
        <v>0</v>
      </c>
      <c r="AK165" s="7">
        <f t="shared" si="23"/>
        <v>0</v>
      </c>
      <c r="AL165" s="7" t="s">
        <v>4157</v>
      </c>
      <c r="AM165" s="18">
        <f t="shared" si="24"/>
        <v>1.5401221404311698</v>
      </c>
      <c r="AN165" s="18">
        <v>34.683438000000002</v>
      </c>
      <c r="AO165" s="18">
        <v>-82.837365000000005</v>
      </c>
      <c r="AP165" s="9" t="s">
        <v>363</v>
      </c>
      <c r="AQ165" s="9" t="s">
        <v>449</v>
      </c>
      <c r="AR165" s="15">
        <v>1980</v>
      </c>
      <c r="AS165" s="19" t="s">
        <v>439</v>
      </c>
      <c r="AT165" s="20" t="s">
        <v>440</v>
      </c>
      <c r="AU165" s="40">
        <v>3240610</v>
      </c>
      <c r="AV165" s="35">
        <f t="shared" si="25"/>
        <v>6.5106267678296579</v>
      </c>
      <c r="AW165" s="41" t="s">
        <v>366</v>
      </c>
      <c r="AX165" s="34" t="s">
        <v>355</v>
      </c>
      <c r="AY165" s="40" t="s">
        <v>355</v>
      </c>
      <c r="AZ165" s="36">
        <v>87</v>
      </c>
      <c r="BA165" s="14">
        <f t="shared" si="26"/>
        <v>1.9395192526186185</v>
      </c>
      <c r="BB165" s="37" t="s">
        <v>367</v>
      </c>
      <c r="BC165" s="20">
        <v>1.137454981992851E-2</v>
      </c>
      <c r="BD165" s="9">
        <v>32</v>
      </c>
      <c r="BE165" s="9" t="s">
        <v>368</v>
      </c>
      <c r="BF165" s="9">
        <v>0</v>
      </c>
    </row>
    <row r="166" spans="1:58">
      <c r="A166" s="9">
        <v>523</v>
      </c>
      <c r="B166" s="10" t="s">
        <v>76</v>
      </c>
      <c r="C166" s="10" t="s">
        <v>389</v>
      </c>
      <c r="D166" s="20" t="s">
        <v>390</v>
      </c>
      <c r="E166" s="20" t="s">
        <v>447</v>
      </c>
      <c r="F166" s="10" t="s">
        <v>389</v>
      </c>
      <c r="G166" s="20" t="s">
        <v>390</v>
      </c>
      <c r="H166" s="20" t="s">
        <v>447</v>
      </c>
      <c r="I166" s="10" t="s">
        <v>389</v>
      </c>
      <c r="J166" s="20" t="s">
        <v>392</v>
      </c>
      <c r="K166" s="20" t="s">
        <v>447</v>
      </c>
      <c r="L166" s="9" t="s">
        <v>380</v>
      </c>
      <c r="M166" s="9">
        <v>10</v>
      </c>
      <c r="N166" s="9" t="s">
        <v>381</v>
      </c>
      <c r="O166" s="9" t="s">
        <v>382</v>
      </c>
      <c r="P166" s="12">
        <v>41.126350000000002</v>
      </c>
      <c r="Q166" s="12" t="s">
        <v>355</v>
      </c>
      <c r="R166" s="9" t="s">
        <v>356</v>
      </c>
      <c r="S166" s="13">
        <v>4</v>
      </c>
      <c r="T166" s="13">
        <v>4</v>
      </c>
      <c r="U166" s="14">
        <f t="shared" si="18"/>
        <v>0.69897000433601886</v>
      </c>
      <c r="V166" s="15">
        <v>20</v>
      </c>
      <c r="W166" s="12"/>
      <c r="X166" s="12">
        <v>0.7</v>
      </c>
      <c r="Y166" s="13" t="s">
        <v>358</v>
      </c>
      <c r="Z166" s="9" t="s">
        <v>359</v>
      </c>
      <c r="AA166" s="10" t="s">
        <v>436</v>
      </c>
      <c r="AB166" s="9" t="s">
        <v>355</v>
      </c>
      <c r="AC166" s="15">
        <v>213</v>
      </c>
      <c r="AD166" s="14">
        <f t="shared" si="19"/>
        <v>2.3283796034387376</v>
      </c>
      <c r="AE166" s="10" t="s">
        <v>437</v>
      </c>
      <c r="AF166" s="9" t="s">
        <v>420</v>
      </c>
      <c r="AG166" s="18">
        <v>34.683438000000002</v>
      </c>
      <c r="AH166" s="7">
        <f t="shared" si="20"/>
        <v>1</v>
      </c>
      <c r="AI166" s="7">
        <f t="shared" si="21"/>
        <v>1</v>
      </c>
      <c r="AJ166" s="7">
        <f t="shared" si="22"/>
        <v>0</v>
      </c>
      <c r="AK166" s="7">
        <f t="shared" si="23"/>
        <v>0</v>
      </c>
      <c r="AL166" s="7" t="s">
        <v>4157</v>
      </c>
      <c r="AM166" s="18">
        <f t="shared" si="24"/>
        <v>1.5401221404311698</v>
      </c>
      <c r="AN166" s="18">
        <v>34.683438000000002</v>
      </c>
      <c r="AO166" s="18">
        <v>-82.837365000000005</v>
      </c>
      <c r="AP166" s="9" t="s">
        <v>363</v>
      </c>
      <c r="AQ166" s="9" t="s">
        <v>446</v>
      </c>
      <c r="AR166" s="15">
        <v>1980</v>
      </c>
      <c r="AS166" s="19" t="s">
        <v>439</v>
      </c>
      <c r="AT166" s="20" t="s">
        <v>440</v>
      </c>
      <c r="AU166" s="40">
        <v>3240610</v>
      </c>
      <c r="AV166" s="35">
        <f t="shared" si="25"/>
        <v>6.5106267678296579</v>
      </c>
      <c r="AW166" s="41" t="s">
        <v>366</v>
      </c>
      <c r="AX166" s="34" t="s">
        <v>355</v>
      </c>
      <c r="AY166" s="40" t="s">
        <v>355</v>
      </c>
      <c r="AZ166" s="36">
        <v>87</v>
      </c>
      <c r="BA166" s="14">
        <f t="shared" si="26"/>
        <v>1.9395192526186185</v>
      </c>
      <c r="BB166" s="37" t="s">
        <v>367</v>
      </c>
      <c r="BC166" s="20">
        <v>1.137454981992851E-2</v>
      </c>
      <c r="BD166" s="9">
        <v>32</v>
      </c>
      <c r="BE166" s="9" t="s">
        <v>368</v>
      </c>
      <c r="BF166" s="9">
        <v>0</v>
      </c>
    </row>
    <row r="167" spans="1:58">
      <c r="A167" s="9">
        <v>40</v>
      </c>
      <c r="B167" s="10" t="s">
        <v>76</v>
      </c>
      <c r="C167" s="10" t="s">
        <v>389</v>
      </c>
      <c r="D167" s="20" t="s">
        <v>390</v>
      </c>
      <c r="E167" s="20" t="s">
        <v>526</v>
      </c>
      <c r="F167" s="10" t="s">
        <v>389</v>
      </c>
      <c r="G167" s="20" t="s">
        <v>390</v>
      </c>
      <c r="H167" s="20" t="s">
        <v>526</v>
      </c>
      <c r="I167" s="10" t="s">
        <v>389</v>
      </c>
      <c r="J167" s="20" t="s">
        <v>390</v>
      </c>
      <c r="K167" s="20" t="s">
        <v>526</v>
      </c>
      <c r="L167" s="9" t="s">
        <v>380</v>
      </c>
      <c r="M167" s="9">
        <v>15</v>
      </c>
      <c r="N167" s="9" t="s">
        <v>381</v>
      </c>
      <c r="O167" s="9" t="s">
        <v>382</v>
      </c>
      <c r="P167" s="12">
        <v>38.299999999999997</v>
      </c>
      <c r="Q167" s="12" t="s">
        <v>355</v>
      </c>
      <c r="R167" s="9" t="s">
        <v>356</v>
      </c>
      <c r="S167" s="13">
        <v>4</v>
      </c>
      <c r="T167" s="13">
        <v>4</v>
      </c>
      <c r="U167" s="14">
        <f t="shared" si="18"/>
        <v>0.69897000433601886</v>
      </c>
      <c r="V167" s="15">
        <v>20</v>
      </c>
      <c r="W167" s="12"/>
      <c r="X167" s="12">
        <v>1</v>
      </c>
      <c r="Y167" s="13" t="s">
        <v>358</v>
      </c>
      <c r="Z167" s="9" t="s">
        <v>417</v>
      </c>
      <c r="AA167" s="10" t="s">
        <v>418</v>
      </c>
      <c r="AB167" s="9" t="s">
        <v>355</v>
      </c>
      <c r="AC167" s="15">
        <v>1756</v>
      </c>
      <c r="AD167" s="14">
        <f t="shared" si="19"/>
        <v>3.2445245115700838</v>
      </c>
      <c r="AE167" s="10" t="s">
        <v>519</v>
      </c>
      <c r="AF167" s="9" t="s">
        <v>420</v>
      </c>
      <c r="AG167" s="18">
        <v>37.378830999999998</v>
      </c>
      <c r="AH167" s="7">
        <f t="shared" si="20"/>
        <v>1</v>
      </c>
      <c r="AI167" s="7">
        <f t="shared" si="21"/>
        <v>1</v>
      </c>
      <c r="AJ167" s="7">
        <f t="shared" si="22"/>
        <v>0</v>
      </c>
      <c r="AK167" s="7">
        <f t="shared" si="23"/>
        <v>0</v>
      </c>
      <c r="AL167" s="7" t="s">
        <v>4157</v>
      </c>
      <c r="AM167" s="18">
        <f t="shared" si="24"/>
        <v>1.5726257149618044</v>
      </c>
      <c r="AN167" s="18">
        <v>37.378830999999998</v>
      </c>
      <c r="AO167" s="18">
        <v>-2.8584580000000002</v>
      </c>
      <c r="AP167" s="9" t="s">
        <v>363</v>
      </c>
      <c r="AQ167" s="9" t="s">
        <v>355</v>
      </c>
      <c r="AR167" s="15">
        <v>2012</v>
      </c>
      <c r="AS167" s="19" t="s">
        <v>520</v>
      </c>
      <c r="AT167" s="20" t="s">
        <v>521</v>
      </c>
      <c r="AU167" s="40">
        <v>10383904</v>
      </c>
      <c r="AV167" s="35">
        <f t="shared" si="25"/>
        <v>7.0163606643885954</v>
      </c>
      <c r="AW167" s="37" t="s">
        <v>366</v>
      </c>
      <c r="AX167" s="34" t="s">
        <v>355</v>
      </c>
      <c r="AY167" s="40">
        <v>3000</v>
      </c>
      <c r="AZ167" s="37">
        <v>146</v>
      </c>
      <c r="BA167" s="14">
        <f t="shared" si="26"/>
        <v>2.1643528557844371</v>
      </c>
      <c r="BB167" s="37" t="s">
        <v>367</v>
      </c>
      <c r="BC167" s="20">
        <v>3.0292917166866652E-2</v>
      </c>
      <c r="BD167" s="9">
        <v>28.8</v>
      </c>
      <c r="BE167" s="9" t="s">
        <v>368</v>
      </c>
      <c r="BF167" s="9">
        <v>0</v>
      </c>
    </row>
    <row r="168" spans="1:58">
      <c r="A168" s="9">
        <v>10</v>
      </c>
      <c r="B168" s="10" t="s">
        <v>76</v>
      </c>
      <c r="C168" s="10" t="s">
        <v>527</v>
      </c>
      <c r="D168" s="20" t="s">
        <v>528</v>
      </c>
      <c r="E168" s="20" t="s">
        <v>529</v>
      </c>
      <c r="F168" s="20" t="s">
        <v>426</v>
      </c>
      <c r="G168" s="20" t="s">
        <v>528</v>
      </c>
      <c r="H168" s="20" t="s">
        <v>529</v>
      </c>
      <c r="I168" s="45" t="s">
        <v>527</v>
      </c>
      <c r="J168" s="20" t="s">
        <v>528</v>
      </c>
      <c r="K168" s="20" t="s">
        <v>529</v>
      </c>
      <c r="L168" s="9" t="s">
        <v>380</v>
      </c>
      <c r="M168" s="9">
        <v>12</v>
      </c>
      <c r="N168" s="9" t="s">
        <v>381</v>
      </c>
      <c r="O168" s="9" t="s">
        <v>382</v>
      </c>
      <c r="P168" s="12">
        <v>42</v>
      </c>
      <c r="Q168" s="12" t="s">
        <v>355</v>
      </c>
      <c r="R168" s="9" t="s">
        <v>356</v>
      </c>
      <c r="S168" s="13">
        <v>4</v>
      </c>
      <c r="T168" s="13">
        <v>4</v>
      </c>
      <c r="U168" s="14">
        <f t="shared" si="18"/>
        <v>0.69897000433601886</v>
      </c>
      <c r="V168" s="15">
        <v>20</v>
      </c>
      <c r="W168" s="12"/>
      <c r="X168" s="12">
        <v>1</v>
      </c>
      <c r="Y168" s="13" t="s">
        <v>358</v>
      </c>
      <c r="Z168" s="9" t="s">
        <v>417</v>
      </c>
      <c r="AA168" s="10" t="s">
        <v>418</v>
      </c>
      <c r="AB168" s="9" t="s">
        <v>355</v>
      </c>
      <c r="AC168" s="15">
        <v>102</v>
      </c>
      <c r="AD168" s="14">
        <f t="shared" si="19"/>
        <v>2.0086001717619175</v>
      </c>
      <c r="AE168" s="10" t="s">
        <v>530</v>
      </c>
      <c r="AF168" s="9" t="s">
        <v>420</v>
      </c>
      <c r="AG168" s="18">
        <v>25.316761</v>
      </c>
      <c r="AH168" s="7">
        <f t="shared" si="20"/>
        <v>1</v>
      </c>
      <c r="AI168" s="7">
        <f t="shared" si="21"/>
        <v>0</v>
      </c>
      <c r="AJ168" s="7">
        <f t="shared" si="22"/>
        <v>0</v>
      </c>
      <c r="AK168" s="7">
        <f t="shared" si="23"/>
        <v>0</v>
      </c>
      <c r="AL168" s="7" t="s">
        <v>4159</v>
      </c>
      <c r="AM168" s="18">
        <f t="shared" si="24"/>
        <v>1.4034081417162645</v>
      </c>
      <c r="AN168" s="18">
        <v>-25.316761</v>
      </c>
      <c r="AO168" s="18">
        <v>-59.695506000000002</v>
      </c>
      <c r="AP168" s="9" t="s">
        <v>363</v>
      </c>
      <c r="AQ168" s="9" t="s">
        <v>355</v>
      </c>
      <c r="AR168" s="15">
        <v>2012</v>
      </c>
      <c r="AS168" s="19" t="s">
        <v>520</v>
      </c>
      <c r="AT168" s="20" t="s">
        <v>521</v>
      </c>
      <c r="AU168" s="40">
        <v>865896</v>
      </c>
      <c r="AV168" s="35">
        <f t="shared" si="25"/>
        <v>5.9374657334279481</v>
      </c>
      <c r="AW168" s="37" t="s">
        <v>366</v>
      </c>
      <c r="AX168" s="34" t="s">
        <v>355</v>
      </c>
      <c r="AY168" s="40">
        <v>700</v>
      </c>
      <c r="AZ168" s="37">
        <v>70</v>
      </c>
      <c r="BA168" s="14">
        <f t="shared" si="26"/>
        <v>1.8450980400142569</v>
      </c>
      <c r="BB168" s="37" t="s">
        <v>367</v>
      </c>
      <c r="BC168" s="20">
        <v>1.251420568227286E-2</v>
      </c>
      <c r="BD168" s="9">
        <v>34.6</v>
      </c>
      <c r="BE168" s="9" t="s">
        <v>368</v>
      </c>
      <c r="BF168" s="9">
        <v>0</v>
      </c>
    </row>
    <row r="169" spans="1:58">
      <c r="A169" s="9">
        <v>26</v>
      </c>
      <c r="B169" s="10" t="s">
        <v>76</v>
      </c>
      <c r="C169" s="10" t="s">
        <v>531</v>
      </c>
      <c r="D169" s="20" t="s">
        <v>532</v>
      </c>
      <c r="E169" s="20" t="s">
        <v>533</v>
      </c>
      <c r="F169" s="20" t="s">
        <v>426</v>
      </c>
      <c r="G169" s="20" t="s">
        <v>532</v>
      </c>
      <c r="H169" s="20" t="s">
        <v>533</v>
      </c>
      <c r="I169" s="20" t="s">
        <v>531</v>
      </c>
      <c r="J169" s="20" t="s">
        <v>532</v>
      </c>
      <c r="K169" s="20" t="s">
        <v>533</v>
      </c>
      <c r="L169" s="9" t="s">
        <v>380</v>
      </c>
      <c r="M169" s="9">
        <v>13</v>
      </c>
      <c r="N169" s="9" t="s">
        <v>381</v>
      </c>
      <c r="O169" s="9" t="s">
        <v>382</v>
      </c>
      <c r="P169" s="12">
        <v>36.6</v>
      </c>
      <c r="Q169" s="12" t="s">
        <v>355</v>
      </c>
      <c r="R169" s="9" t="s">
        <v>356</v>
      </c>
      <c r="S169" s="13">
        <v>4</v>
      </c>
      <c r="T169" s="13">
        <v>4</v>
      </c>
      <c r="U169" s="14">
        <f t="shared" si="18"/>
        <v>0.69897000433601886</v>
      </c>
      <c r="V169" s="15">
        <v>20</v>
      </c>
      <c r="W169" s="12"/>
      <c r="X169" s="12">
        <v>1</v>
      </c>
      <c r="Y169" s="13" t="s">
        <v>358</v>
      </c>
      <c r="Z169" s="9" t="s">
        <v>417</v>
      </c>
      <c r="AA169" s="10" t="s">
        <v>418</v>
      </c>
      <c r="AB169" s="9" t="s">
        <v>355</v>
      </c>
      <c r="AC169" s="15">
        <v>312</v>
      </c>
      <c r="AD169" s="14">
        <f t="shared" si="19"/>
        <v>2.4941545940184429</v>
      </c>
      <c r="AE169" s="10" t="s">
        <v>534</v>
      </c>
      <c r="AF169" s="9" t="s">
        <v>420</v>
      </c>
      <c r="AG169" s="18">
        <v>27.087367</v>
      </c>
      <c r="AH169" s="7">
        <f t="shared" si="20"/>
        <v>1</v>
      </c>
      <c r="AI169" s="7">
        <f t="shared" si="21"/>
        <v>0</v>
      </c>
      <c r="AJ169" s="7">
        <f t="shared" si="22"/>
        <v>0</v>
      </c>
      <c r="AK169" s="7">
        <f t="shared" si="23"/>
        <v>0</v>
      </c>
      <c r="AL169" s="7" t="s">
        <v>4159</v>
      </c>
      <c r="AM169" s="18">
        <f t="shared" si="24"/>
        <v>1.4327667919307208</v>
      </c>
      <c r="AN169" s="18">
        <v>-27.087367</v>
      </c>
      <c r="AO169" s="18">
        <v>-54.950392000000001</v>
      </c>
      <c r="AP169" s="9" t="s">
        <v>363</v>
      </c>
      <c r="AQ169" s="9" t="s">
        <v>355</v>
      </c>
      <c r="AR169" s="15">
        <v>2012</v>
      </c>
      <c r="AS169" s="19" t="s">
        <v>520</v>
      </c>
      <c r="AT169" s="20" t="s">
        <v>521</v>
      </c>
      <c r="AU169" s="40">
        <v>34074</v>
      </c>
      <c r="AV169" s="35">
        <f t="shared" si="25"/>
        <v>4.5324231190671025</v>
      </c>
      <c r="AW169" s="37" t="s">
        <v>366</v>
      </c>
      <c r="AX169" s="40">
        <v>300</v>
      </c>
      <c r="AY169" s="40">
        <v>750</v>
      </c>
      <c r="AZ169" s="36">
        <v>33</v>
      </c>
      <c r="BA169" s="14">
        <f t="shared" si="26"/>
        <v>1.5185139398778875</v>
      </c>
      <c r="BB169" s="37" t="s">
        <v>388</v>
      </c>
      <c r="BC169" s="20">
        <v>2.8247298919569274E-3</v>
      </c>
      <c r="BD169" s="9">
        <v>31.200000000000003</v>
      </c>
      <c r="BE169" s="9" t="s">
        <v>459</v>
      </c>
      <c r="BF169" s="9">
        <v>1</v>
      </c>
    </row>
    <row r="170" spans="1:58">
      <c r="A170" s="9">
        <v>27</v>
      </c>
      <c r="B170" s="10" t="s">
        <v>76</v>
      </c>
      <c r="C170" s="10" t="s">
        <v>77</v>
      </c>
      <c r="D170" s="20" t="s">
        <v>535</v>
      </c>
      <c r="E170" s="20" t="s">
        <v>536</v>
      </c>
      <c r="F170" s="10" t="s">
        <v>77</v>
      </c>
      <c r="G170" s="20" t="s">
        <v>535</v>
      </c>
      <c r="H170" s="20" t="s">
        <v>537</v>
      </c>
      <c r="I170" s="10" t="s">
        <v>77</v>
      </c>
      <c r="J170" s="20" t="s">
        <v>535</v>
      </c>
      <c r="K170" s="20" t="s">
        <v>536</v>
      </c>
      <c r="L170" s="9" t="s">
        <v>380</v>
      </c>
      <c r="M170" s="9">
        <v>15</v>
      </c>
      <c r="N170" s="9" t="s">
        <v>381</v>
      </c>
      <c r="O170" s="9" t="s">
        <v>382</v>
      </c>
      <c r="P170" s="12">
        <v>40.6</v>
      </c>
      <c r="Q170" s="12" t="s">
        <v>355</v>
      </c>
      <c r="R170" s="9" t="s">
        <v>356</v>
      </c>
      <c r="S170" s="13">
        <v>4</v>
      </c>
      <c r="T170" s="13">
        <v>4</v>
      </c>
      <c r="U170" s="14">
        <f t="shared" si="18"/>
        <v>0.69897000433601886</v>
      </c>
      <c r="V170" s="15">
        <v>20</v>
      </c>
      <c r="W170" s="12"/>
      <c r="X170" s="12">
        <v>1</v>
      </c>
      <c r="Y170" s="13" t="s">
        <v>358</v>
      </c>
      <c r="Z170" s="9" t="s">
        <v>417</v>
      </c>
      <c r="AA170" s="10" t="s">
        <v>418</v>
      </c>
      <c r="AB170" s="9" t="s">
        <v>355</v>
      </c>
      <c r="AC170" s="15">
        <v>312</v>
      </c>
      <c r="AD170" s="14">
        <f t="shared" si="19"/>
        <v>2.4941545940184429</v>
      </c>
      <c r="AE170" s="10" t="s">
        <v>534</v>
      </c>
      <c r="AF170" s="9" t="s">
        <v>420</v>
      </c>
      <c r="AG170" s="18">
        <v>27.087367</v>
      </c>
      <c r="AH170" s="7">
        <f t="shared" si="20"/>
        <v>1</v>
      </c>
      <c r="AI170" s="7">
        <f t="shared" si="21"/>
        <v>0</v>
      </c>
      <c r="AJ170" s="7">
        <f t="shared" si="22"/>
        <v>0</v>
      </c>
      <c r="AK170" s="7">
        <f t="shared" si="23"/>
        <v>0</v>
      </c>
      <c r="AL170" s="7" t="s">
        <v>4159</v>
      </c>
      <c r="AM170" s="18">
        <f t="shared" si="24"/>
        <v>1.4327667919307208</v>
      </c>
      <c r="AN170" s="18">
        <v>-27.087367</v>
      </c>
      <c r="AO170" s="18">
        <v>-54.950392000000001</v>
      </c>
      <c r="AP170" s="9" t="s">
        <v>363</v>
      </c>
      <c r="AQ170" s="9" t="s">
        <v>355</v>
      </c>
      <c r="AR170" s="15">
        <v>2012</v>
      </c>
      <c r="AS170" s="19" t="s">
        <v>520</v>
      </c>
      <c r="AT170" s="20" t="s">
        <v>521</v>
      </c>
      <c r="AU170" s="40">
        <v>11088235</v>
      </c>
      <c r="AV170" s="35">
        <f t="shared" si="25"/>
        <v>7.0448624216437903</v>
      </c>
      <c r="AW170" s="37" t="s">
        <v>366</v>
      </c>
      <c r="AX170" s="34" t="s">
        <v>355</v>
      </c>
      <c r="AY170" s="40">
        <v>1800</v>
      </c>
      <c r="AZ170" s="36">
        <v>33</v>
      </c>
      <c r="BA170" s="14">
        <f t="shared" si="26"/>
        <v>1.5185139398778875</v>
      </c>
      <c r="BB170" s="37" t="s">
        <v>472</v>
      </c>
      <c r="BC170" s="20">
        <v>2.8247298919569274E-3</v>
      </c>
      <c r="BD170" s="9">
        <v>31.200000000000003</v>
      </c>
      <c r="BE170" s="9" t="s">
        <v>368</v>
      </c>
      <c r="BF170" s="9">
        <v>0</v>
      </c>
    </row>
    <row r="171" spans="1:58">
      <c r="A171" s="9">
        <v>11</v>
      </c>
      <c r="B171" s="10" t="s">
        <v>76</v>
      </c>
      <c r="C171" s="10" t="s">
        <v>474</v>
      </c>
      <c r="D171" s="20" t="s">
        <v>538</v>
      </c>
      <c r="E171" s="20" t="s">
        <v>539</v>
      </c>
      <c r="F171" s="10" t="s">
        <v>474</v>
      </c>
      <c r="G171" s="20" t="s">
        <v>538</v>
      </c>
      <c r="H171" s="20" t="s">
        <v>539</v>
      </c>
      <c r="I171" s="10" t="s">
        <v>474</v>
      </c>
      <c r="J171" s="20" t="s">
        <v>538</v>
      </c>
      <c r="K171" s="20" t="s">
        <v>539</v>
      </c>
      <c r="L171" s="9" t="s">
        <v>380</v>
      </c>
      <c r="M171" s="9">
        <v>14</v>
      </c>
      <c r="N171" s="9" t="s">
        <v>381</v>
      </c>
      <c r="O171" s="9" t="s">
        <v>382</v>
      </c>
      <c r="P171" s="12">
        <v>43.6</v>
      </c>
      <c r="Q171" s="12" t="s">
        <v>355</v>
      </c>
      <c r="R171" s="9" t="s">
        <v>356</v>
      </c>
      <c r="S171" s="13">
        <v>4</v>
      </c>
      <c r="T171" s="13">
        <v>4</v>
      </c>
      <c r="U171" s="14">
        <f t="shared" si="18"/>
        <v>0.69897000433601886</v>
      </c>
      <c r="V171" s="15">
        <v>20</v>
      </c>
      <c r="W171" s="12"/>
      <c r="X171" s="12">
        <v>1</v>
      </c>
      <c r="Y171" s="13" t="s">
        <v>358</v>
      </c>
      <c r="Z171" s="9" t="s">
        <v>417</v>
      </c>
      <c r="AA171" s="10" t="s">
        <v>418</v>
      </c>
      <c r="AB171" s="9" t="s">
        <v>355</v>
      </c>
      <c r="AC171" s="15">
        <v>102</v>
      </c>
      <c r="AD171" s="14">
        <f t="shared" si="19"/>
        <v>2.0086001717619175</v>
      </c>
      <c r="AE171" s="10" t="s">
        <v>530</v>
      </c>
      <c r="AF171" s="9" t="s">
        <v>420</v>
      </c>
      <c r="AG171" s="18">
        <v>25.316761</v>
      </c>
      <c r="AH171" s="7">
        <f t="shared" si="20"/>
        <v>1</v>
      </c>
      <c r="AI171" s="7">
        <f t="shared" si="21"/>
        <v>0</v>
      </c>
      <c r="AJ171" s="7">
        <f t="shared" si="22"/>
        <v>0</v>
      </c>
      <c r="AK171" s="7">
        <f t="shared" si="23"/>
        <v>0</v>
      </c>
      <c r="AL171" s="7" t="s">
        <v>4159</v>
      </c>
      <c r="AM171" s="18">
        <f t="shared" si="24"/>
        <v>1.4034081417162645</v>
      </c>
      <c r="AN171" s="18">
        <v>-25.316761</v>
      </c>
      <c r="AO171" s="18">
        <v>-59.695506000000002</v>
      </c>
      <c r="AP171" s="9" t="s">
        <v>363</v>
      </c>
      <c r="AQ171" s="9" t="s">
        <v>355</v>
      </c>
      <c r="AR171" s="15">
        <v>2012</v>
      </c>
      <c r="AS171" s="19" t="s">
        <v>520</v>
      </c>
      <c r="AT171" s="20" t="s">
        <v>521</v>
      </c>
      <c r="AU171" s="40">
        <v>4113641</v>
      </c>
      <c r="AV171" s="35">
        <f t="shared" si="25"/>
        <v>6.6142263878637948</v>
      </c>
      <c r="AW171" s="37" t="s">
        <v>366</v>
      </c>
      <c r="AX171" s="34" t="s">
        <v>355</v>
      </c>
      <c r="AY171" s="40">
        <v>1500</v>
      </c>
      <c r="AZ171" s="37">
        <v>75</v>
      </c>
      <c r="BA171" s="14">
        <f t="shared" si="26"/>
        <v>1.8750612633917001</v>
      </c>
      <c r="BB171" s="37" t="s">
        <v>367</v>
      </c>
      <c r="BC171" s="20">
        <v>1.251420568227286E-2</v>
      </c>
      <c r="BD171" s="9">
        <v>34.6</v>
      </c>
      <c r="BE171" s="9" t="s">
        <v>368</v>
      </c>
      <c r="BF171" s="9">
        <v>0</v>
      </c>
    </row>
    <row r="172" spans="1:58">
      <c r="A172" s="9">
        <v>41</v>
      </c>
      <c r="B172" s="10" t="s">
        <v>76</v>
      </c>
      <c r="C172" s="10" t="s">
        <v>516</v>
      </c>
      <c r="D172" s="20" t="s">
        <v>540</v>
      </c>
      <c r="E172" s="20" t="s">
        <v>541</v>
      </c>
      <c r="F172" s="48" t="s">
        <v>542</v>
      </c>
      <c r="G172" s="20" t="s">
        <v>540</v>
      </c>
      <c r="H172" s="20" t="s">
        <v>541</v>
      </c>
      <c r="I172" s="48" t="s">
        <v>516</v>
      </c>
      <c r="J172" s="20" t="s">
        <v>540</v>
      </c>
      <c r="K172" s="20" t="s">
        <v>541</v>
      </c>
      <c r="L172" s="9" t="s">
        <v>380</v>
      </c>
      <c r="M172" s="9">
        <v>15</v>
      </c>
      <c r="N172" s="9" t="s">
        <v>381</v>
      </c>
      <c r="O172" s="9" t="s">
        <v>382</v>
      </c>
      <c r="P172" s="12">
        <v>38.4</v>
      </c>
      <c r="Q172" s="12" t="s">
        <v>355</v>
      </c>
      <c r="R172" s="9" t="s">
        <v>356</v>
      </c>
      <c r="S172" s="13">
        <v>4</v>
      </c>
      <c r="T172" s="13">
        <v>4</v>
      </c>
      <c r="U172" s="14">
        <f t="shared" si="18"/>
        <v>0.69897000433601886</v>
      </c>
      <c r="V172" s="15">
        <v>20</v>
      </c>
      <c r="W172" s="12"/>
      <c r="X172" s="12">
        <v>1</v>
      </c>
      <c r="Y172" s="13" t="s">
        <v>358</v>
      </c>
      <c r="Z172" s="9" t="s">
        <v>417</v>
      </c>
      <c r="AA172" s="10" t="s">
        <v>418</v>
      </c>
      <c r="AB172" s="9" t="s">
        <v>355</v>
      </c>
      <c r="AC172" s="15">
        <v>1756</v>
      </c>
      <c r="AD172" s="14">
        <f t="shared" si="19"/>
        <v>3.2445245115700838</v>
      </c>
      <c r="AE172" s="10" t="s">
        <v>519</v>
      </c>
      <c r="AF172" s="9" t="s">
        <v>420</v>
      </c>
      <c r="AG172" s="18">
        <v>37.378830999999998</v>
      </c>
      <c r="AH172" s="7">
        <f t="shared" si="20"/>
        <v>1</v>
      </c>
      <c r="AI172" s="7">
        <f t="shared" si="21"/>
        <v>1</v>
      </c>
      <c r="AJ172" s="7">
        <f t="shared" si="22"/>
        <v>0</v>
      </c>
      <c r="AK172" s="7">
        <f t="shared" si="23"/>
        <v>0</v>
      </c>
      <c r="AL172" s="7" t="s">
        <v>4157</v>
      </c>
      <c r="AM172" s="18">
        <f t="shared" si="24"/>
        <v>1.5726257149618044</v>
      </c>
      <c r="AN172" s="18">
        <v>37.378830999999998</v>
      </c>
      <c r="AO172" s="18">
        <v>-2.8584580000000002</v>
      </c>
      <c r="AP172" s="9" t="s">
        <v>363</v>
      </c>
      <c r="AQ172" s="9" t="s">
        <v>355</v>
      </c>
      <c r="AR172" s="15">
        <v>2012</v>
      </c>
      <c r="AS172" s="19" t="s">
        <v>520</v>
      </c>
      <c r="AT172" s="20" t="s">
        <v>521</v>
      </c>
      <c r="AU172" s="40">
        <v>302740</v>
      </c>
      <c r="AV172" s="35">
        <f t="shared" si="25"/>
        <v>5.4810698065911572</v>
      </c>
      <c r="AW172" s="37" t="s">
        <v>366</v>
      </c>
      <c r="AX172" s="34" t="s">
        <v>355</v>
      </c>
      <c r="AY172" s="40">
        <v>1940</v>
      </c>
      <c r="AZ172" s="37">
        <v>75</v>
      </c>
      <c r="BA172" s="14">
        <f t="shared" si="26"/>
        <v>1.8750612633917001</v>
      </c>
      <c r="BB172" s="41" t="s">
        <v>343</v>
      </c>
      <c r="BC172" s="20">
        <v>3.0292917166866652E-2</v>
      </c>
      <c r="BD172" s="9">
        <v>28.8</v>
      </c>
      <c r="BE172" s="9" t="s">
        <v>368</v>
      </c>
      <c r="BF172" s="9">
        <v>0</v>
      </c>
    </row>
    <row r="173" spans="1:58">
      <c r="A173" s="9">
        <v>12</v>
      </c>
      <c r="B173" s="10" t="s">
        <v>76</v>
      </c>
      <c r="C173" s="10" t="s">
        <v>474</v>
      </c>
      <c r="D173" s="20" t="s">
        <v>543</v>
      </c>
      <c r="E173" s="20" t="s">
        <v>544</v>
      </c>
      <c r="F173" s="10" t="s">
        <v>474</v>
      </c>
      <c r="G173" s="20" t="s">
        <v>543</v>
      </c>
      <c r="H173" s="20" t="s">
        <v>544</v>
      </c>
      <c r="I173" s="10" t="s">
        <v>474</v>
      </c>
      <c r="J173" s="20" t="s">
        <v>543</v>
      </c>
      <c r="K173" s="20" t="s">
        <v>544</v>
      </c>
      <c r="L173" s="9" t="s">
        <v>380</v>
      </c>
      <c r="M173" s="9">
        <v>15</v>
      </c>
      <c r="N173" s="9" t="s">
        <v>381</v>
      </c>
      <c r="O173" s="9" t="s">
        <v>382</v>
      </c>
      <c r="P173" s="12">
        <v>41.7</v>
      </c>
      <c r="Q173" s="12" t="s">
        <v>355</v>
      </c>
      <c r="R173" s="9" t="s">
        <v>356</v>
      </c>
      <c r="S173" s="13">
        <v>4</v>
      </c>
      <c r="T173" s="13">
        <v>4</v>
      </c>
      <c r="U173" s="14">
        <f t="shared" si="18"/>
        <v>0.69897000433601886</v>
      </c>
      <c r="V173" s="15">
        <v>20</v>
      </c>
      <c r="W173" s="12"/>
      <c r="X173" s="12">
        <v>1</v>
      </c>
      <c r="Y173" s="13" t="s">
        <v>358</v>
      </c>
      <c r="Z173" s="9" t="s">
        <v>417</v>
      </c>
      <c r="AA173" s="10" t="s">
        <v>418</v>
      </c>
      <c r="AB173" s="9" t="s">
        <v>355</v>
      </c>
      <c r="AC173" s="15">
        <v>102</v>
      </c>
      <c r="AD173" s="14">
        <f t="shared" si="19"/>
        <v>2.0086001717619175</v>
      </c>
      <c r="AE173" s="10" t="s">
        <v>530</v>
      </c>
      <c r="AF173" s="9" t="s">
        <v>420</v>
      </c>
      <c r="AG173" s="18">
        <v>25.316761</v>
      </c>
      <c r="AH173" s="7">
        <f t="shared" si="20"/>
        <v>1</v>
      </c>
      <c r="AI173" s="7">
        <f t="shared" si="21"/>
        <v>0</v>
      </c>
      <c r="AJ173" s="7">
        <f t="shared" si="22"/>
        <v>0</v>
      </c>
      <c r="AK173" s="7">
        <f t="shared" si="23"/>
        <v>0</v>
      </c>
      <c r="AL173" s="7" t="s">
        <v>4159</v>
      </c>
      <c r="AM173" s="18">
        <f t="shared" si="24"/>
        <v>1.4034081417162645</v>
      </c>
      <c r="AN173" s="18">
        <v>-25.316761</v>
      </c>
      <c r="AO173" s="18">
        <v>-59.695506000000002</v>
      </c>
      <c r="AP173" s="9" t="s">
        <v>363</v>
      </c>
      <c r="AQ173" s="9" t="s">
        <v>355</v>
      </c>
      <c r="AR173" s="15">
        <v>2012</v>
      </c>
      <c r="AS173" s="19" t="s">
        <v>520</v>
      </c>
      <c r="AT173" s="20" t="s">
        <v>521</v>
      </c>
      <c r="AU173" s="40">
        <v>1574449</v>
      </c>
      <c r="AV173" s="35">
        <f t="shared" si="25"/>
        <v>6.1971285974099706</v>
      </c>
      <c r="AW173" s="37" t="s">
        <v>366</v>
      </c>
      <c r="AX173" s="40">
        <v>0</v>
      </c>
      <c r="AY173" s="40">
        <v>200</v>
      </c>
      <c r="AZ173" s="36">
        <v>33</v>
      </c>
      <c r="BA173" s="14">
        <f t="shared" si="26"/>
        <v>1.5185139398778875</v>
      </c>
      <c r="BB173" s="37" t="s">
        <v>367</v>
      </c>
      <c r="BC173" s="20">
        <v>1.251420568227286E-2</v>
      </c>
      <c r="BD173" s="9">
        <v>34.6</v>
      </c>
      <c r="BE173" s="9" t="s">
        <v>368</v>
      </c>
      <c r="BF173" s="9">
        <v>0</v>
      </c>
    </row>
    <row r="174" spans="1:58">
      <c r="A174" s="9">
        <v>42</v>
      </c>
      <c r="B174" s="10" t="s">
        <v>76</v>
      </c>
      <c r="C174" s="10" t="s">
        <v>389</v>
      </c>
      <c r="D174" s="20" t="s">
        <v>545</v>
      </c>
      <c r="E174" s="20" t="s">
        <v>546</v>
      </c>
      <c r="F174" s="20" t="s">
        <v>389</v>
      </c>
      <c r="G174" s="20" t="s">
        <v>390</v>
      </c>
      <c r="H174" s="20" t="s">
        <v>546</v>
      </c>
      <c r="I174" s="20" t="s">
        <v>389</v>
      </c>
      <c r="J174" s="20" t="s">
        <v>545</v>
      </c>
      <c r="K174" s="20" t="s">
        <v>546</v>
      </c>
      <c r="L174" s="9" t="s">
        <v>380</v>
      </c>
      <c r="M174" s="9">
        <v>30</v>
      </c>
      <c r="N174" s="9" t="s">
        <v>381</v>
      </c>
      <c r="O174" s="9" t="s">
        <v>382</v>
      </c>
      <c r="P174" s="12">
        <v>39.700000000000003</v>
      </c>
      <c r="Q174" s="12" t="s">
        <v>355</v>
      </c>
      <c r="R174" s="9" t="s">
        <v>356</v>
      </c>
      <c r="S174" s="13">
        <v>4</v>
      </c>
      <c r="T174" s="13">
        <v>4</v>
      </c>
      <c r="U174" s="14">
        <f t="shared" si="18"/>
        <v>0.69897000433601886</v>
      </c>
      <c r="V174" s="15">
        <v>20</v>
      </c>
      <c r="W174" s="12"/>
      <c r="X174" s="12">
        <v>1</v>
      </c>
      <c r="Y174" s="13" t="s">
        <v>358</v>
      </c>
      <c r="Z174" s="9" t="s">
        <v>417</v>
      </c>
      <c r="AA174" s="10" t="s">
        <v>418</v>
      </c>
      <c r="AB174" s="9" t="s">
        <v>355</v>
      </c>
      <c r="AC174" s="15">
        <v>1756</v>
      </c>
      <c r="AD174" s="14">
        <f t="shared" si="19"/>
        <v>3.2445245115700838</v>
      </c>
      <c r="AE174" s="10" t="s">
        <v>519</v>
      </c>
      <c r="AF174" s="9" t="s">
        <v>420</v>
      </c>
      <c r="AG174" s="18">
        <v>37.378830999999998</v>
      </c>
      <c r="AH174" s="7">
        <f t="shared" si="20"/>
        <v>1</v>
      </c>
      <c r="AI174" s="7">
        <f t="shared" si="21"/>
        <v>1</v>
      </c>
      <c r="AJ174" s="7">
        <f t="shared" si="22"/>
        <v>0</v>
      </c>
      <c r="AK174" s="7">
        <f t="shared" si="23"/>
        <v>0</v>
      </c>
      <c r="AL174" s="7" t="s">
        <v>4157</v>
      </c>
      <c r="AM174" s="18">
        <f t="shared" si="24"/>
        <v>1.5726257149618044</v>
      </c>
      <c r="AN174" s="18">
        <v>37.378830999999998</v>
      </c>
      <c r="AO174" s="18">
        <v>-2.8584580000000002</v>
      </c>
      <c r="AP174" s="9" t="s">
        <v>363</v>
      </c>
      <c r="AQ174" s="9" t="s">
        <v>355</v>
      </c>
      <c r="AR174" s="15">
        <v>2012</v>
      </c>
      <c r="AS174" s="19" t="s">
        <v>520</v>
      </c>
      <c r="AT174" s="20" t="s">
        <v>521</v>
      </c>
      <c r="AU174" s="40">
        <v>2270722</v>
      </c>
      <c r="AV174" s="35">
        <f t="shared" si="25"/>
        <v>6.3561639676603905</v>
      </c>
      <c r="AW174" s="37" t="s">
        <v>366</v>
      </c>
      <c r="AX174" s="34" t="s">
        <v>355</v>
      </c>
      <c r="AY174" s="40">
        <v>2540</v>
      </c>
      <c r="AZ174" s="37">
        <v>75</v>
      </c>
      <c r="BA174" s="14">
        <f t="shared" si="26"/>
        <v>1.8750612633917001</v>
      </c>
      <c r="BB174" s="37" t="s">
        <v>367</v>
      </c>
      <c r="BC174" s="20">
        <v>3.0292917166866652E-2</v>
      </c>
      <c r="BD174" s="9">
        <v>28.8</v>
      </c>
      <c r="BE174" s="9" t="s">
        <v>368</v>
      </c>
      <c r="BF174" s="9">
        <v>0</v>
      </c>
    </row>
    <row r="175" spans="1:58">
      <c r="A175" s="9">
        <v>544</v>
      </c>
      <c r="B175" s="10" t="s">
        <v>76</v>
      </c>
      <c r="C175" s="10" t="s">
        <v>474</v>
      </c>
      <c r="D175" s="20" t="s">
        <v>475</v>
      </c>
      <c r="E175" s="20" t="s">
        <v>476</v>
      </c>
      <c r="F175" s="10" t="s">
        <v>474</v>
      </c>
      <c r="G175" s="20" t="s">
        <v>475</v>
      </c>
      <c r="H175" s="20" t="s">
        <v>476</v>
      </c>
      <c r="I175" s="10" t="s">
        <v>474</v>
      </c>
      <c r="J175" s="20" t="s">
        <v>475</v>
      </c>
      <c r="K175" s="20" t="s">
        <v>476</v>
      </c>
      <c r="L175" s="9" t="s">
        <v>380</v>
      </c>
      <c r="M175" s="9">
        <v>10</v>
      </c>
      <c r="N175" s="9" t="s">
        <v>381</v>
      </c>
      <c r="O175" s="9" t="s">
        <v>382</v>
      </c>
      <c r="P175" s="12">
        <v>37.801960000000001</v>
      </c>
      <c r="Q175" s="12" t="s">
        <v>355</v>
      </c>
      <c r="R175" s="9" t="s">
        <v>356</v>
      </c>
      <c r="S175" s="13">
        <v>4</v>
      </c>
      <c r="T175" s="13">
        <v>4</v>
      </c>
      <c r="U175" s="14">
        <f t="shared" si="18"/>
        <v>0.69897000433601886</v>
      </c>
      <c r="V175" s="15">
        <v>20</v>
      </c>
      <c r="W175" s="12"/>
      <c r="X175" s="12">
        <v>0.7</v>
      </c>
      <c r="Y175" s="13" t="s">
        <v>358</v>
      </c>
      <c r="Z175" s="9" t="s">
        <v>359</v>
      </c>
      <c r="AA175" s="10" t="s">
        <v>436</v>
      </c>
      <c r="AB175" s="9" t="s">
        <v>355</v>
      </c>
      <c r="AC175" s="15">
        <v>213</v>
      </c>
      <c r="AD175" s="14">
        <f t="shared" si="19"/>
        <v>2.3283796034387376</v>
      </c>
      <c r="AE175" s="10" t="s">
        <v>437</v>
      </c>
      <c r="AF175" s="9" t="s">
        <v>420</v>
      </c>
      <c r="AG175" s="18">
        <v>34.683438000000002</v>
      </c>
      <c r="AH175" s="7">
        <f t="shared" si="20"/>
        <v>1</v>
      </c>
      <c r="AI175" s="7">
        <f t="shared" si="21"/>
        <v>1</v>
      </c>
      <c r="AJ175" s="7">
        <f t="shared" si="22"/>
        <v>0</v>
      </c>
      <c r="AK175" s="7">
        <f t="shared" si="23"/>
        <v>0</v>
      </c>
      <c r="AL175" s="7" t="s">
        <v>4157</v>
      </c>
      <c r="AM175" s="18">
        <f t="shared" si="24"/>
        <v>1.5401221404311698</v>
      </c>
      <c r="AN175" s="18">
        <v>34.683438000000002</v>
      </c>
      <c r="AO175" s="18">
        <v>-82.837365000000005</v>
      </c>
      <c r="AP175" s="9" t="s">
        <v>363</v>
      </c>
      <c r="AQ175" s="9" t="s">
        <v>441</v>
      </c>
      <c r="AR175" s="15">
        <v>1980</v>
      </c>
      <c r="AS175" s="19" t="s">
        <v>439</v>
      </c>
      <c r="AT175" s="20" t="s">
        <v>440</v>
      </c>
      <c r="AU175" s="40">
        <v>1576697</v>
      </c>
      <c r="AV175" s="35">
        <f t="shared" si="25"/>
        <v>6.1977482412861598</v>
      </c>
      <c r="AW175" s="37" t="s">
        <v>338</v>
      </c>
      <c r="AX175" s="34" t="s">
        <v>355</v>
      </c>
      <c r="AY175" s="40" t="s">
        <v>355</v>
      </c>
      <c r="AZ175" s="36">
        <v>33</v>
      </c>
      <c r="BA175" s="14">
        <f t="shared" si="26"/>
        <v>1.5185139398778875</v>
      </c>
      <c r="BB175" s="37" t="s">
        <v>367</v>
      </c>
      <c r="BC175" s="20">
        <v>1.137454981992851E-2</v>
      </c>
      <c r="BD175" s="9">
        <v>32</v>
      </c>
      <c r="BE175" s="9" t="s">
        <v>368</v>
      </c>
      <c r="BF175" s="9">
        <v>0</v>
      </c>
    </row>
    <row r="176" spans="1:58">
      <c r="A176" s="9">
        <v>551</v>
      </c>
      <c r="B176" s="10" t="s">
        <v>76</v>
      </c>
      <c r="C176" s="10" t="s">
        <v>474</v>
      </c>
      <c r="D176" s="20" t="s">
        <v>475</v>
      </c>
      <c r="E176" s="20" t="s">
        <v>476</v>
      </c>
      <c r="F176" s="10" t="s">
        <v>474</v>
      </c>
      <c r="G176" s="20" t="s">
        <v>475</v>
      </c>
      <c r="H176" s="20" t="s">
        <v>476</v>
      </c>
      <c r="I176" s="10" t="s">
        <v>474</v>
      </c>
      <c r="J176" s="20" t="s">
        <v>475</v>
      </c>
      <c r="K176" s="20" t="s">
        <v>476</v>
      </c>
      <c r="L176" s="9" t="s">
        <v>380</v>
      </c>
      <c r="M176" s="9">
        <v>3</v>
      </c>
      <c r="N176" s="9" t="s">
        <v>353</v>
      </c>
      <c r="O176" s="9" t="s">
        <v>382</v>
      </c>
      <c r="P176" s="12">
        <v>38.674210000000002</v>
      </c>
      <c r="Q176" s="12" t="s">
        <v>355</v>
      </c>
      <c r="R176" s="9" t="s">
        <v>356</v>
      </c>
      <c r="S176" s="13">
        <v>4</v>
      </c>
      <c r="T176" s="13">
        <v>4</v>
      </c>
      <c r="U176" s="14">
        <f t="shared" si="18"/>
        <v>0.69897000433601886</v>
      </c>
      <c r="V176" s="15">
        <v>20</v>
      </c>
      <c r="W176" s="12"/>
      <c r="X176" s="12">
        <v>0.7</v>
      </c>
      <c r="Y176" s="13" t="s">
        <v>358</v>
      </c>
      <c r="Z176" s="9" t="s">
        <v>359</v>
      </c>
      <c r="AA176" s="10" t="s">
        <v>436</v>
      </c>
      <c r="AB176" s="9" t="s">
        <v>355</v>
      </c>
      <c r="AC176" s="15">
        <v>213</v>
      </c>
      <c r="AD176" s="14">
        <f t="shared" si="19"/>
        <v>2.3283796034387376</v>
      </c>
      <c r="AE176" s="10" t="s">
        <v>437</v>
      </c>
      <c r="AF176" s="9" t="s">
        <v>420</v>
      </c>
      <c r="AG176" s="18">
        <v>34.683438000000002</v>
      </c>
      <c r="AH176" s="7">
        <f t="shared" si="20"/>
        <v>1</v>
      </c>
      <c r="AI176" s="7">
        <f t="shared" si="21"/>
        <v>1</v>
      </c>
      <c r="AJ176" s="7">
        <f t="shared" si="22"/>
        <v>0</v>
      </c>
      <c r="AK176" s="7">
        <f t="shared" si="23"/>
        <v>0</v>
      </c>
      <c r="AL176" s="7" t="s">
        <v>4157</v>
      </c>
      <c r="AM176" s="18">
        <f t="shared" si="24"/>
        <v>1.5401221404311698</v>
      </c>
      <c r="AN176" s="18">
        <v>34.683438000000002</v>
      </c>
      <c r="AO176" s="18">
        <v>-82.837365000000005</v>
      </c>
      <c r="AP176" s="9" t="s">
        <v>363</v>
      </c>
      <c r="AQ176" s="9" t="s">
        <v>438</v>
      </c>
      <c r="AR176" s="15">
        <v>1980</v>
      </c>
      <c r="AS176" s="19" t="s">
        <v>439</v>
      </c>
      <c r="AT176" s="20" t="s">
        <v>440</v>
      </c>
      <c r="AU176" s="40">
        <v>1576697</v>
      </c>
      <c r="AV176" s="35">
        <f t="shared" si="25"/>
        <v>6.1977482412861598</v>
      </c>
      <c r="AW176" s="37" t="s">
        <v>338</v>
      </c>
      <c r="AX176" s="34" t="s">
        <v>355</v>
      </c>
      <c r="AY176" s="40" t="s">
        <v>355</v>
      </c>
      <c r="AZ176" s="36">
        <v>33</v>
      </c>
      <c r="BA176" s="14">
        <f t="shared" si="26"/>
        <v>1.5185139398778875</v>
      </c>
      <c r="BB176" s="37" t="s">
        <v>367</v>
      </c>
      <c r="BC176" s="20">
        <v>1.137454981992851E-2</v>
      </c>
      <c r="BD176" s="9">
        <v>32</v>
      </c>
      <c r="BE176" s="9" t="s">
        <v>368</v>
      </c>
      <c r="BF176" s="9">
        <v>0</v>
      </c>
    </row>
    <row r="177" spans="1:58">
      <c r="A177" s="9">
        <v>550</v>
      </c>
      <c r="B177" s="10" t="s">
        <v>76</v>
      </c>
      <c r="C177" s="10" t="s">
        <v>474</v>
      </c>
      <c r="D177" s="20" t="s">
        <v>475</v>
      </c>
      <c r="E177" s="20" t="s">
        <v>476</v>
      </c>
      <c r="F177" s="10" t="s">
        <v>474</v>
      </c>
      <c r="G177" s="20" t="s">
        <v>475</v>
      </c>
      <c r="H177" s="20" t="s">
        <v>476</v>
      </c>
      <c r="I177" s="10" t="s">
        <v>474</v>
      </c>
      <c r="J177" s="20" t="s">
        <v>475</v>
      </c>
      <c r="K177" s="20" t="s">
        <v>476</v>
      </c>
      <c r="L177" s="9" t="s">
        <v>380</v>
      </c>
      <c r="M177" s="9">
        <v>10</v>
      </c>
      <c r="N177" s="9" t="s">
        <v>381</v>
      </c>
      <c r="O177" s="9" t="s">
        <v>382</v>
      </c>
      <c r="P177" s="12">
        <v>38.762639999999998</v>
      </c>
      <c r="Q177" s="12" t="s">
        <v>355</v>
      </c>
      <c r="R177" s="9" t="s">
        <v>356</v>
      </c>
      <c r="S177" s="13">
        <v>4</v>
      </c>
      <c r="T177" s="13">
        <v>4</v>
      </c>
      <c r="U177" s="14">
        <f t="shared" si="18"/>
        <v>0.69897000433601886</v>
      </c>
      <c r="V177" s="15">
        <v>20</v>
      </c>
      <c r="W177" s="12"/>
      <c r="X177" s="12">
        <v>0.7</v>
      </c>
      <c r="Y177" s="13" t="s">
        <v>358</v>
      </c>
      <c r="Z177" s="9" t="s">
        <v>359</v>
      </c>
      <c r="AA177" s="10" t="s">
        <v>436</v>
      </c>
      <c r="AB177" s="9" t="s">
        <v>355</v>
      </c>
      <c r="AC177" s="15">
        <v>213</v>
      </c>
      <c r="AD177" s="14">
        <f t="shared" si="19"/>
        <v>2.3283796034387376</v>
      </c>
      <c r="AE177" s="10" t="s">
        <v>437</v>
      </c>
      <c r="AF177" s="9" t="s">
        <v>420</v>
      </c>
      <c r="AG177" s="18">
        <v>34.683438000000002</v>
      </c>
      <c r="AH177" s="7">
        <f t="shared" si="20"/>
        <v>1</v>
      </c>
      <c r="AI177" s="7">
        <f t="shared" si="21"/>
        <v>1</v>
      </c>
      <c r="AJ177" s="7">
        <f t="shared" si="22"/>
        <v>0</v>
      </c>
      <c r="AK177" s="7">
        <f t="shared" si="23"/>
        <v>0</v>
      </c>
      <c r="AL177" s="7" t="s">
        <v>4157</v>
      </c>
      <c r="AM177" s="18">
        <f t="shared" si="24"/>
        <v>1.5401221404311698</v>
      </c>
      <c r="AN177" s="18">
        <v>34.683438000000002</v>
      </c>
      <c r="AO177" s="18">
        <v>-82.837365000000005</v>
      </c>
      <c r="AP177" s="9" t="s">
        <v>363</v>
      </c>
      <c r="AQ177" s="9" t="s">
        <v>441</v>
      </c>
      <c r="AR177" s="15">
        <v>1980</v>
      </c>
      <c r="AS177" s="19" t="s">
        <v>439</v>
      </c>
      <c r="AT177" s="20" t="s">
        <v>440</v>
      </c>
      <c r="AU177" s="40">
        <v>1576697</v>
      </c>
      <c r="AV177" s="35">
        <f t="shared" si="25"/>
        <v>6.1977482412861598</v>
      </c>
      <c r="AW177" s="37" t="s">
        <v>338</v>
      </c>
      <c r="AX177" s="34" t="s">
        <v>355</v>
      </c>
      <c r="AY177" s="40" t="s">
        <v>355</v>
      </c>
      <c r="AZ177" s="36">
        <v>33</v>
      </c>
      <c r="BA177" s="14">
        <f t="shared" si="26"/>
        <v>1.5185139398778875</v>
      </c>
      <c r="BB177" s="37" t="s">
        <v>367</v>
      </c>
      <c r="BC177" s="20">
        <v>1.137454981992851E-2</v>
      </c>
      <c r="BD177" s="9">
        <v>32</v>
      </c>
      <c r="BE177" s="9" t="s">
        <v>368</v>
      </c>
      <c r="BF177" s="9">
        <v>0</v>
      </c>
    </row>
    <row r="178" spans="1:58">
      <c r="A178" s="9">
        <v>549</v>
      </c>
      <c r="B178" s="10" t="s">
        <v>76</v>
      </c>
      <c r="C178" s="10" t="s">
        <v>474</v>
      </c>
      <c r="D178" s="20" t="s">
        <v>475</v>
      </c>
      <c r="E178" s="20" t="s">
        <v>476</v>
      </c>
      <c r="F178" s="10" t="s">
        <v>474</v>
      </c>
      <c r="G178" s="20" t="s">
        <v>475</v>
      </c>
      <c r="H178" s="20" t="s">
        <v>476</v>
      </c>
      <c r="I178" s="10" t="s">
        <v>474</v>
      </c>
      <c r="J178" s="20" t="s">
        <v>475</v>
      </c>
      <c r="K178" s="20" t="s">
        <v>476</v>
      </c>
      <c r="L178" s="9" t="s">
        <v>380</v>
      </c>
      <c r="M178" s="9">
        <v>10</v>
      </c>
      <c r="N178" s="9" t="s">
        <v>381</v>
      </c>
      <c r="O178" s="9" t="s">
        <v>382</v>
      </c>
      <c r="P178" s="12">
        <v>40.313890000000001</v>
      </c>
      <c r="Q178" s="12" t="s">
        <v>355</v>
      </c>
      <c r="R178" s="9" t="s">
        <v>356</v>
      </c>
      <c r="S178" s="13">
        <v>4</v>
      </c>
      <c r="T178" s="13">
        <v>4</v>
      </c>
      <c r="U178" s="14">
        <f t="shared" si="18"/>
        <v>0.69897000433601886</v>
      </c>
      <c r="V178" s="15">
        <v>20</v>
      </c>
      <c r="W178" s="12"/>
      <c r="X178" s="12">
        <v>0.7</v>
      </c>
      <c r="Y178" s="13" t="s">
        <v>358</v>
      </c>
      <c r="Z178" s="9" t="s">
        <v>359</v>
      </c>
      <c r="AA178" s="10" t="s">
        <v>436</v>
      </c>
      <c r="AB178" s="9" t="s">
        <v>355</v>
      </c>
      <c r="AC178" s="15">
        <v>213</v>
      </c>
      <c r="AD178" s="14">
        <f t="shared" si="19"/>
        <v>2.3283796034387376</v>
      </c>
      <c r="AE178" s="10" t="s">
        <v>437</v>
      </c>
      <c r="AF178" s="9" t="s">
        <v>420</v>
      </c>
      <c r="AG178" s="18">
        <v>34.683438000000002</v>
      </c>
      <c r="AH178" s="7">
        <f t="shared" si="20"/>
        <v>1</v>
      </c>
      <c r="AI178" s="7">
        <f t="shared" si="21"/>
        <v>1</v>
      </c>
      <c r="AJ178" s="7">
        <f t="shared" si="22"/>
        <v>0</v>
      </c>
      <c r="AK178" s="7">
        <f t="shared" si="23"/>
        <v>0</v>
      </c>
      <c r="AL178" s="7" t="s">
        <v>4157</v>
      </c>
      <c r="AM178" s="18">
        <f t="shared" si="24"/>
        <v>1.5401221404311698</v>
      </c>
      <c r="AN178" s="18">
        <v>34.683438000000002</v>
      </c>
      <c r="AO178" s="18">
        <v>-82.837365000000005</v>
      </c>
      <c r="AP178" s="9" t="s">
        <v>363</v>
      </c>
      <c r="AQ178" s="9" t="s">
        <v>443</v>
      </c>
      <c r="AR178" s="15">
        <v>1980</v>
      </c>
      <c r="AS178" s="19" t="s">
        <v>439</v>
      </c>
      <c r="AT178" s="20" t="s">
        <v>440</v>
      </c>
      <c r="AU178" s="40">
        <v>1576697</v>
      </c>
      <c r="AV178" s="35">
        <f t="shared" si="25"/>
        <v>6.1977482412861598</v>
      </c>
      <c r="AW178" s="37" t="s">
        <v>338</v>
      </c>
      <c r="AX178" s="34" t="s">
        <v>355</v>
      </c>
      <c r="AY178" s="40" t="s">
        <v>355</v>
      </c>
      <c r="AZ178" s="36">
        <v>33</v>
      </c>
      <c r="BA178" s="14">
        <f t="shared" si="26"/>
        <v>1.5185139398778875</v>
      </c>
      <c r="BB178" s="37" t="s">
        <v>367</v>
      </c>
      <c r="BC178" s="20">
        <v>1.137454981992851E-2</v>
      </c>
      <c r="BD178" s="9">
        <v>32</v>
      </c>
      <c r="BE178" s="9" t="s">
        <v>368</v>
      </c>
      <c r="BF178" s="9">
        <v>0</v>
      </c>
    </row>
    <row r="179" spans="1:58">
      <c r="A179" s="9">
        <v>543</v>
      </c>
      <c r="B179" s="10" t="s">
        <v>76</v>
      </c>
      <c r="C179" s="10" t="s">
        <v>474</v>
      </c>
      <c r="D179" s="20" t="s">
        <v>475</v>
      </c>
      <c r="E179" s="20" t="s">
        <v>476</v>
      </c>
      <c r="F179" s="10" t="s">
        <v>474</v>
      </c>
      <c r="G179" s="20" t="s">
        <v>475</v>
      </c>
      <c r="H179" s="20" t="s">
        <v>476</v>
      </c>
      <c r="I179" s="10" t="s">
        <v>474</v>
      </c>
      <c r="J179" s="20" t="s">
        <v>475</v>
      </c>
      <c r="K179" s="20" t="s">
        <v>476</v>
      </c>
      <c r="L179" s="9" t="s">
        <v>380</v>
      </c>
      <c r="M179" s="9">
        <v>7</v>
      </c>
      <c r="N179" s="9" t="s">
        <v>353</v>
      </c>
      <c r="O179" s="9" t="s">
        <v>382</v>
      </c>
      <c r="P179" s="12">
        <v>40.571449999999999</v>
      </c>
      <c r="Q179" s="12" t="s">
        <v>355</v>
      </c>
      <c r="R179" s="9" t="s">
        <v>356</v>
      </c>
      <c r="S179" s="13">
        <v>4</v>
      </c>
      <c r="T179" s="13">
        <v>4</v>
      </c>
      <c r="U179" s="14">
        <f t="shared" si="18"/>
        <v>0.69897000433601886</v>
      </c>
      <c r="V179" s="15">
        <v>20</v>
      </c>
      <c r="W179" s="12"/>
      <c r="X179" s="12">
        <v>0.7</v>
      </c>
      <c r="Y179" s="13" t="s">
        <v>358</v>
      </c>
      <c r="Z179" s="9" t="s">
        <v>359</v>
      </c>
      <c r="AA179" s="10" t="s">
        <v>436</v>
      </c>
      <c r="AB179" s="9" t="s">
        <v>355</v>
      </c>
      <c r="AC179" s="15">
        <v>213</v>
      </c>
      <c r="AD179" s="14">
        <f t="shared" si="19"/>
        <v>2.3283796034387376</v>
      </c>
      <c r="AE179" s="10" t="s">
        <v>437</v>
      </c>
      <c r="AF179" s="9" t="s">
        <v>420</v>
      </c>
      <c r="AG179" s="18">
        <v>34.683438000000002</v>
      </c>
      <c r="AH179" s="7">
        <f t="shared" si="20"/>
        <v>1</v>
      </c>
      <c r="AI179" s="7">
        <f t="shared" si="21"/>
        <v>1</v>
      </c>
      <c r="AJ179" s="7">
        <f t="shared" si="22"/>
        <v>0</v>
      </c>
      <c r="AK179" s="7">
        <f t="shared" si="23"/>
        <v>0</v>
      </c>
      <c r="AL179" s="7" t="s">
        <v>4157</v>
      </c>
      <c r="AM179" s="18">
        <f t="shared" si="24"/>
        <v>1.5401221404311698</v>
      </c>
      <c r="AN179" s="18">
        <v>34.683438000000002</v>
      </c>
      <c r="AO179" s="18">
        <v>-82.837365000000005</v>
      </c>
      <c r="AP179" s="9" t="s">
        <v>363</v>
      </c>
      <c r="AQ179" s="9" t="s">
        <v>443</v>
      </c>
      <c r="AR179" s="15">
        <v>1980</v>
      </c>
      <c r="AS179" s="19" t="s">
        <v>439</v>
      </c>
      <c r="AT179" s="20" t="s">
        <v>440</v>
      </c>
      <c r="AU179" s="40">
        <v>1576697</v>
      </c>
      <c r="AV179" s="35">
        <f t="shared" si="25"/>
        <v>6.1977482412861598</v>
      </c>
      <c r="AW179" s="37" t="s">
        <v>338</v>
      </c>
      <c r="AX179" s="34" t="s">
        <v>355</v>
      </c>
      <c r="AY179" s="40" t="s">
        <v>355</v>
      </c>
      <c r="AZ179" s="36">
        <v>33</v>
      </c>
      <c r="BA179" s="14">
        <f t="shared" si="26"/>
        <v>1.5185139398778875</v>
      </c>
      <c r="BB179" s="37" t="s">
        <v>367</v>
      </c>
      <c r="BC179" s="20">
        <v>1.137454981992851E-2</v>
      </c>
      <c r="BD179" s="9">
        <v>32</v>
      </c>
      <c r="BE179" s="9" t="s">
        <v>368</v>
      </c>
      <c r="BF179" s="9">
        <v>0</v>
      </c>
    </row>
    <row r="180" spans="1:58">
      <c r="A180" s="9">
        <v>540</v>
      </c>
      <c r="B180" s="10" t="s">
        <v>76</v>
      </c>
      <c r="C180" s="10" t="s">
        <v>474</v>
      </c>
      <c r="D180" s="20" t="s">
        <v>475</v>
      </c>
      <c r="E180" s="20" t="s">
        <v>476</v>
      </c>
      <c r="F180" s="10" t="s">
        <v>474</v>
      </c>
      <c r="G180" s="20" t="s">
        <v>475</v>
      </c>
      <c r="H180" s="20" t="s">
        <v>476</v>
      </c>
      <c r="I180" s="10" t="s">
        <v>474</v>
      </c>
      <c r="J180" s="20" t="s">
        <v>475</v>
      </c>
      <c r="K180" s="20" t="s">
        <v>476</v>
      </c>
      <c r="L180" s="9" t="s">
        <v>380</v>
      </c>
      <c r="M180" s="9">
        <v>10</v>
      </c>
      <c r="N180" s="9" t="s">
        <v>381</v>
      </c>
      <c r="O180" s="9" t="s">
        <v>382</v>
      </c>
      <c r="P180" s="12">
        <v>40.900129999999997</v>
      </c>
      <c r="Q180" s="12" t="s">
        <v>355</v>
      </c>
      <c r="R180" s="9" t="s">
        <v>356</v>
      </c>
      <c r="S180" s="13">
        <v>4</v>
      </c>
      <c r="T180" s="13">
        <v>4</v>
      </c>
      <c r="U180" s="14">
        <f t="shared" si="18"/>
        <v>0.69897000433601886</v>
      </c>
      <c r="V180" s="15">
        <v>20</v>
      </c>
      <c r="W180" s="12"/>
      <c r="X180" s="12">
        <v>0.7</v>
      </c>
      <c r="Y180" s="13" t="s">
        <v>358</v>
      </c>
      <c r="Z180" s="9" t="s">
        <v>359</v>
      </c>
      <c r="AA180" s="10" t="s">
        <v>436</v>
      </c>
      <c r="AB180" s="9" t="s">
        <v>355</v>
      </c>
      <c r="AC180" s="15">
        <v>213</v>
      </c>
      <c r="AD180" s="14">
        <f t="shared" si="19"/>
        <v>2.3283796034387376</v>
      </c>
      <c r="AE180" s="10" t="s">
        <v>437</v>
      </c>
      <c r="AF180" s="9" t="s">
        <v>420</v>
      </c>
      <c r="AG180" s="18">
        <v>34.683438000000002</v>
      </c>
      <c r="AH180" s="7">
        <f t="shared" si="20"/>
        <v>1</v>
      </c>
      <c r="AI180" s="7">
        <f t="shared" si="21"/>
        <v>1</v>
      </c>
      <c r="AJ180" s="7">
        <f t="shared" si="22"/>
        <v>0</v>
      </c>
      <c r="AK180" s="7">
        <f t="shared" si="23"/>
        <v>0</v>
      </c>
      <c r="AL180" s="7" t="s">
        <v>4157</v>
      </c>
      <c r="AM180" s="18">
        <f t="shared" si="24"/>
        <v>1.5401221404311698</v>
      </c>
      <c r="AN180" s="18">
        <v>34.683438000000002</v>
      </c>
      <c r="AO180" s="18">
        <v>-82.837365000000005</v>
      </c>
      <c r="AP180" s="9" t="s">
        <v>363</v>
      </c>
      <c r="AQ180" s="9" t="s">
        <v>445</v>
      </c>
      <c r="AR180" s="15">
        <v>1980</v>
      </c>
      <c r="AS180" s="19" t="s">
        <v>439</v>
      </c>
      <c r="AT180" s="20" t="s">
        <v>440</v>
      </c>
      <c r="AU180" s="40">
        <v>1576697</v>
      </c>
      <c r="AV180" s="35">
        <f t="shared" si="25"/>
        <v>6.1977482412861598</v>
      </c>
      <c r="AW180" s="37" t="s">
        <v>338</v>
      </c>
      <c r="AX180" s="34" t="s">
        <v>355</v>
      </c>
      <c r="AY180" s="40" t="s">
        <v>355</v>
      </c>
      <c r="AZ180" s="36">
        <v>33</v>
      </c>
      <c r="BA180" s="14">
        <f t="shared" si="26"/>
        <v>1.5185139398778875</v>
      </c>
      <c r="BB180" s="37" t="s">
        <v>367</v>
      </c>
      <c r="BC180" s="20">
        <v>1.137454981992851E-2</v>
      </c>
      <c r="BD180" s="9">
        <v>32</v>
      </c>
      <c r="BE180" s="9" t="s">
        <v>368</v>
      </c>
      <c r="BF180" s="9">
        <v>0</v>
      </c>
    </row>
    <row r="181" spans="1:58">
      <c r="A181" s="9">
        <v>542</v>
      </c>
      <c r="B181" s="10" t="s">
        <v>76</v>
      </c>
      <c r="C181" s="10" t="s">
        <v>474</v>
      </c>
      <c r="D181" s="20" t="s">
        <v>475</v>
      </c>
      <c r="E181" s="20" t="s">
        <v>476</v>
      </c>
      <c r="F181" s="10" t="s">
        <v>474</v>
      </c>
      <c r="G181" s="20" t="s">
        <v>475</v>
      </c>
      <c r="H181" s="20" t="s">
        <v>476</v>
      </c>
      <c r="I181" s="10" t="s">
        <v>474</v>
      </c>
      <c r="J181" s="20" t="s">
        <v>475</v>
      </c>
      <c r="K181" s="20" t="s">
        <v>476</v>
      </c>
      <c r="L181" s="9" t="s">
        <v>380</v>
      </c>
      <c r="M181" s="9">
        <v>4</v>
      </c>
      <c r="N181" s="9" t="s">
        <v>353</v>
      </c>
      <c r="O181" s="9" t="s">
        <v>382</v>
      </c>
      <c r="P181" s="12">
        <v>40.99644</v>
      </c>
      <c r="Q181" s="12" t="s">
        <v>355</v>
      </c>
      <c r="R181" s="9" t="s">
        <v>356</v>
      </c>
      <c r="S181" s="13">
        <v>4</v>
      </c>
      <c r="T181" s="13">
        <v>4</v>
      </c>
      <c r="U181" s="14">
        <f t="shared" si="18"/>
        <v>0.69897000433601886</v>
      </c>
      <c r="V181" s="15">
        <v>20</v>
      </c>
      <c r="W181" s="12"/>
      <c r="X181" s="12">
        <v>0.7</v>
      </c>
      <c r="Y181" s="13" t="s">
        <v>358</v>
      </c>
      <c r="Z181" s="9" t="s">
        <v>359</v>
      </c>
      <c r="AA181" s="10" t="s">
        <v>436</v>
      </c>
      <c r="AB181" s="9" t="s">
        <v>355</v>
      </c>
      <c r="AC181" s="15">
        <v>213</v>
      </c>
      <c r="AD181" s="14">
        <f t="shared" si="19"/>
        <v>2.3283796034387376</v>
      </c>
      <c r="AE181" s="10" t="s">
        <v>437</v>
      </c>
      <c r="AF181" s="9" t="s">
        <v>420</v>
      </c>
      <c r="AG181" s="18">
        <v>34.683438000000002</v>
      </c>
      <c r="AH181" s="7">
        <f t="shared" si="20"/>
        <v>1</v>
      </c>
      <c r="AI181" s="7">
        <f t="shared" si="21"/>
        <v>1</v>
      </c>
      <c r="AJ181" s="7">
        <f t="shared" si="22"/>
        <v>0</v>
      </c>
      <c r="AK181" s="7">
        <f t="shared" si="23"/>
        <v>0</v>
      </c>
      <c r="AL181" s="7" t="s">
        <v>4157</v>
      </c>
      <c r="AM181" s="18">
        <f t="shared" si="24"/>
        <v>1.5401221404311698</v>
      </c>
      <c r="AN181" s="18">
        <v>34.683438000000002</v>
      </c>
      <c r="AO181" s="18">
        <v>-82.837365000000005</v>
      </c>
      <c r="AP181" s="9" t="s">
        <v>363</v>
      </c>
      <c r="AQ181" s="9" t="s">
        <v>444</v>
      </c>
      <c r="AR181" s="15">
        <v>1980</v>
      </c>
      <c r="AS181" s="19" t="s">
        <v>439</v>
      </c>
      <c r="AT181" s="20" t="s">
        <v>440</v>
      </c>
      <c r="AU181" s="40">
        <v>1576697</v>
      </c>
      <c r="AV181" s="35">
        <f t="shared" si="25"/>
        <v>6.1977482412861598</v>
      </c>
      <c r="AW181" s="37" t="s">
        <v>338</v>
      </c>
      <c r="AX181" s="34" t="s">
        <v>355</v>
      </c>
      <c r="AY181" s="40" t="s">
        <v>355</v>
      </c>
      <c r="AZ181" s="36">
        <v>33</v>
      </c>
      <c r="BA181" s="14">
        <f t="shared" si="26"/>
        <v>1.5185139398778875</v>
      </c>
      <c r="BB181" s="37" t="s">
        <v>367</v>
      </c>
      <c r="BC181" s="20">
        <v>1.137454981992851E-2</v>
      </c>
      <c r="BD181" s="9">
        <v>32</v>
      </c>
      <c r="BE181" s="9" t="s">
        <v>368</v>
      </c>
      <c r="BF181" s="9">
        <v>0</v>
      </c>
    </row>
    <row r="182" spans="1:58">
      <c r="A182" s="9">
        <v>538</v>
      </c>
      <c r="B182" s="10" t="s">
        <v>76</v>
      </c>
      <c r="C182" s="10" t="s">
        <v>474</v>
      </c>
      <c r="D182" s="20" t="s">
        <v>475</v>
      </c>
      <c r="E182" s="20" t="s">
        <v>476</v>
      </c>
      <c r="F182" s="10" t="s">
        <v>474</v>
      </c>
      <c r="G182" s="20" t="s">
        <v>475</v>
      </c>
      <c r="H182" s="20" t="s">
        <v>476</v>
      </c>
      <c r="I182" s="10" t="s">
        <v>474</v>
      </c>
      <c r="J182" s="20" t="s">
        <v>475</v>
      </c>
      <c r="K182" s="20" t="s">
        <v>476</v>
      </c>
      <c r="L182" s="9" t="s">
        <v>380</v>
      </c>
      <c r="M182" s="9">
        <v>10</v>
      </c>
      <c r="N182" s="9" t="s">
        <v>381</v>
      </c>
      <c r="O182" s="9" t="s">
        <v>382</v>
      </c>
      <c r="P182" s="12">
        <v>41.322339999999997</v>
      </c>
      <c r="Q182" s="12" t="s">
        <v>355</v>
      </c>
      <c r="R182" s="9" t="s">
        <v>356</v>
      </c>
      <c r="S182" s="13">
        <v>4</v>
      </c>
      <c r="T182" s="13">
        <v>4</v>
      </c>
      <c r="U182" s="14">
        <f t="shared" si="18"/>
        <v>0.69897000433601886</v>
      </c>
      <c r="V182" s="15">
        <v>20</v>
      </c>
      <c r="W182" s="12"/>
      <c r="X182" s="12">
        <v>0.7</v>
      </c>
      <c r="Y182" s="13" t="s">
        <v>358</v>
      </c>
      <c r="Z182" s="9" t="s">
        <v>359</v>
      </c>
      <c r="AA182" s="10" t="s">
        <v>436</v>
      </c>
      <c r="AB182" s="9" t="s">
        <v>355</v>
      </c>
      <c r="AC182" s="15">
        <v>213</v>
      </c>
      <c r="AD182" s="14">
        <f t="shared" si="19"/>
        <v>2.3283796034387376</v>
      </c>
      <c r="AE182" s="10" t="s">
        <v>437</v>
      </c>
      <c r="AF182" s="9" t="s">
        <v>420</v>
      </c>
      <c r="AG182" s="18">
        <v>34.683438000000002</v>
      </c>
      <c r="AH182" s="7">
        <f t="shared" si="20"/>
        <v>1</v>
      </c>
      <c r="AI182" s="7">
        <f t="shared" si="21"/>
        <v>1</v>
      </c>
      <c r="AJ182" s="7">
        <f t="shared" si="22"/>
        <v>0</v>
      </c>
      <c r="AK182" s="7">
        <f t="shared" si="23"/>
        <v>0</v>
      </c>
      <c r="AL182" s="7" t="s">
        <v>4157</v>
      </c>
      <c r="AM182" s="18">
        <f t="shared" si="24"/>
        <v>1.5401221404311698</v>
      </c>
      <c r="AN182" s="18">
        <v>34.683438000000002</v>
      </c>
      <c r="AO182" s="18">
        <v>-82.837365000000005</v>
      </c>
      <c r="AP182" s="9" t="s">
        <v>363</v>
      </c>
      <c r="AQ182" s="9" t="s">
        <v>448</v>
      </c>
      <c r="AR182" s="15">
        <v>1980</v>
      </c>
      <c r="AS182" s="19" t="s">
        <v>439</v>
      </c>
      <c r="AT182" s="20" t="s">
        <v>440</v>
      </c>
      <c r="AU182" s="40">
        <v>1576697</v>
      </c>
      <c r="AV182" s="35">
        <f t="shared" si="25"/>
        <v>6.1977482412861598</v>
      </c>
      <c r="AW182" s="37" t="s">
        <v>338</v>
      </c>
      <c r="AX182" s="34" t="s">
        <v>355</v>
      </c>
      <c r="AY182" s="40" t="s">
        <v>355</v>
      </c>
      <c r="AZ182" s="36">
        <v>33</v>
      </c>
      <c r="BA182" s="14">
        <f t="shared" si="26"/>
        <v>1.5185139398778875</v>
      </c>
      <c r="BB182" s="37" t="s">
        <v>367</v>
      </c>
      <c r="BC182" s="20">
        <v>1.137454981992851E-2</v>
      </c>
      <c r="BD182" s="9">
        <v>32</v>
      </c>
      <c r="BE182" s="9" t="s">
        <v>368</v>
      </c>
      <c r="BF182" s="9">
        <v>0</v>
      </c>
    </row>
    <row r="183" spans="1:58">
      <c r="A183" s="9">
        <v>539</v>
      </c>
      <c r="B183" s="10" t="s">
        <v>76</v>
      </c>
      <c r="C183" s="10" t="s">
        <v>474</v>
      </c>
      <c r="D183" s="20" t="s">
        <v>475</v>
      </c>
      <c r="E183" s="20" t="s">
        <v>476</v>
      </c>
      <c r="F183" s="10" t="s">
        <v>474</v>
      </c>
      <c r="G183" s="20" t="s">
        <v>475</v>
      </c>
      <c r="H183" s="20" t="s">
        <v>476</v>
      </c>
      <c r="I183" s="10" t="s">
        <v>474</v>
      </c>
      <c r="J183" s="20" t="s">
        <v>475</v>
      </c>
      <c r="K183" s="20" t="s">
        <v>476</v>
      </c>
      <c r="L183" s="9" t="s">
        <v>380</v>
      </c>
      <c r="M183" s="9">
        <v>10</v>
      </c>
      <c r="N183" s="9" t="s">
        <v>381</v>
      </c>
      <c r="O183" s="9" t="s">
        <v>382</v>
      </c>
      <c r="P183" s="12">
        <v>41.629219999999997</v>
      </c>
      <c r="Q183" s="12" t="s">
        <v>355</v>
      </c>
      <c r="R183" s="9" t="s">
        <v>356</v>
      </c>
      <c r="S183" s="13">
        <v>4</v>
      </c>
      <c r="T183" s="13">
        <v>4</v>
      </c>
      <c r="U183" s="14">
        <f t="shared" si="18"/>
        <v>0.69897000433601886</v>
      </c>
      <c r="V183" s="15">
        <v>20</v>
      </c>
      <c r="W183" s="12"/>
      <c r="X183" s="12">
        <v>0.7</v>
      </c>
      <c r="Y183" s="13" t="s">
        <v>358</v>
      </c>
      <c r="Z183" s="9" t="s">
        <v>359</v>
      </c>
      <c r="AA183" s="10" t="s">
        <v>436</v>
      </c>
      <c r="AB183" s="9" t="s">
        <v>355</v>
      </c>
      <c r="AC183" s="15">
        <v>213</v>
      </c>
      <c r="AD183" s="14">
        <f t="shared" si="19"/>
        <v>2.3283796034387376</v>
      </c>
      <c r="AE183" s="10" t="s">
        <v>437</v>
      </c>
      <c r="AF183" s="9" t="s">
        <v>420</v>
      </c>
      <c r="AG183" s="18">
        <v>34.683438000000002</v>
      </c>
      <c r="AH183" s="7">
        <f t="shared" si="20"/>
        <v>1</v>
      </c>
      <c r="AI183" s="7">
        <f t="shared" si="21"/>
        <v>1</v>
      </c>
      <c r="AJ183" s="7">
        <f t="shared" si="22"/>
        <v>0</v>
      </c>
      <c r="AK183" s="7">
        <f t="shared" si="23"/>
        <v>0</v>
      </c>
      <c r="AL183" s="7" t="s">
        <v>4157</v>
      </c>
      <c r="AM183" s="18">
        <f t="shared" si="24"/>
        <v>1.5401221404311698</v>
      </c>
      <c r="AN183" s="18">
        <v>34.683438000000002</v>
      </c>
      <c r="AO183" s="18">
        <v>-82.837365000000005</v>
      </c>
      <c r="AP183" s="9" t="s">
        <v>363</v>
      </c>
      <c r="AQ183" s="9" t="s">
        <v>449</v>
      </c>
      <c r="AR183" s="15">
        <v>1980</v>
      </c>
      <c r="AS183" s="19" t="s">
        <v>439</v>
      </c>
      <c r="AT183" s="20" t="s">
        <v>440</v>
      </c>
      <c r="AU183" s="40">
        <v>1576697</v>
      </c>
      <c r="AV183" s="35">
        <f t="shared" si="25"/>
        <v>6.1977482412861598</v>
      </c>
      <c r="AW183" s="37" t="s">
        <v>338</v>
      </c>
      <c r="AX183" s="34" t="s">
        <v>355</v>
      </c>
      <c r="AY183" s="40" t="s">
        <v>355</v>
      </c>
      <c r="AZ183" s="36">
        <v>33</v>
      </c>
      <c r="BA183" s="14">
        <f t="shared" si="26"/>
        <v>1.5185139398778875</v>
      </c>
      <c r="BB183" s="37" t="s">
        <v>367</v>
      </c>
      <c r="BC183" s="20">
        <v>1.137454981992851E-2</v>
      </c>
      <c r="BD183" s="9">
        <v>32</v>
      </c>
      <c r="BE183" s="9" t="s">
        <v>368</v>
      </c>
      <c r="BF183" s="9">
        <v>0</v>
      </c>
    </row>
    <row r="184" spans="1:58">
      <c r="A184" s="9">
        <v>541</v>
      </c>
      <c r="B184" s="10" t="s">
        <v>76</v>
      </c>
      <c r="C184" s="10" t="s">
        <v>474</v>
      </c>
      <c r="D184" s="20" t="s">
        <v>475</v>
      </c>
      <c r="E184" s="20" t="s">
        <v>476</v>
      </c>
      <c r="F184" s="10" t="s">
        <v>474</v>
      </c>
      <c r="G184" s="20" t="s">
        <v>475</v>
      </c>
      <c r="H184" s="20" t="s">
        <v>476</v>
      </c>
      <c r="I184" s="10" t="s">
        <v>474</v>
      </c>
      <c r="J184" s="20" t="s">
        <v>475</v>
      </c>
      <c r="K184" s="20" t="s">
        <v>476</v>
      </c>
      <c r="L184" s="9" t="s">
        <v>380</v>
      </c>
      <c r="M184" s="9">
        <v>8</v>
      </c>
      <c r="N184" s="9" t="s">
        <v>353</v>
      </c>
      <c r="O184" s="9" t="s">
        <v>382</v>
      </c>
      <c r="P184" s="12">
        <v>41.998710000000003</v>
      </c>
      <c r="Q184" s="12" t="s">
        <v>355</v>
      </c>
      <c r="R184" s="9" t="s">
        <v>356</v>
      </c>
      <c r="S184" s="13">
        <v>4</v>
      </c>
      <c r="T184" s="13">
        <v>4</v>
      </c>
      <c r="U184" s="14">
        <f t="shared" si="18"/>
        <v>0.69897000433601886</v>
      </c>
      <c r="V184" s="15">
        <v>20</v>
      </c>
      <c r="W184" s="12"/>
      <c r="X184" s="12">
        <v>0.7</v>
      </c>
      <c r="Y184" s="13" t="s">
        <v>358</v>
      </c>
      <c r="Z184" s="9" t="s">
        <v>359</v>
      </c>
      <c r="AA184" s="10" t="s">
        <v>436</v>
      </c>
      <c r="AB184" s="9" t="s">
        <v>355</v>
      </c>
      <c r="AC184" s="15">
        <v>213</v>
      </c>
      <c r="AD184" s="14">
        <f t="shared" si="19"/>
        <v>2.3283796034387376</v>
      </c>
      <c r="AE184" s="10" t="s">
        <v>437</v>
      </c>
      <c r="AF184" s="9" t="s">
        <v>420</v>
      </c>
      <c r="AG184" s="18">
        <v>34.683438000000002</v>
      </c>
      <c r="AH184" s="7">
        <f t="shared" si="20"/>
        <v>1</v>
      </c>
      <c r="AI184" s="7">
        <f t="shared" si="21"/>
        <v>1</v>
      </c>
      <c r="AJ184" s="7">
        <f t="shared" si="22"/>
        <v>0</v>
      </c>
      <c r="AK184" s="7">
        <f t="shared" si="23"/>
        <v>0</v>
      </c>
      <c r="AL184" s="7" t="s">
        <v>4157</v>
      </c>
      <c r="AM184" s="18">
        <f t="shared" si="24"/>
        <v>1.5401221404311698</v>
      </c>
      <c r="AN184" s="18">
        <v>34.683438000000002</v>
      </c>
      <c r="AO184" s="18">
        <v>-82.837365000000005</v>
      </c>
      <c r="AP184" s="9" t="s">
        <v>363</v>
      </c>
      <c r="AQ184" s="9" t="s">
        <v>446</v>
      </c>
      <c r="AR184" s="15">
        <v>1980</v>
      </c>
      <c r="AS184" s="19" t="s">
        <v>439</v>
      </c>
      <c r="AT184" s="20" t="s">
        <v>440</v>
      </c>
      <c r="AU184" s="40">
        <v>1576697</v>
      </c>
      <c r="AV184" s="35">
        <f t="shared" si="25"/>
        <v>6.1977482412861598</v>
      </c>
      <c r="AW184" s="37" t="s">
        <v>338</v>
      </c>
      <c r="AX184" s="34" t="s">
        <v>355</v>
      </c>
      <c r="AY184" s="40" t="s">
        <v>355</v>
      </c>
      <c r="AZ184" s="36">
        <v>33</v>
      </c>
      <c r="BA184" s="14">
        <f t="shared" si="26"/>
        <v>1.5185139398778875</v>
      </c>
      <c r="BB184" s="37" t="s">
        <v>367</v>
      </c>
      <c r="BC184" s="20">
        <v>1.137454981992851E-2</v>
      </c>
      <c r="BD184" s="9">
        <v>32</v>
      </c>
      <c r="BE184" s="9" t="s">
        <v>368</v>
      </c>
      <c r="BF184" s="9">
        <v>0</v>
      </c>
    </row>
    <row r="185" spans="1:58">
      <c r="A185" s="9">
        <v>545</v>
      </c>
      <c r="B185" s="10" t="s">
        <v>76</v>
      </c>
      <c r="C185" s="10" t="s">
        <v>474</v>
      </c>
      <c r="D185" s="20" t="s">
        <v>475</v>
      </c>
      <c r="E185" s="20" t="s">
        <v>476</v>
      </c>
      <c r="F185" s="10" t="s">
        <v>474</v>
      </c>
      <c r="G185" s="20" t="s">
        <v>475</v>
      </c>
      <c r="H185" s="20" t="s">
        <v>476</v>
      </c>
      <c r="I185" s="10" t="s">
        <v>474</v>
      </c>
      <c r="J185" s="20" t="s">
        <v>475</v>
      </c>
      <c r="K185" s="20" t="s">
        <v>476</v>
      </c>
      <c r="L185" s="9" t="s">
        <v>380</v>
      </c>
      <c r="M185" s="9">
        <v>10</v>
      </c>
      <c r="N185" s="9" t="s">
        <v>381</v>
      </c>
      <c r="O185" s="9" t="s">
        <v>382</v>
      </c>
      <c r="P185" s="12">
        <v>42.193660000000001</v>
      </c>
      <c r="Q185" s="12" t="s">
        <v>355</v>
      </c>
      <c r="R185" s="9" t="s">
        <v>356</v>
      </c>
      <c r="S185" s="13">
        <v>4</v>
      </c>
      <c r="T185" s="13">
        <v>4</v>
      </c>
      <c r="U185" s="14">
        <f t="shared" si="18"/>
        <v>0.69897000433601886</v>
      </c>
      <c r="V185" s="15">
        <v>20</v>
      </c>
      <c r="W185" s="12"/>
      <c r="X185" s="12">
        <v>0.7</v>
      </c>
      <c r="Y185" s="13" t="s">
        <v>358</v>
      </c>
      <c r="Z185" s="9" t="s">
        <v>359</v>
      </c>
      <c r="AA185" s="10" t="s">
        <v>436</v>
      </c>
      <c r="AB185" s="9" t="s">
        <v>355</v>
      </c>
      <c r="AC185" s="15">
        <v>213</v>
      </c>
      <c r="AD185" s="14">
        <f t="shared" si="19"/>
        <v>2.3283796034387376</v>
      </c>
      <c r="AE185" s="10" t="s">
        <v>437</v>
      </c>
      <c r="AF185" s="9" t="s">
        <v>420</v>
      </c>
      <c r="AG185" s="18">
        <v>34.683438000000002</v>
      </c>
      <c r="AH185" s="7">
        <f t="shared" si="20"/>
        <v>1</v>
      </c>
      <c r="AI185" s="7">
        <f t="shared" si="21"/>
        <v>1</v>
      </c>
      <c r="AJ185" s="7">
        <f t="shared" si="22"/>
        <v>0</v>
      </c>
      <c r="AK185" s="7">
        <f t="shared" si="23"/>
        <v>0</v>
      </c>
      <c r="AL185" s="7" t="s">
        <v>4157</v>
      </c>
      <c r="AM185" s="18">
        <f t="shared" si="24"/>
        <v>1.5401221404311698</v>
      </c>
      <c r="AN185" s="18">
        <v>34.683438000000002</v>
      </c>
      <c r="AO185" s="18">
        <v>-82.837365000000005</v>
      </c>
      <c r="AP185" s="9" t="s">
        <v>363</v>
      </c>
      <c r="AQ185" s="9" t="s">
        <v>449</v>
      </c>
      <c r="AR185" s="15">
        <v>1980</v>
      </c>
      <c r="AS185" s="19" t="s">
        <v>439</v>
      </c>
      <c r="AT185" s="20" t="s">
        <v>440</v>
      </c>
      <c r="AU185" s="40">
        <v>1576697</v>
      </c>
      <c r="AV185" s="35">
        <f t="shared" si="25"/>
        <v>6.1977482412861598</v>
      </c>
      <c r="AW185" s="37" t="s">
        <v>338</v>
      </c>
      <c r="AX185" s="34" t="s">
        <v>355</v>
      </c>
      <c r="AY185" s="40" t="s">
        <v>355</v>
      </c>
      <c r="AZ185" s="36">
        <v>33</v>
      </c>
      <c r="BA185" s="14">
        <f t="shared" si="26"/>
        <v>1.5185139398778875</v>
      </c>
      <c r="BB185" s="37" t="s">
        <v>367</v>
      </c>
      <c r="BC185" s="20">
        <v>1.137454981992851E-2</v>
      </c>
      <c r="BD185" s="9">
        <v>32</v>
      </c>
      <c r="BE185" s="9" t="s">
        <v>368</v>
      </c>
      <c r="BF185" s="9">
        <v>0</v>
      </c>
    </row>
    <row r="186" spans="1:58">
      <c r="A186" s="9">
        <v>546</v>
      </c>
      <c r="B186" s="10" t="s">
        <v>76</v>
      </c>
      <c r="C186" s="10" t="s">
        <v>474</v>
      </c>
      <c r="D186" s="20" t="s">
        <v>475</v>
      </c>
      <c r="E186" s="20" t="s">
        <v>476</v>
      </c>
      <c r="F186" s="10" t="s">
        <v>474</v>
      </c>
      <c r="G186" s="20" t="s">
        <v>475</v>
      </c>
      <c r="H186" s="20" t="s">
        <v>476</v>
      </c>
      <c r="I186" s="10" t="s">
        <v>474</v>
      </c>
      <c r="J186" s="20" t="s">
        <v>475</v>
      </c>
      <c r="K186" s="20" t="s">
        <v>476</v>
      </c>
      <c r="L186" s="9" t="s">
        <v>380</v>
      </c>
      <c r="M186" s="9">
        <v>10</v>
      </c>
      <c r="N186" s="9" t="s">
        <v>381</v>
      </c>
      <c r="O186" s="9" t="s">
        <v>382</v>
      </c>
      <c r="P186" s="12">
        <v>42.19567</v>
      </c>
      <c r="Q186" s="12" t="s">
        <v>355</v>
      </c>
      <c r="R186" s="9" t="s">
        <v>356</v>
      </c>
      <c r="S186" s="13">
        <v>4</v>
      </c>
      <c r="T186" s="13">
        <v>4</v>
      </c>
      <c r="U186" s="14">
        <f t="shared" si="18"/>
        <v>0.69897000433601886</v>
      </c>
      <c r="V186" s="15">
        <v>20</v>
      </c>
      <c r="W186" s="12"/>
      <c r="X186" s="12">
        <v>0.7</v>
      </c>
      <c r="Y186" s="13" t="s">
        <v>358</v>
      </c>
      <c r="Z186" s="9" t="s">
        <v>359</v>
      </c>
      <c r="AA186" s="10" t="s">
        <v>436</v>
      </c>
      <c r="AB186" s="9" t="s">
        <v>355</v>
      </c>
      <c r="AC186" s="15">
        <v>213</v>
      </c>
      <c r="AD186" s="14">
        <f t="shared" si="19"/>
        <v>2.3283796034387376</v>
      </c>
      <c r="AE186" s="10" t="s">
        <v>437</v>
      </c>
      <c r="AF186" s="9" t="s">
        <v>420</v>
      </c>
      <c r="AG186" s="18">
        <v>34.683438000000002</v>
      </c>
      <c r="AH186" s="7">
        <f t="shared" si="20"/>
        <v>1</v>
      </c>
      <c r="AI186" s="7">
        <f t="shared" si="21"/>
        <v>1</v>
      </c>
      <c r="AJ186" s="7">
        <f t="shared" si="22"/>
        <v>0</v>
      </c>
      <c r="AK186" s="7">
        <f t="shared" si="23"/>
        <v>0</v>
      </c>
      <c r="AL186" s="7" t="s">
        <v>4157</v>
      </c>
      <c r="AM186" s="18">
        <f t="shared" si="24"/>
        <v>1.5401221404311698</v>
      </c>
      <c r="AN186" s="18">
        <v>34.683438000000002</v>
      </c>
      <c r="AO186" s="18">
        <v>-82.837365000000005</v>
      </c>
      <c r="AP186" s="9" t="s">
        <v>363</v>
      </c>
      <c r="AQ186" s="9" t="s">
        <v>445</v>
      </c>
      <c r="AR186" s="15">
        <v>1980</v>
      </c>
      <c r="AS186" s="19" t="s">
        <v>439</v>
      </c>
      <c r="AT186" s="20" t="s">
        <v>440</v>
      </c>
      <c r="AU186" s="40">
        <v>1576697</v>
      </c>
      <c r="AV186" s="35">
        <f t="shared" si="25"/>
        <v>6.1977482412861598</v>
      </c>
      <c r="AW186" s="37" t="s">
        <v>338</v>
      </c>
      <c r="AX186" s="34" t="s">
        <v>355</v>
      </c>
      <c r="AY186" s="40" t="s">
        <v>355</v>
      </c>
      <c r="AZ186" s="36">
        <v>33</v>
      </c>
      <c r="BA186" s="14">
        <f t="shared" si="26"/>
        <v>1.5185139398778875</v>
      </c>
      <c r="BB186" s="37" t="s">
        <v>367</v>
      </c>
      <c r="BC186" s="20">
        <v>1.137454981992851E-2</v>
      </c>
      <c r="BD186" s="9">
        <v>32</v>
      </c>
      <c r="BE186" s="9" t="s">
        <v>368</v>
      </c>
      <c r="BF186" s="9">
        <v>0</v>
      </c>
    </row>
    <row r="187" spans="1:58">
      <c r="A187" s="9">
        <v>548</v>
      </c>
      <c r="B187" s="10" t="s">
        <v>76</v>
      </c>
      <c r="C187" s="10" t="s">
        <v>474</v>
      </c>
      <c r="D187" s="20" t="s">
        <v>475</v>
      </c>
      <c r="E187" s="20" t="s">
        <v>476</v>
      </c>
      <c r="F187" s="10" t="s">
        <v>474</v>
      </c>
      <c r="G187" s="20" t="s">
        <v>475</v>
      </c>
      <c r="H187" s="20" t="s">
        <v>476</v>
      </c>
      <c r="I187" s="10" t="s">
        <v>474</v>
      </c>
      <c r="J187" s="20" t="s">
        <v>475</v>
      </c>
      <c r="K187" s="20" t="s">
        <v>476</v>
      </c>
      <c r="L187" s="9" t="s">
        <v>380</v>
      </c>
      <c r="M187" s="9">
        <v>8</v>
      </c>
      <c r="N187" s="9" t="s">
        <v>353</v>
      </c>
      <c r="O187" s="9" t="s">
        <v>382</v>
      </c>
      <c r="P187" s="12">
        <v>42.260759999999998</v>
      </c>
      <c r="Q187" s="12" t="s">
        <v>355</v>
      </c>
      <c r="R187" s="9" t="s">
        <v>356</v>
      </c>
      <c r="S187" s="13">
        <v>4</v>
      </c>
      <c r="T187" s="13">
        <v>4</v>
      </c>
      <c r="U187" s="14">
        <f t="shared" si="18"/>
        <v>0.69897000433601886</v>
      </c>
      <c r="V187" s="15">
        <v>20</v>
      </c>
      <c r="W187" s="12"/>
      <c r="X187" s="12">
        <v>0.7</v>
      </c>
      <c r="Y187" s="13" t="s">
        <v>358</v>
      </c>
      <c r="Z187" s="9" t="s">
        <v>359</v>
      </c>
      <c r="AA187" s="10" t="s">
        <v>436</v>
      </c>
      <c r="AB187" s="9" t="s">
        <v>355</v>
      </c>
      <c r="AC187" s="15">
        <v>213</v>
      </c>
      <c r="AD187" s="14">
        <f t="shared" si="19"/>
        <v>2.3283796034387376</v>
      </c>
      <c r="AE187" s="10" t="s">
        <v>437</v>
      </c>
      <c r="AF187" s="9" t="s">
        <v>420</v>
      </c>
      <c r="AG187" s="18">
        <v>34.683438000000002</v>
      </c>
      <c r="AH187" s="7">
        <f t="shared" si="20"/>
        <v>1</v>
      </c>
      <c r="AI187" s="7">
        <f t="shared" si="21"/>
        <v>1</v>
      </c>
      <c r="AJ187" s="7">
        <f t="shared" si="22"/>
        <v>0</v>
      </c>
      <c r="AK187" s="7">
        <f t="shared" si="23"/>
        <v>0</v>
      </c>
      <c r="AL187" s="7" t="s">
        <v>4157</v>
      </c>
      <c r="AM187" s="18">
        <f t="shared" si="24"/>
        <v>1.5401221404311698</v>
      </c>
      <c r="AN187" s="18">
        <v>34.683438000000002</v>
      </c>
      <c r="AO187" s="18">
        <v>-82.837365000000005</v>
      </c>
      <c r="AP187" s="9" t="s">
        <v>363</v>
      </c>
      <c r="AQ187" s="9" t="s">
        <v>444</v>
      </c>
      <c r="AR187" s="15">
        <v>1980</v>
      </c>
      <c r="AS187" s="19" t="s">
        <v>439</v>
      </c>
      <c r="AT187" s="20" t="s">
        <v>440</v>
      </c>
      <c r="AU187" s="40">
        <v>1576697</v>
      </c>
      <c r="AV187" s="35">
        <f t="shared" si="25"/>
        <v>6.1977482412861598</v>
      </c>
      <c r="AW187" s="37" t="s">
        <v>338</v>
      </c>
      <c r="AX187" s="34" t="s">
        <v>355</v>
      </c>
      <c r="AY187" s="40" t="s">
        <v>355</v>
      </c>
      <c r="AZ187" s="36">
        <v>33</v>
      </c>
      <c r="BA187" s="14">
        <f t="shared" si="26"/>
        <v>1.5185139398778875</v>
      </c>
      <c r="BB187" s="37" t="s">
        <v>367</v>
      </c>
      <c r="BC187" s="20">
        <v>1.137454981992851E-2</v>
      </c>
      <c r="BD187" s="9">
        <v>32</v>
      </c>
      <c r="BE187" s="9" t="s">
        <v>368</v>
      </c>
      <c r="BF187" s="9">
        <v>0</v>
      </c>
    </row>
    <row r="188" spans="1:58">
      <c r="A188" s="9">
        <v>547</v>
      </c>
      <c r="B188" s="10" t="s">
        <v>76</v>
      </c>
      <c r="C188" s="10" t="s">
        <v>474</v>
      </c>
      <c r="D188" s="20" t="s">
        <v>475</v>
      </c>
      <c r="E188" s="20" t="s">
        <v>476</v>
      </c>
      <c r="F188" s="10" t="s">
        <v>474</v>
      </c>
      <c r="G188" s="20" t="s">
        <v>475</v>
      </c>
      <c r="H188" s="20" t="s">
        <v>476</v>
      </c>
      <c r="I188" s="10" t="s">
        <v>474</v>
      </c>
      <c r="J188" s="20" t="s">
        <v>475</v>
      </c>
      <c r="K188" s="20" t="s">
        <v>476</v>
      </c>
      <c r="L188" s="9" t="s">
        <v>380</v>
      </c>
      <c r="M188" s="9">
        <v>10</v>
      </c>
      <c r="N188" s="9" t="s">
        <v>381</v>
      </c>
      <c r="O188" s="9" t="s">
        <v>382</v>
      </c>
      <c r="P188" s="12">
        <v>42.533009999999997</v>
      </c>
      <c r="Q188" s="12" t="s">
        <v>355</v>
      </c>
      <c r="R188" s="9" t="s">
        <v>356</v>
      </c>
      <c r="S188" s="13">
        <v>4</v>
      </c>
      <c r="T188" s="13">
        <v>4</v>
      </c>
      <c r="U188" s="14">
        <f t="shared" si="18"/>
        <v>0.69897000433601886</v>
      </c>
      <c r="V188" s="15">
        <v>20</v>
      </c>
      <c r="W188" s="12"/>
      <c r="X188" s="12">
        <v>0.7</v>
      </c>
      <c r="Y188" s="13" t="s">
        <v>358</v>
      </c>
      <c r="Z188" s="9" t="s">
        <v>359</v>
      </c>
      <c r="AA188" s="10" t="s">
        <v>436</v>
      </c>
      <c r="AB188" s="9" t="s">
        <v>355</v>
      </c>
      <c r="AC188" s="15">
        <v>213</v>
      </c>
      <c r="AD188" s="14">
        <f t="shared" si="19"/>
        <v>2.3283796034387376</v>
      </c>
      <c r="AE188" s="10" t="s">
        <v>437</v>
      </c>
      <c r="AF188" s="9" t="s">
        <v>420</v>
      </c>
      <c r="AG188" s="18">
        <v>34.683438000000002</v>
      </c>
      <c r="AH188" s="7">
        <f t="shared" si="20"/>
        <v>1</v>
      </c>
      <c r="AI188" s="7">
        <f t="shared" si="21"/>
        <v>1</v>
      </c>
      <c r="AJ188" s="7">
        <f t="shared" si="22"/>
        <v>0</v>
      </c>
      <c r="AK188" s="7">
        <f t="shared" si="23"/>
        <v>0</v>
      </c>
      <c r="AL188" s="7" t="s">
        <v>4157</v>
      </c>
      <c r="AM188" s="18">
        <f t="shared" si="24"/>
        <v>1.5401221404311698</v>
      </c>
      <c r="AN188" s="18">
        <v>34.683438000000002</v>
      </c>
      <c r="AO188" s="18">
        <v>-82.837365000000005</v>
      </c>
      <c r="AP188" s="9" t="s">
        <v>363</v>
      </c>
      <c r="AQ188" s="9" t="s">
        <v>446</v>
      </c>
      <c r="AR188" s="15">
        <v>1980</v>
      </c>
      <c r="AS188" s="19" t="s">
        <v>439</v>
      </c>
      <c r="AT188" s="20" t="s">
        <v>440</v>
      </c>
      <c r="AU188" s="40">
        <v>1576697</v>
      </c>
      <c r="AV188" s="35">
        <f t="shared" si="25"/>
        <v>6.1977482412861598</v>
      </c>
      <c r="AW188" s="37" t="s">
        <v>338</v>
      </c>
      <c r="AX188" s="34" t="s">
        <v>355</v>
      </c>
      <c r="AY188" s="40" t="s">
        <v>355</v>
      </c>
      <c r="AZ188" s="36">
        <v>33</v>
      </c>
      <c r="BA188" s="14">
        <f t="shared" si="26"/>
        <v>1.5185139398778875</v>
      </c>
      <c r="BB188" s="37" t="s">
        <v>367</v>
      </c>
      <c r="BC188" s="20">
        <v>1.137454981992851E-2</v>
      </c>
      <c r="BD188" s="9">
        <v>32</v>
      </c>
      <c r="BE188" s="9" t="s">
        <v>368</v>
      </c>
      <c r="BF188" s="9">
        <v>0</v>
      </c>
    </row>
    <row r="189" spans="1:58">
      <c r="A189" s="9">
        <v>537</v>
      </c>
      <c r="B189" s="10" t="s">
        <v>76</v>
      </c>
      <c r="C189" s="10" t="s">
        <v>474</v>
      </c>
      <c r="D189" s="20" t="s">
        <v>475</v>
      </c>
      <c r="E189" s="20" t="s">
        <v>476</v>
      </c>
      <c r="F189" s="10" t="s">
        <v>474</v>
      </c>
      <c r="G189" s="20" t="s">
        <v>475</v>
      </c>
      <c r="H189" s="20" t="s">
        <v>476</v>
      </c>
      <c r="I189" s="10" t="s">
        <v>474</v>
      </c>
      <c r="J189" s="20" t="s">
        <v>475</v>
      </c>
      <c r="K189" s="20" t="s">
        <v>476</v>
      </c>
      <c r="L189" s="9" t="s">
        <v>380</v>
      </c>
      <c r="M189" s="9">
        <v>10</v>
      </c>
      <c r="N189" s="9" t="s">
        <v>381</v>
      </c>
      <c r="O189" s="9" t="s">
        <v>382</v>
      </c>
      <c r="P189" s="12">
        <v>43.26952</v>
      </c>
      <c r="Q189" s="12" t="s">
        <v>355</v>
      </c>
      <c r="R189" s="9" t="s">
        <v>356</v>
      </c>
      <c r="S189" s="13">
        <v>4</v>
      </c>
      <c r="T189" s="13">
        <v>4</v>
      </c>
      <c r="U189" s="14">
        <f t="shared" si="18"/>
        <v>0.69897000433601886</v>
      </c>
      <c r="V189" s="15">
        <v>20</v>
      </c>
      <c r="W189" s="12"/>
      <c r="X189" s="12">
        <v>0.7</v>
      </c>
      <c r="Y189" s="13" t="s">
        <v>358</v>
      </c>
      <c r="Z189" s="9" t="s">
        <v>359</v>
      </c>
      <c r="AA189" s="10" t="s">
        <v>436</v>
      </c>
      <c r="AB189" s="9" t="s">
        <v>355</v>
      </c>
      <c r="AC189" s="15">
        <v>213</v>
      </c>
      <c r="AD189" s="14">
        <f t="shared" si="19"/>
        <v>2.3283796034387376</v>
      </c>
      <c r="AE189" s="10" t="s">
        <v>437</v>
      </c>
      <c r="AF189" s="9" t="s">
        <v>420</v>
      </c>
      <c r="AG189" s="18">
        <v>34.683438000000002</v>
      </c>
      <c r="AH189" s="7">
        <f t="shared" si="20"/>
        <v>1</v>
      </c>
      <c r="AI189" s="7">
        <f t="shared" si="21"/>
        <v>1</v>
      </c>
      <c r="AJ189" s="7">
        <f t="shared" si="22"/>
        <v>0</v>
      </c>
      <c r="AK189" s="7">
        <f t="shared" si="23"/>
        <v>0</v>
      </c>
      <c r="AL189" s="7" t="s">
        <v>4157</v>
      </c>
      <c r="AM189" s="18">
        <f t="shared" si="24"/>
        <v>1.5401221404311698</v>
      </c>
      <c r="AN189" s="18">
        <v>34.683438000000002</v>
      </c>
      <c r="AO189" s="18">
        <v>-82.837365000000005</v>
      </c>
      <c r="AP189" s="9" t="s">
        <v>363</v>
      </c>
      <c r="AQ189" s="9" t="s">
        <v>547</v>
      </c>
      <c r="AR189" s="15">
        <v>1980</v>
      </c>
      <c r="AS189" s="19" t="s">
        <v>439</v>
      </c>
      <c r="AT189" s="20" t="s">
        <v>440</v>
      </c>
      <c r="AU189" s="40">
        <v>1576697</v>
      </c>
      <c r="AV189" s="35">
        <f t="shared" si="25"/>
        <v>6.1977482412861598</v>
      </c>
      <c r="AW189" s="37" t="s">
        <v>338</v>
      </c>
      <c r="AX189" s="34" t="s">
        <v>355</v>
      </c>
      <c r="AY189" s="40" t="s">
        <v>355</v>
      </c>
      <c r="AZ189" s="36">
        <v>33</v>
      </c>
      <c r="BA189" s="14">
        <f t="shared" si="26"/>
        <v>1.5185139398778875</v>
      </c>
      <c r="BB189" s="37" t="s">
        <v>367</v>
      </c>
      <c r="BC189" s="20">
        <v>1.137454981992851E-2</v>
      </c>
      <c r="BD189" s="9">
        <v>32</v>
      </c>
      <c r="BE189" s="9" t="s">
        <v>368</v>
      </c>
      <c r="BF189" s="9">
        <v>0</v>
      </c>
    </row>
    <row r="190" spans="1:58">
      <c r="A190" s="9">
        <v>552</v>
      </c>
      <c r="B190" s="10" t="s">
        <v>76</v>
      </c>
      <c r="C190" s="10" t="s">
        <v>474</v>
      </c>
      <c r="D190" s="20" t="s">
        <v>475</v>
      </c>
      <c r="E190" s="20" t="s">
        <v>476</v>
      </c>
      <c r="F190" s="10" t="s">
        <v>474</v>
      </c>
      <c r="G190" s="20" t="s">
        <v>475</v>
      </c>
      <c r="H190" s="20" t="s">
        <v>476</v>
      </c>
      <c r="I190" s="10" t="s">
        <v>474</v>
      </c>
      <c r="J190" s="20" t="s">
        <v>475</v>
      </c>
      <c r="K190" s="20" t="s">
        <v>476</v>
      </c>
      <c r="L190" s="9" t="s">
        <v>352</v>
      </c>
      <c r="M190" s="9">
        <v>10</v>
      </c>
      <c r="N190" s="9" t="s">
        <v>381</v>
      </c>
      <c r="O190" s="9" t="s">
        <v>354</v>
      </c>
      <c r="P190" s="12">
        <v>40.443129999999996</v>
      </c>
      <c r="Q190" s="12" t="s">
        <v>355</v>
      </c>
      <c r="R190" s="9" t="s">
        <v>356</v>
      </c>
      <c r="S190" s="13">
        <v>4</v>
      </c>
      <c r="T190" s="13">
        <v>4</v>
      </c>
      <c r="U190" s="14">
        <f t="shared" si="18"/>
        <v>0.69897000433601886</v>
      </c>
      <c r="V190" s="15">
        <v>20</v>
      </c>
      <c r="W190" s="12">
        <v>9.5366629999999972</v>
      </c>
      <c r="X190" s="12">
        <v>0.7</v>
      </c>
      <c r="Y190" s="13" t="s">
        <v>358</v>
      </c>
      <c r="Z190" s="9" t="s">
        <v>417</v>
      </c>
      <c r="AA190" s="10" t="s">
        <v>418</v>
      </c>
      <c r="AB190" s="9" t="s">
        <v>355</v>
      </c>
      <c r="AC190" s="15">
        <v>213</v>
      </c>
      <c r="AD190" s="14">
        <f t="shared" si="19"/>
        <v>2.3283796034387376</v>
      </c>
      <c r="AE190" s="10" t="s">
        <v>437</v>
      </c>
      <c r="AF190" s="9" t="s">
        <v>420</v>
      </c>
      <c r="AG190" s="18">
        <v>34.683438000000002</v>
      </c>
      <c r="AH190" s="7">
        <f t="shared" si="20"/>
        <v>1</v>
      </c>
      <c r="AI190" s="7">
        <f t="shared" si="21"/>
        <v>1</v>
      </c>
      <c r="AJ190" s="7">
        <f t="shared" si="22"/>
        <v>0</v>
      </c>
      <c r="AK190" s="7">
        <f t="shared" si="23"/>
        <v>0</v>
      </c>
      <c r="AL190" s="7" t="s">
        <v>4157</v>
      </c>
      <c r="AM190" s="18">
        <f t="shared" si="24"/>
        <v>1.5401221404311698</v>
      </c>
      <c r="AN190" s="18">
        <v>34.683438000000002</v>
      </c>
      <c r="AO190" s="18">
        <v>-82.837365000000005</v>
      </c>
      <c r="AP190" s="9" t="s">
        <v>363</v>
      </c>
      <c r="AQ190" s="9" t="s">
        <v>355</v>
      </c>
      <c r="AR190" s="15">
        <v>1980</v>
      </c>
      <c r="AS190" s="19" t="s">
        <v>439</v>
      </c>
      <c r="AT190" s="20" t="s">
        <v>440</v>
      </c>
      <c r="AU190" s="40">
        <v>1576697</v>
      </c>
      <c r="AV190" s="35">
        <f t="shared" si="25"/>
        <v>6.1977482412861598</v>
      </c>
      <c r="AW190" s="37" t="s">
        <v>338</v>
      </c>
      <c r="AX190" s="34" t="s">
        <v>355</v>
      </c>
      <c r="AY190" s="40" t="s">
        <v>355</v>
      </c>
      <c r="AZ190" s="15">
        <v>33</v>
      </c>
      <c r="BA190" s="14">
        <f t="shared" si="26"/>
        <v>1.5185139398778875</v>
      </c>
      <c r="BB190" s="37" t="s">
        <v>367</v>
      </c>
      <c r="BC190" s="20">
        <v>1.137454981992851E-2</v>
      </c>
      <c r="BD190" s="9">
        <v>32</v>
      </c>
      <c r="BE190" s="9" t="s">
        <v>368</v>
      </c>
      <c r="BF190" s="9">
        <v>0</v>
      </c>
    </row>
    <row r="191" spans="1:58">
      <c r="A191" s="9">
        <v>43</v>
      </c>
      <c r="B191" s="10" t="s">
        <v>76</v>
      </c>
      <c r="C191" s="10" t="s">
        <v>77</v>
      </c>
      <c r="D191" s="20" t="s">
        <v>501</v>
      </c>
      <c r="E191" s="20" t="s">
        <v>548</v>
      </c>
      <c r="F191" s="10" t="s">
        <v>77</v>
      </c>
      <c r="G191" s="20" t="s">
        <v>501</v>
      </c>
      <c r="H191" s="20" t="s">
        <v>548</v>
      </c>
      <c r="I191" s="10" t="s">
        <v>77</v>
      </c>
      <c r="J191" s="20" t="s">
        <v>501</v>
      </c>
      <c r="K191" s="20" t="s">
        <v>548</v>
      </c>
      <c r="L191" s="9" t="s">
        <v>352</v>
      </c>
      <c r="M191" s="9">
        <v>15</v>
      </c>
      <c r="N191" s="9" t="s">
        <v>381</v>
      </c>
      <c r="O191" s="9" t="s">
        <v>354</v>
      </c>
      <c r="P191" s="12">
        <v>40</v>
      </c>
      <c r="Q191" s="12" t="s">
        <v>355</v>
      </c>
      <c r="R191" s="9" t="s">
        <v>356</v>
      </c>
      <c r="S191" s="13">
        <v>4</v>
      </c>
      <c r="T191" s="13">
        <v>4</v>
      </c>
      <c r="U191" s="14">
        <f t="shared" si="18"/>
        <v>0.69897000433601886</v>
      </c>
      <c r="V191" s="15">
        <v>20</v>
      </c>
      <c r="W191" s="12">
        <v>11.793632200000001</v>
      </c>
      <c r="X191" s="12">
        <v>1</v>
      </c>
      <c r="Y191" s="13" t="s">
        <v>358</v>
      </c>
      <c r="Z191" s="9" t="s">
        <v>417</v>
      </c>
      <c r="AA191" s="10" t="s">
        <v>418</v>
      </c>
      <c r="AB191" s="9" t="s">
        <v>355</v>
      </c>
      <c r="AC191" s="15">
        <v>1756</v>
      </c>
      <c r="AD191" s="14">
        <f t="shared" si="19"/>
        <v>3.2445245115700838</v>
      </c>
      <c r="AE191" s="10" t="s">
        <v>519</v>
      </c>
      <c r="AF191" s="9" t="s">
        <v>420</v>
      </c>
      <c r="AG191" s="18">
        <v>37.378830999999998</v>
      </c>
      <c r="AH191" s="7">
        <f t="shared" si="20"/>
        <v>1</v>
      </c>
      <c r="AI191" s="7">
        <f t="shared" si="21"/>
        <v>1</v>
      </c>
      <c r="AJ191" s="7">
        <f t="shared" si="22"/>
        <v>0</v>
      </c>
      <c r="AK191" s="7">
        <f t="shared" si="23"/>
        <v>0</v>
      </c>
      <c r="AL191" s="7" t="s">
        <v>4157</v>
      </c>
      <c r="AM191" s="18">
        <f t="shared" si="24"/>
        <v>1.5726257149618044</v>
      </c>
      <c r="AN191" s="18">
        <v>37.378830999999998</v>
      </c>
      <c r="AO191" s="18">
        <v>-2.8584580000000002</v>
      </c>
      <c r="AP191" s="9" t="s">
        <v>363</v>
      </c>
      <c r="AQ191" s="9" t="s">
        <v>355</v>
      </c>
      <c r="AR191" s="15">
        <v>2012</v>
      </c>
      <c r="AS191" s="19" t="s">
        <v>520</v>
      </c>
      <c r="AT191" s="20" t="s">
        <v>521</v>
      </c>
      <c r="AU191" s="40">
        <v>3850083</v>
      </c>
      <c r="AV191" s="35">
        <f t="shared" si="25"/>
        <v>6.5854700921197864</v>
      </c>
      <c r="AW191" s="37" t="s">
        <v>338</v>
      </c>
      <c r="AX191" s="34" t="s">
        <v>355</v>
      </c>
      <c r="AY191" s="40">
        <v>2300</v>
      </c>
      <c r="AZ191" s="15">
        <v>33</v>
      </c>
      <c r="BA191" s="14">
        <f t="shared" si="26"/>
        <v>1.5185139398778875</v>
      </c>
      <c r="BB191" s="37" t="s">
        <v>472</v>
      </c>
      <c r="BC191" s="20">
        <v>3.0292917166866652E-2</v>
      </c>
      <c r="BD191" s="9">
        <v>28.8</v>
      </c>
      <c r="BE191" s="9" t="s">
        <v>368</v>
      </c>
      <c r="BF191" s="9">
        <v>0</v>
      </c>
    </row>
    <row r="192" spans="1:58">
      <c r="A192" s="9">
        <v>44</v>
      </c>
      <c r="B192" s="10" t="s">
        <v>76</v>
      </c>
      <c r="C192" s="10" t="s">
        <v>77</v>
      </c>
      <c r="D192" s="20" t="s">
        <v>501</v>
      </c>
      <c r="E192" s="20" t="s">
        <v>549</v>
      </c>
      <c r="F192" s="10" t="s">
        <v>77</v>
      </c>
      <c r="G192" s="20" t="s">
        <v>501</v>
      </c>
      <c r="H192" s="20" t="s">
        <v>549</v>
      </c>
      <c r="I192" s="10" t="s">
        <v>77</v>
      </c>
      <c r="J192" s="20" t="s">
        <v>501</v>
      </c>
      <c r="K192" s="20" t="s">
        <v>549</v>
      </c>
      <c r="L192" s="9" t="s">
        <v>380</v>
      </c>
      <c r="M192" s="9">
        <v>15</v>
      </c>
      <c r="N192" s="9" t="s">
        <v>381</v>
      </c>
      <c r="O192" s="9" t="s">
        <v>382</v>
      </c>
      <c r="P192" s="12">
        <v>39.799999999999997</v>
      </c>
      <c r="Q192" s="12" t="s">
        <v>355</v>
      </c>
      <c r="R192" s="9" t="s">
        <v>356</v>
      </c>
      <c r="S192" s="13">
        <v>4</v>
      </c>
      <c r="T192" s="13">
        <v>4</v>
      </c>
      <c r="U192" s="14">
        <f t="shared" si="18"/>
        <v>0.69897000433601886</v>
      </c>
      <c r="V192" s="15">
        <v>20</v>
      </c>
      <c r="W192" s="12"/>
      <c r="X192" s="12">
        <v>1</v>
      </c>
      <c r="Y192" s="13" t="s">
        <v>358</v>
      </c>
      <c r="Z192" s="9" t="s">
        <v>417</v>
      </c>
      <c r="AA192" s="10" t="s">
        <v>418</v>
      </c>
      <c r="AB192" s="9" t="s">
        <v>355</v>
      </c>
      <c r="AC192" s="15">
        <v>1756</v>
      </c>
      <c r="AD192" s="14">
        <f t="shared" si="19"/>
        <v>3.2445245115700838</v>
      </c>
      <c r="AE192" s="10" t="s">
        <v>519</v>
      </c>
      <c r="AF192" s="9" t="s">
        <v>420</v>
      </c>
      <c r="AG192" s="18">
        <v>37.378830999999998</v>
      </c>
      <c r="AH192" s="7">
        <f t="shared" si="20"/>
        <v>1</v>
      </c>
      <c r="AI192" s="7">
        <f t="shared" si="21"/>
        <v>1</v>
      </c>
      <c r="AJ192" s="7">
        <f t="shared" si="22"/>
        <v>0</v>
      </c>
      <c r="AK192" s="7">
        <f t="shared" si="23"/>
        <v>0</v>
      </c>
      <c r="AL192" s="7" t="s">
        <v>4157</v>
      </c>
      <c r="AM192" s="18">
        <f t="shared" si="24"/>
        <v>1.5726257149618044</v>
      </c>
      <c r="AN192" s="18">
        <v>37.378830999999998</v>
      </c>
      <c r="AO192" s="18">
        <v>-2.8584580000000002</v>
      </c>
      <c r="AP192" s="9" t="s">
        <v>363</v>
      </c>
      <c r="AQ192" s="9" t="s">
        <v>355</v>
      </c>
      <c r="AR192" s="15">
        <v>2012</v>
      </c>
      <c r="AS192" s="19" t="s">
        <v>520</v>
      </c>
      <c r="AT192" s="20" t="s">
        <v>521</v>
      </c>
      <c r="AU192" s="40">
        <v>696922</v>
      </c>
      <c r="AV192" s="35">
        <f t="shared" si="25"/>
        <v>5.8431841742742323</v>
      </c>
      <c r="AW192" s="37" t="s">
        <v>366</v>
      </c>
      <c r="AX192" s="34" t="s">
        <v>355</v>
      </c>
      <c r="AY192" s="40">
        <v>2650</v>
      </c>
      <c r="AZ192" s="36">
        <v>33</v>
      </c>
      <c r="BA192" s="14">
        <f t="shared" si="26"/>
        <v>1.5185139398778875</v>
      </c>
      <c r="BB192" s="37" t="s">
        <v>388</v>
      </c>
      <c r="BC192" s="20">
        <v>3.0292917166866652E-2</v>
      </c>
      <c r="BD192" s="9">
        <v>28.8</v>
      </c>
      <c r="BE192" s="9" t="s">
        <v>368</v>
      </c>
      <c r="BF192" s="9">
        <v>0</v>
      </c>
    </row>
    <row r="193" spans="1:58">
      <c r="A193" s="9">
        <v>689</v>
      </c>
      <c r="B193" s="10" t="s">
        <v>76</v>
      </c>
      <c r="C193" s="10" t="s">
        <v>77</v>
      </c>
      <c r="D193" s="20" t="s">
        <v>501</v>
      </c>
      <c r="E193" s="20" t="s">
        <v>550</v>
      </c>
      <c r="F193" s="10" t="s">
        <v>77</v>
      </c>
      <c r="G193" s="20" t="s">
        <v>501</v>
      </c>
      <c r="H193" s="20" t="s">
        <v>550</v>
      </c>
      <c r="I193" s="10" t="s">
        <v>77</v>
      </c>
      <c r="J193" s="20" t="s">
        <v>501</v>
      </c>
      <c r="K193" s="20" t="s">
        <v>550</v>
      </c>
      <c r="L193" s="9" t="s">
        <v>380</v>
      </c>
      <c r="M193" s="9">
        <v>13</v>
      </c>
      <c r="N193" s="9" t="s">
        <v>381</v>
      </c>
      <c r="O193" s="9" t="s">
        <v>382</v>
      </c>
      <c r="P193" s="12">
        <v>41.78</v>
      </c>
      <c r="Q193" s="12" t="s">
        <v>355</v>
      </c>
      <c r="R193" s="9" t="s">
        <v>356</v>
      </c>
      <c r="S193" s="13" t="s">
        <v>524</v>
      </c>
      <c r="T193" s="13" t="s">
        <v>524</v>
      </c>
      <c r="U193" s="14">
        <f t="shared" si="18"/>
        <v>0.69897000433601886</v>
      </c>
      <c r="V193" s="15">
        <v>20</v>
      </c>
      <c r="W193" s="12"/>
      <c r="X193" s="12">
        <v>0.05</v>
      </c>
      <c r="Y193" s="13" t="s">
        <v>358</v>
      </c>
      <c r="Z193" s="9" t="s">
        <v>359</v>
      </c>
      <c r="AA193" s="10" t="s">
        <v>551</v>
      </c>
      <c r="AB193" s="9" t="s">
        <v>355</v>
      </c>
      <c r="AC193" s="15">
        <v>375</v>
      </c>
      <c r="AD193" s="14">
        <f t="shared" si="19"/>
        <v>2.5740312677277188</v>
      </c>
      <c r="AE193" s="10" t="s">
        <v>552</v>
      </c>
      <c r="AF193" s="9" t="s">
        <v>362</v>
      </c>
      <c r="AG193" s="18">
        <v>41.569319</v>
      </c>
      <c r="AH193" s="7">
        <f t="shared" si="20"/>
        <v>1</v>
      </c>
      <c r="AI193" s="7">
        <f t="shared" si="21"/>
        <v>1</v>
      </c>
      <c r="AJ193" s="7">
        <f t="shared" si="22"/>
        <v>0</v>
      </c>
      <c r="AK193" s="7">
        <f t="shared" si="23"/>
        <v>0</v>
      </c>
      <c r="AL193" s="7" t="s">
        <v>4157</v>
      </c>
      <c r="AM193" s="18">
        <f t="shared" si="24"/>
        <v>1.6187729098330195</v>
      </c>
      <c r="AN193" s="18">
        <v>41.569319</v>
      </c>
      <c r="AO193" s="18">
        <v>-80.456192000000001</v>
      </c>
      <c r="AP193" s="9" t="s">
        <v>363</v>
      </c>
      <c r="AQ193" s="9" t="s">
        <v>355</v>
      </c>
      <c r="AR193" s="15">
        <v>2014</v>
      </c>
      <c r="AS193" s="19" t="s">
        <v>553</v>
      </c>
      <c r="AT193" s="20" t="s">
        <v>554</v>
      </c>
      <c r="AU193" s="40">
        <v>2238329</v>
      </c>
      <c r="AV193" s="35">
        <f t="shared" si="25"/>
        <v>6.3499239215056633</v>
      </c>
      <c r="AW193" s="37" t="s">
        <v>366</v>
      </c>
      <c r="AX193" s="34" t="s">
        <v>355</v>
      </c>
      <c r="AY193" s="40" t="s">
        <v>355</v>
      </c>
      <c r="AZ193" s="36">
        <v>33</v>
      </c>
      <c r="BA193" s="14">
        <f t="shared" si="26"/>
        <v>1.5185139398778875</v>
      </c>
      <c r="BB193" s="37" t="s">
        <v>472</v>
      </c>
      <c r="BC193" s="20">
        <v>2.4360944377751222E-2</v>
      </c>
      <c r="BD193" s="9">
        <v>27.200000000000003</v>
      </c>
      <c r="BE193" s="9" t="s">
        <v>368</v>
      </c>
      <c r="BF193" s="9">
        <v>0</v>
      </c>
    </row>
    <row r="194" spans="1:58">
      <c r="A194" s="9">
        <v>959</v>
      </c>
      <c r="B194" s="10" t="s">
        <v>76</v>
      </c>
      <c r="C194" s="10" t="s">
        <v>369</v>
      </c>
      <c r="D194" s="20" t="s">
        <v>555</v>
      </c>
      <c r="E194" s="20" t="s">
        <v>556</v>
      </c>
      <c r="F194" s="10" t="s">
        <v>369</v>
      </c>
      <c r="G194" s="20" t="s">
        <v>555</v>
      </c>
      <c r="H194" s="20" t="s">
        <v>556</v>
      </c>
      <c r="I194" s="10" t="s">
        <v>369</v>
      </c>
      <c r="J194" s="20" t="s">
        <v>557</v>
      </c>
      <c r="K194" s="20" t="s">
        <v>556</v>
      </c>
      <c r="L194" s="9" t="s">
        <v>352</v>
      </c>
      <c r="M194" s="9">
        <v>10</v>
      </c>
      <c r="N194" s="9" t="s">
        <v>355</v>
      </c>
      <c r="O194" s="9" t="s">
        <v>558</v>
      </c>
      <c r="P194" s="12">
        <v>34.799999999999997</v>
      </c>
      <c r="Q194" s="12" t="s">
        <v>355</v>
      </c>
      <c r="R194" s="9" t="s">
        <v>356</v>
      </c>
      <c r="S194" s="13" t="s">
        <v>524</v>
      </c>
      <c r="T194" s="13" t="s">
        <v>524</v>
      </c>
      <c r="U194" s="14">
        <f t="shared" si="18"/>
        <v>0.69897000433601886</v>
      </c>
      <c r="V194" s="15">
        <v>22</v>
      </c>
      <c r="W194" s="12">
        <v>9.8250743999999983</v>
      </c>
      <c r="X194" s="12">
        <v>0.5</v>
      </c>
      <c r="Y194" s="13" t="s">
        <v>355</v>
      </c>
      <c r="Z194" s="9" t="s">
        <v>417</v>
      </c>
      <c r="AA194" s="10" t="s">
        <v>418</v>
      </c>
      <c r="AB194" s="9" t="s">
        <v>355</v>
      </c>
      <c r="AC194" s="15">
        <v>1100</v>
      </c>
      <c r="AD194" s="14">
        <f t="shared" si="19"/>
        <v>3.0413926851582249</v>
      </c>
      <c r="AE194" s="10" t="s">
        <v>559</v>
      </c>
      <c r="AF194" s="9" t="s">
        <v>408</v>
      </c>
      <c r="AG194" s="18">
        <v>14.067500000000001</v>
      </c>
      <c r="AH194" s="7">
        <f t="shared" si="20"/>
        <v>0</v>
      </c>
      <c r="AI194" s="7">
        <f t="shared" si="21"/>
        <v>0</v>
      </c>
      <c r="AJ194" s="7">
        <f t="shared" si="22"/>
        <v>0</v>
      </c>
      <c r="AK194" s="7">
        <f t="shared" si="23"/>
        <v>0</v>
      </c>
      <c r="AL194" s="7" t="s">
        <v>4160</v>
      </c>
      <c r="AM194" s="18">
        <f t="shared" si="24"/>
        <v>1.1482169238260302</v>
      </c>
      <c r="AN194" s="18">
        <v>14.067500000000001</v>
      </c>
      <c r="AO194" s="18">
        <v>121.49250000000001</v>
      </c>
      <c r="AP194" s="9" t="s">
        <v>363</v>
      </c>
      <c r="AQ194" s="9" t="s">
        <v>355</v>
      </c>
      <c r="AR194" s="15">
        <v>2013</v>
      </c>
      <c r="AS194" s="19" t="s">
        <v>560</v>
      </c>
      <c r="AT194" s="20" t="s">
        <v>561</v>
      </c>
      <c r="AU194" s="40">
        <v>2283129</v>
      </c>
      <c r="AV194" s="35">
        <f t="shared" si="25"/>
        <v>6.3585304504325997</v>
      </c>
      <c r="AW194" s="37" t="s">
        <v>338</v>
      </c>
      <c r="AX194" s="34" t="s">
        <v>355</v>
      </c>
      <c r="AY194" s="40">
        <v>1200</v>
      </c>
      <c r="AZ194" s="15">
        <v>55</v>
      </c>
      <c r="BA194" s="14">
        <f t="shared" si="26"/>
        <v>1.7403626894942439</v>
      </c>
      <c r="BB194" s="37" t="s">
        <v>388</v>
      </c>
      <c r="BC194" s="20">
        <v>-6.6590636254504464E-3</v>
      </c>
      <c r="BD194" s="9">
        <v>24.6</v>
      </c>
      <c r="BE194" s="9" t="s">
        <v>368</v>
      </c>
      <c r="BF194" s="9">
        <v>0</v>
      </c>
    </row>
    <row r="195" spans="1:58">
      <c r="A195" s="9">
        <v>28</v>
      </c>
      <c r="B195" s="10" t="s">
        <v>76</v>
      </c>
      <c r="C195" s="10" t="s">
        <v>77</v>
      </c>
      <c r="D195" s="20" t="s">
        <v>477</v>
      </c>
      <c r="E195" s="20" t="s">
        <v>562</v>
      </c>
      <c r="F195" s="10" t="s">
        <v>355</v>
      </c>
      <c r="G195" s="20" t="s">
        <v>355</v>
      </c>
      <c r="H195" s="20" t="s">
        <v>355</v>
      </c>
      <c r="I195" s="10" t="s">
        <v>77</v>
      </c>
      <c r="J195" s="20" t="s">
        <v>477</v>
      </c>
      <c r="K195" s="20" t="s">
        <v>562</v>
      </c>
      <c r="L195" s="9" t="s">
        <v>380</v>
      </c>
      <c r="M195" s="9">
        <v>15</v>
      </c>
      <c r="N195" s="9" t="s">
        <v>381</v>
      </c>
      <c r="O195" s="9" t="s">
        <v>382</v>
      </c>
      <c r="P195" s="12">
        <v>37.5</v>
      </c>
      <c r="Q195" s="12" t="s">
        <v>355</v>
      </c>
      <c r="R195" s="9" t="s">
        <v>356</v>
      </c>
      <c r="S195" s="13">
        <v>4</v>
      </c>
      <c r="T195" s="13">
        <v>4</v>
      </c>
      <c r="U195" s="14">
        <f t="shared" si="18"/>
        <v>0.69897000433601886</v>
      </c>
      <c r="V195" s="15">
        <v>20</v>
      </c>
      <c r="W195" s="12"/>
      <c r="X195" s="12">
        <v>1</v>
      </c>
      <c r="Y195" s="13" t="s">
        <v>358</v>
      </c>
      <c r="Z195" s="9" t="s">
        <v>417</v>
      </c>
      <c r="AA195" s="10" t="s">
        <v>418</v>
      </c>
      <c r="AB195" s="9" t="s">
        <v>355</v>
      </c>
      <c r="AC195" s="15">
        <v>312</v>
      </c>
      <c r="AD195" s="14">
        <f t="shared" si="19"/>
        <v>2.4941545940184429</v>
      </c>
      <c r="AE195" s="10" t="s">
        <v>534</v>
      </c>
      <c r="AF195" s="9" t="s">
        <v>420</v>
      </c>
      <c r="AG195" s="18">
        <v>27.087367</v>
      </c>
      <c r="AH195" s="7">
        <f t="shared" si="20"/>
        <v>1</v>
      </c>
      <c r="AI195" s="7">
        <f t="shared" si="21"/>
        <v>0</v>
      </c>
      <c r="AJ195" s="7">
        <f t="shared" si="22"/>
        <v>0</v>
      </c>
      <c r="AK195" s="7">
        <f t="shared" si="23"/>
        <v>0</v>
      </c>
      <c r="AL195" s="7" t="s">
        <v>4159</v>
      </c>
      <c r="AM195" s="18">
        <f t="shared" si="24"/>
        <v>1.4327667919307208</v>
      </c>
      <c r="AN195" s="18">
        <v>-27.087367</v>
      </c>
      <c r="AO195" s="18">
        <v>-54.950392000000001</v>
      </c>
      <c r="AP195" s="9" t="s">
        <v>363</v>
      </c>
      <c r="AQ195" s="9" t="s">
        <v>355</v>
      </c>
      <c r="AR195" s="15">
        <v>2012</v>
      </c>
      <c r="AS195" s="19" t="s">
        <v>520</v>
      </c>
      <c r="AT195" s="20" t="s">
        <v>521</v>
      </c>
      <c r="AU195" s="9">
        <v>3545</v>
      </c>
      <c r="AV195" s="35">
        <f t="shared" si="25"/>
        <v>3.5496162395190853</v>
      </c>
      <c r="AW195" s="9" t="s">
        <v>366</v>
      </c>
      <c r="AX195" s="9">
        <v>300</v>
      </c>
      <c r="AY195" s="9">
        <v>700</v>
      </c>
      <c r="AZ195" s="9">
        <v>40</v>
      </c>
      <c r="BA195" s="14">
        <f t="shared" si="26"/>
        <v>1.6020599913279623</v>
      </c>
      <c r="BB195" s="9" t="s">
        <v>388</v>
      </c>
      <c r="BC195" s="20">
        <v>2.8247298919569274E-3</v>
      </c>
      <c r="BD195" s="9">
        <v>31.200000000000003</v>
      </c>
      <c r="BE195" s="9" t="s">
        <v>368</v>
      </c>
      <c r="BF195" s="9">
        <v>0</v>
      </c>
    </row>
    <row r="196" spans="1:58">
      <c r="A196" s="9">
        <v>13</v>
      </c>
      <c r="B196" s="10" t="s">
        <v>76</v>
      </c>
      <c r="C196" s="10" t="s">
        <v>77</v>
      </c>
      <c r="D196" s="20" t="s">
        <v>477</v>
      </c>
      <c r="E196" s="20" t="s">
        <v>563</v>
      </c>
      <c r="F196" s="10" t="s">
        <v>77</v>
      </c>
      <c r="G196" s="20" t="s">
        <v>477</v>
      </c>
      <c r="H196" s="20" t="s">
        <v>563</v>
      </c>
      <c r="I196" s="10" t="s">
        <v>77</v>
      </c>
      <c r="J196" s="20" t="s">
        <v>477</v>
      </c>
      <c r="K196" s="20" t="s">
        <v>563</v>
      </c>
      <c r="L196" s="9" t="s">
        <v>380</v>
      </c>
      <c r="M196" s="9">
        <v>17</v>
      </c>
      <c r="N196" s="9" t="s">
        <v>381</v>
      </c>
      <c r="O196" s="9" t="s">
        <v>382</v>
      </c>
      <c r="P196" s="12">
        <v>41.2</v>
      </c>
      <c r="Q196" s="12" t="s">
        <v>355</v>
      </c>
      <c r="R196" s="9" t="s">
        <v>356</v>
      </c>
      <c r="S196" s="13">
        <v>4</v>
      </c>
      <c r="T196" s="13">
        <v>4</v>
      </c>
      <c r="U196" s="14">
        <f t="shared" si="18"/>
        <v>0.69897000433601886</v>
      </c>
      <c r="V196" s="15">
        <v>20</v>
      </c>
      <c r="W196" s="12"/>
      <c r="X196" s="12">
        <v>1</v>
      </c>
      <c r="Y196" s="13" t="s">
        <v>358</v>
      </c>
      <c r="Z196" s="9" t="s">
        <v>417</v>
      </c>
      <c r="AA196" s="10" t="s">
        <v>418</v>
      </c>
      <c r="AB196" s="9" t="s">
        <v>355</v>
      </c>
      <c r="AC196" s="15">
        <v>102</v>
      </c>
      <c r="AD196" s="14">
        <f t="shared" si="19"/>
        <v>2.0086001717619175</v>
      </c>
      <c r="AE196" s="10" t="s">
        <v>530</v>
      </c>
      <c r="AF196" s="9" t="s">
        <v>420</v>
      </c>
      <c r="AG196" s="18">
        <v>25.316761</v>
      </c>
      <c r="AH196" s="7">
        <f t="shared" si="20"/>
        <v>1</v>
      </c>
      <c r="AI196" s="7">
        <f t="shared" si="21"/>
        <v>0</v>
      </c>
      <c r="AJ196" s="7">
        <f t="shared" si="22"/>
        <v>0</v>
      </c>
      <c r="AK196" s="7">
        <f t="shared" si="23"/>
        <v>0</v>
      </c>
      <c r="AL196" s="7" t="s">
        <v>4159</v>
      </c>
      <c r="AM196" s="18">
        <f t="shared" si="24"/>
        <v>1.4034081417162645</v>
      </c>
      <c r="AN196" s="18">
        <v>-25.316761</v>
      </c>
      <c r="AO196" s="18">
        <v>-59.695506000000002</v>
      </c>
      <c r="AP196" s="9" t="s">
        <v>363</v>
      </c>
      <c r="AQ196" s="9" t="s">
        <v>355</v>
      </c>
      <c r="AR196" s="15">
        <v>2012</v>
      </c>
      <c r="AS196" s="19" t="s">
        <v>520</v>
      </c>
      <c r="AT196" s="20" t="s">
        <v>521</v>
      </c>
      <c r="AU196" s="40">
        <v>8330873</v>
      </c>
      <c r="AV196" s="35">
        <f t="shared" si="25"/>
        <v>6.9206905139178128</v>
      </c>
      <c r="AW196" s="37" t="s">
        <v>366</v>
      </c>
      <c r="AX196" s="34" t="s">
        <v>355</v>
      </c>
      <c r="AY196" s="40">
        <v>400</v>
      </c>
      <c r="AZ196" s="36">
        <v>33</v>
      </c>
      <c r="BA196" s="14">
        <f t="shared" si="26"/>
        <v>1.5185139398778875</v>
      </c>
      <c r="BB196" s="37" t="s">
        <v>388</v>
      </c>
      <c r="BC196" s="20">
        <v>1.251420568227286E-2</v>
      </c>
      <c r="BD196" s="9">
        <v>34.6</v>
      </c>
      <c r="BE196" s="9" t="s">
        <v>368</v>
      </c>
      <c r="BF196" s="9">
        <v>0</v>
      </c>
    </row>
    <row r="197" spans="1:58">
      <c r="A197" s="9">
        <v>843</v>
      </c>
      <c r="B197" s="10" t="s">
        <v>76</v>
      </c>
      <c r="C197" s="10" t="s">
        <v>474</v>
      </c>
      <c r="D197" s="20" t="s">
        <v>564</v>
      </c>
      <c r="E197" s="20" t="s">
        <v>565</v>
      </c>
      <c r="F197" s="10" t="s">
        <v>474</v>
      </c>
      <c r="G197" s="20" t="s">
        <v>564</v>
      </c>
      <c r="H197" s="20" t="s">
        <v>565</v>
      </c>
      <c r="I197" s="10" t="s">
        <v>474</v>
      </c>
      <c r="J197" s="20" t="s">
        <v>564</v>
      </c>
      <c r="K197" s="20" t="s">
        <v>565</v>
      </c>
      <c r="L197" s="9" t="s">
        <v>380</v>
      </c>
      <c r="M197" s="9">
        <v>8</v>
      </c>
      <c r="N197" s="9" t="s">
        <v>353</v>
      </c>
      <c r="O197" s="9" t="s">
        <v>382</v>
      </c>
      <c r="P197" s="12">
        <v>38.299999999999997</v>
      </c>
      <c r="Q197" s="12" t="s">
        <v>355</v>
      </c>
      <c r="R197" s="9" t="s">
        <v>356</v>
      </c>
      <c r="S197" s="13" t="s">
        <v>524</v>
      </c>
      <c r="T197" s="13" t="s">
        <v>524</v>
      </c>
      <c r="U197" s="14">
        <f t="shared" ref="U197:U260" si="27">LOG(T197+1)</f>
        <v>0.69897000433601886</v>
      </c>
      <c r="V197" s="15">
        <v>22</v>
      </c>
      <c r="W197" s="12"/>
      <c r="X197" s="12">
        <v>0.5</v>
      </c>
      <c r="Y197" s="13" t="s">
        <v>355</v>
      </c>
      <c r="Z197" s="9" t="s">
        <v>417</v>
      </c>
      <c r="AA197" s="10" t="s">
        <v>418</v>
      </c>
      <c r="AB197" s="9" t="s">
        <v>355</v>
      </c>
      <c r="AC197" s="15">
        <v>1100</v>
      </c>
      <c r="AD197" s="14">
        <f t="shared" ref="AD197:AD260" si="28">LOG(AC197)</f>
        <v>3.0413926851582249</v>
      </c>
      <c r="AE197" s="10" t="s">
        <v>559</v>
      </c>
      <c r="AF197" s="9" t="s">
        <v>408</v>
      </c>
      <c r="AG197" s="18">
        <v>14.067500000000001</v>
      </c>
      <c r="AH197" s="7">
        <f t="shared" ref="AH197:AH260" si="29">IF(AG197&gt;15,1,0)</f>
        <v>0</v>
      </c>
      <c r="AI197" s="7">
        <f t="shared" ref="AI197:AI260" si="30">IF(AG197&gt;30,1,0)</f>
        <v>0</v>
      </c>
      <c r="AJ197" s="7">
        <f t="shared" ref="AJ197:AJ260" si="31">IF(AG197&gt;45,1,0)</f>
        <v>0</v>
      </c>
      <c r="AK197" s="7">
        <f t="shared" ref="AK197:AK260" si="32">IF(AG197&gt;60,1,0)</f>
        <v>0</v>
      </c>
      <c r="AL197" s="7" t="s">
        <v>4160</v>
      </c>
      <c r="AM197" s="18">
        <f t="shared" ref="AM197:AM260" si="33">LOG(AG197)</f>
        <v>1.1482169238260302</v>
      </c>
      <c r="AN197" s="18">
        <v>14.067500000000001</v>
      </c>
      <c r="AO197" s="18">
        <v>121.49250000000001</v>
      </c>
      <c r="AP197" s="9" t="s">
        <v>363</v>
      </c>
      <c r="AQ197" s="9" t="s">
        <v>355</v>
      </c>
      <c r="AR197" s="15">
        <v>2013</v>
      </c>
      <c r="AS197" s="19" t="s">
        <v>566</v>
      </c>
      <c r="AT197" s="20" t="s">
        <v>567</v>
      </c>
      <c r="AU197" s="40">
        <v>10323</v>
      </c>
      <c r="AV197" s="35">
        <f t="shared" ref="AV197:AV260" si="34">LOG(AU197)</f>
        <v>4.0138059273405924</v>
      </c>
      <c r="AW197" s="37" t="s">
        <v>366</v>
      </c>
      <c r="AX197" s="40">
        <v>0</v>
      </c>
      <c r="AY197" s="40">
        <v>1200</v>
      </c>
      <c r="AZ197" s="36">
        <v>33</v>
      </c>
      <c r="BA197" s="14">
        <f t="shared" ref="BA197:BA260" si="35">LOG(AZ197)</f>
        <v>1.5185139398778875</v>
      </c>
      <c r="BB197" s="37" t="s">
        <v>472</v>
      </c>
      <c r="BC197" s="20">
        <v>-6.6590636254504464E-3</v>
      </c>
      <c r="BD197" s="9">
        <v>24.6</v>
      </c>
      <c r="BE197" s="9" t="s">
        <v>459</v>
      </c>
      <c r="BF197" s="9">
        <v>1</v>
      </c>
    </row>
    <row r="198" spans="1:58">
      <c r="A198" s="9">
        <v>963</v>
      </c>
      <c r="B198" s="10" t="s">
        <v>76</v>
      </c>
      <c r="C198" s="10" t="s">
        <v>474</v>
      </c>
      <c r="D198" s="20" t="s">
        <v>564</v>
      </c>
      <c r="E198" s="20" t="s">
        <v>565</v>
      </c>
      <c r="F198" s="10" t="s">
        <v>474</v>
      </c>
      <c r="G198" s="20" t="s">
        <v>564</v>
      </c>
      <c r="H198" s="20" t="s">
        <v>565</v>
      </c>
      <c r="I198" s="10" t="s">
        <v>474</v>
      </c>
      <c r="J198" s="20" t="s">
        <v>564</v>
      </c>
      <c r="K198" s="20" t="s">
        <v>565</v>
      </c>
      <c r="L198" s="9" t="s">
        <v>352</v>
      </c>
      <c r="M198" s="9">
        <v>10</v>
      </c>
      <c r="N198" s="9" t="s">
        <v>355</v>
      </c>
      <c r="O198" s="9" t="s">
        <v>558</v>
      </c>
      <c r="P198" s="12">
        <v>34.299999999999997</v>
      </c>
      <c r="Q198" s="12" t="s">
        <v>355</v>
      </c>
      <c r="R198" s="9" t="s">
        <v>356</v>
      </c>
      <c r="S198" s="13" t="s">
        <v>524</v>
      </c>
      <c r="T198" s="13" t="s">
        <v>524</v>
      </c>
      <c r="U198" s="14">
        <f t="shared" si="27"/>
        <v>0.69897000433601886</v>
      </c>
      <c r="V198" s="15">
        <v>22</v>
      </c>
      <c r="W198" s="12">
        <v>9.3250743999999983</v>
      </c>
      <c r="X198" s="12">
        <v>0.5</v>
      </c>
      <c r="Y198" s="13" t="s">
        <v>355</v>
      </c>
      <c r="Z198" s="9" t="s">
        <v>417</v>
      </c>
      <c r="AA198" s="10" t="s">
        <v>418</v>
      </c>
      <c r="AB198" s="9" t="s">
        <v>355</v>
      </c>
      <c r="AC198" s="15">
        <v>1100</v>
      </c>
      <c r="AD198" s="14">
        <f t="shared" si="28"/>
        <v>3.0413926851582249</v>
      </c>
      <c r="AE198" s="10" t="s">
        <v>559</v>
      </c>
      <c r="AF198" s="9" t="s">
        <v>408</v>
      </c>
      <c r="AG198" s="18">
        <v>14.067500000000001</v>
      </c>
      <c r="AH198" s="7">
        <f t="shared" si="29"/>
        <v>0</v>
      </c>
      <c r="AI198" s="7">
        <f t="shared" si="30"/>
        <v>0</v>
      </c>
      <c r="AJ198" s="7">
        <f t="shared" si="31"/>
        <v>0</v>
      </c>
      <c r="AK198" s="7">
        <f t="shared" si="32"/>
        <v>0</v>
      </c>
      <c r="AL198" s="7" t="s">
        <v>4160</v>
      </c>
      <c r="AM198" s="18">
        <f t="shared" si="33"/>
        <v>1.1482169238260302</v>
      </c>
      <c r="AN198" s="18">
        <v>14.067500000000001</v>
      </c>
      <c r="AO198" s="18">
        <v>121.49250000000001</v>
      </c>
      <c r="AP198" s="9" t="s">
        <v>363</v>
      </c>
      <c r="AQ198" s="9" t="s">
        <v>355</v>
      </c>
      <c r="AR198" s="15">
        <v>2013</v>
      </c>
      <c r="AS198" s="19" t="s">
        <v>560</v>
      </c>
      <c r="AT198" s="20" t="s">
        <v>561</v>
      </c>
      <c r="AU198" s="40">
        <v>10323</v>
      </c>
      <c r="AV198" s="35">
        <f t="shared" si="34"/>
        <v>4.0138059273405924</v>
      </c>
      <c r="AW198" s="37" t="s">
        <v>366</v>
      </c>
      <c r="AX198" s="40">
        <v>0</v>
      </c>
      <c r="AY198" s="40">
        <v>1200</v>
      </c>
      <c r="AZ198" s="15">
        <v>33</v>
      </c>
      <c r="BA198" s="14">
        <f t="shared" si="35"/>
        <v>1.5185139398778875</v>
      </c>
      <c r="BB198" s="37" t="s">
        <v>472</v>
      </c>
      <c r="BC198" s="20">
        <v>-6.6590636254504464E-3</v>
      </c>
      <c r="BD198" s="9">
        <v>24.6</v>
      </c>
      <c r="BE198" s="9" t="s">
        <v>459</v>
      </c>
      <c r="BF198" s="9">
        <v>1</v>
      </c>
    </row>
    <row r="199" spans="1:58">
      <c r="A199" s="9">
        <v>845</v>
      </c>
      <c r="B199" s="10" t="s">
        <v>76</v>
      </c>
      <c r="C199" s="10" t="s">
        <v>474</v>
      </c>
      <c r="D199" s="20" t="s">
        <v>564</v>
      </c>
      <c r="E199" s="20" t="s">
        <v>568</v>
      </c>
      <c r="F199" s="10" t="s">
        <v>474</v>
      </c>
      <c r="G199" s="20" t="s">
        <v>564</v>
      </c>
      <c r="H199" s="20" t="s">
        <v>568</v>
      </c>
      <c r="I199" s="10" t="s">
        <v>474</v>
      </c>
      <c r="J199" s="20" t="s">
        <v>564</v>
      </c>
      <c r="K199" s="20" t="s">
        <v>568</v>
      </c>
      <c r="L199" s="9" t="s">
        <v>380</v>
      </c>
      <c r="M199" s="9">
        <v>2</v>
      </c>
      <c r="N199" s="9" t="s">
        <v>353</v>
      </c>
      <c r="O199" s="9" t="s">
        <v>382</v>
      </c>
      <c r="P199" s="12">
        <v>38.5</v>
      </c>
      <c r="Q199" s="12" t="s">
        <v>355</v>
      </c>
      <c r="R199" s="9" t="s">
        <v>356</v>
      </c>
      <c r="S199" s="13" t="s">
        <v>524</v>
      </c>
      <c r="T199" s="13" t="s">
        <v>524</v>
      </c>
      <c r="U199" s="14">
        <f t="shared" si="27"/>
        <v>0.69897000433601886</v>
      </c>
      <c r="V199" s="15">
        <v>22</v>
      </c>
      <c r="W199" s="12"/>
      <c r="X199" s="12">
        <v>0.5</v>
      </c>
      <c r="Y199" s="13" t="s">
        <v>355</v>
      </c>
      <c r="Z199" s="9" t="s">
        <v>417</v>
      </c>
      <c r="AA199" s="10" t="s">
        <v>418</v>
      </c>
      <c r="AB199" s="9" t="s">
        <v>355</v>
      </c>
      <c r="AC199" s="15">
        <v>1100</v>
      </c>
      <c r="AD199" s="14">
        <f t="shared" si="28"/>
        <v>3.0413926851582249</v>
      </c>
      <c r="AE199" s="10" t="s">
        <v>559</v>
      </c>
      <c r="AF199" s="9" t="s">
        <v>408</v>
      </c>
      <c r="AG199" s="18">
        <v>14.067500000000001</v>
      </c>
      <c r="AH199" s="7">
        <f t="shared" si="29"/>
        <v>0</v>
      </c>
      <c r="AI199" s="7">
        <f t="shared" si="30"/>
        <v>0</v>
      </c>
      <c r="AJ199" s="7">
        <f t="shared" si="31"/>
        <v>0</v>
      </c>
      <c r="AK199" s="7">
        <f t="shared" si="32"/>
        <v>0</v>
      </c>
      <c r="AL199" s="7" t="s">
        <v>4160</v>
      </c>
      <c r="AM199" s="18">
        <f t="shared" si="33"/>
        <v>1.1482169238260302</v>
      </c>
      <c r="AN199" s="18">
        <v>14.067500000000001</v>
      </c>
      <c r="AO199" s="18">
        <v>121.49250000000001</v>
      </c>
      <c r="AP199" s="9" t="s">
        <v>363</v>
      </c>
      <c r="AQ199" s="9" t="s">
        <v>355</v>
      </c>
      <c r="AR199" s="15">
        <v>2013</v>
      </c>
      <c r="AS199" s="19" t="s">
        <v>566</v>
      </c>
      <c r="AT199" s="20" t="s">
        <v>567</v>
      </c>
      <c r="AU199" s="40">
        <v>644</v>
      </c>
      <c r="AV199" s="35">
        <f t="shared" si="34"/>
        <v>2.808885867359812</v>
      </c>
      <c r="AW199" s="37" t="s">
        <v>366</v>
      </c>
      <c r="AX199" s="40">
        <v>100</v>
      </c>
      <c r="AY199" s="40">
        <v>900</v>
      </c>
      <c r="AZ199" s="36">
        <v>33</v>
      </c>
      <c r="BA199" s="14">
        <f t="shared" si="35"/>
        <v>1.5185139398778875</v>
      </c>
      <c r="BB199" s="37" t="s">
        <v>388</v>
      </c>
      <c r="BC199" s="20">
        <v>-6.6590636254504464E-3</v>
      </c>
      <c r="BD199" s="9">
        <v>24.6</v>
      </c>
      <c r="BE199" s="9" t="s">
        <v>355</v>
      </c>
      <c r="BF199" s="9"/>
    </row>
    <row r="200" spans="1:58">
      <c r="A200" s="9">
        <v>14</v>
      </c>
      <c r="B200" s="10" t="s">
        <v>76</v>
      </c>
      <c r="C200" s="10" t="s">
        <v>527</v>
      </c>
      <c r="D200" s="20" t="s">
        <v>569</v>
      </c>
      <c r="E200" s="20" t="s">
        <v>570</v>
      </c>
      <c r="F200" s="48" t="s">
        <v>426</v>
      </c>
      <c r="G200" s="20" t="s">
        <v>569</v>
      </c>
      <c r="H200" s="20" t="s">
        <v>570</v>
      </c>
      <c r="I200" s="48" t="s">
        <v>527</v>
      </c>
      <c r="J200" s="20" t="s">
        <v>569</v>
      </c>
      <c r="K200" s="20" t="s">
        <v>570</v>
      </c>
      <c r="L200" s="9" t="s">
        <v>380</v>
      </c>
      <c r="M200" s="9">
        <v>14</v>
      </c>
      <c r="N200" s="9" t="s">
        <v>381</v>
      </c>
      <c r="O200" s="9" t="s">
        <v>382</v>
      </c>
      <c r="P200" s="12">
        <v>44.7</v>
      </c>
      <c r="Q200" s="12" t="s">
        <v>355</v>
      </c>
      <c r="R200" s="9" t="s">
        <v>356</v>
      </c>
      <c r="S200" s="13">
        <v>4</v>
      </c>
      <c r="T200" s="13">
        <v>4</v>
      </c>
      <c r="U200" s="14">
        <f t="shared" si="27"/>
        <v>0.69897000433601886</v>
      </c>
      <c r="V200" s="15">
        <v>20</v>
      </c>
      <c r="W200" s="12"/>
      <c r="X200" s="12">
        <v>1</v>
      </c>
      <c r="Y200" s="13" t="s">
        <v>358</v>
      </c>
      <c r="Z200" s="9" t="s">
        <v>417</v>
      </c>
      <c r="AA200" s="10" t="s">
        <v>418</v>
      </c>
      <c r="AB200" s="9" t="s">
        <v>355</v>
      </c>
      <c r="AC200" s="15">
        <v>102</v>
      </c>
      <c r="AD200" s="14">
        <f t="shared" si="28"/>
        <v>2.0086001717619175</v>
      </c>
      <c r="AE200" s="10" t="s">
        <v>530</v>
      </c>
      <c r="AF200" s="9" t="s">
        <v>420</v>
      </c>
      <c r="AG200" s="18">
        <v>25.316761</v>
      </c>
      <c r="AH200" s="7">
        <f t="shared" si="29"/>
        <v>1</v>
      </c>
      <c r="AI200" s="7">
        <f t="shared" si="30"/>
        <v>0</v>
      </c>
      <c r="AJ200" s="7">
        <f t="shared" si="31"/>
        <v>0</v>
      </c>
      <c r="AK200" s="7">
        <f t="shared" si="32"/>
        <v>0</v>
      </c>
      <c r="AL200" s="7" t="s">
        <v>4159</v>
      </c>
      <c r="AM200" s="18">
        <f t="shared" si="33"/>
        <v>1.4034081417162645</v>
      </c>
      <c r="AN200" s="18">
        <v>-25.316761</v>
      </c>
      <c r="AO200" s="18">
        <v>-59.695506000000002</v>
      </c>
      <c r="AP200" s="9" t="s">
        <v>363</v>
      </c>
      <c r="AQ200" s="9" t="s">
        <v>355</v>
      </c>
      <c r="AR200" s="15">
        <v>2012</v>
      </c>
      <c r="AS200" s="19" t="s">
        <v>520</v>
      </c>
      <c r="AT200" s="20" t="s">
        <v>521</v>
      </c>
      <c r="AU200" s="40">
        <v>285786</v>
      </c>
      <c r="AV200" s="35">
        <f t="shared" si="34"/>
        <v>5.4560409498864777</v>
      </c>
      <c r="AW200" s="37" t="s">
        <v>366</v>
      </c>
      <c r="AX200" s="34" t="s">
        <v>355</v>
      </c>
      <c r="AY200" s="40" t="s">
        <v>355</v>
      </c>
      <c r="AZ200" s="37">
        <v>76.5</v>
      </c>
      <c r="BA200" s="14">
        <f t="shared" si="35"/>
        <v>1.8836614351536176</v>
      </c>
      <c r="BB200" s="37" t="s">
        <v>367</v>
      </c>
      <c r="BC200" s="20">
        <v>1.251420568227286E-2</v>
      </c>
      <c r="BD200" s="9">
        <v>34.6</v>
      </c>
      <c r="BE200" s="9" t="s">
        <v>368</v>
      </c>
      <c r="BF200" s="9">
        <v>0</v>
      </c>
    </row>
    <row r="201" spans="1:58">
      <c r="A201" s="9">
        <v>15</v>
      </c>
      <c r="B201" s="10" t="s">
        <v>76</v>
      </c>
      <c r="C201" s="10" t="s">
        <v>426</v>
      </c>
      <c r="D201" s="20" t="s">
        <v>571</v>
      </c>
      <c r="E201" s="20" t="s">
        <v>572</v>
      </c>
      <c r="F201" s="10" t="s">
        <v>426</v>
      </c>
      <c r="G201" s="20" t="s">
        <v>571</v>
      </c>
      <c r="H201" s="20" t="s">
        <v>572</v>
      </c>
      <c r="I201" s="10" t="s">
        <v>426</v>
      </c>
      <c r="J201" s="20" t="s">
        <v>571</v>
      </c>
      <c r="K201" s="20" t="s">
        <v>572</v>
      </c>
      <c r="L201" s="9" t="s">
        <v>380</v>
      </c>
      <c r="M201" s="9">
        <v>30</v>
      </c>
      <c r="N201" s="9" t="s">
        <v>381</v>
      </c>
      <c r="O201" s="9" t="s">
        <v>382</v>
      </c>
      <c r="P201" s="12">
        <v>43.3</v>
      </c>
      <c r="Q201" s="12" t="s">
        <v>355</v>
      </c>
      <c r="R201" s="9" t="s">
        <v>356</v>
      </c>
      <c r="S201" s="13">
        <v>4</v>
      </c>
      <c r="T201" s="13">
        <v>4</v>
      </c>
      <c r="U201" s="14">
        <f t="shared" si="27"/>
        <v>0.69897000433601886</v>
      </c>
      <c r="V201" s="15">
        <v>20</v>
      </c>
      <c r="W201" s="12"/>
      <c r="X201" s="12">
        <v>1</v>
      </c>
      <c r="Y201" s="13" t="s">
        <v>358</v>
      </c>
      <c r="Z201" s="9" t="s">
        <v>417</v>
      </c>
      <c r="AA201" s="10" t="s">
        <v>418</v>
      </c>
      <c r="AB201" s="9" t="s">
        <v>355</v>
      </c>
      <c r="AC201" s="15">
        <v>102</v>
      </c>
      <c r="AD201" s="14">
        <f t="shared" si="28"/>
        <v>2.0086001717619175</v>
      </c>
      <c r="AE201" s="10" t="s">
        <v>530</v>
      </c>
      <c r="AF201" s="9" t="s">
        <v>420</v>
      </c>
      <c r="AG201" s="18">
        <v>25.316761</v>
      </c>
      <c r="AH201" s="7">
        <f t="shared" si="29"/>
        <v>1</v>
      </c>
      <c r="AI201" s="7">
        <f t="shared" si="30"/>
        <v>0</v>
      </c>
      <c r="AJ201" s="7">
        <f t="shared" si="31"/>
        <v>0</v>
      </c>
      <c r="AK201" s="7">
        <f t="shared" si="32"/>
        <v>0</v>
      </c>
      <c r="AL201" s="7" t="s">
        <v>4159</v>
      </c>
      <c r="AM201" s="18">
        <f t="shared" si="33"/>
        <v>1.4034081417162645</v>
      </c>
      <c r="AN201" s="18">
        <v>-25.316761</v>
      </c>
      <c r="AO201" s="18">
        <v>-59.695506000000002</v>
      </c>
      <c r="AP201" s="9" t="s">
        <v>363</v>
      </c>
      <c r="AQ201" s="9" t="s">
        <v>355</v>
      </c>
      <c r="AR201" s="15">
        <v>2012</v>
      </c>
      <c r="AS201" s="19" t="s">
        <v>520</v>
      </c>
      <c r="AT201" s="20" t="s">
        <v>521</v>
      </c>
      <c r="AU201" s="40">
        <v>1079357</v>
      </c>
      <c r="AV201" s="35">
        <f t="shared" si="34"/>
        <v>6.0331651124185575</v>
      </c>
      <c r="AW201" s="37" t="s">
        <v>366</v>
      </c>
      <c r="AX201" s="34" t="s">
        <v>355</v>
      </c>
      <c r="AY201" s="40">
        <v>800</v>
      </c>
      <c r="AZ201" s="36">
        <v>33</v>
      </c>
      <c r="BA201" s="14">
        <f t="shared" si="35"/>
        <v>1.5185139398778875</v>
      </c>
      <c r="BB201" s="37" t="s">
        <v>388</v>
      </c>
      <c r="BC201" s="20">
        <v>1.251420568227286E-2</v>
      </c>
      <c r="BD201" s="9">
        <v>34.6</v>
      </c>
      <c r="BE201" s="9" t="s">
        <v>368</v>
      </c>
      <c r="BF201" s="9">
        <v>0</v>
      </c>
    </row>
    <row r="202" spans="1:58">
      <c r="A202" s="9">
        <v>16</v>
      </c>
      <c r="B202" s="10" t="s">
        <v>76</v>
      </c>
      <c r="C202" s="10" t="s">
        <v>426</v>
      </c>
      <c r="D202" s="20" t="s">
        <v>571</v>
      </c>
      <c r="E202" s="20" t="s">
        <v>573</v>
      </c>
      <c r="F202" s="10" t="s">
        <v>426</v>
      </c>
      <c r="G202" s="20" t="s">
        <v>571</v>
      </c>
      <c r="H202" s="20" t="s">
        <v>573</v>
      </c>
      <c r="I202" s="10" t="s">
        <v>426</v>
      </c>
      <c r="J202" s="20" t="s">
        <v>571</v>
      </c>
      <c r="K202" s="20" t="s">
        <v>573</v>
      </c>
      <c r="L202" s="9" t="s">
        <v>380</v>
      </c>
      <c r="M202" s="9">
        <v>15</v>
      </c>
      <c r="N202" s="9" t="s">
        <v>381</v>
      </c>
      <c r="O202" s="9" t="s">
        <v>382</v>
      </c>
      <c r="P202" s="12">
        <v>42.5</v>
      </c>
      <c r="Q202" s="12" t="s">
        <v>355</v>
      </c>
      <c r="R202" s="9" t="s">
        <v>356</v>
      </c>
      <c r="S202" s="13">
        <v>4</v>
      </c>
      <c r="T202" s="13">
        <v>4</v>
      </c>
      <c r="U202" s="14">
        <f t="shared" si="27"/>
        <v>0.69897000433601886</v>
      </c>
      <c r="V202" s="15">
        <v>20</v>
      </c>
      <c r="W202" s="12"/>
      <c r="X202" s="12">
        <v>1</v>
      </c>
      <c r="Y202" s="13" t="s">
        <v>358</v>
      </c>
      <c r="Z202" s="9" t="s">
        <v>417</v>
      </c>
      <c r="AA202" s="10" t="s">
        <v>418</v>
      </c>
      <c r="AB202" s="9" t="s">
        <v>355</v>
      </c>
      <c r="AC202" s="15">
        <v>102</v>
      </c>
      <c r="AD202" s="14">
        <f t="shared" si="28"/>
        <v>2.0086001717619175</v>
      </c>
      <c r="AE202" s="10" t="s">
        <v>530</v>
      </c>
      <c r="AF202" s="9" t="s">
        <v>420</v>
      </c>
      <c r="AG202" s="18">
        <v>25.316761</v>
      </c>
      <c r="AH202" s="7">
        <f t="shared" si="29"/>
        <v>1</v>
      </c>
      <c r="AI202" s="7">
        <f t="shared" si="30"/>
        <v>0</v>
      </c>
      <c r="AJ202" s="7">
        <f t="shared" si="31"/>
        <v>0</v>
      </c>
      <c r="AK202" s="7">
        <f t="shared" si="32"/>
        <v>0</v>
      </c>
      <c r="AL202" s="7" t="s">
        <v>4159</v>
      </c>
      <c r="AM202" s="18">
        <f t="shared" si="33"/>
        <v>1.4034081417162645</v>
      </c>
      <c r="AN202" s="18">
        <v>-25.316761</v>
      </c>
      <c r="AO202" s="18">
        <v>-59.695506000000002</v>
      </c>
      <c r="AP202" s="9" t="s">
        <v>363</v>
      </c>
      <c r="AQ202" s="9" t="s">
        <v>355</v>
      </c>
      <c r="AR202" s="15">
        <v>2012</v>
      </c>
      <c r="AS202" s="19" t="s">
        <v>520</v>
      </c>
      <c r="AT202" s="20" t="s">
        <v>521</v>
      </c>
      <c r="AU202" s="40">
        <v>1825918</v>
      </c>
      <c r="AV202" s="35">
        <f t="shared" si="34"/>
        <v>6.2614812699413491</v>
      </c>
      <c r="AW202" s="37" t="s">
        <v>366</v>
      </c>
      <c r="AX202" s="34" t="s">
        <v>355</v>
      </c>
      <c r="AY202" s="40">
        <v>600</v>
      </c>
      <c r="AZ202" s="36">
        <v>33</v>
      </c>
      <c r="BA202" s="14">
        <f t="shared" si="35"/>
        <v>1.5185139398778875</v>
      </c>
      <c r="BB202" s="37" t="s">
        <v>388</v>
      </c>
      <c r="BC202" s="20">
        <v>1.251420568227286E-2</v>
      </c>
      <c r="BD202" s="9">
        <v>34.6</v>
      </c>
      <c r="BE202" s="9" t="s">
        <v>368</v>
      </c>
      <c r="BF202" s="9">
        <v>0</v>
      </c>
    </row>
    <row r="203" spans="1:58">
      <c r="A203" s="9">
        <v>29</v>
      </c>
      <c r="B203" s="10" t="s">
        <v>76</v>
      </c>
      <c r="C203" s="10" t="s">
        <v>426</v>
      </c>
      <c r="D203" s="20" t="s">
        <v>571</v>
      </c>
      <c r="E203" s="20" t="s">
        <v>574</v>
      </c>
      <c r="F203" s="10" t="s">
        <v>426</v>
      </c>
      <c r="G203" s="20" t="s">
        <v>571</v>
      </c>
      <c r="H203" s="20" t="s">
        <v>575</v>
      </c>
      <c r="I203" s="10" t="s">
        <v>426</v>
      </c>
      <c r="J203" s="20" t="s">
        <v>571</v>
      </c>
      <c r="K203" s="20" t="s">
        <v>574</v>
      </c>
      <c r="L203" s="9" t="s">
        <v>380</v>
      </c>
      <c r="M203" s="9">
        <v>17</v>
      </c>
      <c r="N203" s="9" t="s">
        <v>381</v>
      </c>
      <c r="O203" s="9" t="s">
        <v>382</v>
      </c>
      <c r="P203" s="12">
        <v>41.4</v>
      </c>
      <c r="Q203" s="12" t="s">
        <v>355</v>
      </c>
      <c r="R203" s="9" t="s">
        <v>356</v>
      </c>
      <c r="S203" s="13">
        <v>4</v>
      </c>
      <c r="T203" s="13">
        <v>4</v>
      </c>
      <c r="U203" s="14">
        <f t="shared" si="27"/>
        <v>0.69897000433601886</v>
      </c>
      <c r="V203" s="15">
        <v>20</v>
      </c>
      <c r="W203" s="12"/>
      <c r="X203" s="12">
        <v>1</v>
      </c>
      <c r="Y203" s="13" t="s">
        <v>358</v>
      </c>
      <c r="Z203" s="9" t="s">
        <v>417</v>
      </c>
      <c r="AA203" s="10" t="s">
        <v>418</v>
      </c>
      <c r="AB203" s="9" t="s">
        <v>355</v>
      </c>
      <c r="AC203" s="15">
        <v>312</v>
      </c>
      <c r="AD203" s="14">
        <f t="shared" si="28"/>
        <v>2.4941545940184429</v>
      </c>
      <c r="AE203" s="10" t="s">
        <v>534</v>
      </c>
      <c r="AF203" s="9" t="s">
        <v>420</v>
      </c>
      <c r="AG203" s="18">
        <v>27.087367</v>
      </c>
      <c r="AH203" s="7">
        <f t="shared" si="29"/>
        <v>1</v>
      </c>
      <c r="AI203" s="7">
        <f t="shared" si="30"/>
        <v>0</v>
      </c>
      <c r="AJ203" s="7">
        <f t="shared" si="31"/>
        <v>0</v>
      </c>
      <c r="AK203" s="7">
        <f t="shared" si="32"/>
        <v>0</v>
      </c>
      <c r="AL203" s="7" t="s">
        <v>4159</v>
      </c>
      <c r="AM203" s="18">
        <f t="shared" si="33"/>
        <v>1.4327667919307208</v>
      </c>
      <c r="AN203" s="18">
        <v>-27.087367</v>
      </c>
      <c r="AO203" s="18">
        <v>-54.950392000000001</v>
      </c>
      <c r="AP203" s="9" t="s">
        <v>363</v>
      </c>
      <c r="AQ203" s="9" t="s">
        <v>355</v>
      </c>
      <c r="AR203" s="15">
        <v>2012</v>
      </c>
      <c r="AS203" s="19" t="s">
        <v>520</v>
      </c>
      <c r="AT203" s="20" t="s">
        <v>521</v>
      </c>
      <c r="AU203" s="40">
        <v>10969040</v>
      </c>
      <c r="AV203" s="35">
        <f t="shared" si="34"/>
        <v>7.0401686201958205</v>
      </c>
      <c r="AW203" s="37" t="s">
        <v>366</v>
      </c>
      <c r="AX203" s="34" t="s">
        <v>355</v>
      </c>
      <c r="AY203" s="40">
        <v>1400</v>
      </c>
      <c r="AZ203" s="36">
        <v>55</v>
      </c>
      <c r="BA203" s="14">
        <f t="shared" si="35"/>
        <v>1.7403626894942439</v>
      </c>
      <c r="BB203" s="37" t="s">
        <v>388</v>
      </c>
      <c r="BC203" s="20">
        <v>2.8247298919569274E-3</v>
      </c>
      <c r="BD203" s="9">
        <v>31.200000000000003</v>
      </c>
      <c r="BE203" s="9" t="s">
        <v>368</v>
      </c>
      <c r="BF203" s="9">
        <v>0</v>
      </c>
    </row>
    <row r="204" spans="1:58">
      <c r="A204" s="9">
        <v>17</v>
      </c>
      <c r="B204" s="10" t="s">
        <v>76</v>
      </c>
      <c r="C204" s="10" t="s">
        <v>426</v>
      </c>
      <c r="D204" s="20" t="s">
        <v>571</v>
      </c>
      <c r="E204" s="20" t="s">
        <v>576</v>
      </c>
      <c r="F204" s="10" t="s">
        <v>426</v>
      </c>
      <c r="G204" s="20" t="s">
        <v>571</v>
      </c>
      <c r="H204" s="20" t="s">
        <v>576</v>
      </c>
      <c r="I204" s="10" t="s">
        <v>426</v>
      </c>
      <c r="J204" s="20" t="s">
        <v>571</v>
      </c>
      <c r="K204" s="20" t="s">
        <v>576</v>
      </c>
      <c r="L204" s="9" t="s">
        <v>380</v>
      </c>
      <c r="M204" s="9">
        <v>7</v>
      </c>
      <c r="N204" s="9" t="s">
        <v>353</v>
      </c>
      <c r="O204" s="9" t="s">
        <v>382</v>
      </c>
      <c r="P204" s="12">
        <v>43.3</v>
      </c>
      <c r="Q204" s="12" t="s">
        <v>355</v>
      </c>
      <c r="R204" s="9" t="s">
        <v>356</v>
      </c>
      <c r="S204" s="13">
        <v>4</v>
      </c>
      <c r="T204" s="13">
        <v>4</v>
      </c>
      <c r="U204" s="14">
        <f t="shared" si="27"/>
        <v>0.69897000433601886</v>
      </c>
      <c r="V204" s="15">
        <v>20</v>
      </c>
      <c r="W204" s="12"/>
      <c r="X204" s="12">
        <v>1</v>
      </c>
      <c r="Y204" s="13" t="s">
        <v>358</v>
      </c>
      <c r="Z204" s="9" t="s">
        <v>417</v>
      </c>
      <c r="AA204" s="10" t="s">
        <v>418</v>
      </c>
      <c r="AB204" s="9" t="s">
        <v>355</v>
      </c>
      <c r="AC204" s="15">
        <v>102</v>
      </c>
      <c r="AD204" s="14">
        <f t="shared" si="28"/>
        <v>2.0086001717619175</v>
      </c>
      <c r="AE204" s="10" t="s">
        <v>530</v>
      </c>
      <c r="AF204" s="9" t="s">
        <v>420</v>
      </c>
      <c r="AG204" s="18">
        <v>25.316761</v>
      </c>
      <c r="AH204" s="7">
        <f t="shared" si="29"/>
        <v>1</v>
      </c>
      <c r="AI204" s="7">
        <f t="shared" si="30"/>
        <v>0</v>
      </c>
      <c r="AJ204" s="7">
        <f t="shared" si="31"/>
        <v>0</v>
      </c>
      <c r="AK204" s="7">
        <f t="shared" si="32"/>
        <v>0</v>
      </c>
      <c r="AL204" s="7" t="s">
        <v>4159</v>
      </c>
      <c r="AM204" s="18">
        <f t="shared" si="33"/>
        <v>1.4034081417162645</v>
      </c>
      <c r="AN204" s="18">
        <v>-25.316761</v>
      </c>
      <c r="AO204" s="18">
        <v>-59.695506000000002</v>
      </c>
      <c r="AP204" s="9" t="s">
        <v>363</v>
      </c>
      <c r="AQ204" s="9" t="s">
        <v>355</v>
      </c>
      <c r="AR204" s="15">
        <v>2012</v>
      </c>
      <c r="AS204" s="19" t="s">
        <v>520</v>
      </c>
      <c r="AT204" s="20" t="s">
        <v>521</v>
      </c>
      <c r="AU204" s="40">
        <v>3884522</v>
      </c>
      <c r="AV204" s="35">
        <f t="shared" si="34"/>
        <v>6.5893375854189857</v>
      </c>
      <c r="AW204" s="37" t="s">
        <v>366</v>
      </c>
      <c r="AX204" s="34" t="s">
        <v>355</v>
      </c>
      <c r="AY204" s="40">
        <v>1000</v>
      </c>
      <c r="AZ204" s="36">
        <v>55</v>
      </c>
      <c r="BA204" s="14">
        <f t="shared" si="35"/>
        <v>1.7403626894942439</v>
      </c>
      <c r="BB204" s="37" t="s">
        <v>388</v>
      </c>
      <c r="BC204" s="20">
        <v>1.251420568227286E-2</v>
      </c>
      <c r="BD204" s="9">
        <v>34.6</v>
      </c>
      <c r="BE204" s="9" t="s">
        <v>368</v>
      </c>
      <c r="BF204" s="9">
        <v>0</v>
      </c>
    </row>
    <row r="205" spans="1:58">
      <c r="A205" s="9">
        <v>30</v>
      </c>
      <c r="B205" s="10" t="s">
        <v>76</v>
      </c>
      <c r="C205" s="10" t="s">
        <v>577</v>
      </c>
      <c r="D205" s="20" t="s">
        <v>578</v>
      </c>
      <c r="E205" s="20" t="s">
        <v>579</v>
      </c>
      <c r="F205" s="20" t="s">
        <v>426</v>
      </c>
      <c r="G205" s="20" t="s">
        <v>578</v>
      </c>
      <c r="H205" s="20" t="s">
        <v>579</v>
      </c>
      <c r="I205" s="20" t="s">
        <v>577</v>
      </c>
      <c r="J205" s="20" t="s">
        <v>578</v>
      </c>
      <c r="K205" s="20" t="s">
        <v>579</v>
      </c>
      <c r="L205" s="9" t="s">
        <v>380</v>
      </c>
      <c r="M205" s="9">
        <v>15</v>
      </c>
      <c r="N205" s="9" t="s">
        <v>381</v>
      </c>
      <c r="O205" s="9" t="s">
        <v>382</v>
      </c>
      <c r="P205" s="12">
        <v>39.9</v>
      </c>
      <c r="Q205" s="12" t="s">
        <v>355</v>
      </c>
      <c r="R205" s="9" t="s">
        <v>356</v>
      </c>
      <c r="S205" s="13">
        <v>4</v>
      </c>
      <c r="T205" s="13">
        <v>4</v>
      </c>
      <c r="U205" s="14">
        <f t="shared" si="27"/>
        <v>0.69897000433601886</v>
      </c>
      <c r="V205" s="15">
        <v>20</v>
      </c>
      <c r="W205" s="12"/>
      <c r="X205" s="12">
        <v>1</v>
      </c>
      <c r="Y205" s="13" t="s">
        <v>358</v>
      </c>
      <c r="Z205" s="9" t="s">
        <v>417</v>
      </c>
      <c r="AA205" s="10" t="s">
        <v>418</v>
      </c>
      <c r="AB205" s="9" t="s">
        <v>355</v>
      </c>
      <c r="AC205" s="15">
        <v>312</v>
      </c>
      <c r="AD205" s="14">
        <f t="shared" si="28"/>
        <v>2.4941545940184429</v>
      </c>
      <c r="AE205" s="10" t="s">
        <v>534</v>
      </c>
      <c r="AF205" s="9" t="s">
        <v>420</v>
      </c>
      <c r="AG205" s="18">
        <v>27.087367</v>
      </c>
      <c r="AH205" s="7">
        <f t="shared" si="29"/>
        <v>1</v>
      </c>
      <c r="AI205" s="7">
        <f t="shared" si="30"/>
        <v>0</v>
      </c>
      <c r="AJ205" s="7">
        <f t="shared" si="31"/>
        <v>0</v>
      </c>
      <c r="AK205" s="7">
        <f t="shared" si="32"/>
        <v>0</v>
      </c>
      <c r="AL205" s="7" t="s">
        <v>4159</v>
      </c>
      <c r="AM205" s="18">
        <f t="shared" si="33"/>
        <v>1.4327667919307208</v>
      </c>
      <c r="AN205" s="18">
        <v>-27.087367</v>
      </c>
      <c r="AO205" s="18">
        <v>-54.950392000000001</v>
      </c>
      <c r="AP205" s="9" t="s">
        <v>363</v>
      </c>
      <c r="AQ205" s="9" t="s">
        <v>355</v>
      </c>
      <c r="AR205" s="15">
        <v>2012</v>
      </c>
      <c r="AS205" s="19" t="s">
        <v>520</v>
      </c>
      <c r="AT205" s="20" t="s">
        <v>521</v>
      </c>
      <c r="AU205" s="40">
        <v>468708</v>
      </c>
      <c r="AV205" s="35">
        <f t="shared" si="34"/>
        <v>5.6709023662067999</v>
      </c>
      <c r="AW205" s="37" t="s">
        <v>366</v>
      </c>
      <c r="AX205" s="34" t="s">
        <v>355</v>
      </c>
      <c r="AY205" s="40">
        <v>1200</v>
      </c>
      <c r="AZ205" s="37">
        <v>49.8</v>
      </c>
      <c r="BA205" s="14">
        <f t="shared" si="35"/>
        <v>1.6972293427597176</v>
      </c>
      <c r="BB205" s="37" t="s">
        <v>388</v>
      </c>
      <c r="BC205" s="20">
        <v>2.8247298919569274E-3</v>
      </c>
      <c r="BD205" s="9">
        <v>31.200000000000003</v>
      </c>
      <c r="BE205" s="9" t="s">
        <v>368</v>
      </c>
      <c r="BF205" s="9">
        <v>0</v>
      </c>
    </row>
    <row r="206" spans="1:58">
      <c r="A206" s="9">
        <v>961</v>
      </c>
      <c r="B206" s="10" t="s">
        <v>76</v>
      </c>
      <c r="C206" s="10" t="s">
        <v>369</v>
      </c>
      <c r="D206" s="20" t="s">
        <v>555</v>
      </c>
      <c r="E206" s="20" t="s">
        <v>580</v>
      </c>
      <c r="F206" s="10" t="s">
        <v>369</v>
      </c>
      <c r="G206" s="20" t="s">
        <v>581</v>
      </c>
      <c r="H206" s="20" t="s">
        <v>580</v>
      </c>
      <c r="I206" s="10" t="s">
        <v>582</v>
      </c>
      <c r="J206" s="20" t="s">
        <v>581</v>
      </c>
      <c r="K206" s="20" t="s">
        <v>580</v>
      </c>
      <c r="L206" s="9" t="s">
        <v>352</v>
      </c>
      <c r="M206" s="9">
        <v>10</v>
      </c>
      <c r="N206" s="9" t="s">
        <v>355</v>
      </c>
      <c r="O206" s="9" t="s">
        <v>558</v>
      </c>
      <c r="P206" s="12">
        <v>35.9</v>
      </c>
      <c r="Q206" s="12" t="s">
        <v>355</v>
      </c>
      <c r="R206" s="9" t="s">
        <v>356</v>
      </c>
      <c r="S206" s="13" t="s">
        <v>524</v>
      </c>
      <c r="T206" s="13" t="s">
        <v>524</v>
      </c>
      <c r="U206" s="14">
        <f t="shared" si="27"/>
        <v>0.69897000433601886</v>
      </c>
      <c r="V206" s="15">
        <v>22</v>
      </c>
      <c r="W206" s="12">
        <v>10.9250744</v>
      </c>
      <c r="X206" s="12">
        <v>0.5</v>
      </c>
      <c r="Y206" s="13" t="s">
        <v>355</v>
      </c>
      <c r="Z206" s="9" t="s">
        <v>417</v>
      </c>
      <c r="AA206" s="10" t="s">
        <v>418</v>
      </c>
      <c r="AB206" s="9" t="s">
        <v>355</v>
      </c>
      <c r="AC206" s="15">
        <v>1100</v>
      </c>
      <c r="AD206" s="14">
        <f t="shared" si="28"/>
        <v>3.0413926851582249</v>
      </c>
      <c r="AE206" s="10" t="s">
        <v>559</v>
      </c>
      <c r="AF206" s="9" t="s">
        <v>408</v>
      </c>
      <c r="AG206" s="18">
        <v>14.067500000000001</v>
      </c>
      <c r="AH206" s="7">
        <f t="shared" si="29"/>
        <v>0</v>
      </c>
      <c r="AI206" s="7">
        <f t="shared" si="30"/>
        <v>0</v>
      </c>
      <c r="AJ206" s="7">
        <f t="shared" si="31"/>
        <v>0</v>
      </c>
      <c r="AK206" s="7">
        <f t="shared" si="32"/>
        <v>0</v>
      </c>
      <c r="AL206" s="7" t="s">
        <v>4160</v>
      </c>
      <c r="AM206" s="18">
        <f t="shared" si="33"/>
        <v>1.1482169238260302</v>
      </c>
      <c r="AN206" s="18">
        <v>14.067500000000001</v>
      </c>
      <c r="AO206" s="18">
        <v>121.49250000000001</v>
      </c>
      <c r="AP206" s="9" t="s">
        <v>363</v>
      </c>
      <c r="AQ206" s="9" t="s">
        <v>355</v>
      </c>
      <c r="AR206" s="15">
        <v>2013</v>
      </c>
      <c r="AS206" s="19" t="s">
        <v>560</v>
      </c>
      <c r="AT206" s="20" t="s">
        <v>561</v>
      </c>
      <c r="AU206" s="40">
        <v>14743</v>
      </c>
      <c r="AV206" s="35">
        <f t="shared" si="34"/>
        <v>4.1685858655364099</v>
      </c>
      <c r="AW206" s="37" t="s">
        <v>366</v>
      </c>
      <c r="AX206" s="34" t="s">
        <v>355</v>
      </c>
      <c r="AY206" s="40" t="s">
        <v>355</v>
      </c>
      <c r="AZ206" s="15">
        <v>113</v>
      </c>
      <c r="BA206" s="14">
        <f t="shared" si="35"/>
        <v>2.0530784434834195</v>
      </c>
      <c r="BB206" s="41" t="s">
        <v>343</v>
      </c>
      <c r="BC206" s="20">
        <v>-6.6590636254504464E-3</v>
      </c>
      <c r="BD206" s="9">
        <v>24.6</v>
      </c>
      <c r="BE206" s="9" t="s">
        <v>368</v>
      </c>
      <c r="BF206" s="9">
        <v>0</v>
      </c>
    </row>
    <row r="207" spans="1:58">
      <c r="A207" s="9">
        <v>700</v>
      </c>
      <c r="B207" s="10" t="s">
        <v>76</v>
      </c>
      <c r="C207" s="10" t="s">
        <v>369</v>
      </c>
      <c r="D207" s="20" t="s">
        <v>370</v>
      </c>
      <c r="E207" s="20" t="s">
        <v>397</v>
      </c>
      <c r="F207" s="10" t="s">
        <v>369</v>
      </c>
      <c r="G207" s="20" t="s">
        <v>370</v>
      </c>
      <c r="H207" s="20" t="s">
        <v>397</v>
      </c>
      <c r="I207" s="10" t="s">
        <v>369</v>
      </c>
      <c r="J207" s="20" t="s">
        <v>398</v>
      </c>
      <c r="K207" s="20" t="s">
        <v>397</v>
      </c>
      <c r="L207" s="9" t="s">
        <v>430</v>
      </c>
      <c r="M207" s="9">
        <v>8</v>
      </c>
      <c r="N207" s="9" t="s">
        <v>353</v>
      </c>
      <c r="O207" s="9" t="s">
        <v>354</v>
      </c>
      <c r="P207" s="12">
        <v>36.677300000000002</v>
      </c>
      <c r="Q207" s="12" t="s">
        <v>355</v>
      </c>
      <c r="R207" s="9" t="s">
        <v>356</v>
      </c>
      <c r="S207" s="13" t="s">
        <v>524</v>
      </c>
      <c r="T207" s="13" t="s">
        <v>524</v>
      </c>
      <c r="U207" s="14">
        <f t="shared" si="27"/>
        <v>0.69897000433601886</v>
      </c>
      <c r="V207" s="15">
        <v>5</v>
      </c>
      <c r="W207" s="12">
        <v>9.8860581000000032</v>
      </c>
      <c r="X207" s="12">
        <v>1</v>
      </c>
      <c r="Y207" s="13" t="s">
        <v>401</v>
      </c>
      <c r="Z207" s="9" t="s">
        <v>359</v>
      </c>
      <c r="AA207" s="10" t="s">
        <v>372</v>
      </c>
      <c r="AB207" s="9" t="s">
        <v>355</v>
      </c>
      <c r="AC207" s="15">
        <v>263</v>
      </c>
      <c r="AD207" s="14">
        <f t="shared" si="28"/>
        <v>2.419955748489758</v>
      </c>
      <c r="AE207" s="10" t="s">
        <v>583</v>
      </c>
      <c r="AF207" s="9" t="s">
        <v>362</v>
      </c>
      <c r="AG207" s="18">
        <v>39.506996999999998</v>
      </c>
      <c r="AH207" s="7">
        <f t="shared" si="29"/>
        <v>1</v>
      </c>
      <c r="AI207" s="7">
        <f t="shared" si="30"/>
        <v>1</v>
      </c>
      <c r="AJ207" s="7">
        <f t="shared" si="31"/>
        <v>0</v>
      </c>
      <c r="AK207" s="7">
        <f t="shared" si="32"/>
        <v>0</v>
      </c>
      <c r="AL207" s="7" t="s">
        <v>4157</v>
      </c>
      <c r="AM207" s="18">
        <f t="shared" si="33"/>
        <v>1.5966740194082316</v>
      </c>
      <c r="AN207" s="18">
        <v>39.506996999999998</v>
      </c>
      <c r="AO207" s="18">
        <v>-84.745231000000004</v>
      </c>
      <c r="AP207" s="9" t="s">
        <v>363</v>
      </c>
      <c r="AQ207" s="9" t="s">
        <v>355</v>
      </c>
      <c r="AR207" s="15">
        <v>1977</v>
      </c>
      <c r="AS207" s="19" t="s">
        <v>584</v>
      </c>
      <c r="AT207" s="20" t="s">
        <v>585</v>
      </c>
      <c r="AU207" s="34">
        <v>6914656</v>
      </c>
      <c r="AV207" s="35">
        <f t="shared" si="34"/>
        <v>6.8397705790920504</v>
      </c>
      <c r="AW207" s="37" t="s">
        <v>338</v>
      </c>
      <c r="AX207" s="34" t="s">
        <v>355</v>
      </c>
      <c r="AY207" s="40" t="s">
        <v>355</v>
      </c>
      <c r="AZ207" s="15">
        <v>146</v>
      </c>
      <c r="BA207" s="14">
        <f t="shared" si="35"/>
        <v>2.1643528557844371</v>
      </c>
      <c r="BB207" s="37" t="s">
        <v>388</v>
      </c>
      <c r="BC207" s="20">
        <v>3.4313725490200848E-3</v>
      </c>
      <c r="BD207" s="9">
        <v>29.900000000000002</v>
      </c>
      <c r="BE207" s="9" t="s">
        <v>368</v>
      </c>
      <c r="BF207" s="9">
        <v>0</v>
      </c>
    </row>
    <row r="208" spans="1:58">
      <c r="A208" s="9">
        <v>701</v>
      </c>
      <c r="B208" s="10" t="s">
        <v>76</v>
      </c>
      <c r="C208" s="10" t="s">
        <v>369</v>
      </c>
      <c r="D208" s="20" t="s">
        <v>370</v>
      </c>
      <c r="E208" s="20" t="s">
        <v>397</v>
      </c>
      <c r="F208" s="10" t="s">
        <v>369</v>
      </c>
      <c r="G208" s="20" t="s">
        <v>370</v>
      </c>
      <c r="H208" s="20" t="s">
        <v>397</v>
      </c>
      <c r="I208" s="10" t="s">
        <v>369</v>
      </c>
      <c r="J208" s="20" t="s">
        <v>398</v>
      </c>
      <c r="K208" s="20" t="s">
        <v>397</v>
      </c>
      <c r="L208" s="9" t="s">
        <v>430</v>
      </c>
      <c r="M208" s="9">
        <v>9</v>
      </c>
      <c r="N208" s="9" t="s">
        <v>353</v>
      </c>
      <c r="O208" s="9" t="s">
        <v>354</v>
      </c>
      <c r="P208" s="12">
        <v>37.646362000000003</v>
      </c>
      <c r="Q208" s="12" t="s">
        <v>355</v>
      </c>
      <c r="R208" s="9" t="s">
        <v>356</v>
      </c>
      <c r="S208" s="13" t="s">
        <v>524</v>
      </c>
      <c r="T208" s="13" t="s">
        <v>524</v>
      </c>
      <c r="U208" s="14">
        <f t="shared" si="27"/>
        <v>0.69897000433601886</v>
      </c>
      <c r="V208" s="15">
        <v>15</v>
      </c>
      <c r="W208" s="12">
        <v>9.2929301000000031</v>
      </c>
      <c r="X208" s="12">
        <v>1</v>
      </c>
      <c r="Y208" s="13" t="s">
        <v>401</v>
      </c>
      <c r="Z208" s="9" t="s">
        <v>359</v>
      </c>
      <c r="AA208" s="10" t="s">
        <v>372</v>
      </c>
      <c r="AB208" s="9" t="s">
        <v>355</v>
      </c>
      <c r="AC208" s="15">
        <v>263</v>
      </c>
      <c r="AD208" s="14">
        <f t="shared" si="28"/>
        <v>2.419955748489758</v>
      </c>
      <c r="AE208" s="10" t="s">
        <v>583</v>
      </c>
      <c r="AF208" s="9" t="s">
        <v>362</v>
      </c>
      <c r="AG208" s="18">
        <v>39.506996999999998</v>
      </c>
      <c r="AH208" s="7">
        <f t="shared" si="29"/>
        <v>1</v>
      </c>
      <c r="AI208" s="7">
        <f t="shared" si="30"/>
        <v>1</v>
      </c>
      <c r="AJ208" s="7">
        <f t="shared" si="31"/>
        <v>0</v>
      </c>
      <c r="AK208" s="7">
        <f t="shared" si="32"/>
        <v>0</v>
      </c>
      <c r="AL208" s="7" t="s">
        <v>4157</v>
      </c>
      <c r="AM208" s="18">
        <f t="shared" si="33"/>
        <v>1.5966740194082316</v>
      </c>
      <c r="AN208" s="18">
        <v>39.506996999999998</v>
      </c>
      <c r="AO208" s="18">
        <v>-84.745231000000004</v>
      </c>
      <c r="AP208" s="9" t="s">
        <v>363</v>
      </c>
      <c r="AQ208" s="9" t="s">
        <v>355</v>
      </c>
      <c r="AR208" s="15">
        <v>1977</v>
      </c>
      <c r="AS208" s="19" t="s">
        <v>584</v>
      </c>
      <c r="AT208" s="20" t="s">
        <v>585</v>
      </c>
      <c r="AU208" s="34">
        <v>6914656</v>
      </c>
      <c r="AV208" s="35">
        <f t="shared" si="34"/>
        <v>6.8397705790920504</v>
      </c>
      <c r="AW208" s="37" t="s">
        <v>338</v>
      </c>
      <c r="AX208" s="34" t="s">
        <v>355</v>
      </c>
      <c r="AY208" s="40" t="s">
        <v>355</v>
      </c>
      <c r="AZ208" s="15">
        <v>146</v>
      </c>
      <c r="BA208" s="14">
        <f t="shared" si="35"/>
        <v>2.1643528557844371</v>
      </c>
      <c r="BB208" s="37" t="s">
        <v>388</v>
      </c>
      <c r="BC208" s="20">
        <v>3.4313725490200848E-3</v>
      </c>
      <c r="BD208" s="9">
        <v>29.900000000000002</v>
      </c>
      <c r="BE208" s="9" t="s">
        <v>368</v>
      </c>
      <c r="BF208" s="9">
        <v>0</v>
      </c>
    </row>
    <row r="209" spans="1:58">
      <c r="A209" s="9">
        <v>702</v>
      </c>
      <c r="B209" s="10" t="s">
        <v>76</v>
      </c>
      <c r="C209" s="10" t="s">
        <v>369</v>
      </c>
      <c r="D209" s="20" t="s">
        <v>370</v>
      </c>
      <c r="E209" s="20" t="s">
        <v>397</v>
      </c>
      <c r="F209" s="10" t="s">
        <v>369</v>
      </c>
      <c r="G209" s="20" t="s">
        <v>370</v>
      </c>
      <c r="H209" s="20" t="s">
        <v>397</v>
      </c>
      <c r="I209" s="10" t="s">
        <v>369</v>
      </c>
      <c r="J209" s="20" t="s">
        <v>398</v>
      </c>
      <c r="K209" s="20" t="s">
        <v>397</v>
      </c>
      <c r="L209" s="9" t="s">
        <v>430</v>
      </c>
      <c r="M209" s="9">
        <v>8</v>
      </c>
      <c r="N209" s="9" t="s">
        <v>353</v>
      </c>
      <c r="O209" s="9" t="s">
        <v>354</v>
      </c>
      <c r="P209" s="12">
        <v>38.054671999999997</v>
      </c>
      <c r="Q209" s="12" t="s">
        <v>355</v>
      </c>
      <c r="R209" s="9" t="s">
        <v>356</v>
      </c>
      <c r="S209" s="13" t="s">
        <v>524</v>
      </c>
      <c r="T209" s="13" t="s">
        <v>524</v>
      </c>
      <c r="U209" s="14">
        <f t="shared" si="27"/>
        <v>0.69897000433601886</v>
      </c>
      <c r="V209" s="15">
        <v>25</v>
      </c>
      <c r="W209" s="12">
        <v>8.1390500999999951</v>
      </c>
      <c r="X209" s="12">
        <v>1</v>
      </c>
      <c r="Y209" s="13" t="s">
        <v>401</v>
      </c>
      <c r="Z209" s="9" t="s">
        <v>359</v>
      </c>
      <c r="AA209" s="10" t="s">
        <v>372</v>
      </c>
      <c r="AB209" s="9" t="s">
        <v>355</v>
      </c>
      <c r="AC209" s="15">
        <v>263</v>
      </c>
      <c r="AD209" s="14">
        <f t="shared" si="28"/>
        <v>2.419955748489758</v>
      </c>
      <c r="AE209" s="10" t="s">
        <v>583</v>
      </c>
      <c r="AF209" s="9" t="s">
        <v>362</v>
      </c>
      <c r="AG209" s="18">
        <v>39.506996999999998</v>
      </c>
      <c r="AH209" s="7">
        <f t="shared" si="29"/>
        <v>1</v>
      </c>
      <c r="AI209" s="7">
        <f t="shared" si="30"/>
        <v>1</v>
      </c>
      <c r="AJ209" s="7">
        <f t="shared" si="31"/>
        <v>0</v>
      </c>
      <c r="AK209" s="7">
        <f t="shared" si="32"/>
        <v>0</v>
      </c>
      <c r="AL209" s="7" t="s">
        <v>4157</v>
      </c>
      <c r="AM209" s="18">
        <f t="shared" si="33"/>
        <v>1.5966740194082316</v>
      </c>
      <c r="AN209" s="18">
        <v>39.506996999999998</v>
      </c>
      <c r="AO209" s="18">
        <v>-84.745231000000004</v>
      </c>
      <c r="AP209" s="9" t="s">
        <v>363</v>
      </c>
      <c r="AQ209" s="9" t="s">
        <v>355</v>
      </c>
      <c r="AR209" s="15">
        <v>1977</v>
      </c>
      <c r="AS209" s="19" t="s">
        <v>584</v>
      </c>
      <c r="AT209" s="20" t="s">
        <v>585</v>
      </c>
      <c r="AU209" s="34">
        <v>6914656</v>
      </c>
      <c r="AV209" s="35">
        <f t="shared" si="34"/>
        <v>6.8397705790920504</v>
      </c>
      <c r="AW209" s="37" t="s">
        <v>338</v>
      </c>
      <c r="AX209" s="34" t="s">
        <v>355</v>
      </c>
      <c r="AY209" s="40" t="s">
        <v>355</v>
      </c>
      <c r="AZ209" s="15">
        <v>146</v>
      </c>
      <c r="BA209" s="14">
        <f t="shared" si="35"/>
        <v>2.1643528557844371</v>
      </c>
      <c r="BB209" s="37" t="s">
        <v>388</v>
      </c>
      <c r="BC209" s="20">
        <v>3.4313725490200848E-3</v>
      </c>
      <c r="BD209" s="9">
        <v>29.900000000000002</v>
      </c>
      <c r="BE209" s="9" t="s">
        <v>368</v>
      </c>
      <c r="BF209" s="9">
        <v>0</v>
      </c>
    </row>
    <row r="210" spans="1:58">
      <c r="A210" s="9">
        <v>440</v>
      </c>
      <c r="B210" s="10" t="s">
        <v>76</v>
      </c>
      <c r="C210" s="10" t="s">
        <v>369</v>
      </c>
      <c r="D210" s="20" t="s">
        <v>370</v>
      </c>
      <c r="E210" s="20" t="s">
        <v>485</v>
      </c>
      <c r="F210" s="10" t="s">
        <v>369</v>
      </c>
      <c r="G210" s="20" t="s">
        <v>370</v>
      </c>
      <c r="H210" s="20" t="s">
        <v>485</v>
      </c>
      <c r="I210" s="10" t="s">
        <v>369</v>
      </c>
      <c r="J210" s="20" t="s">
        <v>398</v>
      </c>
      <c r="K210" s="20" t="s">
        <v>486</v>
      </c>
      <c r="L210" s="9" t="s">
        <v>380</v>
      </c>
      <c r="M210" s="9">
        <v>10</v>
      </c>
      <c r="N210" s="9" t="s">
        <v>381</v>
      </c>
      <c r="O210" s="9" t="s">
        <v>382</v>
      </c>
      <c r="P210" s="12">
        <v>36.418599999999998</v>
      </c>
      <c r="Q210" s="12" t="s">
        <v>355</v>
      </c>
      <c r="R210" s="9" t="s">
        <v>356</v>
      </c>
      <c r="S210" s="13">
        <v>4</v>
      </c>
      <c r="T210" s="13">
        <v>4</v>
      </c>
      <c r="U210" s="14">
        <f t="shared" si="27"/>
        <v>0.69897000433601886</v>
      </c>
      <c r="V210" s="15">
        <v>20</v>
      </c>
      <c r="W210" s="12"/>
      <c r="X210" s="12">
        <v>0.7</v>
      </c>
      <c r="Y210" s="13" t="s">
        <v>358</v>
      </c>
      <c r="Z210" s="9" t="s">
        <v>359</v>
      </c>
      <c r="AA210" s="10" t="s">
        <v>436</v>
      </c>
      <c r="AB210" s="9" t="s">
        <v>355</v>
      </c>
      <c r="AC210" s="15">
        <v>1181</v>
      </c>
      <c r="AD210" s="14">
        <f t="shared" si="28"/>
        <v>3.0722498976135149</v>
      </c>
      <c r="AE210" s="10" t="s">
        <v>487</v>
      </c>
      <c r="AF210" s="9" t="s">
        <v>420</v>
      </c>
      <c r="AG210" s="18">
        <v>35.052591</v>
      </c>
      <c r="AH210" s="7">
        <f t="shared" si="29"/>
        <v>1</v>
      </c>
      <c r="AI210" s="7">
        <f t="shared" si="30"/>
        <v>1</v>
      </c>
      <c r="AJ210" s="7">
        <f t="shared" si="31"/>
        <v>0</v>
      </c>
      <c r="AK210" s="7">
        <f t="shared" si="32"/>
        <v>0</v>
      </c>
      <c r="AL210" s="7" t="s">
        <v>4157</v>
      </c>
      <c r="AM210" s="18">
        <f t="shared" si="33"/>
        <v>1.5447201254528484</v>
      </c>
      <c r="AN210" s="18">
        <v>35.052591</v>
      </c>
      <c r="AO210" s="18">
        <v>-83.196816999999996</v>
      </c>
      <c r="AP210" s="9" t="s">
        <v>363</v>
      </c>
      <c r="AQ210" s="9" t="s">
        <v>448</v>
      </c>
      <c r="AR210" s="15">
        <v>1980</v>
      </c>
      <c r="AS210" s="19" t="s">
        <v>439</v>
      </c>
      <c r="AT210" s="20" t="s">
        <v>440</v>
      </c>
      <c r="AU210" s="40">
        <v>9096515</v>
      </c>
      <c r="AV210" s="35">
        <f t="shared" si="34"/>
        <v>6.9588750399961636</v>
      </c>
      <c r="AW210" s="37" t="s">
        <v>366</v>
      </c>
      <c r="AX210" s="34" t="s">
        <v>355</v>
      </c>
      <c r="AY210" s="40" t="s">
        <v>355</v>
      </c>
      <c r="AZ210" s="36">
        <v>55</v>
      </c>
      <c r="BA210" s="14">
        <f t="shared" si="35"/>
        <v>1.7403626894942439</v>
      </c>
      <c r="BB210" s="37" t="s">
        <v>388</v>
      </c>
      <c r="BC210" s="20">
        <v>3.2953181272512384E-3</v>
      </c>
      <c r="BD210" s="9">
        <v>25.5</v>
      </c>
      <c r="BE210" s="9" t="s">
        <v>368</v>
      </c>
      <c r="BF210" s="9">
        <v>0</v>
      </c>
    </row>
    <row r="211" spans="1:58">
      <c r="A211" s="9">
        <v>448</v>
      </c>
      <c r="B211" s="10" t="s">
        <v>76</v>
      </c>
      <c r="C211" s="10" t="s">
        <v>369</v>
      </c>
      <c r="D211" s="20" t="s">
        <v>370</v>
      </c>
      <c r="E211" s="20" t="s">
        <v>485</v>
      </c>
      <c r="F211" s="10" t="s">
        <v>369</v>
      </c>
      <c r="G211" s="20" t="s">
        <v>370</v>
      </c>
      <c r="H211" s="20" t="s">
        <v>485</v>
      </c>
      <c r="I211" s="10" t="s">
        <v>369</v>
      </c>
      <c r="J211" s="20" t="s">
        <v>398</v>
      </c>
      <c r="K211" s="20" t="s">
        <v>486</v>
      </c>
      <c r="L211" s="9" t="s">
        <v>380</v>
      </c>
      <c r="M211" s="9">
        <v>10</v>
      </c>
      <c r="N211" s="9" t="s">
        <v>381</v>
      </c>
      <c r="O211" s="9" t="s">
        <v>382</v>
      </c>
      <c r="P211" s="12">
        <v>36.790660000000003</v>
      </c>
      <c r="Q211" s="12" t="s">
        <v>355</v>
      </c>
      <c r="R211" s="9" t="s">
        <v>356</v>
      </c>
      <c r="S211" s="13">
        <v>4</v>
      </c>
      <c r="T211" s="13">
        <v>4</v>
      </c>
      <c r="U211" s="14">
        <f t="shared" si="27"/>
        <v>0.69897000433601886</v>
      </c>
      <c r="V211" s="15">
        <v>20</v>
      </c>
      <c r="W211" s="12"/>
      <c r="X211" s="12">
        <v>0.7</v>
      </c>
      <c r="Y211" s="13" t="s">
        <v>358</v>
      </c>
      <c r="Z211" s="9" t="s">
        <v>359</v>
      </c>
      <c r="AA211" s="10" t="s">
        <v>436</v>
      </c>
      <c r="AB211" s="9" t="s">
        <v>355</v>
      </c>
      <c r="AC211" s="15">
        <v>1181</v>
      </c>
      <c r="AD211" s="14">
        <f t="shared" si="28"/>
        <v>3.0722498976135149</v>
      </c>
      <c r="AE211" s="10" t="s">
        <v>487</v>
      </c>
      <c r="AF211" s="9" t="s">
        <v>420</v>
      </c>
      <c r="AG211" s="18">
        <v>35.052591</v>
      </c>
      <c r="AH211" s="7">
        <f t="shared" si="29"/>
        <v>1</v>
      </c>
      <c r="AI211" s="7">
        <f t="shared" si="30"/>
        <v>1</v>
      </c>
      <c r="AJ211" s="7">
        <f t="shared" si="31"/>
        <v>0</v>
      </c>
      <c r="AK211" s="7">
        <f t="shared" si="32"/>
        <v>0</v>
      </c>
      <c r="AL211" s="7" t="s">
        <v>4157</v>
      </c>
      <c r="AM211" s="18">
        <f t="shared" si="33"/>
        <v>1.5447201254528484</v>
      </c>
      <c r="AN211" s="18">
        <v>35.052591</v>
      </c>
      <c r="AO211" s="18">
        <v>-83.196816999999996</v>
      </c>
      <c r="AP211" s="9" t="s">
        <v>363</v>
      </c>
      <c r="AQ211" s="9" t="s">
        <v>438</v>
      </c>
      <c r="AR211" s="15">
        <v>1980</v>
      </c>
      <c r="AS211" s="19" t="s">
        <v>439</v>
      </c>
      <c r="AT211" s="20" t="s">
        <v>440</v>
      </c>
      <c r="AU211" s="40">
        <v>9096515</v>
      </c>
      <c r="AV211" s="35">
        <f t="shared" si="34"/>
        <v>6.9588750399961636</v>
      </c>
      <c r="AW211" s="37" t="s">
        <v>366</v>
      </c>
      <c r="AX211" s="34" t="s">
        <v>355</v>
      </c>
      <c r="AY211" s="40" t="s">
        <v>355</v>
      </c>
      <c r="AZ211" s="36">
        <v>55</v>
      </c>
      <c r="BA211" s="14">
        <f t="shared" si="35"/>
        <v>1.7403626894942439</v>
      </c>
      <c r="BB211" s="37" t="s">
        <v>388</v>
      </c>
      <c r="BC211" s="20">
        <v>3.2953181272512384E-3</v>
      </c>
      <c r="BD211" s="9">
        <v>25.5</v>
      </c>
      <c r="BE211" s="9" t="s">
        <v>368</v>
      </c>
      <c r="BF211" s="9">
        <v>0</v>
      </c>
    </row>
    <row r="212" spans="1:58">
      <c r="A212" s="9">
        <v>447</v>
      </c>
      <c r="B212" s="10" t="s">
        <v>76</v>
      </c>
      <c r="C212" s="10" t="s">
        <v>369</v>
      </c>
      <c r="D212" s="20" t="s">
        <v>370</v>
      </c>
      <c r="E212" s="20" t="s">
        <v>485</v>
      </c>
      <c r="F212" s="10" t="s">
        <v>369</v>
      </c>
      <c r="G212" s="20" t="s">
        <v>370</v>
      </c>
      <c r="H212" s="20" t="s">
        <v>485</v>
      </c>
      <c r="I212" s="10" t="s">
        <v>369</v>
      </c>
      <c r="J212" s="20" t="s">
        <v>398</v>
      </c>
      <c r="K212" s="20" t="s">
        <v>486</v>
      </c>
      <c r="L212" s="9" t="s">
        <v>380</v>
      </c>
      <c r="M212" s="9">
        <v>10</v>
      </c>
      <c r="N212" s="9" t="s">
        <v>381</v>
      </c>
      <c r="O212" s="9" t="s">
        <v>382</v>
      </c>
      <c r="P212" s="12">
        <v>37.511450000000004</v>
      </c>
      <c r="Q212" s="12" t="s">
        <v>355</v>
      </c>
      <c r="R212" s="9" t="s">
        <v>356</v>
      </c>
      <c r="S212" s="13">
        <v>4</v>
      </c>
      <c r="T212" s="13">
        <v>4</v>
      </c>
      <c r="U212" s="14">
        <f t="shared" si="27"/>
        <v>0.69897000433601886</v>
      </c>
      <c r="V212" s="15">
        <v>20</v>
      </c>
      <c r="W212" s="12"/>
      <c r="X212" s="12">
        <v>0.7</v>
      </c>
      <c r="Y212" s="13" t="s">
        <v>358</v>
      </c>
      <c r="Z212" s="9" t="s">
        <v>359</v>
      </c>
      <c r="AA212" s="10" t="s">
        <v>436</v>
      </c>
      <c r="AB212" s="9" t="s">
        <v>355</v>
      </c>
      <c r="AC212" s="15">
        <v>1181</v>
      </c>
      <c r="AD212" s="14">
        <f t="shared" si="28"/>
        <v>3.0722498976135149</v>
      </c>
      <c r="AE212" s="10" t="s">
        <v>487</v>
      </c>
      <c r="AF212" s="9" t="s">
        <v>420</v>
      </c>
      <c r="AG212" s="18">
        <v>35.052591</v>
      </c>
      <c r="AH212" s="7">
        <f t="shared" si="29"/>
        <v>1</v>
      </c>
      <c r="AI212" s="7">
        <f t="shared" si="30"/>
        <v>1</v>
      </c>
      <c r="AJ212" s="7">
        <f t="shared" si="31"/>
        <v>0</v>
      </c>
      <c r="AK212" s="7">
        <f t="shared" si="32"/>
        <v>0</v>
      </c>
      <c r="AL212" s="7" t="s">
        <v>4157</v>
      </c>
      <c r="AM212" s="18">
        <f t="shared" si="33"/>
        <v>1.5447201254528484</v>
      </c>
      <c r="AN212" s="18">
        <v>35.052591</v>
      </c>
      <c r="AO212" s="18">
        <v>-83.196816999999996</v>
      </c>
      <c r="AP212" s="9" t="s">
        <v>363</v>
      </c>
      <c r="AQ212" s="9" t="s">
        <v>441</v>
      </c>
      <c r="AR212" s="15">
        <v>1980</v>
      </c>
      <c r="AS212" s="19" t="s">
        <v>439</v>
      </c>
      <c r="AT212" s="20" t="s">
        <v>440</v>
      </c>
      <c r="AU212" s="40">
        <v>9096515</v>
      </c>
      <c r="AV212" s="35">
        <f t="shared" si="34"/>
        <v>6.9588750399961636</v>
      </c>
      <c r="AW212" s="37" t="s">
        <v>366</v>
      </c>
      <c r="AX212" s="34" t="s">
        <v>355</v>
      </c>
      <c r="AY212" s="40" t="s">
        <v>355</v>
      </c>
      <c r="AZ212" s="36">
        <v>55</v>
      </c>
      <c r="BA212" s="14">
        <f t="shared" si="35"/>
        <v>1.7403626894942439</v>
      </c>
      <c r="BB212" s="37" t="s">
        <v>388</v>
      </c>
      <c r="BC212" s="20">
        <v>3.2953181272512384E-3</v>
      </c>
      <c r="BD212" s="9">
        <v>25.5</v>
      </c>
      <c r="BE212" s="9" t="s">
        <v>368</v>
      </c>
      <c r="BF212" s="9">
        <v>0</v>
      </c>
    </row>
    <row r="213" spans="1:58">
      <c r="A213" s="9">
        <v>445</v>
      </c>
      <c r="B213" s="10" t="s">
        <v>76</v>
      </c>
      <c r="C213" s="10" t="s">
        <v>369</v>
      </c>
      <c r="D213" s="20" t="s">
        <v>370</v>
      </c>
      <c r="E213" s="20" t="s">
        <v>485</v>
      </c>
      <c r="F213" s="10" t="s">
        <v>369</v>
      </c>
      <c r="G213" s="20" t="s">
        <v>370</v>
      </c>
      <c r="H213" s="20" t="s">
        <v>485</v>
      </c>
      <c r="I213" s="10" t="s">
        <v>369</v>
      </c>
      <c r="J213" s="20" t="s">
        <v>398</v>
      </c>
      <c r="K213" s="20" t="s">
        <v>486</v>
      </c>
      <c r="L213" s="9" t="s">
        <v>380</v>
      </c>
      <c r="M213" s="9">
        <v>10</v>
      </c>
      <c r="N213" s="9" t="s">
        <v>381</v>
      </c>
      <c r="O213" s="9" t="s">
        <v>382</v>
      </c>
      <c r="P213" s="12">
        <v>37.985309999999998</v>
      </c>
      <c r="Q213" s="12" t="s">
        <v>355</v>
      </c>
      <c r="R213" s="9" t="s">
        <v>356</v>
      </c>
      <c r="S213" s="13">
        <v>4</v>
      </c>
      <c r="T213" s="13">
        <v>4</v>
      </c>
      <c r="U213" s="14">
        <f t="shared" si="27"/>
        <v>0.69897000433601886</v>
      </c>
      <c r="V213" s="15">
        <v>20</v>
      </c>
      <c r="W213" s="12"/>
      <c r="X213" s="12">
        <v>0.7</v>
      </c>
      <c r="Y213" s="13" t="s">
        <v>358</v>
      </c>
      <c r="Z213" s="9" t="s">
        <v>359</v>
      </c>
      <c r="AA213" s="10" t="s">
        <v>436</v>
      </c>
      <c r="AB213" s="9" t="s">
        <v>355</v>
      </c>
      <c r="AC213" s="15">
        <v>1181</v>
      </c>
      <c r="AD213" s="14">
        <f t="shared" si="28"/>
        <v>3.0722498976135149</v>
      </c>
      <c r="AE213" s="10" t="s">
        <v>487</v>
      </c>
      <c r="AF213" s="9" t="s">
        <v>420</v>
      </c>
      <c r="AG213" s="18">
        <v>35.052591</v>
      </c>
      <c r="AH213" s="7">
        <f t="shared" si="29"/>
        <v>1</v>
      </c>
      <c r="AI213" s="7">
        <f t="shared" si="30"/>
        <v>1</v>
      </c>
      <c r="AJ213" s="7">
        <f t="shared" si="31"/>
        <v>0</v>
      </c>
      <c r="AK213" s="7">
        <f t="shared" si="32"/>
        <v>0</v>
      </c>
      <c r="AL213" s="7" t="s">
        <v>4157</v>
      </c>
      <c r="AM213" s="18">
        <f t="shared" si="33"/>
        <v>1.5447201254528484</v>
      </c>
      <c r="AN213" s="18">
        <v>35.052591</v>
      </c>
      <c r="AO213" s="18">
        <v>-83.196816999999996</v>
      </c>
      <c r="AP213" s="9" t="s">
        <v>363</v>
      </c>
      <c r="AQ213" s="9" t="s">
        <v>444</v>
      </c>
      <c r="AR213" s="15">
        <v>1980</v>
      </c>
      <c r="AS213" s="19" t="s">
        <v>439</v>
      </c>
      <c r="AT213" s="20" t="s">
        <v>440</v>
      </c>
      <c r="AU213" s="40">
        <v>9096515</v>
      </c>
      <c r="AV213" s="35">
        <f t="shared" si="34"/>
        <v>6.9588750399961636</v>
      </c>
      <c r="AW213" s="37" t="s">
        <v>366</v>
      </c>
      <c r="AX213" s="34" t="s">
        <v>355</v>
      </c>
      <c r="AY213" s="40" t="s">
        <v>355</v>
      </c>
      <c r="AZ213" s="36">
        <v>55</v>
      </c>
      <c r="BA213" s="14">
        <f t="shared" si="35"/>
        <v>1.7403626894942439</v>
      </c>
      <c r="BB213" s="37" t="s">
        <v>388</v>
      </c>
      <c r="BC213" s="20">
        <v>3.2953181272512384E-3</v>
      </c>
      <c r="BD213" s="9">
        <v>25.5</v>
      </c>
      <c r="BE213" s="9" t="s">
        <v>368</v>
      </c>
      <c r="BF213" s="9">
        <v>0</v>
      </c>
    </row>
    <row r="214" spans="1:58">
      <c r="A214" s="9">
        <v>443</v>
      </c>
      <c r="B214" s="10" t="s">
        <v>76</v>
      </c>
      <c r="C214" s="10" t="s">
        <v>369</v>
      </c>
      <c r="D214" s="20" t="s">
        <v>370</v>
      </c>
      <c r="E214" s="20" t="s">
        <v>485</v>
      </c>
      <c r="F214" s="10" t="s">
        <v>369</v>
      </c>
      <c r="G214" s="20" t="s">
        <v>370</v>
      </c>
      <c r="H214" s="20" t="s">
        <v>485</v>
      </c>
      <c r="I214" s="10" t="s">
        <v>369</v>
      </c>
      <c r="J214" s="20" t="s">
        <v>398</v>
      </c>
      <c r="K214" s="20" t="s">
        <v>486</v>
      </c>
      <c r="L214" s="9" t="s">
        <v>380</v>
      </c>
      <c r="M214" s="9">
        <v>10</v>
      </c>
      <c r="N214" s="9" t="s">
        <v>381</v>
      </c>
      <c r="O214" s="9" t="s">
        <v>382</v>
      </c>
      <c r="P214" s="12">
        <v>38.154899999999998</v>
      </c>
      <c r="Q214" s="12" t="s">
        <v>355</v>
      </c>
      <c r="R214" s="9" t="s">
        <v>356</v>
      </c>
      <c r="S214" s="13">
        <v>4</v>
      </c>
      <c r="T214" s="13">
        <v>4</v>
      </c>
      <c r="U214" s="14">
        <f t="shared" si="27"/>
        <v>0.69897000433601886</v>
      </c>
      <c r="V214" s="15">
        <v>20</v>
      </c>
      <c r="W214" s="12"/>
      <c r="X214" s="12">
        <v>0.7</v>
      </c>
      <c r="Y214" s="13" t="s">
        <v>358</v>
      </c>
      <c r="Z214" s="9" t="s">
        <v>359</v>
      </c>
      <c r="AA214" s="10" t="s">
        <v>436</v>
      </c>
      <c r="AB214" s="9" t="s">
        <v>355</v>
      </c>
      <c r="AC214" s="15">
        <v>1181</v>
      </c>
      <c r="AD214" s="14">
        <f t="shared" si="28"/>
        <v>3.0722498976135149</v>
      </c>
      <c r="AE214" s="10" t="s">
        <v>487</v>
      </c>
      <c r="AF214" s="9" t="s">
        <v>420</v>
      </c>
      <c r="AG214" s="18">
        <v>35.052591</v>
      </c>
      <c r="AH214" s="7">
        <f t="shared" si="29"/>
        <v>1</v>
      </c>
      <c r="AI214" s="7">
        <f t="shared" si="30"/>
        <v>1</v>
      </c>
      <c r="AJ214" s="7">
        <f t="shared" si="31"/>
        <v>0</v>
      </c>
      <c r="AK214" s="7">
        <f t="shared" si="32"/>
        <v>0</v>
      </c>
      <c r="AL214" s="7" t="s">
        <v>4157</v>
      </c>
      <c r="AM214" s="18">
        <f t="shared" si="33"/>
        <v>1.5447201254528484</v>
      </c>
      <c r="AN214" s="18">
        <v>35.052591</v>
      </c>
      <c r="AO214" s="18">
        <v>-83.196816999999996</v>
      </c>
      <c r="AP214" s="9" t="s">
        <v>363</v>
      </c>
      <c r="AQ214" s="9" t="s">
        <v>445</v>
      </c>
      <c r="AR214" s="15">
        <v>1980</v>
      </c>
      <c r="AS214" s="19" t="s">
        <v>439</v>
      </c>
      <c r="AT214" s="20" t="s">
        <v>440</v>
      </c>
      <c r="AU214" s="40">
        <v>9096515</v>
      </c>
      <c r="AV214" s="35">
        <f t="shared" si="34"/>
        <v>6.9588750399961636</v>
      </c>
      <c r="AW214" s="37" t="s">
        <v>366</v>
      </c>
      <c r="AX214" s="34" t="s">
        <v>355</v>
      </c>
      <c r="AY214" s="40" t="s">
        <v>355</v>
      </c>
      <c r="AZ214" s="36">
        <v>55</v>
      </c>
      <c r="BA214" s="14">
        <f t="shared" si="35"/>
        <v>1.7403626894942439</v>
      </c>
      <c r="BB214" s="37" t="s">
        <v>388</v>
      </c>
      <c r="BC214" s="20">
        <v>3.2953181272512384E-3</v>
      </c>
      <c r="BD214" s="9">
        <v>25.5</v>
      </c>
      <c r="BE214" s="9" t="s">
        <v>368</v>
      </c>
      <c r="BF214" s="9">
        <v>0</v>
      </c>
    </row>
    <row r="215" spans="1:58">
      <c r="A215" s="9">
        <v>441</v>
      </c>
      <c r="B215" s="10" t="s">
        <v>76</v>
      </c>
      <c r="C215" s="10" t="s">
        <v>369</v>
      </c>
      <c r="D215" s="20" t="s">
        <v>370</v>
      </c>
      <c r="E215" s="20" t="s">
        <v>485</v>
      </c>
      <c r="F215" s="10" t="s">
        <v>369</v>
      </c>
      <c r="G215" s="20" t="s">
        <v>370</v>
      </c>
      <c r="H215" s="20" t="s">
        <v>485</v>
      </c>
      <c r="I215" s="10" t="s">
        <v>369</v>
      </c>
      <c r="J215" s="20" t="s">
        <v>398</v>
      </c>
      <c r="K215" s="20" t="s">
        <v>486</v>
      </c>
      <c r="L215" s="9" t="s">
        <v>380</v>
      </c>
      <c r="M215" s="9">
        <v>6</v>
      </c>
      <c r="N215" s="9" t="s">
        <v>353</v>
      </c>
      <c r="O215" s="9" t="s">
        <v>382</v>
      </c>
      <c r="P215" s="12">
        <v>38.158720000000002</v>
      </c>
      <c r="Q215" s="12" t="s">
        <v>355</v>
      </c>
      <c r="R215" s="9" t="s">
        <v>356</v>
      </c>
      <c r="S215" s="13">
        <v>4</v>
      </c>
      <c r="T215" s="13">
        <v>4</v>
      </c>
      <c r="U215" s="14">
        <f t="shared" si="27"/>
        <v>0.69897000433601886</v>
      </c>
      <c r="V215" s="15">
        <v>20</v>
      </c>
      <c r="W215" s="12"/>
      <c r="X215" s="12">
        <v>0.7</v>
      </c>
      <c r="Y215" s="13" t="s">
        <v>358</v>
      </c>
      <c r="Z215" s="9" t="s">
        <v>359</v>
      </c>
      <c r="AA215" s="10" t="s">
        <v>436</v>
      </c>
      <c r="AB215" s="9" t="s">
        <v>355</v>
      </c>
      <c r="AC215" s="15">
        <v>1181</v>
      </c>
      <c r="AD215" s="14">
        <f t="shared" si="28"/>
        <v>3.0722498976135149</v>
      </c>
      <c r="AE215" s="10" t="s">
        <v>487</v>
      </c>
      <c r="AF215" s="9" t="s">
        <v>420</v>
      </c>
      <c r="AG215" s="18">
        <v>35.052591</v>
      </c>
      <c r="AH215" s="7">
        <f t="shared" si="29"/>
        <v>1</v>
      </c>
      <c r="AI215" s="7">
        <f t="shared" si="30"/>
        <v>1</v>
      </c>
      <c r="AJ215" s="7">
        <f t="shared" si="31"/>
        <v>0</v>
      </c>
      <c r="AK215" s="7">
        <f t="shared" si="32"/>
        <v>0</v>
      </c>
      <c r="AL215" s="7" t="s">
        <v>4157</v>
      </c>
      <c r="AM215" s="18">
        <f t="shared" si="33"/>
        <v>1.5447201254528484</v>
      </c>
      <c r="AN215" s="18">
        <v>35.052591</v>
      </c>
      <c r="AO215" s="18">
        <v>-83.196816999999996</v>
      </c>
      <c r="AP215" s="9" t="s">
        <v>363</v>
      </c>
      <c r="AQ215" s="9" t="s">
        <v>442</v>
      </c>
      <c r="AR215" s="15">
        <v>1980</v>
      </c>
      <c r="AS215" s="19" t="s">
        <v>439</v>
      </c>
      <c r="AT215" s="20" t="s">
        <v>440</v>
      </c>
      <c r="AU215" s="40">
        <v>9096515</v>
      </c>
      <c r="AV215" s="35">
        <f t="shared" si="34"/>
        <v>6.9588750399961636</v>
      </c>
      <c r="AW215" s="37" t="s">
        <v>366</v>
      </c>
      <c r="AX215" s="34" t="s">
        <v>355</v>
      </c>
      <c r="AY215" s="40" t="s">
        <v>355</v>
      </c>
      <c r="AZ215" s="36">
        <v>55</v>
      </c>
      <c r="BA215" s="14">
        <f t="shared" si="35"/>
        <v>1.7403626894942439</v>
      </c>
      <c r="BB215" s="37" t="s">
        <v>388</v>
      </c>
      <c r="BC215" s="20">
        <v>3.2953181272512384E-3</v>
      </c>
      <c r="BD215" s="9">
        <v>25.5</v>
      </c>
      <c r="BE215" s="9" t="s">
        <v>368</v>
      </c>
      <c r="BF215" s="9">
        <v>0</v>
      </c>
    </row>
    <row r="216" spans="1:58">
      <c r="A216" s="9">
        <v>442</v>
      </c>
      <c r="B216" s="10" t="s">
        <v>76</v>
      </c>
      <c r="C216" s="10" t="s">
        <v>369</v>
      </c>
      <c r="D216" s="20" t="s">
        <v>370</v>
      </c>
      <c r="E216" s="20" t="s">
        <v>485</v>
      </c>
      <c r="F216" s="10" t="s">
        <v>369</v>
      </c>
      <c r="G216" s="20" t="s">
        <v>370</v>
      </c>
      <c r="H216" s="20" t="s">
        <v>485</v>
      </c>
      <c r="I216" s="10" t="s">
        <v>369</v>
      </c>
      <c r="J216" s="20" t="s">
        <v>398</v>
      </c>
      <c r="K216" s="20" t="s">
        <v>486</v>
      </c>
      <c r="L216" s="9" t="s">
        <v>380</v>
      </c>
      <c r="M216" s="9">
        <v>10</v>
      </c>
      <c r="N216" s="9" t="s">
        <v>381</v>
      </c>
      <c r="O216" s="9" t="s">
        <v>382</v>
      </c>
      <c r="P216" s="12">
        <v>38.184579999999997</v>
      </c>
      <c r="Q216" s="12" t="s">
        <v>355</v>
      </c>
      <c r="R216" s="9" t="s">
        <v>356</v>
      </c>
      <c r="S216" s="13">
        <v>4</v>
      </c>
      <c r="T216" s="13">
        <v>4</v>
      </c>
      <c r="U216" s="14">
        <f t="shared" si="27"/>
        <v>0.69897000433601886</v>
      </c>
      <c r="V216" s="15">
        <v>20</v>
      </c>
      <c r="W216" s="12"/>
      <c r="X216" s="12">
        <v>0.7</v>
      </c>
      <c r="Y216" s="13" t="s">
        <v>358</v>
      </c>
      <c r="Z216" s="9" t="s">
        <v>359</v>
      </c>
      <c r="AA216" s="10" t="s">
        <v>436</v>
      </c>
      <c r="AB216" s="9" t="s">
        <v>355</v>
      </c>
      <c r="AC216" s="15">
        <v>1181</v>
      </c>
      <c r="AD216" s="14">
        <f t="shared" si="28"/>
        <v>3.0722498976135149</v>
      </c>
      <c r="AE216" s="10" t="s">
        <v>487</v>
      </c>
      <c r="AF216" s="9" t="s">
        <v>420</v>
      </c>
      <c r="AG216" s="18">
        <v>35.052591</v>
      </c>
      <c r="AH216" s="7">
        <f t="shared" si="29"/>
        <v>1</v>
      </c>
      <c r="AI216" s="7">
        <f t="shared" si="30"/>
        <v>1</v>
      </c>
      <c r="AJ216" s="7">
        <f t="shared" si="31"/>
        <v>0</v>
      </c>
      <c r="AK216" s="7">
        <f t="shared" si="32"/>
        <v>0</v>
      </c>
      <c r="AL216" s="7" t="s">
        <v>4157</v>
      </c>
      <c r="AM216" s="18">
        <f t="shared" si="33"/>
        <v>1.5447201254528484</v>
      </c>
      <c r="AN216" s="18">
        <v>35.052591</v>
      </c>
      <c r="AO216" s="18">
        <v>-83.196816999999996</v>
      </c>
      <c r="AP216" s="9" t="s">
        <v>363</v>
      </c>
      <c r="AQ216" s="9" t="s">
        <v>449</v>
      </c>
      <c r="AR216" s="15">
        <v>1980</v>
      </c>
      <c r="AS216" s="19" t="s">
        <v>439</v>
      </c>
      <c r="AT216" s="20" t="s">
        <v>440</v>
      </c>
      <c r="AU216" s="40">
        <v>9096515</v>
      </c>
      <c r="AV216" s="35">
        <f t="shared" si="34"/>
        <v>6.9588750399961636</v>
      </c>
      <c r="AW216" s="37" t="s">
        <v>366</v>
      </c>
      <c r="AX216" s="34" t="s">
        <v>355</v>
      </c>
      <c r="AY216" s="40" t="s">
        <v>355</v>
      </c>
      <c r="AZ216" s="36">
        <v>55</v>
      </c>
      <c r="BA216" s="14">
        <f t="shared" si="35"/>
        <v>1.7403626894942439</v>
      </c>
      <c r="BB216" s="37" t="s">
        <v>388</v>
      </c>
      <c r="BC216" s="20">
        <v>3.2953181272512384E-3</v>
      </c>
      <c r="BD216" s="9">
        <v>25.5</v>
      </c>
      <c r="BE216" s="9" t="s">
        <v>368</v>
      </c>
      <c r="BF216" s="9">
        <v>0</v>
      </c>
    </row>
    <row r="217" spans="1:58">
      <c r="A217" s="9">
        <v>446</v>
      </c>
      <c r="B217" s="10" t="s">
        <v>76</v>
      </c>
      <c r="C217" s="10" t="s">
        <v>369</v>
      </c>
      <c r="D217" s="20" t="s">
        <v>370</v>
      </c>
      <c r="E217" s="20" t="s">
        <v>485</v>
      </c>
      <c r="F217" s="10" t="s">
        <v>369</v>
      </c>
      <c r="G217" s="20" t="s">
        <v>370</v>
      </c>
      <c r="H217" s="20" t="s">
        <v>485</v>
      </c>
      <c r="I217" s="10" t="s">
        <v>369</v>
      </c>
      <c r="J217" s="20" t="s">
        <v>398</v>
      </c>
      <c r="K217" s="20" t="s">
        <v>486</v>
      </c>
      <c r="L217" s="9" t="s">
        <v>380</v>
      </c>
      <c r="M217" s="9">
        <v>10</v>
      </c>
      <c r="N217" s="9" t="s">
        <v>381</v>
      </c>
      <c r="O217" s="9" t="s">
        <v>382</v>
      </c>
      <c r="P217" s="12">
        <v>38.232109999999999</v>
      </c>
      <c r="Q217" s="12" t="s">
        <v>355</v>
      </c>
      <c r="R217" s="9" t="s">
        <v>356</v>
      </c>
      <c r="S217" s="13">
        <v>4</v>
      </c>
      <c r="T217" s="13">
        <v>4</v>
      </c>
      <c r="U217" s="14">
        <f t="shared" si="27"/>
        <v>0.69897000433601886</v>
      </c>
      <c r="V217" s="15">
        <v>20</v>
      </c>
      <c r="W217" s="12"/>
      <c r="X217" s="12">
        <v>0.7</v>
      </c>
      <c r="Y217" s="13" t="s">
        <v>358</v>
      </c>
      <c r="Z217" s="9" t="s">
        <v>359</v>
      </c>
      <c r="AA217" s="10" t="s">
        <v>436</v>
      </c>
      <c r="AB217" s="9" t="s">
        <v>355</v>
      </c>
      <c r="AC217" s="15">
        <v>1181</v>
      </c>
      <c r="AD217" s="14">
        <f t="shared" si="28"/>
        <v>3.0722498976135149</v>
      </c>
      <c r="AE217" s="10" t="s">
        <v>487</v>
      </c>
      <c r="AF217" s="9" t="s">
        <v>420</v>
      </c>
      <c r="AG217" s="18">
        <v>35.052591</v>
      </c>
      <c r="AH217" s="7">
        <f t="shared" si="29"/>
        <v>1</v>
      </c>
      <c r="AI217" s="7">
        <f t="shared" si="30"/>
        <v>1</v>
      </c>
      <c r="AJ217" s="7">
        <f t="shared" si="31"/>
        <v>0</v>
      </c>
      <c r="AK217" s="7">
        <f t="shared" si="32"/>
        <v>0</v>
      </c>
      <c r="AL217" s="7" t="s">
        <v>4157</v>
      </c>
      <c r="AM217" s="18">
        <f t="shared" si="33"/>
        <v>1.5447201254528484</v>
      </c>
      <c r="AN217" s="18">
        <v>35.052591</v>
      </c>
      <c r="AO217" s="18">
        <v>-83.196816999999996</v>
      </c>
      <c r="AP217" s="9" t="s">
        <v>363</v>
      </c>
      <c r="AQ217" s="9" t="s">
        <v>443</v>
      </c>
      <c r="AR217" s="15">
        <v>1980</v>
      </c>
      <c r="AS217" s="19" t="s">
        <v>439</v>
      </c>
      <c r="AT217" s="20" t="s">
        <v>440</v>
      </c>
      <c r="AU217" s="40">
        <v>9096515</v>
      </c>
      <c r="AV217" s="35">
        <f t="shared" si="34"/>
        <v>6.9588750399961636</v>
      </c>
      <c r="AW217" s="37" t="s">
        <v>366</v>
      </c>
      <c r="AX217" s="34" t="s">
        <v>355</v>
      </c>
      <c r="AY217" s="40" t="s">
        <v>355</v>
      </c>
      <c r="AZ217" s="36">
        <v>55</v>
      </c>
      <c r="BA217" s="14">
        <f t="shared" si="35"/>
        <v>1.7403626894942439</v>
      </c>
      <c r="BB217" s="37" t="s">
        <v>388</v>
      </c>
      <c r="BC217" s="20">
        <v>3.2953181272512384E-3</v>
      </c>
      <c r="BD217" s="9">
        <v>25.5</v>
      </c>
      <c r="BE217" s="9" t="s">
        <v>368</v>
      </c>
      <c r="BF217" s="9">
        <v>0</v>
      </c>
    </row>
    <row r="218" spans="1:58">
      <c r="A218" s="9">
        <v>444</v>
      </c>
      <c r="B218" s="10" t="s">
        <v>76</v>
      </c>
      <c r="C218" s="10" t="s">
        <v>369</v>
      </c>
      <c r="D218" s="20" t="s">
        <v>370</v>
      </c>
      <c r="E218" s="20" t="s">
        <v>485</v>
      </c>
      <c r="F218" s="10" t="s">
        <v>369</v>
      </c>
      <c r="G218" s="20" t="s">
        <v>370</v>
      </c>
      <c r="H218" s="20" t="s">
        <v>485</v>
      </c>
      <c r="I218" s="10" t="s">
        <v>369</v>
      </c>
      <c r="J218" s="20" t="s">
        <v>398</v>
      </c>
      <c r="K218" s="20" t="s">
        <v>486</v>
      </c>
      <c r="L218" s="9" t="s">
        <v>380</v>
      </c>
      <c r="M218" s="9">
        <v>10</v>
      </c>
      <c r="N218" s="9" t="s">
        <v>381</v>
      </c>
      <c r="O218" s="9" t="s">
        <v>382</v>
      </c>
      <c r="P218" s="12">
        <v>38.457250000000002</v>
      </c>
      <c r="Q218" s="12" t="s">
        <v>355</v>
      </c>
      <c r="R218" s="9" t="s">
        <v>356</v>
      </c>
      <c r="S218" s="13">
        <v>4</v>
      </c>
      <c r="T218" s="13">
        <v>4</v>
      </c>
      <c r="U218" s="14">
        <f t="shared" si="27"/>
        <v>0.69897000433601886</v>
      </c>
      <c r="V218" s="15">
        <v>20</v>
      </c>
      <c r="W218" s="12"/>
      <c r="X218" s="12">
        <v>0.7</v>
      </c>
      <c r="Y218" s="13" t="s">
        <v>358</v>
      </c>
      <c r="Z218" s="9" t="s">
        <v>359</v>
      </c>
      <c r="AA218" s="10" t="s">
        <v>436</v>
      </c>
      <c r="AB218" s="9" t="s">
        <v>355</v>
      </c>
      <c r="AC218" s="15">
        <v>1181</v>
      </c>
      <c r="AD218" s="14">
        <f t="shared" si="28"/>
        <v>3.0722498976135149</v>
      </c>
      <c r="AE218" s="10" t="s">
        <v>487</v>
      </c>
      <c r="AF218" s="9" t="s">
        <v>420</v>
      </c>
      <c r="AG218" s="18">
        <v>35.052591</v>
      </c>
      <c r="AH218" s="7">
        <f t="shared" si="29"/>
        <v>1</v>
      </c>
      <c r="AI218" s="7">
        <f t="shared" si="30"/>
        <v>1</v>
      </c>
      <c r="AJ218" s="7">
        <f t="shared" si="31"/>
        <v>0</v>
      </c>
      <c r="AK218" s="7">
        <f t="shared" si="32"/>
        <v>0</v>
      </c>
      <c r="AL218" s="7" t="s">
        <v>4157</v>
      </c>
      <c r="AM218" s="18">
        <f t="shared" si="33"/>
        <v>1.5447201254528484</v>
      </c>
      <c r="AN218" s="18">
        <v>35.052591</v>
      </c>
      <c r="AO218" s="18">
        <v>-83.196816999999996</v>
      </c>
      <c r="AP218" s="9" t="s">
        <v>363</v>
      </c>
      <c r="AQ218" s="9" t="s">
        <v>446</v>
      </c>
      <c r="AR218" s="15">
        <v>1980</v>
      </c>
      <c r="AS218" s="19" t="s">
        <v>439</v>
      </c>
      <c r="AT218" s="20" t="s">
        <v>440</v>
      </c>
      <c r="AU218" s="40">
        <v>9096515</v>
      </c>
      <c r="AV218" s="35">
        <f t="shared" si="34"/>
        <v>6.9588750399961636</v>
      </c>
      <c r="AW218" s="37" t="s">
        <v>366</v>
      </c>
      <c r="AX218" s="34" t="s">
        <v>355</v>
      </c>
      <c r="AY218" s="40" t="s">
        <v>355</v>
      </c>
      <c r="AZ218" s="36">
        <v>55</v>
      </c>
      <c r="BA218" s="14">
        <f t="shared" si="35"/>
        <v>1.7403626894942439</v>
      </c>
      <c r="BB218" s="37" t="s">
        <v>388</v>
      </c>
      <c r="BC218" s="20">
        <v>3.2953181272512384E-3</v>
      </c>
      <c r="BD218" s="9">
        <v>25.5</v>
      </c>
      <c r="BE218" s="9" t="s">
        <v>368</v>
      </c>
      <c r="BF218" s="9">
        <v>0</v>
      </c>
    </row>
    <row r="219" spans="1:58">
      <c r="A219" s="9">
        <v>706</v>
      </c>
      <c r="B219" s="10" t="s">
        <v>76</v>
      </c>
      <c r="C219" s="10" t="s">
        <v>369</v>
      </c>
      <c r="D219" s="20" t="s">
        <v>370</v>
      </c>
      <c r="E219" s="20" t="s">
        <v>485</v>
      </c>
      <c r="F219" s="10" t="s">
        <v>369</v>
      </c>
      <c r="G219" s="20" t="s">
        <v>370</v>
      </c>
      <c r="H219" s="20" t="s">
        <v>485</v>
      </c>
      <c r="I219" s="10" t="s">
        <v>369</v>
      </c>
      <c r="J219" s="20" t="s">
        <v>398</v>
      </c>
      <c r="K219" s="20" t="s">
        <v>486</v>
      </c>
      <c r="L219" s="9" t="s">
        <v>352</v>
      </c>
      <c r="M219" s="9">
        <v>4</v>
      </c>
      <c r="N219" s="9" t="s">
        <v>353</v>
      </c>
      <c r="O219" s="9" t="s">
        <v>354</v>
      </c>
      <c r="P219" s="12">
        <v>33.224609999999998</v>
      </c>
      <c r="Q219" s="12" t="s">
        <v>355</v>
      </c>
      <c r="R219" s="9" t="s">
        <v>356</v>
      </c>
      <c r="S219" s="13" t="s">
        <v>524</v>
      </c>
      <c r="T219" s="13" t="s">
        <v>524</v>
      </c>
      <c r="U219" s="14">
        <f t="shared" si="27"/>
        <v>0.69897000433601886</v>
      </c>
      <c r="V219" s="15">
        <v>5</v>
      </c>
      <c r="W219" s="12">
        <v>6.770880499999997</v>
      </c>
      <c r="X219" s="12">
        <v>1</v>
      </c>
      <c r="Y219" s="13" t="s">
        <v>401</v>
      </c>
      <c r="Z219" s="9" t="s">
        <v>359</v>
      </c>
      <c r="AA219" s="10" t="s">
        <v>372</v>
      </c>
      <c r="AB219" s="9" t="s">
        <v>355</v>
      </c>
      <c r="AC219" s="15">
        <v>251</v>
      </c>
      <c r="AD219" s="14">
        <f t="shared" si="28"/>
        <v>2.399673721481038</v>
      </c>
      <c r="AE219" s="10" t="s">
        <v>586</v>
      </c>
      <c r="AF219" s="9" t="s">
        <v>362</v>
      </c>
      <c r="AG219" s="18">
        <v>39.435336999999997</v>
      </c>
      <c r="AH219" s="7">
        <f t="shared" si="29"/>
        <v>1</v>
      </c>
      <c r="AI219" s="7">
        <f t="shared" si="30"/>
        <v>1</v>
      </c>
      <c r="AJ219" s="7">
        <f t="shared" si="31"/>
        <v>0</v>
      </c>
      <c r="AK219" s="7">
        <f t="shared" si="32"/>
        <v>0</v>
      </c>
      <c r="AL219" s="7" t="s">
        <v>4157</v>
      </c>
      <c r="AM219" s="18">
        <f t="shared" si="33"/>
        <v>1.5958855565000696</v>
      </c>
      <c r="AN219" s="18">
        <v>39.435336999999997</v>
      </c>
      <c r="AO219" s="18">
        <v>-84.202991999999995</v>
      </c>
      <c r="AP219" s="9" t="s">
        <v>363</v>
      </c>
      <c r="AQ219" s="9" t="s">
        <v>355</v>
      </c>
      <c r="AR219" s="15">
        <v>1977</v>
      </c>
      <c r="AS219" s="19" t="s">
        <v>584</v>
      </c>
      <c r="AT219" s="20" t="s">
        <v>585</v>
      </c>
      <c r="AU219" s="40">
        <v>9096515</v>
      </c>
      <c r="AV219" s="35">
        <f t="shared" si="34"/>
        <v>6.9588750399961636</v>
      </c>
      <c r="AW219" s="37" t="s">
        <v>366</v>
      </c>
      <c r="AX219" s="34" t="s">
        <v>355</v>
      </c>
      <c r="AY219" s="40" t="s">
        <v>355</v>
      </c>
      <c r="AZ219" s="15">
        <v>55</v>
      </c>
      <c r="BA219" s="14">
        <f t="shared" si="35"/>
        <v>1.7403626894942439</v>
      </c>
      <c r="BB219" s="37" t="s">
        <v>388</v>
      </c>
      <c r="BC219" s="20">
        <v>-1.2681072428973972E-3</v>
      </c>
      <c r="BD219" s="9">
        <v>29.5</v>
      </c>
      <c r="BE219" s="9" t="s">
        <v>368</v>
      </c>
      <c r="BF219" s="9">
        <v>0</v>
      </c>
    </row>
    <row r="220" spans="1:58">
      <c r="A220" s="9">
        <v>707</v>
      </c>
      <c r="B220" s="10" t="s">
        <v>76</v>
      </c>
      <c r="C220" s="10" t="s">
        <v>369</v>
      </c>
      <c r="D220" s="20" t="s">
        <v>370</v>
      </c>
      <c r="E220" s="20" t="s">
        <v>485</v>
      </c>
      <c r="F220" s="10" t="s">
        <v>369</v>
      </c>
      <c r="G220" s="20" t="s">
        <v>370</v>
      </c>
      <c r="H220" s="20" t="s">
        <v>485</v>
      </c>
      <c r="I220" s="10" t="s">
        <v>369</v>
      </c>
      <c r="J220" s="20" t="s">
        <v>398</v>
      </c>
      <c r="K220" s="20" t="s">
        <v>486</v>
      </c>
      <c r="L220" s="9" t="s">
        <v>352</v>
      </c>
      <c r="M220" s="9">
        <v>5</v>
      </c>
      <c r="N220" s="9" t="s">
        <v>353</v>
      </c>
      <c r="O220" s="9" t="s">
        <v>354</v>
      </c>
      <c r="P220" s="12">
        <v>34.107030000000002</v>
      </c>
      <c r="Q220" s="12" t="s">
        <v>355</v>
      </c>
      <c r="R220" s="9" t="s">
        <v>356</v>
      </c>
      <c r="S220" s="13" t="s">
        <v>524</v>
      </c>
      <c r="T220" s="13" t="s">
        <v>524</v>
      </c>
      <c r="U220" s="14">
        <f t="shared" si="27"/>
        <v>0.69897000433601886</v>
      </c>
      <c r="V220" s="15">
        <v>25</v>
      </c>
      <c r="W220" s="12">
        <v>4.5289205000000052</v>
      </c>
      <c r="X220" s="12">
        <v>1</v>
      </c>
      <c r="Y220" s="13" t="s">
        <v>401</v>
      </c>
      <c r="Z220" s="9" t="s">
        <v>359</v>
      </c>
      <c r="AA220" s="10" t="s">
        <v>372</v>
      </c>
      <c r="AB220" s="9" t="s">
        <v>355</v>
      </c>
      <c r="AC220" s="15">
        <v>251</v>
      </c>
      <c r="AD220" s="14">
        <f t="shared" si="28"/>
        <v>2.399673721481038</v>
      </c>
      <c r="AE220" s="10" t="s">
        <v>586</v>
      </c>
      <c r="AF220" s="9" t="s">
        <v>362</v>
      </c>
      <c r="AG220" s="18">
        <v>39.435336999999997</v>
      </c>
      <c r="AH220" s="7">
        <f t="shared" si="29"/>
        <v>1</v>
      </c>
      <c r="AI220" s="7">
        <f t="shared" si="30"/>
        <v>1</v>
      </c>
      <c r="AJ220" s="7">
        <f t="shared" si="31"/>
        <v>0</v>
      </c>
      <c r="AK220" s="7">
        <f t="shared" si="32"/>
        <v>0</v>
      </c>
      <c r="AL220" s="7" t="s">
        <v>4157</v>
      </c>
      <c r="AM220" s="18">
        <f t="shared" si="33"/>
        <v>1.5958855565000696</v>
      </c>
      <c r="AN220" s="18">
        <v>39.435336999999997</v>
      </c>
      <c r="AO220" s="18">
        <v>-84.202991999999995</v>
      </c>
      <c r="AP220" s="9" t="s">
        <v>363</v>
      </c>
      <c r="AQ220" s="9" t="s">
        <v>355</v>
      </c>
      <c r="AR220" s="15">
        <v>1977</v>
      </c>
      <c r="AS220" s="19" t="s">
        <v>584</v>
      </c>
      <c r="AT220" s="20" t="s">
        <v>585</v>
      </c>
      <c r="AU220" s="40">
        <v>9096515</v>
      </c>
      <c r="AV220" s="35">
        <f t="shared" si="34"/>
        <v>6.9588750399961636</v>
      </c>
      <c r="AW220" s="37" t="s">
        <v>366</v>
      </c>
      <c r="AX220" s="34" t="s">
        <v>355</v>
      </c>
      <c r="AY220" s="40" t="s">
        <v>355</v>
      </c>
      <c r="AZ220" s="15">
        <v>55</v>
      </c>
      <c r="BA220" s="14">
        <f t="shared" si="35"/>
        <v>1.7403626894942439</v>
      </c>
      <c r="BB220" s="37" t="s">
        <v>388</v>
      </c>
      <c r="BC220" s="20">
        <v>-1.2681072428973972E-3</v>
      </c>
      <c r="BD220" s="9">
        <v>29.5</v>
      </c>
      <c r="BE220" s="9" t="s">
        <v>368</v>
      </c>
      <c r="BF220" s="9">
        <v>0</v>
      </c>
    </row>
    <row r="221" spans="1:58">
      <c r="A221" s="9">
        <v>703</v>
      </c>
      <c r="B221" s="10" t="s">
        <v>76</v>
      </c>
      <c r="C221" s="10" t="s">
        <v>369</v>
      </c>
      <c r="D221" s="20" t="s">
        <v>370</v>
      </c>
      <c r="E221" s="20" t="s">
        <v>485</v>
      </c>
      <c r="F221" s="10" t="s">
        <v>369</v>
      </c>
      <c r="G221" s="20" t="s">
        <v>370</v>
      </c>
      <c r="H221" s="20" t="s">
        <v>485</v>
      </c>
      <c r="I221" s="10" t="s">
        <v>369</v>
      </c>
      <c r="J221" s="20" t="s">
        <v>398</v>
      </c>
      <c r="K221" s="20" t="s">
        <v>486</v>
      </c>
      <c r="L221" s="9" t="s">
        <v>352</v>
      </c>
      <c r="M221" s="9">
        <v>8</v>
      </c>
      <c r="N221" s="9" t="s">
        <v>353</v>
      </c>
      <c r="O221" s="9" t="s">
        <v>354</v>
      </c>
      <c r="P221" s="12">
        <v>34.199654000000002</v>
      </c>
      <c r="Q221" s="12" t="s">
        <v>355</v>
      </c>
      <c r="R221" s="9" t="s">
        <v>356</v>
      </c>
      <c r="S221" s="13" t="s">
        <v>524</v>
      </c>
      <c r="T221" s="13" t="s">
        <v>524</v>
      </c>
      <c r="U221" s="14">
        <f t="shared" si="27"/>
        <v>0.69897000433601886</v>
      </c>
      <c r="V221" s="15">
        <v>5</v>
      </c>
      <c r="W221" s="12">
        <v>10.614779900000002</v>
      </c>
      <c r="X221" s="12">
        <v>1</v>
      </c>
      <c r="Y221" s="13" t="s">
        <v>401</v>
      </c>
      <c r="Z221" s="9" t="s">
        <v>359</v>
      </c>
      <c r="AA221" s="10" t="s">
        <v>372</v>
      </c>
      <c r="AB221" s="9" t="s">
        <v>355</v>
      </c>
      <c r="AC221" s="15">
        <v>490</v>
      </c>
      <c r="AD221" s="14">
        <f t="shared" si="28"/>
        <v>2.6901960800285138</v>
      </c>
      <c r="AE221" s="10" t="s">
        <v>587</v>
      </c>
      <c r="AF221" s="9" t="s">
        <v>362</v>
      </c>
      <c r="AG221" s="18">
        <v>47.164973000000003</v>
      </c>
      <c r="AH221" s="7">
        <f t="shared" si="29"/>
        <v>1</v>
      </c>
      <c r="AI221" s="7">
        <f t="shared" si="30"/>
        <v>1</v>
      </c>
      <c r="AJ221" s="7">
        <f t="shared" si="31"/>
        <v>1</v>
      </c>
      <c r="AK221" s="7">
        <f t="shared" si="32"/>
        <v>0</v>
      </c>
      <c r="AL221" s="7" t="s">
        <v>4158</v>
      </c>
      <c r="AM221" s="18">
        <f t="shared" si="33"/>
        <v>1.6736195901591495</v>
      </c>
      <c r="AN221" s="18">
        <v>47.164973000000003</v>
      </c>
      <c r="AO221" s="18">
        <v>-95.196697999999998</v>
      </c>
      <c r="AP221" s="9" t="s">
        <v>363</v>
      </c>
      <c r="AQ221" s="9" t="s">
        <v>355</v>
      </c>
      <c r="AR221" s="15">
        <v>1977</v>
      </c>
      <c r="AS221" s="19" t="s">
        <v>584</v>
      </c>
      <c r="AT221" s="20" t="s">
        <v>585</v>
      </c>
      <c r="AU221" s="40">
        <v>9096515</v>
      </c>
      <c r="AV221" s="35">
        <f t="shared" si="34"/>
        <v>6.9588750399961636</v>
      </c>
      <c r="AW221" s="37" t="s">
        <v>366</v>
      </c>
      <c r="AX221" s="34" t="s">
        <v>355</v>
      </c>
      <c r="AY221" s="40" t="s">
        <v>355</v>
      </c>
      <c r="AZ221" s="15">
        <v>55</v>
      </c>
      <c r="BA221" s="14">
        <f t="shared" si="35"/>
        <v>1.7403626894942439</v>
      </c>
      <c r="BB221" s="37" t="s">
        <v>388</v>
      </c>
      <c r="BC221" s="20">
        <v>3.2786714685874192E-2</v>
      </c>
      <c r="BD221" s="9">
        <v>26.1</v>
      </c>
      <c r="BE221" s="9" t="s">
        <v>368</v>
      </c>
      <c r="BF221" s="9">
        <v>0</v>
      </c>
    </row>
    <row r="222" spans="1:58">
      <c r="A222" s="9">
        <v>704</v>
      </c>
      <c r="B222" s="10" t="s">
        <v>76</v>
      </c>
      <c r="C222" s="10" t="s">
        <v>369</v>
      </c>
      <c r="D222" s="20" t="s">
        <v>370</v>
      </c>
      <c r="E222" s="20" t="s">
        <v>485</v>
      </c>
      <c r="F222" s="10" t="s">
        <v>369</v>
      </c>
      <c r="G222" s="20" t="s">
        <v>370</v>
      </c>
      <c r="H222" s="20" t="s">
        <v>485</v>
      </c>
      <c r="I222" s="10" t="s">
        <v>369</v>
      </c>
      <c r="J222" s="20" t="s">
        <v>398</v>
      </c>
      <c r="K222" s="20" t="s">
        <v>486</v>
      </c>
      <c r="L222" s="9" t="s">
        <v>352</v>
      </c>
      <c r="M222" s="9">
        <v>10</v>
      </c>
      <c r="N222" s="9" t="s">
        <v>381</v>
      </c>
      <c r="O222" s="9" t="s">
        <v>354</v>
      </c>
      <c r="P222" s="12">
        <v>34.401108000000001</v>
      </c>
      <c r="Q222" s="12" t="s">
        <v>355</v>
      </c>
      <c r="R222" s="9" t="s">
        <v>356</v>
      </c>
      <c r="S222" s="13" t="s">
        <v>524</v>
      </c>
      <c r="T222" s="13" t="s">
        <v>524</v>
      </c>
      <c r="U222" s="14">
        <f t="shared" si="27"/>
        <v>0.69897000433601886</v>
      </c>
      <c r="V222" s="15">
        <v>15</v>
      </c>
      <c r="W222" s="12">
        <v>9.2540438999999992</v>
      </c>
      <c r="X222" s="12">
        <v>1</v>
      </c>
      <c r="Y222" s="13" t="s">
        <v>401</v>
      </c>
      <c r="Z222" s="9" t="s">
        <v>359</v>
      </c>
      <c r="AA222" s="10" t="s">
        <v>372</v>
      </c>
      <c r="AB222" s="9" t="s">
        <v>355</v>
      </c>
      <c r="AC222" s="15">
        <v>490</v>
      </c>
      <c r="AD222" s="14">
        <f t="shared" si="28"/>
        <v>2.6901960800285138</v>
      </c>
      <c r="AE222" s="10" t="s">
        <v>587</v>
      </c>
      <c r="AF222" s="9" t="s">
        <v>362</v>
      </c>
      <c r="AG222" s="18">
        <v>47.164973000000003</v>
      </c>
      <c r="AH222" s="7">
        <f t="shared" si="29"/>
        <v>1</v>
      </c>
      <c r="AI222" s="7">
        <f t="shared" si="30"/>
        <v>1</v>
      </c>
      <c r="AJ222" s="7">
        <f t="shared" si="31"/>
        <v>1</v>
      </c>
      <c r="AK222" s="7">
        <f t="shared" si="32"/>
        <v>0</v>
      </c>
      <c r="AL222" s="7" t="s">
        <v>4158</v>
      </c>
      <c r="AM222" s="18">
        <f t="shared" si="33"/>
        <v>1.6736195901591495</v>
      </c>
      <c r="AN222" s="18">
        <v>47.164973000000003</v>
      </c>
      <c r="AO222" s="18">
        <v>-95.196697999999998</v>
      </c>
      <c r="AP222" s="9" t="s">
        <v>363</v>
      </c>
      <c r="AQ222" s="9" t="s">
        <v>355</v>
      </c>
      <c r="AR222" s="15">
        <v>1977</v>
      </c>
      <c r="AS222" s="19" t="s">
        <v>584</v>
      </c>
      <c r="AT222" s="20" t="s">
        <v>585</v>
      </c>
      <c r="AU222" s="40">
        <v>9096515</v>
      </c>
      <c r="AV222" s="35">
        <f t="shared" si="34"/>
        <v>6.9588750399961636</v>
      </c>
      <c r="AW222" s="37" t="s">
        <v>366</v>
      </c>
      <c r="AX222" s="34" t="s">
        <v>355</v>
      </c>
      <c r="AY222" s="40" t="s">
        <v>355</v>
      </c>
      <c r="AZ222" s="15">
        <v>55</v>
      </c>
      <c r="BA222" s="14">
        <f t="shared" si="35"/>
        <v>1.7403626894942439</v>
      </c>
      <c r="BB222" s="37" t="s">
        <v>388</v>
      </c>
      <c r="BC222" s="20">
        <v>3.2786714685874192E-2</v>
      </c>
      <c r="BD222" s="9">
        <v>26.1</v>
      </c>
      <c r="BE222" s="9" t="s">
        <v>368</v>
      </c>
      <c r="BF222" s="9">
        <v>0</v>
      </c>
    </row>
    <row r="223" spans="1:58">
      <c r="A223" s="9">
        <v>705</v>
      </c>
      <c r="B223" s="10" t="s">
        <v>76</v>
      </c>
      <c r="C223" s="10" t="s">
        <v>369</v>
      </c>
      <c r="D223" s="20" t="s">
        <v>370</v>
      </c>
      <c r="E223" s="20" t="s">
        <v>485</v>
      </c>
      <c r="F223" s="10" t="s">
        <v>369</v>
      </c>
      <c r="G223" s="20" t="s">
        <v>370</v>
      </c>
      <c r="H223" s="20" t="s">
        <v>485</v>
      </c>
      <c r="I223" s="10" t="s">
        <v>369</v>
      </c>
      <c r="J223" s="20" t="s">
        <v>398</v>
      </c>
      <c r="K223" s="20" t="s">
        <v>486</v>
      </c>
      <c r="L223" s="9" t="s">
        <v>352</v>
      </c>
      <c r="M223" s="9">
        <v>9</v>
      </c>
      <c r="N223" s="9" t="s">
        <v>353</v>
      </c>
      <c r="O223" s="9" t="s">
        <v>354</v>
      </c>
      <c r="P223" s="12">
        <v>35.023989999999998</v>
      </c>
      <c r="Q223" s="12" t="s">
        <v>355</v>
      </c>
      <c r="R223" s="9" t="s">
        <v>356</v>
      </c>
      <c r="S223" s="13" t="s">
        <v>524</v>
      </c>
      <c r="T223" s="13" t="s">
        <v>524</v>
      </c>
      <c r="U223" s="14">
        <f t="shared" si="27"/>
        <v>0.69897000433601886</v>
      </c>
      <c r="V223" s="15">
        <v>25</v>
      </c>
      <c r="W223" s="12">
        <v>8.3147358999999952</v>
      </c>
      <c r="X223" s="12">
        <v>1</v>
      </c>
      <c r="Y223" s="13" t="s">
        <v>401</v>
      </c>
      <c r="Z223" s="9" t="s">
        <v>359</v>
      </c>
      <c r="AA223" s="10" t="s">
        <v>372</v>
      </c>
      <c r="AB223" s="9" t="s">
        <v>355</v>
      </c>
      <c r="AC223" s="15">
        <v>490</v>
      </c>
      <c r="AD223" s="14">
        <f t="shared" si="28"/>
        <v>2.6901960800285138</v>
      </c>
      <c r="AE223" s="10" t="s">
        <v>587</v>
      </c>
      <c r="AF223" s="9" t="s">
        <v>362</v>
      </c>
      <c r="AG223" s="18">
        <v>47.164973000000003</v>
      </c>
      <c r="AH223" s="7">
        <f t="shared" si="29"/>
        <v>1</v>
      </c>
      <c r="AI223" s="7">
        <f t="shared" si="30"/>
        <v>1</v>
      </c>
      <c r="AJ223" s="7">
        <f t="shared" si="31"/>
        <v>1</v>
      </c>
      <c r="AK223" s="7">
        <f t="shared" si="32"/>
        <v>0</v>
      </c>
      <c r="AL223" s="7" t="s">
        <v>4158</v>
      </c>
      <c r="AM223" s="18">
        <f t="shared" si="33"/>
        <v>1.6736195901591495</v>
      </c>
      <c r="AN223" s="18">
        <v>47.164973000000003</v>
      </c>
      <c r="AO223" s="18">
        <v>-95.196697999999998</v>
      </c>
      <c r="AP223" s="9" t="s">
        <v>363</v>
      </c>
      <c r="AQ223" s="9" t="s">
        <v>355</v>
      </c>
      <c r="AR223" s="15">
        <v>1977</v>
      </c>
      <c r="AS223" s="19" t="s">
        <v>584</v>
      </c>
      <c r="AT223" s="20" t="s">
        <v>585</v>
      </c>
      <c r="AU223" s="40">
        <v>9096515</v>
      </c>
      <c r="AV223" s="35">
        <f t="shared" si="34"/>
        <v>6.9588750399961636</v>
      </c>
      <c r="AW223" s="37" t="s">
        <v>366</v>
      </c>
      <c r="AX223" s="34" t="s">
        <v>355</v>
      </c>
      <c r="AY223" s="40" t="s">
        <v>355</v>
      </c>
      <c r="AZ223" s="15">
        <v>55</v>
      </c>
      <c r="BA223" s="14">
        <f t="shared" si="35"/>
        <v>1.7403626894942439</v>
      </c>
      <c r="BB223" s="37" t="s">
        <v>388</v>
      </c>
      <c r="BC223" s="20">
        <v>3.2786714685874192E-2</v>
      </c>
      <c r="BD223" s="9">
        <v>26.1</v>
      </c>
      <c r="BE223" s="9" t="s">
        <v>368</v>
      </c>
      <c r="BF223" s="9">
        <v>0</v>
      </c>
    </row>
    <row r="224" spans="1:58">
      <c r="A224" s="9">
        <v>625</v>
      </c>
      <c r="B224" s="10" t="s">
        <v>76</v>
      </c>
      <c r="C224" s="10" t="s">
        <v>369</v>
      </c>
      <c r="D224" s="20" t="s">
        <v>370</v>
      </c>
      <c r="E224" s="20" t="s">
        <v>588</v>
      </c>
      <c r="F224" s="10" t="s">
        <v>369</v>
      </c>
      <c r="G224" s="20" t="s">
        <v>370</v>
      </c>
      <c r="H224" s="20" t="s">
        <v>588</v>
      </c>
      <c r="I224" s="10" t="s">
        <v>369</v>
      </c>
      <c r="J224" s="20" t="s">
        <v>398</v>
      </c>
      <c r="K224" s="20" t="s">
        <v>589</v>
      </c>
      <c r="L224" s="9" t="s">
        <v>352</v>
      </c>
      <c r="M224" s="9">
        <v>24</v>
      </c>
      <c r="N224" s="9" t="s">
        <v>381</v>
      </c>
      <c r="O224" s="9" t="s">
        <v>354</v>
      </c>
      <c r="P224" s="12">
        <v>35.76</v>
      </c>
      <c r="Q224" s="12" t="s">
        <v>355</v>
      </c>
      <c r="R224" s="9" t="s">
        <v>356</v>
      </c>
      <c r="S224" s="13">
        <v>4</v>
      </c>
      <c r="T224" s="13">
        <v>4</v>
      </c>
      <c r="U224" s="14">
        <f t="shared" si="27"/>
        <v>0.69897000433601886</v>
      </c>
      <c r="V224" s="15">
        <v>5</v>
      </c>
      <c r="W224" s="12">
        <v>9.2218923999999944</v>
      </c>
      <c r="X224" s="12">
        <v>0.54</v>
      </c>
      <c r="Y224" s="13" t="s">
        <v>401</v>
      </c>
      <c r="Z224" s="9" t="s">
        <v>417</v>
      </c>
      <c r="AA224" s="10" t="s">
        <v>418</v>
      </c>
      <c r="AB224" s="9" t="s">
        <v>355</v>
      </c>
      <c r="AC224" s="15">
        <v>32</v>
      </c>
      <c r="AD224" s="14">
        <f t="shared" si="28"/>
        <v>1.505149978319906</v>
      </c>
      <c r="AE224" s="10" t="s">
        <v>590</v>
      </c>
      <c r="AF224" s="9" t="s">
        <v>362</v>
      </c>
      <c r="AG224" s="18">
        <v>39.855848999999999</v>
      </c>
      <c r="AH224" s="7">
        <f t="shared" si="29"/>
        <v>1</v>
      </c>
      <c r="AI224" s="7">
        <f t="shared" si="30"/>
        <v>1</v>
      </c>
      <c r="AJ224" s="7">
        <f t="shared" si="31"/>
        <v>0</v>
      </c>
      <c r="AK224" s="7">
        <f t="shared" si="32"/>
        <v>0</v>
      </c>
      <c r="AL224" s="7" t="s">
        <v>4157</v>
      </c>
      <c r="AM224" s="18">
        <f t="shared" si="33"/>
        <v>1.6004920648042591</v>
      </c>
      <c r="AN224" s="18">
        <v>39.855848999999999</v>
      </c>
      <c r="AO224" s="18">
        <v>-74.686881999999997</v>
      </c>
      <c r="AP224" s="9" t="s">
        <v>363</v>
      </c>
      <c r="AQ224" s="9" t="s">
        <v>355</v>
      </c>
      <c r="AR224" s="15">
        <v>1973</v>
      </c>
      <c r="AS224" s="19" t="s">
        <v>591</v>
      </c>
      <c r="AT224" s="10" t="s">
        <v>592</v>
      </c>
      <c r="AU224" s="40">
        <v>166551</v>
      </c>
      <c r="AV224" s="35">
        <f t="shared" si="34"/>
        <v>5.2215472446115729</v>
      </c>
      <c r="AW224" s="37" t="s">
        <v>366</v>
      </c>
      <c r="AX224" s="34" t="s">
        <v>355</v>
      </c>
      <c r="AY224" s="40" t="s">
        <v>355</v>
      </c>
      <c r="AZ224" s="15">
        <v>55</v>
      </c>
      <c r="BA224" s="14">
        <f t="shared" si="35"/>
        <v>1.7403626894942439</v>
      </c>
      <c r="BB224" s="37" t="s">
        <v>388</v>
      </c>
      <c r="BC224" s="20">
        <v>2.2967987194878095E-2</v>
      </c>
      <c r="BD224" s="9">
        <v>29.6</v>
      </c>
      <c r="BE224" s="9" t="s">
        <v>368</v>
      </c>
      <c r="BF224" s="9">
        <v>0</v>
      </c>
    </row>
    <row r="225" spans="1:58">
      <c r="A225" s="9">
        <v>626</v>
      </c>
      <c r="B225" s="10" t="s">
        <v>76</v>
      </c>
      <c r="C225" s="10" t="s">
        <v>369</v>
      </c>
      <c r="D225" s="20" t="s">
        <v>370</v>
      </c>
      <c r="E225" s="20" t="s">
        <v>588</v>
      </c>
      <c r="F225" s="10" t="s">
        <v>369</v>
      </c>
      <c r="G225" s="20" t="s">
        <v>370</v>
      </c>
      <c r="H225" s="20" t="s">
        <v>588</v>
      </c>
      <c r="I225" s="10" t="s">
        <v>369</v>
      </c>
      <c r="J225" s="20" t="s">
        <v>398</v>
      </c>
      <c r="K225" s="20" t="s">
        <v>589</v>
      </c>
      <c r="L225" s="9" t="s">
        <v>352</v>
      </c>
      <c r="M225" s="9">
        <v>24</v>
      </c>
      <c r="N225" s="9" t="s">
        <v>381</v>
      </c>
      <c r="O225" s="9" t="s">
        <v>354</v>
      </c>
      <c r="P225" s="12">
        <v>37.409999999999997</v>
      </c>
      <c r="Q225" s="12" t="s">
        <v>355</v>
      </c>
      <c r="R225" s="9" t="s">
        <v>356</v>
      </c>
      <c r="S225" s="13">
        <v>4</v>
      </c>
      <c r="T225" s="13">
        <v>4</v>
      </c>
      <c r="U225" s="14">
        <f t="shared" si="27"/>
        <v>0.69897000433601886</v>
      </c>
      <c r="V225" s="15">
        <v>15</v>
      </c>
      <c r="W225" s="12">
        <v>9.3097023999999919</v>
      </c>
      <c r="X225" s="12">
        <v>0.54</v>
      </c>
      <c r="Y225" s="13" t="s">
        <v>401</v>
      </c>
      <c r="Z225" s="9" t="s">
        <v>417</v>
      </c>
      <c r="AA225" s="10" t="s">
        <v>418</v>
      </c>
      <c r="AB225" s="9" t="s">
        <v>355</v>
      </c>
      <c r="AC225" s="15">
        <v>32</v>
      </c>
      <c r="AD225" s="14">
        <f t="shared" si="28"/>
        <v>1.505149978319906</v>
      </c>
      <c r="AE225" s="10" t="s">
        <v>590</v>
      </c>
      <c r="AF225" s="9" t="s">
        <v>362</v>
      </c>
      <c r="AG225" s="18">
        <v>39.855848999999999</v>
      </c>
      <c r="AH225" s="7">
        <f t="shared" si="29"/>
        <v>1</v>
      </c>
      <c r="AI225" s="7">
        <f t="shared" si="30"/>
        <v>1</v>
      </c>
      <c r="AJ225" s="7">
        <f t="shared" si="31"/>
        <v>0</v>
      </c>
      <c r="AK225" s="7">
        <f t="shared" si="32"/>
        <v>0</v>
      </c>
      <c r="AL225" s="7" t="s">
        <v>4157</v>
      </c>
      <c r="AM225" s="18">
        <f t="shared" si="33"/>
        <v>1.6004920648042591</v>
      </c>
      <c r="AN225" s="18">
        <v>39.855848999999999</v>
      </c>
      <c r="AO225" s="18">
        <v>-74.686881999999997</v>
      </c>
      <c r="AP225" s="9" t="s">
        <v>363</v>
      </c>
      <c r="AQ225" s="9" t="s">
        <v>355</v>
      </c>
      <c r="AR225" s="15">
        <v>1973</v>
      </c>
      <c r="AS225" s="19" t="s">
        <v>591</v>
      </c>
      <c r="AT225" s="10" t="s">
        <v>592</v>
      </c>
      <c r="AU225" s="40">
        <v>166551</v>
      </c>
      <c r="AV225" s="35">
        <f t="shared" si="34"/>
        <v>5.2215472446115729</v>
      </c>
      <c r="AW225" s="37" t="s">
        <v>366</v>
      </c>
      <c r="AX225" s="34" t="s">
        <v>355</v>
      </c>
      <c r="AY225" s="40" t="s">
        <v>355</v>
      </c>
      <c r="AZ225" s="15">
        <v>55</v>
      </c>
      <c r="BA225" s="14">
        <f t="shared" si="35"/>
        <v>1.7403626894942439</v>
      </c>
      <c r="BB225" s="37" t="s">
        <v>388</v>
      </c>
      <c r="BC225" s="20">
        <v>2.2967987194878095E-2</v>
      </c>
      <c r="BD225" s="9">
        <v>29.6</v>
      </c>
      <c r="BE225" s="9" t="s">
        <v>368</v>
      </c>
      <c r="BF225" s="9">
        <v>0</v>
      </c>
    </row>
    <row r="226" spans="1:58">
      <c r="A226" s="9">
        <v>31</v>
      </c>
      <c r="B226" s="10" t="s">
        <v>76</v>
      </c>
      <c r="C226" s="10" t="s">
        <v>389</v>
      </c>
      <c r="D226" s="20" t="s">
        <v>415</v>
      </c>
      <c r="E226" s="20" t="s">
        <v>593</v>
      </c>
      <c r="F226" s="10" t="s">
        <v>389</v>
      </c>
      <c r="G226" s="20" t="s">
        <v>415</v>
      </c>
      <c r="H226" s="20" t="s">
        <v>593</v>
      </c>
      <c r="I226" s="10" t="s">
        <v>389</v>
      </c>
      <c r="J226" s="20" t="s">
        <v>415</v>
      </c>
      <c r="K226" s="20" t="s">
        <v>593</v>
      </c>
      <c r="L226" s="9" t="s">
        <v>380</v>
      </c>
      <c r="M226" s="9">
        <v>15</v>
      </c>
      <c r="N226" s="9" t="s">
        <v>381</v>
      </c>
      <c r="O226" s="9" t="s">
        <v>382</v>
      </c>
      <c r="P226" s="12">
        <v>39.200000000000003</v>
      </c>
      <c r="Q226" s="12" t="s">
        <v>355</v>
      </c>
      <c r="R226" s="9" t="s">
        <v>356</v>
      </c>
      <c r="S226" s="13">
        <v>4</v>
      </c>
      <c r="T226" s="13">
        <v>4</v>
      </c>
      <c r="U226" s="14">
        <f t="shared" si="27"/>
        <v>0.69897000433601886</v>
      </c>
      <c r="V226" s="15">
        <v>20</v>
      </c>
      <c r="W226" s="12"/>
      <c r="X226" s="12">
        <v>1</v>
      </c>
      <c r="Y226" s="13" t="s">
        <v>358</v>
      </c>
      <c r="Z226" s="9" t="s">
        <v>417</v>
      </c>
      <c r="AA226" s="10" t="s">
        <v>418</v>
      </c>
      <c r="AB226" s="9" t="s">
        <v>355</v>
      </c>
      <c r="AC226" s="15">
        <v>312</v>
      </c>
      <c r="AD226" s="14">
        <f t="shared" si="28"/>
        <v>2.4941545940184429</v>
      </c>
      <c r="AE226" s="10" t="s">
        <v>534</v>
      </c>
      <c r="AF226" s="9" t="s">
        <v>420</v>
      </c>
      <c r="AG226" s="18">
        <v>27.087367</v>
      </c>
      <c r="AH226" s="7">
        <f t="shared" si="29"/>
        <v>1</v>
      </c>
      <c r="AI226" s="7">
        <f t="shared" si="30"/>
        <v>0</v>
      </c>
      <c r="AJ226" s="7">
        <f t="shared" si="31"/>
        <v>0</v>
      </c>
      <c r="AK226" s="7">
        <f t="shared" si="32"/>
        <v>0</v>
      </c>
      <c r="AL226" s="7" t="s">
        <v>4159</v>
      </c>
      <c r="AM226" s="18">
        <f t="shared" si="33"/>
        <v>1.4327667919307208</v>
      </c>
      <c r="AN226" s="18">
        <v>-27.087367</v>
      </c>
      <c r="AO226" s="18">
        <v>-54.950392000000001</v>
      </c>
      <c r="AP226" s="9" t="s">
        <v>363</v>
      </c>
      <c r="AQ226" s="9" t="s">
        <v>355</v>
      </c>
      <c r="AR226" s="15">
        <v>2012</v>
      </c>
      <c r="AS226" s="19" t="s">
        <v>520</v>
      </c>
      <c r="AT226" s="20" t="s">
        <v>521</v>
      </c>
      <c r="AU226" s="40">
        <v>12804</v>
      </c>
      <c r="AV226" s="35">
        <f t="shared" si="34"/>
        <v>4.1073456654720948</v>
      </c>
      <c r="AW226" s="37" t="s">
        <v>366</v>
      </c>
      <c r="AX226" s="40">
        <v>150</v>
      </c>
      <c r="AY226" s="40">
        <v>350</v>
      </c>
      <c r="AZ226" s="36">
        <v>33</v>
      </c>
      <c r="BA226" s="14">
        <f t="shared" si="35"/>
        <v>1.5185139398778875</v>
      </c>
      <c r="BB226" s="37" t="s">
        <v>367</v>
      </c>
      <c r="BC226" s="20">
        <v>2.8247298919569274E-3</v>
      </c>
      <c r="BD226" s="9">
        <v>31.200000000000003</v>
      </c>
      <c r="BE226" s="9" t="s">
        <v>459</v>
      </c>
      <c r="BF226" s="9">
        <v>1</v>
      </c>
    </row>
    <row r="227" spans="1:58">
      <c r="A227" s="9">
        <v>960</v>
      </c>
      <c r="B227" s="10" t="s">
        <v>76</v>
      </c>
      <c r="C227" s="10" t="s">
        <v>369</v>
      </c>
      <c r="D227" s="20" t="s">
        <v>594</v>
      </c>
      <c r="E227" s="20" t="s">
        <v>595</v>
      </c>
      <c r="F227" s="10" t="s">
        <v>369</v>
      </c>
      <c r="G227" s="20" t="s">
        <v>594</v>
      </c>
      <c r="H227" s="20" t="s">
        <v>595</v>
      </c>
      <c r="I227" s="10" t="s">
        <v>582</v>
      </c>
      <c r="J227" s="20" t="s">
        <v>594</v>
      </c>
      <c r="K227" s="20" t="s">
        <v>595</v>
      </c>
      <c r="L227" s="9" t="s">
        <v>352</v>
      </c>
      <c r="M227" s="9">
        <v>10</v>
      </c>
      <c r="N227" s="9" t="s">
        <v>355</v>
      </c>
      <c r="O227" s="9" t="s">
        <v>558</v>
      </c>
      <c r="P227" s="12">
        <v>35.299999999999997</v>
      </c>
      <c r="Q227" s="12" t="s">
        <v>355</v>
      </c>
      <c r="R227" s="9" t="s">
        <v>356</v>
      </c>
      <c r="S227" s="13" t="s">
        <v>524</v>
      </c>
      <c r="T227" s="13" t="s">
        <v>524</v>
      </c>
      <c r="U227" s="14">
        <f t="shared" si="27"/>
        <v>0.69897000433601886</v>
      </c>
      <c r="V227" s="15">
        <v>22</v>
      </c>
      <c r="W227" s="12">
        <v>10.325074399999998</v>
      </c>
      <c r="X227" s="12">
        <v>0.5</v>
      </c>
      <c r="Y227" s="13" t="s">
        <v>355</v>
      </c>
      <c r="Z227" s="9" t="s">
        <v>417</v>
      </c>
      <c r="AA227" s="10" t="s">
        <v>418</v>
      </c>
      <c r="AB227" s="9" t="s">
        <v>355</v>
      </c>
      <c r="AC227" s="15">
        <v>1100</v>
      </c>
      <c r="AD227" s="14">
        <f t="shared" si="28"/>
        <v>3.0413926851582249</v>
      </c>
      <c r="AE227" s="10" t="s">
        <v>559</v>
      </c>
      <c r="AF227" s="9" t="s">
        <v>408</v>
      </c>
      <c r="AG227" s="18">
        <v>14.067500000000001</v>
      </c>
      <c r="AH227" s="7">
        <f t="shared" si="29"/>
        <v>0</v>
      </c>
      <c r="AI227" s="7">
        <f t="shared" si="30"/>
        <v>0</v>
      </c>
      <c r="AJ227" s="7">
        <f t="shared" si="31"/>
        <v>0</v>
      </c>
      <c r="AK227" s="7">
        <f t="shared" si="32"/>
        <v>0</v>
      </c>
      <c r="AL227" s="7" t="s">
        <v>4160</v>
      </c>
      <c r="AM227" s="18">
        <f t="shared" si="33"/>
        <v>1.1482169238260302</v>
      </c>
      <c r="AN227" s="18">
        <v>14.067500000000001</v>
      </c>
      <c r="AO227" s="18">
        <v>121.49250000000001</v>
      </c>
      <c r="AP227" s="9" t="s">
        <v>363</v>
      </c>
      <c r="AQ227" s="9" t="s">
        <v>355</v>
      </c>
      <c r="AR227" s="15">
        <v>2013</v>
      </c>
      <c r="AS227" s="19" t="s">
        <v>560</v>
      </c>
      <c r="AT227" s="20" t="s">
        <v>561</v>
      </c>
      <c r="AU227" s="40">
        <v>509823</v>
      </c>
      <c r="AV227" s="35">
        <f t="shared" si="34"/>
        <v>5.7074194242045806</v>
      </c>
      <c r="AW227" s="37" t="s">
        <v>366</v>
      </c>
      <c r="AX227" s="34">
        <v>0</v>
      </c>
      <c r="AY227" s="34">
        <v>1800</v>
      </c>
      <c r="AZ227" s="15">
        <v>33</v>
      </c>
      <c r="BA227" s="14">
        <f t="shared" si="35"/>
        <v>1.5185139398778875</v>
      </c>
      <c r="BB227" s="41" t="s">
        <v>343</v>
      </c>
      <c r="BC227" s="20">
        <v>-6.6590636254504464E-3</v>
      </c>
      <c r="BD227" s="9">
        <v>24.6</v>
      </c>
      <c r="BE227" s="9" t="s">
        <v>368</v>
      </c>
      <c r="BF227" s="9">
        <v>0</v>
      </c>
    </row>
    <row r="228" spans="1:58">
      <c r="A228" s="9">
        <v>46</v>
      </c>
      <c r="B228" s="10" t="s">
        <v>76</v>
      </c>
      <c r="C228" s="10" t="s">
        <v>596</v>
      </c>
      <c r="D228" s="20" t="s">
        <v>597</v>
      </c>
      <c r="E228" s="20" t="s">
        <v>598</v>
      </c>
      <c r="F228" s="10" t="s">
        <v>596</v>
      </c>
      <c r="G228" s="20" t="s">
        <v>597</v>
      </c>
      <c r="H228" s="20" t="s">
        <v>598</v>
      </c>
      <c r="I228" s="10" t="s">
        <v>596</v>
      </c>
      <c r="J228" s="20" t="s">
        <v>597</v>
      </c>
      <c r="K228" s="20" t="s">
        <v>598</v>
      </c>
      <c r="L228" s="9" t="s">
        <v>380</v>
      </c>
      <c r="M228" s="9">
        <v>14</v>
      </c>
      <c r="N228" s="9" t="s">
        <v>381</v>
      </c>
      <c r="O228" s="9" t="s">
        <v>382</v>
      </c>
      <c r="P228" s="12">
        <v>39.4</v>
      </c>
      <c r="Q228" s="12" t="s">
        <v>355</v>
      </c>
      <c r="R228" s="9" t="s">
        <v>356</v>
      </c>
      <c r="S228" s="13">
        <v>4</v>
      </c>
      <c r="T228" s="13">
        <v>4</v>
      </c>
      <c r="U228" s="14">
        <f t="shared" si="27"/>
        <v>0.69897000433601886</v>
      </c>
      <c r="V228" s="15">
        <v>20</v>
      </c>
      <c r="W228" s="12"/>
      <c r="X228" s="12">
        <v>1</v>
      </c>
      <c r="Y228" s="13" t="s">
        <v>358</v>
      </c>
      <c r="Z228" s="9" t="s">
        <v>417</v>
      </c>
      <c r="AA228" s="10" t="s">
        <v>418</v>
      </c>
      <c r="AB228" s="9" t="s">
        <v>355</v>
      </c>
      <c r="AC228" s="15">
        <v>1756</v>
      </c>
      <c r="AD228" s="14">
        <f t="shared" si="28"/>
        <v>3.2445245115700838</v>
      </c>
      <c r="AE228" s="10" t="s">
        <v>519</v>
      </c>
      <c r="AF228" s="9" t="s">
        <v>420</v>
      </c>
      <c r="AG228" s="18">
        <v>37.378830999999998</v>
      </c>
      <c r="AH228" s="7">
        <f t="shared" si="29"/>
        <v>1</v>
      </c>
      <c r="AI228" s="7">
        <f t="shared" si="30"/>
        <v>1</v>
      </c>
      <c r="AJ228" s="7">
        <f t="shared" si="31"/>
        <v>0</v>
      </c>
      <c r="AK228" s="7">
        <f t="shared" si="32"/>
        <v>0</v>
      </c>
      <c r="AL228" s="7" t="s">
        <v>4157</v>
      </c>
      <c r="AM228" s="18">
        <f t="shared" si="33"/>
        <v>1.5726257149618044</v>
      </c>
      <c r="AN228" s="18">
        <v>37.378830999999998</v>
      </c>
      <c r="AO228" s="18">
        <v>-2.8584580000000002</v>
      </c>
      <c r="AP228" s="9" t="s">
        <v>363</v>
      </c>
      <c r="AQ228" s="9" t="s">
        <v>355</v>
      </c>
      <c r="AR228" s="15">
        <v>2012</v>
      </c>
      <c r="AS228" s="19" t="s">
        <v>520</v>
      </c>
      <c r="AT228" s="20" t="s">
        <v>521</v>
      </c>
      <c r="AU228" s="40">
        <v>494247</v>
      </c>
      <c r="AV228" s="35">
        <f t="shared" si="34"/>
        <v>5.6939440418958771</v>
      </c>
      <c r="AW228" s="37" t="s">
        <v>366</v>
      </c>
      <c r="AX228" s="40">
        <v>0</v>
      </c>
      <c r="AY228" s="49">
        <v>1770</v>
      </c>
      <c r="AZ228" s="37">
        <v>75</v>
      </c>
      <c r="BA228" s="14">
        <f t="shared" si="35"/>
        <v>1.8750612633917001</v>
      </c>
      <c r="BB228" s="37" t="s">
        <v>367</v>
      </c>
      <c r="BC228" s="20">
        <v>3.0292917166866652E-2</v>
      </c>
      <c r="BD228" s="9">
        <v>28.8</v>
      </c>
      <c r="BE228" s="9" t="s">
        <v>459</v>
      </c>
      <c r="BF228" s="9">
        <v>1</v>
      </c>
    </row>
    <row r="229" spans="1:58">
      <c r="A229" s="9">
        <v>47</v>
      </c>
      <c r="B229" s="10" t="s">
        <v>76</v>
      </c>
      <c r="C229" s="10" t="s">
        <v>599</v>
      </c>
      <c r="D229" s="20" t="s">
        <v>600</v>
      </c>
      <c r="E229" s="20" t="s">
        <v>601</v>
      </c>
      <c r="F229" s="10" t="s">
        <v>599</v>
      </c>
      <c r="G229" s="20" t="s">
        <v>600</v>
      </c>
      <c r="H229" s="20" t="s">
        <v>601</v>
      </c>
      <c r="I229" s="10" t="s">
        <v>599</v>
      </c>
      <c r="J229" s="20" t="s">
        <v>600</v>
      </c>
      <c r="K229" s="20" t="s">
        <v>601</v>
      </c>
      <c r="L229" s="9" t="s">
        <v>380</v>
      </c>
      <c r="M229" s="9">
        <v>30</v>
      </c>
      <c r="N229" s="9" t="s">
        <v>381</v>
      </c>
      <c r="O229" s="9" t="s">
        <v>382</v>
      </c>
      <c r="P229" s="12">
        <v>37</v>
      </c>
      <c r="Q229" s="12" t="s">
        <v>355</v>
      </c>
      <c r="R229" s="9" t="s">
        <v>356</v>
      </c>
      <c r="S229" s="13">
        <v>4</v>
      </c>
      <c r="T229" s="13">
        <v>4</v>
      </c>
      <c r="U229" s="14">
        <f t="shared" si="27"/>
        <v>0.69897000433601886</v>
      </c>
      <c r="V229" s="15">
        <v>20</v>
      </c>
      <c r="W229" s="12"/>
      <c r="X229" s="12">
        <v>1</v>
      </c>
      <c r="Y229" s="13" t="s">
        <v>358</v>
      </c>
      <c r="Z229" s="9" t="s">
        <v>417</v>
      </c>
      <c r="AA229" s="10" t="s">
        <v>418</v>
      </c>
      <c r="AB229" s="9" t="s">
        <v>355</v>
      </c>
      <c r="AC229" s="15">
        <v>1756</v>
      </c>
      <c r="AD229" s="14">
        <f t="shared" si="28"/>
        <v>3.2445245115700838</v>
      </c>
      <c r="AE229" s="10" t="s">
        <v>519</v>
      </c>
      <c r="AF229" s="9" t="s">
        <v>420</v>
      </c>
      <c r="AG229" s="18">
        <v>37.378830999999998</v>
      </c>
      <c r="AH229" s="7">
        <f t="shared" si="29"/>
        <v>1</v>
      </c>
      <c r="AI229" s="7">
        <f t="shared" si="30"/>
        <v>1</v>
      </c>
      <c r="AJ229" s="7">
        <f t="shared" si="31"/>
        <v>0</v>
      </c>
      <c r="AK229" s="7">
        <f t="shared" si="32"/>
        <v>0</v>
      </c>
      <c r="AL229" s="7" t="s">
        <v>4157</v>
      </c>
      <c r="AM229" s="18">
        <f t="shared" si="33"/>
        <v>1.5726257149618044</v>
      </c>
      <c r="AN229" s="18">
        <v>37.378830999999998</v>
      </c>
      <c r="AO229" s="18">
        <v>-2.8584580000000002</v>
      </c>
      <c r="AP229" s="9" t="s">
        <v>363</v>
      </c>
      <c r="AQ229" s="9" t="s">
        <v>355</v>
      </c>
      <c r="AR229" s="15">
        <v>2012</v>
      </c>
      <c r="AS229" s="19" t="s">
        <v>520</v>
      </c>
      <c r="AT229" s="20" t="s">
        <v>521</v>
      </c>
      <c r="AU229" s="40">
        <v>110052</v>
      </c>
      <c r="AV229" s="35">
        <f t="shared" si="34"/>
        <v>5.0415979394933759</v>
      </c>
      <c r="AW229" s="37" t="s">
        <v>366</v>
      </c>
      <c r="AX229" s="40">
        <v>0</v>
      </c>
      <c r="AY229" s="40">
        <v>1450</v>
      </c>
      <c r="AZ229" s="36">
        <v>33</v>
      </c>
      <c r="BA229" s="14">
        <f t="shared" si="35"/>
        <v>1.5185139398778875</v>
      </c>
      <c r="BB229" s="37" t="s">
        <v>367</v>
      </c>
      <c r="BC229" s="20">
        <v>3.0292917166866652E-2</v>
      </c>
      <c r="BD229" s="9">
        <v>28.8</v>
      </c>
      <c r="BE229" s="9" t="s">
        <v>368</v>
      </c>
      <c r="BF229" s="9">
        <v>0</v>
      </c>
    </row>
    <row r="230" spans="1:58">
      <c r="A230" s="9">
        <v>48</v>
      </c>
      <c r="B230" s="10" t="s">
        <v>76</v>
      </c>
      <c r="C230" s="10" t="s">
        <v>369</v>
      </c>
      <c r="D230" s="20" t="s">
        <v>602</v>
      </c>
      <c r="E230" s="20" t="s">
        <v>603</v>
      </c>
      <c r="F230" s="20" t="s">
        <v>369</v>
      </c>
      <c r="G230" s="20" t="s">
        <v>370</v>
      </c>
      <c r="H230" s="20" t="s">
        <v>604</v>
      </c>
      <c r="I230" s="20" t="s">
        <v>369</v>
      </c>
      <c r="J230" s="20" t="s">
        <v>602</v>
      </c>
      <c r="K230" s="20" t="s">
        <v>603</v>
      </c>
      <c r="L230" s="9" t="s">
        <v>380</v>
      </c>
      <c r="M230" s="9">
        <v>17</v>
      </c>
      <c r="N230" s="9" t="s">
        <v>381</v>
      </c>
      <c r="O230" s="9" t="s">
        <v>382</v>
      </c>
      <c r="P230" s="12">
        <v>38.6</v>
      </c>
      <c r="Q230" s="12" t="s">
        <v>355</v>
      </c>
      <c r="R230" s="9" t="s">
        <v>356</v>
      </c>
      <c r="S230" s="13">
        <v>4</v>
      </c>
      <c r="T230" s="13">
        <v>4</v>
      </c>
      <c r="U230" s="14">
        <f t="shared" si="27"/>
        <v>0.69897000433601886</v>
      </c>
      <c r="V230" s="15">
        <v>20</v>
      </c>
      <c r="W230" s="12"/>
      <c r="X230" s="12">
        <v>1</v>
      </c>
      <c r="Y230" s="13" t="s">
        <v>358</v>
      </c>
      <c r="Z230" s="9" t="s">
        <v>417</v>
      </c>
      <c r="AA230" s="10" t="s">
        <v>418</v>
      </c>
      <c r="AB230" s="9" t="s">
        <v>355</v>
      </c>
      <c r="AC230" s="15">
        <v>1756</v>
      </c>
      <c r="AD230" s="14">
        <f t="shared" si="28"/>
        <v>3.2445245115700838</v>
      </c>
      <c r="AE230" s="10" t="s">
        <v>519</v>
      </c>
      <c r="AF230" s="9" t="s">
        <v>420</v>
      </c>
      <c r="AG230" s="18">
        <v>37.378830999999998</v>
      </c>
      <c r="AH230" s="7">
        <f t="shared" si="29"/>
        <v>1</v>
      </c>
      <c r="AI230" s="7">
        <f t="shared" si="30"/>
        <v>1</v>
      </c>
      <c r="AJ230" s="7">
        <f t="shared" si="31"/>
        <v>0</v>
      </c>
      <c r="AK230" s="7">
        <f t="shared" si="32"/>
        <v>0</v>
      </c>
      <c r="AL230" s="7" t="s">
        <v>4157</v>
      </c>
      <c r="AM230" s="18">
        <f t="shared" si="33"/>
        <v>1.5726257149618044</v>
      </c>
      <c r="AN230" s="18">
        <v>37.378830999999998</v>
      </c>
      <c r="AO230" s="18">
        <v>-2.8584580000000002</v>
      </c>
      <c r="AP230" s="9" t="s">
        <v>363</v>
      </c>
      <c r="AQ230" s="9" t="s">
        <v>355</v>
      </c>
      <c r="AR230" s="15">
        <v>2012</v>
      </c>
      <c r="AS230" s="19" t="s">
        <v>520</v>
      </c>
      <c r="AT230" s="20" t="s">
        <v>521</v>
      </c>
      <c r="AU230" s="40">
        <v>3188492</v>
      </c>
      <c r="AV230" s="35">
        <f t="shared" si="34"/>
        <v>6.5035853316697647</v>
      </c>
      <c r="AW230" s="37" t="s">
        <v>338</v>
      </c>
      <c r="AX230" s="34" t="s">
        <v>355</v>
      </c>
      <c r="AY230" s="40">
        <v>1550</v>
      </c>
      <c r="AZ230" s="36">
        <v>57.5</v>
      </c>
      <c r="BA230" s="14">
        <f t="shared" si="35"/>
        <v>1.7596678446896306</v>
      </c>
      <c r="BB230" s="37" t="s">
        <v>388</v>
      </c>
      <c r="BC230" s="20">
        <v>3.0292917166866652E-2</v>
      </c>
      <c r="BD230" s="9">
        <v>28.8</v>
      </c>
      <c r="BE230" s="9" t="s">
        <v>368</v>
      </c>
      <c r="BF230" s="9">
        <v>0</v>
      </c>
    </row>
    <row r="231" spans="1:58">
      <c r="A231" s="9">
        <v>49</v>
      </c>
      <c r="B231" s="10" t="s">
        <v>76</v>
      </c>
      <c r="C231" s="10" t="s">
        <v>369</v>
      </c>
      <c r="D231" s="20" t="s">
        <v>602</v>
      </c>
      <c r="E231" s="20" t="s">
        <v>605</v>
      </c>
      <c r="F231" s="20" t="s">
        <v>369</v>
      </c>
      <c r="G231" s="20" t="s">
        <v>370</v>
      </c>
      <c r="H231" s="20" t="s">
        <v>605</v>
      </c>
      <c r="I231" s="20" t="s">
        <v>369</v>
      </c>
      <c r="J231" s="20" t="s">
        <v>602</v>
      </c>
      <c r="K231" s="20" t="s">
        <v>605</v>
      </c>
      <c r="L231" s="9" t="s">
        <v>380</v>
      </c>
      <c r="M231" s="9">
        <v>8</v>
      </c>
      <c r="N231" s="9" t="s">
        <v>353</v>
      </c>
      <c r="O231" s="9" t="s">
        <v>382</v>
      </c>
      <c r="P231" s="12">
        <v>39.6</v>
      </c>
      <c r="Q231" s="12" t="s">
        <v>355</v>
      </c>
      <c r="R231" s="9" t="s">
        <v>356</v>
      </c>
      <c r="S231" s="13">
        <v>4</v>
      </c>
      <c r="T231" s="13">
        <v>4</v>
      </c>
      <c r="U231" s="14">
        <f t="shared" si="27"/>
        <v>0.69897000433601886</v>
      </c>
      <c r="V231" s="15">
        <v>20</v>
      </c>
      <c r="W231" s="12"/>
      <c r="X231" s="12">
        <v>1</v>
      </c>
      <c r="Y231" s="13" t="s">
        <v>358</v>
      </c>
      <c r="Z231" s="9" t="s">
        <v>417</v>
      </c>
      <c r="AA231" s="10" t="s">
        <v>418</v>
      </c>
      <c r="AB231" s="9" t="s">
        <v>355</v>
      </c>
      <c r="AC231" s="15">
        <v>1756</v>
      </c>
      <c r="AD231" s="14">
        <f t="shared" si="28"/>
        <v>3.2445245115700838</v>
      </c>
      <c r="AE231" s="10" t="s">
        <v>519</v>
      </c>
      <c r="AF231" s="9" t="s">
        <v>420</v>
      </c>
      <c r="AG231" s="18">
        <v>37.378830999999998</v>
      </c>
      <c r="AH231" s="7">
        <f t="shared" si="29"/>
        <v>1</v>
      </c>
      <c r="AI231" s="7">
        <f t="shared" si="30"/>
        <v>1</v>
      </c>
      <c r="AJ231" s="7">
        <f t="shared" si="31"/>
        <v>0</v>
      </c>
      <c r="AK231" s="7">
        <f t="shared" si="32"/>
        <v>0</v>
      </c>
      <c r="AL231" s="7" t="s">
        <v>4157</v>
      </c>
      <c r="AM231" s="18">
        <f t="shared" si="33"/>
        <v>1.5726257149618044</v>
      </c>
      <c r="AN231" s="18">
        <v>37.378830999999998</v>
      </c>
      <c r="AO231" s="18">
        <v>-2.8584580000000002</v>
      </c>
      <c r="AP231" s="9" t="s">
        <v>363</v>
      </c>
      <c r="AQ231" s="9" t="s">
        <v>355</v>
      </c>
      <c r="AR231" s="15">
        <v>2012</v>
      </c>
      <c r="AS231" s="19" t="s">
        <v>520</v>
      </c>
      <c r="AT231" s="20" t="s">
        <v>521</v>
      </c>
      <c r="AU231" s="40">
        <v>702845</v>
      </c>
      <c r="AV231" s="35">
        <f t="shared" si="34"/>
        <v>5.8468595596332165</v>
      </c>
      <c r="AW231" s="37" t="s">
        <v>338</v>
      </c>
      <c r="AX231" s="34" t="s">
        <v>355</v>
      </c>
      <c r="AY231" s="40">
        <v>2380</v>
      </c>
      <c r="AZ231" s="36">
        <v>58.8</v>
      </c>
      <c r="BA231" s="14">
        <f t="shared" si="35"/>
        <v>1.7693773260761385</v>
      </c>
      <c r="BB231" s="37" t="s">
        <v>388</v>
      </c>
      <c r="BC231" s="20">
        <v>3.0292917166866652E-2</v>
      </c>
      <c r="BD231" s="9">
        <v>28.8</v>
      </c>
      <c r="BE231" s="9" t="s">
        <v>368</v>
      </c>
      <c r="BF231" s="9">
        <v>0</v>
      </c>
    </row>
    <row r="232" spans="1:58">
      <c r="A232" s="9">
        <v>962</v>
      </c>
      <c r="B232" s="10" t="s">
        <v>76</v>
      </c>
      <c r="C232" s="10" t="s">
        <v>606</v>
      </c>
      <c r="D232" s="20" t="s">
        <v>607</v>
      </c>
      <c r="E232" s="20" t="s">
        <v>608</v>
      </c>
      <c r="F232" s="10" t="s">
        <v>606</v>
      </c>
      <c r="G232" s="20" t="s">
        <v>607</v>
      </c>
      <c r="H232" s="20" t="s">
        <v>608</v>
      </c>
      <c r="I232" s="10" t="s">
        <v>606</v>
      </c>
      <c r="J232" s="20" t="s">
        <v>607</v>
      </c>
      <c r="K232" s="20" t="s">
        <v>608</v>
      </c>
      <c r="L232" s="9" t="s">
        <v>352</v>
      </c>
      <c r="M232" s="9">
        <v>10</v>
      </c>
      <c r="N232" s="9" t="s">
        <v>355</v>
      </c>
      <c r="O232" s="9" t="s">
        <v>558</v>
      </c>
      <c r="P232" s="12">
        <v>33.6</v>
      </c>
      <c r="Q232" s="12" t="s">
        <v>355</v>
      </c>
      <c r="R232" s="9" t="s">
        <v>356</v>
      </c>
      <c r="S232" s="13" t="s">
        <v>524</v>
      </c>
      <c r="T232" s="13" t="s">
        <v>524</v>
      </c>
      <c r="U232" s="14">
        <f t="shared" si="27"/>
        <v>0.69897000433601886</v>
      </c>
      <c r="V232" s="15">
        <v>22</v>
      </c>
      <c r="W232" s="12">
        <v>8.6250744000000026</v>
      </c>
      <c r="X232" s="12">
        <v>0.5</v>
      </c>
      <c r="Y232" s="13" t="s">
        <v>355</v>
      </c>
      <c r="Z232" s="9" t="s">
        <v>417</v>
      </c>
      <c r="AA232" s="10" t="s">
        <v>418</v>
      </c>
      <c r="AB232" s="9" t="s">
        <v>355</v>
      </c>
      <c r="AC232" s="15">
        <v>1100</v>
      </c>
      <c r="AD232" s="14">
        <f t="shared" si="28"/>
        <v>3.0413926851582249</v>
      </c>
      <c r="AE232" s="10" t="s">
        <v>559</v>
      </c>
      <c r="AF232" s="9" t="s">
        <v>408</v>
      </c>
      <c r="AG232" s="18">
        <v>14.067500000000001</v>
      </c>
      <c r="AH232" s="7">
        <f t="shared" si="29"/>
        <v>0</v>
      </c>
      <c r="AI232" s="7">
        <f t="shared" si="30"/>
        <v>0</v>
      </c>
      <c r="AJ232" s="7">
        <f t="shared" si="31"/>
        <v>0</v>
      </c>
      <c r="AK232" s="7">
        <f t="shared" si="32"/>
        <v>0</v>
      </c>
      <c r="AL232" s="7" t="s">
        <v>4160</v>
      </c>
      <c r="AM232" s="18">
        <f t="shared" si="33"/>
        <v>1.1482169238260302</v>
      </c>
      <c r="AN232" s="18">
        <v>14.067500000000001</v>
      </c>
      <c r="AO232" s="18">
        <v>121.49250000000001</v>
      </c>
      <c r="AP232" s="9" t="s">
        <v>363</v>
      </c>
      <c r="AQ232" s="9" t="s">
        <v>355</v>
      </c>
      <c r="AR232" s="15">
        <v>2013</v>
      </c>
      <c r="AS232" s="19" t="s">
        <v>560</v>
      </c>
      <c r="AT232" s="20" t="s">
        <v>561</v>
      </c>
      <c r="AU232" s="40">
        <v>208249</v>
      </c>
      <c r="AV232" s="35">
        <f t="shared" si="34"/>
        <v>5.318582924626126</v>
      </c>
      <c r="AW232" s="37" t="s">
        <v>366</v>
      </c>
      <c r="AX232" s="34" t="s">
        <v>355</v>
      </c>
      <c r="AY232" s="40">
        <v>2000</v>
      </c>
      <c r="AZ232" s="15">
        <v>33</v>
      </c>
      <c r="BA232" s="14">
        <f t="shared" si="35"/>
        <v>1.5185139398778875</v>
      </c>
      <c r="BB232" s="37" t="s">
        <v>472</v>
      </c>
      <c r="BC232" s="20">
        <v>-6.6590636254504464E-3</v>
      </c>
      <c r="BD232" s="9">
        <v>24.6</v>
      </c>
      <c r="BE232" s="9" t="s">
        <v>368</v>
      </c>
      <c r="BF232" s="9">
        <v>0</v>
      </c>
    </row>
    <row r="233" spans="1:58">
      <c r="A233" s="9">
        <v>18</v>
      </c>
      <c r="B233" s="10" t="s">
        <v>76</v>
      </c>
      <c r="C233" s="10" t="s">
        <v>426</v>
      </c>
      <c r="D233" s="20" t="s">
        <v>609</v>
      </c>
      <c r="E233" s="20" t="s">
        <v>610</v>
      </c>
      <c r="F233" s="20" t="s">
        <v>77</v>
      </c>
      <c r="G233" s="20" t="s">
        <v>609</v>
      </c>
      <c r="H233" s="20" t="s">
        <v>610</v>
      </c>
      <c r="I233" s="20" t="s">
        <v>77</v>
      </c>
      <c r="J233" s="20" t="s">
        <v>609</v>
      </c>
      <c r="K233" s="20" t="s">
        <v>610</v>
      </c>
      <c r="L233" s="9" t="s">
        <v>380</v>
      </c>
      <c r="M233" s="9">
        <v>12</v>
      </c>
      <c r="N233" s="9" t="s">
        <v>381</v>
      </c>
      <c r="O233" s="9" t="s">
        <v>382</v>
      </c>
      <c r="P233" s="12">
        <v>42.1</v>
      </c>
      <c r="Q233" s="12" t="s">
        <v>355</v>
      </c>
      <c r="R233" s="9" t="s">
        <v>356</v>
      </c>
      <c r="S233" s="13">
        <v>4</v>
      </c>
      <c r="T233" s="13">
        <v>4</v>
      </c>
      <c r="U233" s="14">
        <f t="shared" si="27"/>
        <v>0.69897000433601886</v>
      </c>
      <c r="V233" s="15">
        <v>20</v>
      </c>
      <c r="W233" s="12"/>
      <c r="X233" s="12">
        <v>1</v>
      </c>
      <c r="Y233" s="13" t="s">
        <v>358</v>
      </c>
      <c r="Z233" s="9" t="s">
        <v>417</v>
      </c>
      <c r="AA233" s="10" t="s">
        <v>418</v>
      </c>
      <c r="AB233" s="9" t="s">
        <v>355</v>
      </c>
      <c r="AC233" s="15">
        <v>102</v>
      </c>
      <c r="AD233" s="14">
        <f t="shared" si="28"/>
        <v>2.0086001717619175</v>
      </c>
      <c r="AE233" s="10" t="s">
        <v>530</v>
      </c>
      <c r="AF233" s="9" t="s">
        <v>420</v>
      </c>
      <c r="AG233" s="18">
        <v>25.316761</v>
      </c>
      <c r="AH233" s="7">
        <f t="shared" si="29"/>
        <v>1</v>
      </c>
      <c r="AI233" s="7">
        <f t="shared" si="30"/>
        <v>0</v>
      </c>
      <c r="AJ233" s="7">
        <f t="shared" si="31"/>
        <v>0</v>
      </c>
      <c r="AK233" s="7">
        <f t="shared" si="32"/>
        <v>0</v>
      </c>
      <c r="AL233" s="7" t="s">
        <v>4159</v>
      </c>
      <c r="AM233" s="18">
        <f t="shared" si="33"/>
        <v>1.4034081417162645</v>
      </c>
      <c r="AN233" s="18">
        <v>-25.316761</v>
      </c>
      <c r="AO233" s="18">
        <v>-59.695506000000002</v>
      </c>
      <c r="AP233" s="9" t="s">
        <v>363</v>
      </c>
      <c r="AQ233" s="9" t="s">
        <v>355</v>
      </c>
      <c r="AR233" s="15">
        <v>2012</v>
      </c>
      <c r="AS233" s="19" t="s">
        <v>520</v>
      </c>
      <c r="AT233" s="20" t="s">
        <v>521</v>
      </c>
      <c r="AU233" s="40">
        <v>1107710</v>
      </c>
      <c r="AV233" s="35">
        <f t="shared" si="34"/>
        <v>6.0444260763809918</v>
      </c>
      <c r="AW233" s="37" t="s">
        <v>366</v>
      </c>
      <c r="AX233" s="34" t="s">
        <v>355</v>
      </c>
      <c r="AY233" s="40">
        <v>1500</v>
      </c>
      <c r="AZ233" s="37">
        <v>75</v>
      </c>
      <c r="BA233" s="14">
        <f t="shared" si="35"/>
        <v>1.8750612633917001</v>
      </c>
      <c r="BB233" s="37" t="s">
        <v>367</v>
      </c>
      <c r="BC233" s="20">
        <v>1.251420568227286E-2</v>
      </c>
      <c r="BD233" s="9">
        <v>34.6</v>
      </c>
      <c r="BE233" s="9" t="s">
        <v>368</v>
      </c>
      <c r="BF233" s="9">
        <v>0</v>
      </c>
    </row>
    <row r="234" spans="1:58">
      <c r="A234" s="9">
        <v>33</v>
      </c>
      <c r="B234" s="10" t="s">
        <v>76</v>
      </c>
      <c r="C234" s="10" t="s">
        <v>77</v>
      </c>
      <c r="D234" s="20" t="s">
        <v>609</v>
      </c>
      <c r="E234" s="20" t="s">
        <v>611</v>
      </c>
      <c r="F234" s="20" t="s">
        <v>77</v>
      </c>
      <c r="G234" s="20" t="s">
        <v>609</v>
      </c>
      <c r="H234" s="20" t="s">
        <v>611</v>
      </c>
      <c r="I234" s="20" t="s">
        <v>77</v>
      </c>
      <c r="J234" s="20" t="s">
        <v>609</v>
      </c>
      <c r="K234" s="20" t="s">
        <v>611</v>
      </c>
      <c r="L234" s="9" t="s">
        <v>380</v>
      </c>
      <c r="M234" s="9">
        <v>17</v>
      </c>
      <c r="N234" s="9" t="s">
        <v>381</v>
      </c>
      <c r="O234" s="9" t="s">
        <v>382</v>
      </c>
      <c r="P234" s="12">
        <v>41.6</v>
      </c>
      <c r="Q234" s="12" t="s">
        <v>355</v>
      </c>
      <c r="R234" s="9" t="s">
        <v>356</v>
      </c>
      <c r="S234" s="13">
        <v>4</v>
      </c>
      <c r="T234" s="13">
        <v>4</v>
      </c>
      <c r="U234" s="14">
        <f t="shared" si="27"/>
        <v>0.69897000433601886</v>
      </c>
      <c r="V234" s="15">
        <v>20</v>
      </c>
      <c r="W234" s="12"/>
      <c r="X234" s="12">
        <v>1</v>
      </c>
      <c r="Y234" s="13" t="s">
        <v>358</v>
      </c>
      <c r="Z234" s="9" t="s">
        <v>417</v>
      </c>
      <c r="AA234" s="10" t="s">
        <v>418</v>
      </c>
      <c r="AB234" s="9" t="s">
        <v>355</v>
      </c>
      <c r="AC234" s="15">
        <v>312</v>
      </c>
      <c r="AD234" s="14">
        <f t="shared" si="28"/>
        <v>2.4941545940184429</v>
      </c>
      <c r="AE234" s="10" t="s">
        <v>534</v>
      </c>
      <c r="AF234" s="9" t="s">
        <v>420</v>
      </c>
      <c r="AG234" s="18">
        <v>27.087367</v>
      </c>
      <c r="AH234" s="7">
        <f t="shared" si="29"/>
        <v>1</v>
      </c>
      <c r="AI234" s="7">
        <f t="shared" si="30"/>
        <v>0</v>
      </c>
      <c r="AJ234" s="7">
        <f t="shared" si="31"/>
        <v>0</v>
      </c>
      <c r="AK234" s="7">
        <f t="shared" si="32"/>
        <v>0</v>
      </c>
      <c r="AL234" s="7" t="s">
        <v>4159</v>
      </c>
      <c r="AM234" s="18">
        <f t="shared" si="33"/>
        <v>1.4327667919307208</v>
      </c>
      <c r="AN234" s="18">
        <v>-27.087367</v>
      </c>
      <c r="AO234" s="18">
        <v>-54.950392000000001</v>
      </c>
      <c r="AP234" s="9" t="s">
        <v>363</v>
      </c>
      <c r="AQ234" s="9" t="s">
        <v>355</v>
      </c>
      <c r="AR234" s="15">
        <v>2012</v>
      </c>
      <c r="AS234" s="19" t="s">
        <v>520</v>
      </c>
      <c r="AT234" s="20" t="s">
        <v>521</v>
      </c>
      <c r="AU234" s="40">
        <v>376867</v>
      </c>
      <c r="AV234" s="35">
        <f t="shared" si="34"/>
        <v>5.5761881105317057</v>
      </c>
      <c r="AW234" s="37" t="s">
        <v>366</v>
      </c>
      <c r="AX234" s="40">
        <v>400</v>
      </c>
      <c r="AY234" s="40">
        <v>1000</v>
      </c>
      <c r="AZ234" s="36">
        <v>33</v>
      </c>
      <c r="BA234" s="14">
        <f t="shared" si="35"/>
        <v>1.5185139398778875</v>
      </c>
      <c r="BB234" s="37" t="s">
        <v>367</v>
      </c>
      <c r="BC234" s="20">
        <v>2.8247298919569274E-3</v>
      </c>
      <c r="BD234" s="9">
        <v>31.200000000000003</v>
      </c>
      <c r="BE234" s="9" t="s">
        <v>368</v>
      </c>
      <c r="BF234" s="9">
        <v>0</v>
      </c>
    </row>
    <row r="235" spans="1:58">
      <c r="A235" s="9">
        <v>19</v>
      </c>
      <c r="B235" s="10" t="s">
        <v>76</v>
      </c>
      <c r="C235" s="10" t="s">
        <v>426</v>
      </c>
      <c r="D235" s="20" t="s">
        <v>488</v>
      </c>
      <c r="E235" s="20" t="s">
        <v>612</v>
      </c>
      <c r="F235" s="10" t="s">
        <v>426</v>
      </c>
      <c r="G235" s="20" t="s">
        <v>488</v>
      </c>
      <c r="H235" s="20" t="s">
        <v>612</v>
      </c>
      <c r="I235" s="10" t="s">
        <v>426</v>
      </c>
      <c r="J235" s="20" t="s">
        <v>488</v>
      </c>
      <c r="K235" s="20" t="s">
        <v>612</v>
      </c>
      <c r="L235" s="9" t="s">
        <v>380</v>
      </c>
      <c r="M235" s="9">
        <v>15</v>
      </c>
      <c r="N235" s="9" t="s">
        <v>381</v>
      </c>
      <c r="O235" s="9" t="s">
        <v>382</v>
      </c>
      <c r="P235" s="12">
        <v>41.1</v>
      </c>
      <c r="Q235" s="12" t="s">
        <v>355</v>
      </c>
      <c r="R235" s="9" t="s">
        <v>356</v>
      </c>
      <c r="S235" s="13">
        <v>4</v>
      </c>
      <c r="T235" s="13">
        <v>4</v>
      </c>
      <c r="U235" s="14">
        <f t="shared" si="27"/>
        <v>0.69897000433601886</v>
      </c>
      <c r="V235" s="15">
        <v>20</v>
      </c>
      <c r="W235" s="12"/>
      <c r="X235" s="12">
        <v>1</v>
      </c>
      <c r="Y235" s="13" t="s">
        <v>358</v>
      </c>
      <c r="Z235" s="9" t="s">
        <v>417</v>
      </c>
      <c r="AA235" s="10" t="s">
        <v>418</v>
      </c>
      <c r="AB235" s="9" t="s">
        <v>355</v>
      </c>
      <c r="AC235" s="15">
        <v>102</v>
      </c>
      <c r="AD235" s="14">
        <f t="shared" si="28"/>
        <v>2.0086001717619175</v>
      </c>
      <c r="AE235" s="10" t="s">
        <v>530</v>
      </c>
      <c r="AF235" s="9" t="s">
        <v>420</v>
      </c>
      <c r="AG235" s="18">
        <v>25.316761</v>
      </c>
      <c r="AH235" s="7">
        <f t="shared" si="29"/>
        <v>1</v>
      </c>
      <c r="AI235" s="7">
        <f t="shared" si="30"/>
        <v>0</v>
      </c>
      <c r="AJ235" s="7">
        <f t="shared" si="31"/>
        <v>0</v>
      </c>
      <c r="AK235" s="7">
        <f t="shared" si="32"/>
        <v>0</v>
      </c>
      <c r="AL235" s="7" t="s">
        <v>4159</v>
      </c>
      <c r="AM235" s="18">
        <f t="shared" si="33"/>
        <v>1.4034081417162645</v>
      </c>
      <c r="AN235" s="18">
        <v>-25.316761</v>
      </c>
      <c r="AO235" s="18">
        <v>-59.695506000000002</v>
      </c>
      <c r="AP235" s="9" t="s">
        <v>363</v>
      </c>
      <c r="AQ235" s="9" t="s">
        <v>355</v>
      </c>
      <c r="AR235" s="15">
        <v>2012</v>
      </c>
      <c r="AS235" s="19" t="s">
        <v>520</v>
      </c>
      <c r="AT235" s="20" t="s">
        <v>521</v>
      </c>
      <c r="AU235" s="40">
        <v>1778492</v>
      </c>
      <c r="AV235" s="35">
        <f t="shared" si="34"/>
        <v>6.2500519159858587</v>
      </c>
      <c r="AW235" s="37" t="s">
        <v>366</v>
      </c>
      <c r="AX235" s="34" t="s">
        <v>355</v>
      </c>
      <c r="AY235" s="40">
        <v>1200</v>
      </c>
      <c r="AZ235" s="36">
        <v>33</v>
      </c>
      <c r="BA235" s="14">
        <f t="shared" si="35"/>
        <v>1.5185139398778875</v>
      </c>
      <c r="BB235" s="37" t="s">
        <v>367</v>
      </c>
      <c r="BC235" s="20">
        <v>1.251420568227286E-2</v>
      </c>
      <c r="BD235" s="9">
        <v>34.6</v>
      </c>
      <c r="BE235" s="9" t="s">
        <v>368</v>
      </c>
      <c r="BF235" s="9">
        <v>0</v>
      </c>
    </row>
    <row r="236" spans="1:58">
      <c r="A236" s="9">
        <v>841</v>
      </c>
      <c r="B236" s="10" t="s">
        <v>76</v>
      </c>
      <c r="C236" s="10" t="s">
        <v>613</v>
      </c>
      <c r="D236" s="20" t="s">
        <v>614</v>
      </c>
      <c r="E236" s="20" t="s">
        <v>615</v>
      </c>
      <c r="F236" s="20" t="s">
        <v>369</v>
      </c>
      <c r="G236" s="20" t="s">
        <v>614</v>
      </c>
      <c r="H236" s="20" t="s">
        <v>615</v>
      </c>
      <c r="I236" s="20" t="s">
        <v>613</v>
      </c>
      <c r="J236" s="20" t="s">
        <v>614</v>
      </c>
      <c r="K236" s="20" t="s">
        <v>615</v>
      </c>
      <c r="L236" s="9" t="s">
        <v>380</v>
      </c>
      <c r="M236" s="9">
        <v>23</v>
      </c>
      <c r="N236" s="9" t="s">
        <v>381</v>
      </c>
      <c r="O236" s="9" t="s">
        <v>382</v>
      </c>
      <c r="P236" s="12">
        <v>34.799999999999997</v>
      </c>
      <c r="Q236" s="12" t="s">
        <v>355</v>
      </c>
      <c r="R236" s="9" t="s">
        <v>356</v>
      </c>
      <c r="S236" s="13" t="s">
        <v>524</v>
      </c>
      <c r="T236" s="13" t="s">
        <v>524</v>
      </c>
      <c r="U236" s="14">
        <f t="shared" si="27"/>
        <v>0.69897000433601886</v>
      </c>
      <c r="V236" s="15">
        <v>22</v>
      </c>
      <c r="W236" s="12"/>
      <c r="X236" s="12">
        <v>0.5</v>
      </c>
      <c r="Y236" s="13" t="s">
        <v>355</v>
      </c>
      <c r="Z236" s="9" t="s">
        <v>417</v>
      </c>
      <c r="AA236" s="10" t="s">
        <v>418</v>
      </c>
      <c r="AB236" s="9" t="s">
        <v>355</v>
      </c>
      <c r="AC236" s="15">
        <v>1100</v>
      </c>
      <c r="AD236" s="14">
        <f t="shared" si="28"/>
        <v>3.0413926851582249</v>
      </c>
      <c r="AE236" s="10" t="s">
        <v>559</v>
      </c>
      <c r="AF236" s="9" t="s">
        <v>408</v>
      </c>
      <c r="AG236" s="18">
        <v>14.067500000000001</v>
      </c>
      <c r="AH236" s="7">
        <f t="shared" si="29"/>
        <v>0</v>
      </c>
      <c r="AI236" s="7">
        <f t="shared" si="30"/>
        <v>0</v>
      </c>
      <c r="AJ236" s="7">
        <f t="shared" si="31"/>
        <v>0</v>
      </c>
      <c r="AK236" s="7">
        <f t="shared" si="32"/>
        <v>0</v>
      </c>
      <c r="AL236" s="7" t="s">
        <v>4160</v>
      </c>
      <c r="AM236" s="18">
        <f t="shared" si="33"/>
        <v>1.1482169238260302</v>
      </c>
      <c r="AN236" s="18">
        <v>14.067500000000001</v>
      </c>
      <c r="AO236" s="18">
        <v>121.49250000000001</v>
      </c>
      <c r="AP236" s="9" t="s">
        <v>363</v>
      </c>
      <c r="AQ236" s="9" t="s">
        <v>355</v>
      </c>
      <c r="AR236" s="15">
        <v>2013</v>
      </c>
      <c r="AS236" s="19" t="s">
        <v>566</v>
      </c>
      <c r="AT236" s="20" t="s">
        <v>567</v>
      </c>
      <c r="AU236" s="40">
        <v>118</v>
      </c>
      <c r="AV236" s="35">
        <f t="shared" si="34"/>
        <v>2.0718820073061255</v>
      </c>
      <c r="AW236" s="37" t="s">
        <v>366</v>
      </c>
      <c r="AX236" s="40">
        <v>800</v>
      </c>
      <c r="AY236" s="40">
        <v>1700</v>
      </c>
      <c r="AZ236" s="36">
        <v>33</v>
      </c>
      <c r="BA236" s="14">
        <f t="shared" si="35"/>
        <v>1.5185139398778875</v>
      </c>
      <c r="BB236" s="37" t="s">
        <v>472</v>
      </c>
      <c r="BC236" s="20">
        <v>-6.6590636254504464E-3</v>
      </c>
      <c r="BD236" s="9">
        <v>24.6</v>
      </c>
      <c r="BE236" s="9" t="s">
        <v>459</v>
      </c>
      <c r="BF236" s="9">
        <v>1</v>
      </c>
    </row>
    <row r="237" spans="1:58">
      <c r="A237" s="9">
        <v>956</v>
      </c>
      <c r="B237" s="10" t="s">
        <v>76</v>
      </c>
      <c r="C237" s="10" t="s">
        <v>369</v>
      </c>
      <c r="D237" s="20" t="s">
        <v>614</v>
      </c>
      <c r="E237" s="20" t="s">
        <v>615</v>
      </c>
      <c r="F237" s="10" t="s">
        <v>369</v>
      </c>
      <c r="G237" s="20" t="s">
        <v>614</v>
      </c>
      <c r="H237" s="20" t="s">
        <v>615</v>
      </c>
      <c r="I237" s="20" t="s">
        <v>613</v>
      </c>
      <c r="J237" s="20" t="s">
        <v>614</v>
      </c>
      <c r="K237" s="20" t="s">
        <v>615</v>
      </c>
      <c r="L237" s="9" t="s">
        <v>352</v>
      </c>
      <c r="M237" s="9">
        <v>10</v>
      </c>
      <c r="N237" s="9" t="s">
        <v>355</v>
      </c>
      <c r="O237" s="9" t="s">
        <v>558</v>
      </c>
      <c r="P237" s="12">
        <v>33.799999999999997</v>
      </c>
      <c r="Q237" s="12" t="s">
        <v>355</v>
      </c>
      <c r="R237" s="9" t="s">
        <v>356</v>
      </c>
      <c r="S237" s="13" t="s">
        <v>524</v>
      </c>
      <c r="T237" s="13" t="s">
        <v>524</v>
      </c>
      <c r="U237" s="14">
        <f t="shared" si="27"/>
        <v>0.69897000433601886</v>
      </c>
      <c r="V237" s="15">
        <v>22</v>
      </c>
      <c r="W237" s="12">
        <v>8.8250743999999983</v>
      </c>
      <c r="X237" s="12">
        <v>0.5</v>
      </c>
      <c r="Y237" s="13" t="s">
        <v>355</v>
      </c>
      <c r="Z237" s="9" t="s">
        <v>417</v>
      </c>
      <c r="AA237" s="10" t="s">
        <v>418</v>
      </c>
      <c r="AB237" s="9" t="s">
        <v>355</v>
      </c>
      <c r="AC237" s="15">
        <v>1100</v>
      </c>
      <c r="AD237" s="14">
        <f t="shared" si="28"/>
        <v>3.0413926851582249</v>
      </c>
      <c r="AE237" s="10" t="s">
        <v>559</v>
      </c>
      <c r="AF237" s="9" t="s">
        <v>408</v>
      </c>
      <c r="AG237" s="18">
        <v>14.067500000000001</v>
      </c>
      <c r="AH237" s="7">
        <f t="shared" si="29"/>
        <v>0</v>
      </c>
      <c r="AI237" s="7">
        <f t="shared" si="30"/>
        <v>0</v>
      </c>
      <c r="AJ237" s="7">
        <f t="shared" si="31"/>
        <v>0</v>
      </c>
      <c r="AK237" s="7">
        <f t="shared" si="32"/>
        <v>0</v>
      </c>
      <c r="AL237" s="7" t="s">
        <v>4160</v>
      </c>
      <c r="AM237" s="18">
        <f t="shared" si="33"/>
        <v>1.1482169238260302</v>
      </c>
      <c r="AN237" s="18">
        <v>14.067500000000001</v>
      </c>
      <c r="AO237" s="18">
        <v>121.49250000000001</v>
      </c>
      <c r="AP237" s="9" t="s">
        <v>363</v>
      </c>
      <c r="AQ237" s="9" t="s">
        <v>355</v>
      </c>
      <c r="AR237" s="15">
        <v>2013</v>
      </c>
      <c r="AS237" s="19" t="s">
        <v>560</v>
      </c>
      <c r="AT237" s="20" t="s">
        <v>561</v>
      </c>
      <c r="AU237" s="40">
        <v>118</v>
      </c>
      <c r="AV237" s="35">
        <f t="shared" si="34"/>
        <v>2.0718820073061255</v>
      </c>
      <c r="AW237" s="37" t="s">
        <v>366</v>
      </c>
      <c r="AX237" s="40">
        <v>800</v>
      </c>
      <c r="AY237" s="40">
        <v>1700</v>
      </c>
      <c r="AZ237" s="15">
        <v>33</v>
      </c>
      <c r="BA237" s="14">
        <f t="shared" si="35"/>
        <v>1.5185139398778875</v>
      </c>
      <c r="BB237" s="37" t="s">
        <v>472</v>
      </c>
      <c r="BC237" s="20">
        <v>-6.6590636254504464E-3</v>
      </c>
      <c r="BD237" s="9">
        <v>24.6</v>
      </c>
      <c r="BE237" s="9" t="s">
        <v>459</v>
      </c>
      <c r="BF237" s="9">
        <v>1</v>
      </c>
    </row>
    <row r="238" spans="1:58">
      <c r="A238" s="9">
        <v>955</v>
      </c>
      <c r="B238" s="10" t="s">
        <v>76</v>
      </c>
      <c r="C238" s="10" t="s">
        <v>369</v>
      </c>
      <c r="D238" s="20" t="s">
        <v>614</v>
      </c>
      <c r="E238" s="20" t="s">
        <v>616</v>
      </c>
      <c r="F238" s="10" t="s">
        <v>369</v>
      </c>
      <c r="G238" s="20" t="s">
        <v>614</v>
      </c>
      <c r="H238" s="20" t="s">
        <v>617</v>
      </c>
      <c r="I238" s="20" t="s">
        <v>613</v>
      </c>
      <c r="J238" s="20" t="s">
        <v>614</v>
      </c>
      <c r="K238" s="20" t="s">
        <v>616</v>
      </c>
      <c r="L238" s="9" t="s">
        <v>352</v>
      </c>
      <c r="M238" s="9">
        <v>10</v>
      </c>
      <c r="N238" s="9" t="s">
        <v>355</v>
      </c>
      <c r="O238" s="9" t="s">
        <v>558</v>
      </c>
      <c r="P238" s="12">
        <v>33.700000000000003</v>
      </c>
      <c r="Q238" s="12" t="s">
        <v>355</v>
      </c>
      <c r="R238" s="9" t="s">
        <v>356</v>
      </c>
      <c r="S238" s="13" t="s">
        <v>524</v>
      </c>
      <c r="T238" s="13" t="s">
        <v>524</v>
      </c>
      <c r="U238" s="14">
        <f t="shared" si="27"/>
        <v>0.69897000433601886</v>
      </c>
      <c r="V238" s="15">
        <v>22</v>
      </c>
      <c r="W238" s="12">
        <v>8.725074400000004</v>
      </c>
      <c r="X238" s="12">
        <v>0.5</v>
      </c>
      <c r="Y238" s="13" t="s">
        <v>355</v>
      </c>
      <c r="Z238" s="9" t="s">
        <v>417</v>
      </c>
      <c r="AA238" s="10" t="s">
        <v>418</v>
      </c>
      <c r="AB238" s="9" t="s">
        <v>355</v>
      </c>
      <c r="AC238" s="15">
        <v>1100</v>
      </c>
      <c r="AD238" s="14">
        <f t="shared" si="28"/>
        <v>3.0413926851582249</v>
      </c>
      <c r="AE238" s="10" t="s">
        <v>559</v>
      </c>
      <c r="AF238" s="9" t="s">
        <v>408</v>
      </c>
      <c r="AG238" s="18">
        <v>14.067500000000001</v>
      </c>
      <c r="AH238" s="7">
        <f t="shared" si="29"/>
        <v>0</v>
      </c>
      <c r="AI238" s="7">
        <f t="shared" si="30"/>
        <v>0</v>
      </c>
      <c r="AJ238" s="7">
        <f t="shared" si="31"/>
        <v>0</v>
      </c>
      <c r="AK238" s="7">
        <f t="shared" si="32"/>
        <v>0</v>
      </c>
      <c r="AL238" s="7" t="s">
        <v>4160</v>
      </c>
      <c r="AM238" s="18">
        <f t="shared" si="33"/>
        <v>1.1482169238260302</v>
      </c>
      <c r="AN238" s="18">
        <v>14.067500000000001</v>
      </c>
      <c r="AO238" s="18">
        <v>121.49250000000001</v>
      </c>
      <c r="AP238" s="9" t="s">
        <v>363</v>
      </c>
      <c r="AQ238" s="9" t="s">
        <v>355</v>
      </c>
      <c r="AR238" s="15">
        <v>2013</v>
      </c>
      <c r="AS238" s="19" t="s">
        <v>560</v>
      </c>
      <c r="AT238" s="20" t="s">
        <v>561</v>
      </c>
      <c r="AU238" s="40">
        <v>262514</v>
      </c>
      <c r="AV238" s="35">
        <f t="shared" si="34"/>
        <v>5.4191524694967024</v>
      </c>
      <c r="AW238" s="37" t="s">
        <v>366</v>
      </c>
      <c r="AX238" s="40">
        <v>0</v>
      </c>
      <c r="AY238" s="40">
        <v>1300</v>
      </c>
      <c r="AZ238" s="15">
        <v>33</v>
      </c>
      <c r="BA238" s="14">
        <f t="shared" si="35"/>
        <v>1.5185139398778875</v>
      </c>
      <c r="BB238" s="37" t="s">
        <v>367</v>
      </c>
      <c r="BC238" s="20">
        <v>-6.6590636254504464E-3</v>
      </c>
      <c r="BD238" s="9">
        <v>24.6</v>
      </c>
      <c r="BE238" s="9" t="s">
        <v>368</v>
      </c>
      <c r="BF238" s="9">
        <v>0</v>
      </c>
    </row>
    <row r="239" spans="1:58">
      <c r="A239" s="9">
        <v>954</v>
      </c>
      <c r="B239" s="10" t="s">
        <v>76</v>
      </c>
      <c r="C239" s="10" t="s">
        <v>369</v>
      </c>
      <c r="D239" s="20" t="s">
        <v>614</v>
      </c>
      <c r="E239" s="20" t="s">
        <v>618</v>
      </c>
      <c r="F239" s="10" t="s">
        <v>369</v>
      </c>
      <c r="G239" s="20" t="s">
        <v>614</v>
      </c>
      <c r="H239" s="20" t="s">
        <v>618</v>
      </c>
      <c r="I239" s="20" t="s">
        <v>613</v>
      </c>
      <c r="J239" s="20" t="s">
        <v>614</v>
      </c>
      <c r="K239" s="20" t="s">
        <v>618</v>
      </c>
      <c r="L239" s="9" t="s">
        <v>352</v>
      </c>
      <c r="M239" s="9">
        <v>10</v>
      </c>
      <c r="N239" s="9" t="s">
        <v>355</v>
      </c>
      <c r="O239" s="9" t="s">
        <v>558</v>
      </c>
      <c r="P239" s="12">
        <v>32.9</v>
      </c>
      <c r="Q239" s="12" t="s">
        <v>355</v>
      </c>
      <c r="R239" s="9" t="s">
        <v>356</v>
      </c>
      <c r="S239" s="13" t="s">
        <v>524</v>
      </c>
      <c r="T239" s="13" t="s">
        <v>524</v>
      </c>
      <c r="U239" s="14">
        <f t="shared" si="27"/>
        <v>0.69897000433601886</v>
      </c>
      <c r="V239" s="15">
        <v>22</v>
      </c>
      <c r="W239" s="12">
        <v>7.9250743999999997</v>
      </c>
      <c r="X239" s="12">
        <v>0.5</v>
      </c>
      <c r="Y239" s="13" t="s">
        <v>355</v>
      </c>
      <c r="Z239" s="9" t="s">
        <v>417</v>
      </c>
      <c r="AA239" s="10" t="s">
        <v>418</v>
      </c>
      <c r="AB239" s="9" t="s">
        <v>355</v>
      </c>
      <c r="AC239" s="15">
        <v>1100</v>
      </c>
      <c r="AD239" s="14">
        <f t="shared" si="28"/>
        <v>3.0413926851582249</v>
      </c>
      <c r="AE239" s="10" t="s">
        <v>559</v>
      </c>
      <c r="AF239" s="9" t="s">
        <v>408</v>
      </c>
      <c r="AG239" s="18">
        <v>14.067500000000001</v>
      </c>
      <c r="AH239" s="7">
        <f t="shared" si="29"/>
        <v>0</v>
      </c>
      <c r="AI239" s="7">
        <f t="shared" si="30"/>
        <v>0</v>
      </c>
      <c r="AJ239" s="7">
        <f t="shared" si="31"/>
        <v>0</v>
      </c>
      <c r="AK239" s="7">
        <f t="shared" si="32"/>
        <v>0</v>
      </c>
      <c r="AL239" s="7" t="s">
        <v>4160</v>
      </c>
      <c r="AM239" s="18">
        <f t="shared" si="33"/>
        <v>1.1482169238260302</v>
      </c>
      <c r="AN239" s="18">
        <v>14.067500000000001</v>
      </c>
      <c r="AO239" s="18">
        <v>121.49250000000001</v>
      </c>
      <c r="AP239" s="9" t="s">
        <v>363</v>
      </c>
      <c r="AQ239" s="9" t="s">
        <v>355</v>
      </c>
      <c r="AR239" s="15">
        <v>2013</v>
      </c>
      <c r="AS239" s="19" t="s">
        <v>560</v>
      </c>
      <c r="AT239" s="20" t="s">
        <v>561</v>
      </c>
      <c r="AU239" s="40">
        <v>62827</v>
      </c>
      <c r="AV239" s="35">
        <f t="shared" si="34"/>
        <v>4.7981463225752155</v>
      </c>
      <c r="AW239" s="37" t="s">
        <v>366</v>
      </c>
      <c r="AX239" s="40">
        <v>0</v>
      </c>
      <c r="AY239" s="40">
        <v>1425</v>
      </c>
      <c r="AZ239" s="15">
        <v>33</v>
      </c>
      <c r="BA239" s="14">
        <f t="shared" si="35"/>
        <v>1.5185139398778875</v>
      </c>
      <c r="BB239" s="37" t="s">
        <v>367</v>
      </c>
      <c r="BC239" s="20">
        <v>-6.6590636254504464E-3</v>
      </c>
      <c r="BD239" s="9">
        <v>24.6</v>
      </c>
      <c r="BE239" s="9" t="s">
        <v>368</v>
      </c>
      <c r="BF239" s="9">
        <v>0</v>
      </c>
    </row>
    <row r="240" spans="1:58">
      <c r="A240" s="9">
        <v>957</v>
      </c>
      <c r="B240" s="10" t="s">
        <v>76</v>
      </c>
      <c r="C240" s="10" t="s">
        <v>369</v>
      </c>
      <c r="D240" s="20" t="s">
        <v>614</v>
      </c>
      <c r="E240" s="20" t="s">
        <v>619</v>
      </c>
      <c r="F240" s="10" t="s">
        <v>369</v>
      </c>
      <c r="G240" s="20" t="s">
        <v>614</v>
      </c>
      <c r="H240" s="20" t="s">
        <v>619</v>
      </c>
      <c r="I240" s="20" t="s">
        <v>613</v>
      </c>
      <c r="J240" s="20" t="s">
        <v>614</v>
      </c>
      <c r="K240" s="20" t="s">
        <v>619</v>
      </c>
      <c r="L240" s="9" t="s">
        <v>352</v>
      </c>
      <c r="M240" s="9">
        <v>10</v>
      </c>
      <c r="N240" s="9" t="s">
        <v>355</v>
      </c>
      <c r="O240" s="9" t="s">
        <v>558</v>
      </c>
      <c r="P240" s="12">
        <v>34.700000000000003</v>
      </c>
      <c r="Q240" s="12" t="s">
        <v>355</v>
      </c>
      <c r="R240" s="9" t="s">
        <v>356</v>
      </c>
      <c r="S240" s="13" t="s">
        <v>524</v>
      </c>
      <c r="T240" s="13" t="s">
        <v>524</v>
      </c>
      <c r="U240" s="14">
        <f t="shared" si="27"/>
        <v>0.69897000433601886</v>
      </c>
      <c r="V240" s="15">
        <v>22</v>
      </c>
      <c r="W240" s="12">
        <v>9.725074400000004</v>
      </c>
      <c r="X240" s="12">
        <v>0.5</v>
      </c>
      <c r="Y240" s="13" t="s">
        <v>355</v>
      </c>
      <c r="Z240" s="9" t="s">
        <v>417</v>
      </c>
      <c r="AA240" s="10" t="s">
        <v>418</v>
      </c>
      <c r="AB240" s="9" t="s">
        <v>355</v>
      </c>
      <c r="AC240" s="15">
        <v>1100</v>
      </c>
      <c r="AD240" s="14">
        <f t="shared" si="28"/>
        <v>3.0413926851582249</v>
      </c>
      <c r="AE240" s="10" t="s">
        <v>559</v>
      </c>
      <c r="AF240" s="9" t="s">
        <v>408</v>
      </c>
      <c r="AG240" s="18">
        <v>14.067500000000001</v>
      </c>
      <c r="AH240" s="7">
        <f t="shared" si="29"/>
        <v>0</v>
      </c>
      <c r="AI240" s="7">
        <f t="shared" si="30"/>
        <v>0</v>
      </c>
      <c r="AJ240" s="7">
        <f t="shared" si="31"/>
        <v>0</v>
      </c>
      <c r="AK240" s="7">
        <f t="shared" si="32"/>
        <v>0</v>
      </c>
      <c r="AL240" s="7" t="s">
        <v>4160</v>
      </c>
      <c r="AM240" s="18">
        <f t="shared" si="33"/>
        <v>1.1482169238260302</v>
      </c>
      <c r="AN240" s="18">
        <v>14.067500000000001</v>
      </c>
      <c r="AO240" s="18">
        <v>121.49250000000001</v>
      </c>
      <c r="AP240" s="9" t="s">
        <v>363</v>
      </c>
      <c r="AQ240" s="9" t="s">
        <v>355</v>
      </c>
      <c r="AR240" s="15">
        <v>2013</v>
      </c>
      <c r="AS240" s="19" t="s">
        <v>560</v>
      </c>
      <c r="AT240" s="20" t="s">
        <v>561</v>
      </c>
      <c r="AU240" s="40">
        <v>1877</v>
      </c>
      <c r="AV240" s="35">
        <f t="shared" si="34"/>
        <v>3.2734642726213461</v>
      </c>
      <c r="AW240" s="37" t="s">
        <v>366</v>
      </c>
      <c r="AX240" s="40">
        <v>0</v>
      </c>
      <c r="AY240" s="40">
        <v>1200</v>
      </c>
      <c r="AZ240" s="15">
        <v>33</v>
      </c>
      <c r="BA240" s="14">
        <f t="shared" si="35"/>
        <v>1.5185139398778875</v>
      </c>
      <c r="BB240" s="37" t="s">
        <v>472</v>
      </c>
      <c r="BC240" s="20">
        <v>-6.6590636254504464E-3</v>
      </c>
      <c r="BD240" s="9">
        <v>24.6</v>
      </c>
      <c r="BE240" s="9" t="s">
        <v>459</v>
      </c>
      <c r="BF240" s="9">
        <v>1</v>
      </c>
    </row>
    <row r="241" spans="1:58">
      <c r="A241" s="9">
        <v>842</v>
      </c>
      <c r="B241" s="10" t="s">
        <v>76</v>
      </c>
      <c r="C241" s="10" t="s">
        <v>613</v>
      </c>
      <c r="D241" s="20" t="s">
        <v>614</v>
      </c>
      <c r="E241" s="20" t="s">
        <v>620</v>
      </c>
      <c r="F241" s="20" t="s">
        <v>369</v>
      </c>
      <c r="G241" s="20" t="s">
        <v>614</v>
      </c>
      <c r="H241" s="20" t="s">
        <v>621</v>
      </c>
      <c r="I241" s="20" t="s">
        <v>613</v>
      </c>
      <c r="J241" s="20" t="s">
        <v>614</v>
      </c>
      <c r="K241" s="20" t="s">
        <v>620</v>
      </c>
      <c r="L241" s="9" t="s">
        <v>380</v>
      </c>
      <c r="M241" s="9">
        <v>6</v>
      </c>
      <c r="N241" s="9" t="s">
        <v>353</v>
      </c>
      <c r="O241" s="9" t="s">
        <v>382</v>
      </c>
      <c r="P241" s="12">
        <v>33.5</v>
      </c>
      <c r="Q241" s="12" t="s">
        <v>355</v>
      </c>
      <c r="R241" s="9" t="s">
        <v>356</v>
      </c>
      <c r="S241" s="13" t="s">
        <v>524</v>
      </c>
      <c r="T241" s="13" t="s">
        <v>524</v>
      </c>
      <c r="U241" s="14">
        <f t="shared" si="27"/>
        <v>0.69897000433601886</v>
      </c>
      <c r="V241" s="15">
        <v>22</v>
      </c>
      <c r="W241" s="12"/>
      <c r="X241" s="12">
        <v>0.5</v>
      </c>
      <c r="Y241" s="13" t="s">
        <v>355</v>
      </c>
      <c r="Z241" s="9" t="s">
        <v>417</v>
      </c>
      <c r="AA241" s="10" t="s">
        <v>418</v>
      </c>
      <c r="AB241" s="9" t="s">
        <v>355</v>
      </c>
      <c r="AC241" s="15">
        <v>1100</v>
      </c>
      <c r="AD241" s="14">
        <f t="shared" si="28"/>
        <v>3.0413926851582249</v>
      </c>
      <c r="AE241" s="10" t="s">
        <v>559</v>
      </c>
      <c r="AF241" s="9" t="s">
        <v>408</v>
      </c>
      <c r="AG241" s="18">
        <v>14.067500000000001</v>
      </c>
      <c r="AH241" s="7">
        <f t="shared" si="29"/>
        <v>0</v>
      </c>
      <c r="AI241" s="7">
        <f t="shared" si="30"/>
        <v>0</v>
      </c>
      <c r="AJ241" s="7">
        <f t="shared" si="31"/>
        <v>0</v>
      </c>
      <c r="AK241" s="7">
        <f t="shared" si="32"/>
        <v>0</v>
      </c>
      <c r="AL241" s="7" t="s">
        <v>4160</v>
      </c>
      <c r="AM241" s="18">
        <f t="shared" si="33"/>
        <v>1.1482169238260302</v>
      </c>
      <c r="AN241" s="18">
        <v>14.067500000000001</v>
      </c>
      <c r="AO241" s="18">
        <v>121.49250000000001</v>
      </c>
      <c r="AP241" s="9" t="s">
        <v>363</v>
      </c>
      <c r="AQ241" s="9" t="s">
        <v>355</v>
      </c>
      <c r="AR241" s="15">
        <v>2013</v>
      </c>
      <c r="AS241" s="19" t="s">
        <v>566</v>
      </c>
      <c r="AT241" s="20" t="s">
        <v>567</v>
      </c>
      <c r="AU241" s="40">
        <v>124</v>
      </c>
      <c r="AV241" s="35">
        <f t="shared" si="34"/>
        <v>2.0934216851622351</v>
      </c>
      <c r="AW241" s="37" t="s">
        <v>366</v>
      </c>
      <c r="AX241" s="40">
        <v>800</v>
      </c>
      <c r="AY241" s="40">
        <v>1600</v>
      </c>
      <c r="AZ241" s="36">
        <v>33</v>
      </c>
      <c r="BA241" s="14">
        <f t="shared" si="35"/>
        <v>1.5185139398778875</v>
      </c>
      <c r="BB241" s="37" t="s">
        <v>472</v>
      </c>
      <c r="BC241" s="20">
        <v>-6.6590636254504464E-3</v>
      </c>
      <c r="BD241" s="9">
        <v>24.6</v>
      </c>
      <c r="BE241" s="9" t="s">
        <v>459</v>
      </c>
      <c r="BF241" s="9">
        <v>1</v>
      </c>
    </row>
    <row r="242" spans="1:58">
      <c r="A242" s="9">
        <v>50</v>
      </c>
      <c r="B242" s="10" t="s">
        <v>348</v>
      </c>
      <c r="C242" s="10" t="s">
        <v>622</v>
      </c>
      <c r="D242" s="20" t="s">
        <v>623</v>
      </c>
      <c r="E242" s="20" t="s">
        <v>624</v>
      </c>
      <c r="F242" s="10" t="s">
        <v>622</v>
      </c>
      <c r="G242" s="20" t="s">
        <v>623</v>
      </c>
      <c r="H242" s="20" t="s">
        <v>624</v>
      </c>
      <c r="I242" s="10" t="s">
        <v>622</v>
      </c>
      <c r="J242" s="20" t="s">
        <v>623</v>
      </c>
      <c r="K242" s="20" t="s">
        <v>624</v>
      </c>
      <c r="L242" s="9" t="s">
        <v>380</v>
      </c>
      <c r="M242" s="9">
        <v>14</v>
      </c>
      <c r="N242" s="9" t="s">
        <v>381</v>
      </c>
      <c r="O242" s="9" t="s">
        <v>382</v>
      </c>
      <c r="P242" s="12">
        <v>37.1</v>
      </c>
      <c r="Q242" s="12" t="s">
        <v>355</v>
      </c>
      <c r="R242" s="9" t="s">
        <v>356</v>
      </c>
      <c r="S242" s="13">
        <v>4</v>
      </c>
      <c r="T242" s="13">
        <v>4</v>
      </c>
      <c r="U242" s="14">
        <f t="shared" si="27"/>
        <v>0.69897000433601886</v>
      </c>
      <c r="V242" s="15">
        <v>20</v>
      </c>
      <c r="W242" s="12"/>
      <c r="X242" s="12">
        <v>1</v>
      </c>
      <c r="Y242" s="13" t="s">
        <v>358</v>
      </c>
      <c r="Z242" s="9" t="s">
        <v>417</v>
      </c>
      <c r="AA242" s="10" t="s">
        <v>418</v>
      </c>
      <c r="AB242" s="9" t="s">
        <v>355</v>
      </c>
      <c r="AC242" s="15">
        <v>1756</v>
      </c>
      <c r="AD242" s="14">
        <f t="shared" si="28"/>
        <v>3.2445245115700838</v>
      </c>
      <c r="AE242" s="10" t="s">
        <v>519</v>
      </c>
      <c r="AF242" s="9" t="s">
        <v>420</v>
      </c>
      <c r="AG242" s="18">
        <v>37.378830999999998</v>
      </c>
      <c r="AH242" s="7">
        <f t="shared" si="29"/>
        <v>1</v>
      </c>
      <c r="AI242" s="7">
        <f t="shared" si="30"/>
        <v>1</v>
      </c>
      <c r="AJ242" s="7">
        <f t="shared" si="31"/>
        <v>0</v>
      </c>
      <c r="AK242" s="7">
        <f t="shared" si="32"/>
        <v>0</v>
      </c>
      <c r="AL242" s="7" t="s">
        <v>4157</v>
      </c>
      <c r="AM242" s="18">
        <f t="shared" si="33"/>
        <v>1.5726257149618044</v>
      </c>
      <c r="AN242" s="18">
        <v>37.378830999999998</v>
      </c>
      <c r="AO242" s="18">
        <v>-2.8584580000000002</v>
      </c>
      <c r="AP242" s="9" t="s">
        <v>363</v>
      </c>
      <c r="AQ242" s="9" t="s">
        <v>355</v>
      </c>
      <c r="AR242" s="15">
        <v>2012</v>
      </c>
      <c r="AS242" s="19" t="s">
        <v>520</v>
      </c>
      <c r="AT242" s="20" t="s">
        <v>521</v>
      </c>
      <c r="AU242" s="34">
        <v>400735</v>
      </c>
      <c r="AV242" s="35">
        <f t="shared" si="34"/>
        <v>5.6028572751580645</v>
      </c>
      <c r="AW242" s="36" t="s">
        <v>338</v>
      </c>
      <c r="AX242" s="34">
        <v>0</v>
      </c>
      <c r="AY242" s="34">
        <v>1500</v>
      </c>
      <c r="AZ242" s="36">
        <v>190</v>
      </c>
      <c r="BA242" s="14">
        <f t="shared" si="35"/>
        <v>2.2787536009528289</v>
      </c>
      <c r="BB242" s="36" t="s">
        <v>343</v>
      </c>
      <c r="BC242" s="20">
        <v>3.0292917166866652E-2</v>
      </c>
      <c r="BD242" s="9">
        <v>28.8</v>
      </c>
      <c r="BE242" s="9" t="s">
        <v>459</v>
      </c>
      <c r="BF242" s="9">
        <v>1</v>
      </c>
    </row>
    <row r="243" spans="1:58">
      <c r="A243" s="9">
        <v>467</v>
      </c>
      <c r="B243" s="10" t="s">
        <v>76</v>
      </c>
      <c r="C243" s="10" t="s">
        <v>77</v>
      </c>
      <c r="D243" s="20" t="s">
        <v>503</v>
      </c>
      <c r="E243" s="20" t="s">
        <v>507</v>
      </c>
      <c r="F243" s="10" t="s">
        <v>77</v>
      </c>
      <c r="G243" s="20" t="s">
        <v>503</v>
      </c>
      <c r="H243" s="20" t="s">
        <v>507</v>
      </c>
      <c r="I243" s="10" t="s">
        <v>77</v>
      </c>
      <c r="J243" s="20" t="s">
        <v>503</v>
      </c>
      <c r="K243" s="20" t="s">
        <v>507</v>
      </c>
      <c r="L243" s="9" t="s">
        <v>380</v>
      </c>
      <c r="M243" s="9">
        <v>10</v>
      </c>
      <c r="N243" s="9" t="s">
        <v>381</v>
      </c>
      <c r="O243" s="9" t="s">
        <v>382</v>
      </c>
      <c r="P243" s="12">
        <v>37.40202</v>
      </c>
      <c r="Q243" s="12" t="s">
        <v>355</v>
      </c>
      <c r="R243" s="9" t="s">
        <v>356</v>
      </c>
      <c r="S243" s="13">
        <v>4</v>
      </c>
      <c r="T243" s="13">
        <v>4</v>
      </c>
      <c r="U243" s="14">
        <f t="shared" si="27"/>
        <v>0.69897000433601886</v>
      </c>
      <c r="V243" s="15">
        <v>20</v>
      </c>
      <c r="W243" s="12"/>
      <c r="X243" s="12">
        <v>0.7</v>
      </c>
      <c r="Y243" s="13" t="s">
        <v>358</v>
      </c>
      <c r="Z243" s="9" t="s">
        <v>359</v>
      </c>
      <c r="AA243" s="10" t="s">
        <v>436</v>
      </c>
      <c r="AB243" s="9" t="s">
        <v>355</v>
      </c>
      <c r="AC243" s="15">
        <v>213</v>
      </c>
      <c r="AD243" s="14">
        <f t="shared" si="28"/>
        <v>2.3283796034387376</v>
      </c>
      <c r="AE243" s="10" t="s">
        <v>437</v>
      </c>
      <c r="AF243" s="9" t="s">
        <v>420</v>
      </c>
      <c r="AG243" s="18">
        <v>34.683438000000002</v>
      </c>
      <c r="AH243" s="7">
        <f t="shared" si="29"/>
        <v>1</v>
      </c>
      <c r="AI243" s="7">
        <f t="shared" si="30"/>
        <v>1</v>
      </c>
      <c r="AJ243" s="7">
        <f t="shared" si="31"/>
        <v>0</v>
      </c>
      <c r="AK243" s="7">
        <f t="shared" si="32"/>
        <v>0</v>
      </c>
      <c r="AL243" s="7" t="s">
        <v>4157</v>
      </c>
      <c r="AM243" s="18">
        <f t="shared" si="33"/>
        <v>1.5401221404311698</v>
      </c>
      <c r="AN243" s="18">
        <v>34.683438000000002</v>
      </c>
      <c r="AO243" s="18">
        <v>-82.837365000000005</v>
      </c>
      <c r="AP243" s="9" t="s">
        <v>363</v>
      </c>
      <c r="AQ243" s="12" t="s">
        <v>448</v>
      </c>
      <c r="AR243" s="15">
        <v>1980</v>
      </c>
      <c r="AS243" s="19" t="s">
        <v>439</v>
      </c>
      <c r="AT243" s="20" t="s">
        <v>440</v>
      </c>
      <c r="AU243" s="40">
        <v>3425336</v>
      </c>
      <c r="AV243" s="35">
        <f t="shared" si="34"/>
        <v>6.5347031789784316</v>
      </c>
      <c r="AW243" s="37" t="s">
        <v>366</v>
      </c>
      <c r="AX243" s="34" t="s">
        <v>355</v>
      </c>
      <c r="AY243" s="40" t="s">
        <v>355</v>
      </c>
      <c r="AZ243" s="36">
        <v>33</v>
      </c>
      <c r="BA243" s="14">
        <f t="shared" si="35"/>
        <v>1.5185139398778875</v>
      </c>
      <c r="BB243" s="37" t="s">
        <v>367</v>
      </c>
      <c r="BC243" s="20">
        <v>1.137454981992851E-2</v>
      </c>
      <c r="BD243" s="9">
        <v>32</v>
      </c>
      <c r="BE243" s="9" t="s">
        <v>368</v>
      </c>
      <c r="BF243" s="9">
        <v>0</v>
      </c>
    </row>
    <row r="244" spans="1:58">
      <c r="A244" s="9">
        <v>473</v>
      </c>
      <c r="B244" s="10" t="s">
        <v>76</v>
      </c>
      <c r="C244" s="10" t="s">
        <v>77</v>
      </c>
      <c r="D244" s="20" t="s">
        <v>503</v>
      </c>
      <c r="E244" s="20" t="s">
        <v>507</v>
      </c>
      <c r="F244" s="10" t="s">
        <v>77</v>
      </c>
      <c r="G244" s="20" t="s">
        <v>503</v>
      </c>
      <c r="H244" s="20" t="s">
        <v>507</v>
      </c>
      <c r="I244" s="10" t="s">
        <v>77</v>
      </c>
      <c r="J244" s="20" t="s">
        <v>503</v>
      </c>
      <c r="K244" s="20" t="s">
        <v>507</v>
      </c>
      <c r="L244" s="9" t="s">
        <v>380</v>
      </c>
      <c r="M244" s="9">
        <v>4</v>
      </c>
      <c r="N244" s="9" t="s">
        <v>353</v>
      </c>
      <c r="O244" s="9" t="s">
        <v>382</v>
      </c>
      <c r="P244" s="12">
        <v>37.958080000000002</v>
      </c>
      <c r="Q244" s="12" t="s">
        <v>355</v>
      </c>
      <c r="R244" s="9" t="s">
        <v>356</v>
      </c>
      <c r="S244" s="13">
        <v>4</v>
      </c>
      <c r="T244" s="13">
        <v>4</v>
      </c>
      <c r="U244" s="14">
        <f t="shared" si="27"/>
        <v>0.69897000433601886</v>
      </c>
      <c r="V244" s="15">
        <v>20</v>
      </c>
      <c r="W244" s="12"/>
      <c r="X244" s="12">
        <v>0.7</v>
      </c>
      <c r="Y244" s="13" t="s">
        <v>358</v>
      </c>
      <c r="Z244" s="9" t="s">
        <v>359</v>
      </c>
      <c r="AA244" s="10" t="s">
        <v>436</v>
      </c>
      <c r="AB244" s="9" t="s">
        <v>355</v>
      </c>
      <c r="AC244" s="15">
        <v>213</v>
      </c>
      <c r="AD244" s="14">
        <f t="shared" si="28"/>
        <v>2.3283796034387376</v>
      </c>
      <c r="AE244" s="10" t="s">
        <v>437</v>
      </c>
      <c r="AF244" s="9" t="s">
        <v>420</v>
      </c>
      <c r="AG244" s="18">
        <v>34.683438000000002</v>
      </c>
      <c r="AH244" s="7">
        <f t="shared" si="29"/>
        <v>1</v>
      </c>
      <c r="AI244" s="7">
        <f t="shared" si="30"/>
        <v>1</v>
      </c>
      <c r="AJ244" s="7">
        <f t="shared" si="31"/>
        <v>0</v>
      </c>
      <c r="AK244" s="7">
        <f t="shared" si="32"/>
        <v>0</v>
      </c>
      <c r="AL244" s="7" t="s">
        <v>4157</v>
      </c>
      <c r="AM244" s="18">
        <f t="shared" si="33"/>
        <v>1.5401221404311698</v>
      </c>
      <c r="AN244" s="18">
        <v>34.683438000000002</v>
      </c>
      <c r="AO244" s="18">
        <v>-82.837365000000005</v>
      </c>
      <c r="AP244" s="9" t="s">
        <v>363</v>
      </c>
      <c r="AQ244" s="12" t="s">
        <v>441</v>
      </c>
      <c r="AR244" s="15">
        <v>1980</v>
      </c>
      <c r="AS244" s="19" t="s">
        <v>439</v>
      </c>
      <c r="AT244" s="20" t="s">
        <v>440</v>
      </c>
      <c r="AU244" s="40">
        <v>3425336</v>
      </c>
      <c r="AV244" s="35">
        <f t="shared" si="34"/>
        <v>6.5347031789784316</v>
      </c>
      <c r="AW244" s="37" t="s">
        <v>366</v>
      </c>
      <c r="AX244" s="34" t="s">
        <v>355</v>
      </c>
      <c r="AY244" s="40" t="s">
        <v>355</v>
      </c>
      <c r="AZ244" s="36">
        <v>33</v>
      </c>
      <c r="BA244" s="14">
        <f t="shared" si="35"/>
        <v>1.5185139398778875</v>
      </c>
      <c r="BB244" s="37" t="s">
        <v>367</v>
      </c>
      <c r="BC244" s="20">
        <v>1.137454981992851E-2</v>
      </c>
      <c r="BD244" s="9">
        <v>32</v>
      </c>
      <c r="BE244" s="9" t="s">
        <v>368</v>
      </c>
      <c r="BF244" s="9">
        <v>0</v>
      </c>
    </row>
    <row r="245" spans="1:58">
      <c r="A245" s="9">
        <v>472</v>
      </c>
      <c r="B245" s="10" t="s">
        <v>76</v>
      </c>
      <c r="C245" s="10" t="s">
        <v>77</v>
      </c>
      <c r="D245" s="20" t="s">
        <v>503</v>
      </c>
      <c r="E245" s="20" t="s">
        <v>507</v>
      </c>
      <c r="F245" s="10" t="s">
        <v>77</v>
      </c>
      <c r="G245" s="20" t="s">
        <v>503</v>
      </c>
      <c r="H245" s="20" t="s">
        <v>507</v>
      </c>
      <c r="I245" s="10" t="s">
        <v>77</v>
      </c>
      <c r="J245" s="20" t="s">
        <v>503</v>
      </c>
      <c r="K245" s="20" t="s">
        <v>507</v>
      </c>
      <c r="L245" s="9" t="s">
        <v>380</v>
      </c>
      <c r="M245" s="9">
        <v>7</v>
      </c>
      <c r="N245" s="9" t="s">
        <v>353</v>
      </c>
      <c r="O245" s="9" t="s">
        <v>382</v>
      </c>
      <c r="P245" s="12">
        <v>38.13861</v>
      </c>
      <c r="Q245" s="12" t="s">
        <v>355</v>
      </c>
      <c r="R245" s="9" t="s">
        <v>356</v>
      </c>
      <c r="S245" s="13">
        <v>4</v>
      </c>
      <c r="T245" s="13">
        <v>4</v>
      </c>
      <c r="U245" s="14">
        <f t="shared" si="27"/>
        <v>0.69897000433601886</v>
      </c>
      <c r="V245" s="15">
        <v>20</v>
      </c>
      <c r="W245" s="12"/>
      <c r="X245" s="12">
        <v>0.7</v>
      </c>
      <c r="Y245" s="13" t="s">
        <v>358</v>
      </c>
      <c r="Z245" s="9" t="s">
        <v>359</v>
      </c>
      <c r="AA245" s="10" t="s">
        <v>436</v>
      </c>
      <c r="AB245" s="9" t="s">
        <v>355</v>
      </c>
      <c r="AC245" s="15">
        <v>213</v>
      </c>
      <c r="AD245" s="14">
        <f t="shared" si="28"/>
        <v>2.3283796034387376</v>
      </c>
      <c r="AE245" s="10" t="s">
        <v>437</v>
      </c>
      <c r="AF245" s="9" t="s">
        <v>420</v>
      </c>
      <c r="AG245" s="18">
        <v>34.683438000000002</v>
      </c>
      <c r="AH245" s="7">
        <f t="shared" si="29"/>
        <v>1</v>
      </c>
      <c r="AI245" s="7">
        <f t="shared" si="30"/>
        <v>1</v>
      </c>
      <c r="AJ245" s="7">
        <f t="shared" si="31"/>
        <v>0</v>
      </c>
      <c r="AK245" s="7">
        <f t="shared" si="32"/>
        <v>0</v>
      </c>
      <c r="AL245" s="7" t="s">
        <v>4157</v>
      </c>
      <c r="AM245" s="18">
        <f t="shared" si="33"/>
        <v>1.5401221404311698</v>
      </c>
      <c r="AN245" s="18">
        <v>34.683438000000002</v>
      </c>
      <c r="AO245" s="18">
        <v>-82.837365000000005</v>
      </c>
      <c r="AP245" s="9" t="s">
        <v>363</v>
      </c>
      <c r="AQ245" s="12" t="s">
        <v>443</v>
      </c>
      <c r="AR245" s="15">
        <v>1980</v>
      </c>
      <c r="AS245" s="19" t="s">
        <v>439</v>
      </c>
      <c r="AT245" s="20" t="s">
        <v>440</v>
      </c>
      <c r="AU245" s="40">
        <v>3425336</v>
      </c>
      <c r="AV245" s="35">
        <f t="shared" si="34"/>
        <v>6.5347031789784316</v>
      </c>
      <c r="AW245" s="37" t="s">
        <v>366</v>
      </c>
      <c r="AX245" s="34" t="s">
        <v>355</v>
      </c>
      <c r="AY245" s="40" t="s">
        <v>355</v>
      </c>
      <c r="AZ245" s="36">
        <v>33</v>
      </c>
      <c r="BA245" s="14">
        <f t="shared" si="35"/>
        <v>1.5185139398778875</v>
      </c>
      <c r="BB245" s="37" t="s">
        <v>367</v>
      </c>
      <c r="BC245" s="20">
        <v>1.137454981992851E-2</v>
      </c>
      <c r="BD245" s="9">
        <v>32</v>
      </c>
      <c r="BE245" s="9" t="s">
        <v>368</v>
      </c>
      <c r="BF245" s="9">
        <v>0</v>
      </c>
    </row>
    <row r="246" spans="1:58">
      <c r="A246" s="9">
        <v>474</v>
      </c>
      <c r="B246" s="10" t="s">
        <v>76</v>
      </c>
      <c r="C246" s="10" t="s">
        <v>77</v>
      </c>
      <c r="D246" s="20" t="s">
        <v>503</v>
      </c>
      <c r="E246" s="20" t="s">
        <v>507</v>
      </c>
      <c r="F246" s="10" t="s">
        <v>77</v>
      </c>
      <c r="G246" s="20" t="s">
        <v>503</v>
      </c>
      <c r="H246" s="20" t="s">
        <v>507</v>
      </c>
      <c r="I246" s="10" t="s">
        <v>77</v>
      </c>
      <c r="J246" s="20" t="s">
        <v>503</v>
      </c>
      <c r="K246" s="20" t="s">
        <v>507</v>
      </c>
      <c r="L246" s="9" t="s">
        <v>380</v>
      </c>
      <c r="M246" s="9">
        <v>3</v>
      </c>
      <c r="N246" s="9" t="s">
        <v>353</v>
      </c>
      <c r="O246" s="9" t="s">
        <v>382</v>
      </c>
      <c r="P246" s="12">
        <v>38.201140000000002</v>
      </c>
      <c r="Q246" s="12" t="s">
        <v>355</v>
      </c>
      <c r="R246" s="9" t="s">
        <v>356</v>
      </c>
      <c r="S246" s="13">
        <v>4</v>
      </c>
      <c r="T246" s="13">
        <v>4</v>
      </c>
      <c r="U246" s="14">
        <f t="shared" si="27"/>
        <v>0.69897000433601886</v>
      </c>
      <c r="V246" s="15">
        <v>20</v>
      </c>
      <c r="W246" s="12"/>
      <c r="X246" s="12">
        <v>0.7</v>
      </c>
      <c r="Y246" s="13" t="s">
        <v>358</v>
      </c>
      <c r="Z246" s="9" t="s">
        <v>359</v>
      </c>
      <c r="AA246" s="10" t="s">
        <v>436</v>
      </c>
      <c r="AB246" s="9" t="s">
        <v>355</v>
      </c>
      <c r="AC246" s="15">
        <v>213</v>
      </c>
      <c r="AD246" s="14">
        <f t="shared" si="28"/>
        <v>2.3283796034387376</v>
      </c>
      <c r="AE246" s="10" t="s">
        <v>437</v>
      </c>
      <c r="AF246" s="9" t="s">
        <v>420</v>
      </c>
      <c r="AG246" s="18">
        <v>34.683438000000002</v>
      </c>
      <c r="AH246" s="7">
        <f t="shared" si="29"/>
        <v>1</v>
      </c>
      <c r="AI246" s="7">
        <f t="shared" si="30"/>
        <v>1</v>
      </c>
      <c r="AJ246" s="7">
        <f t="shared" si="31"/>
        <v>0</v>
      </c>
      <c r="AK246" s="7">
        <f t="shared" si="32"/>
        <v>0</v>
      </c>
      <c r="AL246" s="7" t="s">
        <v>4157</v>
      </c>
      <c r="AM246" s="18">
        <f t="shared" si="33"/>
        <v>1.5401221404311698</v>
      </c>
      <c r="AN246" s="18">
        <v>34.683438000000002</v>
      </c>
      <c r="AO246" s="18">
        <v>-82.837365000000005</v>
      </c>
      <c r="AP246" s="9" t="s">
        <v>363</v>
      </c>
      <c r="AQ246" s="12" t="s">
        <v>438</v>
      </c>
      <c r="AR246" s="15">
        <v>1980</v>
      </c>
      <c r="AS246" s="19" t="s">
        <v>439</v>
      </c>
      <c r="AT246" s="20" t="s">
        <v>440</v>
      </c>
      <c r="AU246" s="40">
        <v>3425336</v>
      </c>
      <c r="AV246" s="35">
        <f t="shared" si="34"/>
        <v>6.5347031789784316</v>
      </c>
      <c r="AW246" s="37" t="s">
        <v>366</v>
      </c>
      <c r="AX246" s="34" t="s">
        <v>355</v>
      </c>
      <c r="AY246" s="40" t="s">
        <v>355</v>
      </c>
      <c r="AZ246" s="36">
        <v>33</v>
      </c>
      <c r="BA246" s="14">
        <f t="shared" si="35"/>
        <v>1.5185139398778875</v>
      </c>
      <c r="BB246" s="37" t="s">
        <v>367</v>
      </c>
      <c r="BC246" s="20">
        <v>1.137454981992851E-2</v>
      </c>
      <c r="BD246" s="9">
        <v>32</v>
      </c>
      <c r="BE246" s="9" t="s">
        <v>368</v>
      </c>
      <c r="BF246" s="9">
        <v>0</v>
      </c>
    </row>
    <row r="247" spans="1:58">
      <c r="A247" s="9">
        <v>471</v>
      </c>
      <c r="B247" s="10" t="s">
        <v>76</v>
      </c>
      <c r="C247" s="10" t="s">
        <v>77</v>
      </c>
      <c r="D247" s="20" t="s">
        <v>503</v>
      </c>
      <c r="E247" s="20" t="s">
        <v>507</v>
      </c>
      <c r="F247" s="10" t="s">
        <v>77</v>
      </c>
      <c r="G247" s="20" t="s">
        <v>503</v>
      </c>
      <c r="H247" s="20" t="s">
        <v>507</v>
      </c>
      <c r="I247" s="10" t="s">
        <v>77</v>
      </c>
      <c r="J247" s="20" t="s">
        <v>503</v>
      </c>
      <c r="K247" s="20" t="s">
        <v>507</v>
      </c>
      <c r="L247" s="9" t="s">
        <v>380</v>
      </c>
      <c r="M247" s="9">
        <v>10</v>
      </c>
      <c r="N247" s="9" t="s">
        <v>381</v>
      </c>
      <c r="O247" s="9" t="s">
        <v>382</v>
      </c>
      <c r="P247" s="12">
        <v>38.462479999999999</v>
      </c>
      <c r="Q247" s="12" t="s">
        <v>355</v>
      </c>
      <c r="R247" s="9" t="s">
        <v>356</v>
      </c>
      <c r="S247" s="13">
        <v>4</v>
      </c>
      <c r="T247" s="13">
        <v>4</v>
      </c>
      <c r="U247" s="14">
        <f t="shared" si="27"/>
        <v>0.69897000433601886</v>
      </c>
      <c r="V247" s="15">
        <v>20</v>
      </c>
      <c r="W247" s="12"/>
      <c r="X247" s="12">
        <v>0.7</v>
      </c>
      <c r="Y247" s="13" t="s">
        <v>358</v>
      </c>
      <c r="Z247" s="9" t="s">
        <v>359</v>
      </c>
      <c r="AA247" s="10" t="s">
        <v>436</v>
      </c>
      <c r="AB247" s="9" t="s">
        <v>355</v>
      </c>
      <c r="AC247" s="15">
        <v>213</v>
      </c>
      <c r="AD247" s="14">
        <f t="shared" si="28"/>
        <v>2.3283796034387376</v>
      </c>
      <c r="AE247" s="10" t="s">
        <v>437</v>
      </c>
      <c r="AF247" s="9" t="s">
        <v>420</v>
      </c>
      <c r="AG247" s="18">
        <v>34.683438000000002</v>
      </c>
      <c r="AH247" s="7">
        <f t="shared" si="29"/>
        <v>1</v>
      </c>
      <c r="AI247" s="7">
        <f t="shared" si="30"/>
        <v>1</v>
      </c>
      <c r="AJ247" s="7">
        <f t="shared" si="31"/>
        <v>0</v>
      </c>
      <c r="AK247" s="7">
        <f t="shared" si="32"/>
        <v>0</v>
      </c>
      <c r="AL247" s="7" t="s">
        <v>4157</v>
      </c>
      <c r="AM247" s="18">
        <f t="shared" si="33"/>
        <v>1.5401221404311698</v>
      </c>
      <c r="AN247" s="18">
        <v>34.683438000000002</v>
      </c>
      <c r="AO247" s="18">
        <v>-82.837365000000005</v>
      </c>
      <c r="AP247" s="9" t="s">
        <v>363</v>
      </c>
      <c r="AQ247" s="12" t="s">
        <v>444</v>
      </c>
      <c r="AR247" s="15">
        <v>1980</v>
      </c>
      <c r="AS247" s="19" t="s">
        <v>439</v>
      </c>
      <c r="AT247" s="20" t="s">
        <v>440</v>
      </c>
      <c r="AU247" s="40">
        <v>3425336</v>
      </c>
      <c r="AV247" s="35">
        <f t="shared" si="34"/>
        <v>6.5347031789784316</v>
      </c>
      <c r="AW247" s="37" t="s">
        <v>366</v>
      </c>
      <c r="AX247" s="34" t="s">
        <v>355</v>
      </c>
      <c r="AY247" s="40" t="s">
        <v>355</v>
      </c>
      <c r="AZ247" s="36">
        <v>33</v>
      </c>
      <c r="BA247" s="14">
        <f t="shared" si="35"/>
        <v>1.5185139398778875</v>
      </c>
      <c r="BB247" s="37" t="s">
        <v>367</v>
      </c>
      <c r="BC247" s="20">
        <v>1.137454981992851E-2</v>
      </c>
      <c r="BD247" s="9">
        <v>32</v>
      </c>
      <c r="BE247" s="9" t="s">
        <v>368</v>
      </c>
      <c r="BF247" s="9">
        <v>0</v>
      </c>
    </row>
    <row r="248" spans="1:58">
      <c r="A248" s="9">
        <v>470</v>
      </c>
      <c r="B248" s="10" t="s">
        <v>76</v>
      </c>
      <c r="C248" s="10" t="s">
        <v>77</v>
      </c>
      <c r="D248" s="20" t="s">
        <v>503</v>
      </c>
      <c r="E248" s="20" t="s">
        <v>507</v>
      </c>
      <c r="F248" s="10" t="s">
        <v>77</v>
      </c>
      <c r="G248" s="20" t="s">
        <v>503</v>
      </c>
      <c r="H248" s="20" t="s">
        <v>507</v>
      </c>
      <c r="I248" s="10" t="s">
        <v>77</v>
      </c>
      <c r="J248" s="20" t="s">
        <v>503</v>
      </c>
      <c r="K248" s="20" t="s">
        <v>507</v>
      </c>
      <c r="L248" s="9" t="s">
        <v>380</v>
      </c>
      <c r="M248" s="9">
        <v>10</v>
      </c>
      <c r="N248" s="9" t="s">
        <v>381</v>
      </c>
      <c r="O248" s="9" t="s">
        <v>382</v>
      </c>
      <c r="P248" s="12">
        <v>38.502090000000003</v>
      </c>
      <c r="Q248" s="12" t="s">
        <v>355</v>
      </c>
      <c r="R248" s="9" t="s">
        <v>356</v>
      </c>
      <c r="S248" s="13">
        <v>4</v>
      </c>
      <c r="T248" s="13">
        <v>4</v>
      </c>
      <c r="U248" s="14">
        <f t="shared" si="27"/>
        <v>0.69897000433601886</v>
      </c>
      <c r="V248" s="15">
        <v>20</v>
      </c>
      <c r="W248" s="12"/>
      <c r="X248" s="12">
        <v>0.7</v>
      </c>
      <c r="Y248" s="13" t="s">
        <v>358</v>
      </c>
      <c r="Z248" s="9" t="s">
        <v>359</v>
      </c>
      <c r="AA248" s="10" t="s">
        <v>436</v>
      </c>
      <c r="AB248" s="9" t="s">
        <v>355</v>
      </c>
      <c r="AC248" s="15">
        <v>213</v>
      </c>
      <c r="AD248" s="14">
        <f t="shared" si="28"/>
        <v>2.3283796034387376</v>
      </c>
      <c r="AE248" s="10" t="s">
        <v>437</v>
      </c>
      <c r="AF248" s="9" t="s">
        <v>420</v>
      </c>
      <c r="AG248" s="18">
        <v>34.683438000000002</v>
      </c>
      <c r="AH248" s="7">
        <f t="shared" si="29"/>
        <v>1</v>
      </c>
      <c r="AI248" s="7">
        <f t="shared" si="30"/>
        <v>1</v>
      </c>
      <c r="AJ248" s="7">
        <f t="shared" si="31"/>
        <v>0</v>
      </c>
      <c r="AK248" s="7">
        <f t="shared" si="32"/>
        <v>0</v>
      </c>
      <c r="AL248" s="7" t="s">
        <v>4157</v>
      </c>
      <c r="AM248" s="18">
        <f t="shared" si="33"/>
        <v>1.5401221404311698</v>
      </c>
      <c r="AN248" s="18">
        <v>34.683438000000002</v>
      </c>
      <c r="AO248" s="18">
        <v>-82.837365000000005</v>
      </c>
      <c r="AP248" s="9" t="s">
        <v>363</v>
      </c>
      <c r="AQ248" s="12" t="s">
        <v>446</v>
      </c>
      <c r="AR248" s="15">
        <v>1980</v>
      </c>
      <c r="AS248" s="19" t="s">
        <v>439</v>
      </c>
      <c r="AT248" s="20" t="s">
        <v>440</v>
      </c>
      <c r="AU248" s="40">
        <v>3425336</v>
      </c>
      <c r="AV248" s="35">
        <f t="shared" si="34"/>
        <v>6.5347031789784316</v>
      </c>
      <c r="AW248" s="37" t="s">
        <v>366</v>
      </c>
      <c r="AX248" s="34" t="s">
        <v>355</v>
      </c>
      <c r="AY248" s="40" t="s">
        <v>355</v>
      </c>
      <c r="AZ248" s="36">
        <v>33</v>
      </c>
      <c r="BA248" s="14">
        <f t="shared" si="35"/>
        <v>1.5185139398778875</v>
      </c>
      <c r="BB248" s="37" t="s">
        <v>367</v>
      </c>
      <c r="BC248" s="20">
        <v>1.137454981992851E-2</v>
      </c>
      <c r="BD248" s="9">
        <v>32</v>
      </c>
      <c r="BE248" s="9" t="s">
        <v>368</v>
      </c>
      <c r="BF248" s="9">
        <v>0</v>
      </c>
    </row>
    <row r="249" spans="1:58">
      <c r="A249" s="9">
        <v>468</v>
      </c>
      <c r="B249" s="10" t="s">
        <v>76</v>
      </c>
      <c r="C249" s="10" t="s">
        <v>77</v>
      </c>
      <c r="D249" s="20" t="s">
        <v>503</v>
      </c>
      <c r="E249" s="20" t="s">
        <v>507</v>
      </c>
      <c r="F249" s="10" t="s">
        <v>77</v>
      </c>
      <c r="G249" s="20" t="s">
        <v>503</v>
      </c>
      <c r="H249" s="20" t="s">
        <v>507</v>
      </c>
      <c r="I249" s="10" t="s">
        <v>77</v>
      </c>
      <c r="J249" s="20" t="s">
        <v>503</v>
      </c>
      <c r="K249" s="20" t="s">
        <v>507</v>
      </c>
      <c r="L249" s="9" t="s">
        <v>380</v>
      </c>
      <c r="M249" s="9">
        <v>10</v>
      </c>
      <c r="N249" s="9" t="s">
        <v>381</v>
      </c>
      <c r="O249" s="9" t="s">
        <v>382</v>
      </c>
      <c r="P249" s="12">
        <v>38.63879</v>
      </c>
      <c r="Q249" s="12" t="s">
        <v>355</v>
      </c>
      <c r="R249" s="9" t="s">
        <v>356</v>
      </c>
      <c r="S249" s="13">
        <v>4</v>
      </c>
      <c r="T249" s="13">
        <v>4</v>
      </c>
      <c r="U249" s="14">
        <f t="shared" si="27"/>
        <v>0.69897000433601886</v>
      </c>
      <c r="V249" s="15">
        <v>20</v>
      </c>
      <c r="W249" s="12"/>
      <c r="X249" s="12">
        <v>0.7</v>
      </c>
      <c r="Y249" s="13" t="s">
        <v>358</v>
      </c>
      <c r="Z249" s="9" t="s">
        <v>359</v>
      </c>
      <c r="AA249" s="10" t="s">
        <v>436</v>
      </c>
      <c r="AB249" s="9" t="s">
        <v>355</v>
      </c>
      <c r="AC249" s="15">
        <v>213</v>
      </c>
      <c r="AD249" s="14">
        <f t="shared" si="28"/>
        <v>2.3283796034387376</v>
      </c>
      <c r="AE249" s="10" t="s">
        <v>437</v>
      </c>
      <c r="AF249" s="9" t="s">
        <v>420</v>
      </c>
      <c r="AG249" s="18">
        <v>34.683438000000002</v>
      </c>
      <c r="AH249" s="7">
        <f t="shared" si="29"/>
        <v>1</v>
      </c>
      <c r="AI249" s="7">
        <f t="shared" si="30"/>
        <v>1</v>
      </c>
      <c r="AJ249" s="7">
        <f t="shared" si="31"/>
        <v>0</v>
      </c>
      <c r="AK249" s="7">
        <f t="shared" si="32"/>
        <v>0</v>
      </c>
      <c r="AL249" s="7" t="s">
        <v>4157</v>
      </c>
      <c r="AM249" s="18">
        <f t="shared" si="33"/>
        <v>1.5401221404311698</v>
      </c>
      <c r="AN249" s="18">
        <v>34.683438000000002</v>
      </c>
      <c r="AO249" s="18">
        <v>-82.837365000000005</v>
      </c>
      <c r="AP249" s="9" t="s">
        <v>363</v>
      </c>
      <c r="AQ249" s="12" t="s">
        <v>449</v>
      </c>
      <c r="AR249" s="15">
        <v>1980</v>
      </c>
      <c r="AS249" s="19" t="s">
        <v>439</v>
      </c>
      <c r="AT249" s="20" t="s">
        <v>440</v>
      </c>
      <c r="AU249" s="40">
        <v>3425336</v>
      </c>
      <c r="AV249" s="35">
        <f t="shared" si="34"/>
        <v>6.5347031789784316</v>
      </c>
      <c r="AW249" s="37" t="s">
        <v>366</v>
      </c>
      <c r="AX249" s="34" t="s">
        <v>355</v>
      </c>
      <c r="AY249" s="40" t="s">
        <v>355</v>
      </c>
      <c r="AZ249" s="36">
        <v>33</v>
      </c>
      <c r="BA249" s="14">
        <f t="shared" si="35"/>
        <v>1.5185139398778875</v>
      </c>
      <c r="BB249" s="37" t="s">
        <v>367</v>
      </c>
      <c r="BC249" s="20">
        <v>1.137454981992851E-2</v>
      </c>
      <c r="BD249" s="9">
        <v>32</v>
      </c>
      <c r="BE249" s="9" t="s">
        <v>368</v>
      </c>
      <c r="BF249" s="9">
        <v>0</v>
      </c>
    </row>
    <row r="250" spans="1:58">
      <c r="A250" s="9">
        <v>469</v>
      </c>
      <c r="B250" s="10" t="s">
        <v>76</v>
      </c>
      <c r="C250" s="10" t="s">
        <v>77</v>
      </c>
      <c r="D250" s="20" t="s">
        <v>503</v>
      </c>
      <c r="E250" s="20" t="s">
        <v>507</v>
      </c>
      <c r="F250" s="10" t="s">
        <v>77</v>
      </c>
      <c r="G250" s="20" t="s">
        <v>503</v>
      </c>
      <c r="H250" s="20" t="s">
        <v>507</v>
      </c>
      <c r="I250" s="10" t="s">
        <v>77</v>
      </c>
      <c r="J250" s="20" t="s">
        <v>503</v>
      </c>
      <c r="K250" s="20" t="s">
        <v>507</v>
      </c>
      <c r="L250" s="9" t="s">
        <v>380</v>
      </c>
      <c r="M250" s="9">
        <v>10</v>
      </c>
      <c r="N250" s="9" t="s">
        <v>381</v>
      </c>
      <c r="O250" s="9" t="s">
        <v>382</v>
      </c>
      <c r="P250" s="12">
        <v>38.883450000000003</v>
      </c>
      <c r="Q250" s="12" t="s">
        <v>355</v>
      </c>
      <c r="R250" s="9" t="s">
        <v>356</v>
      </c>
      <c r="S250" s="13">
        <v>4</v>
      </c>
      <c r="T250" s="13">
        <v>4</v>
      </c>
      <c r="U250" s="14">
        <f t="shared" si="27"/>
        <v>0.69897000433601886</v>
      </c>
      <c r="V250" s="15">
        <v>20</v>
      </c>
      <c r="W250" s="12"/>
      <c r="X250" s="12">
        <v>0.7</v>
      </c>
      <c r="Y250" s="13" t="s">
        <v>358</v>
      </c>
      <c r="Z250" s="9" t="s">
        <v>359</v>
      </c>
      <c r="AA250" s="10" t="s">
        <v>436</v>
      </c>
      <c r="AB250" s="9" t="s">
        <v>355</v>
      </c>
      <c r="AC250" s="15">
        <v>213</v>
      </c>
      <c r="AD250" s="14">
        <f t="shared" si="28"/>
        <v>2.3283796034387376</v>
      </c>
      <c r="AE250" s="10" t="s">
        <v>437</v>
      </c>
      <c r="AF250" s="9" t="s">
        <v>420</v>
      </c>
      <c r="AG250" s="18">
        <v>34.683438000000002</v>
      </c>
      <c r="AH250" s="7">
        <f t="shared" si="29"/>
        <v>1</v>
      </c>
      <c r="AI250" s="7">
        <f t="shared" si="30"/>
        <v>1</v>
      </c>
      <c r="AJ250" s="7">
        <f t="shared" si="31"/>
        <v>0</v>
      </c>
      <c r="AK250" s="7">
        <f t="shared" si="32"/>
        <v>0</v>
      </c>
      <c r="AL250" s="7" t="s">
        <v>4157</v>
      </c>
      <c r="AM250" s="18">
        <f t="shared" si="33"/>
        <v>1.5401221404311698</v>
      </c>
      <c r="AN250" s="18">
        <v>34.683438000000002</v>
      </c>
      <c r="AO250" s="18">
        <v>-82.837365000000005</v>
      </c>
      <c r="AP250" s="9" t="s">
        <v>363</v>
      </c>
      <c r="AQ250" s="12" t="s">
        <v>445</v>
      </c>
      <c r="AR250" s="15">
        <v>1980</v>
      </c>
      <c r="AS250" s="19" t="s">
        <v>439</v>
      </c>
      <c r="AT250" s="20" t="s">
        <v>440</v>
      </c>
      <c r="AU250" s="40">
        <v>3425336</v>
      </c>
      <c r="AV250" s="35">
        <f t="shared" si="34"/>
        <v>6.5347031789784316</v>
      </c>
      <c r="AW250" s="37" t="s">
        <v>366</v>
      </c>
      <c r="AX250" s="34" t="s">
        <v>355</v>
      </c>
      <c r="AY250" s="40" t="s">
        <v>355</v>
      </c>
      <c r="AZ250" s="36">
        <v>33</v>
      </c>
      <c r="BA250" s="14">
        <f t="shared" si="35"/>
        <v>1.5185139398778875</v>
      </c>
      <c r="BB250" s="37" t="s">
        <v>367</v>
      </c>
      <c r="BC250" s="20">
        <v>1.137454981992851E-2</v>
      </c>
      <c r="BD250" s="9">
        <v>32</v>
      </c>
      <c r="BE250" s="9" t="s">
        <v>368</v>
      </c>
      <c r="BF250" s="9">
        <v>0</v>
      </c>
    </row>
    <row r="251" spans="1:58">
      <c r="A251" s="9">
        <v>735</v>
      </c>
      <c r="B251" s="10" t="s">
        <v>76</v>
      </c>
      <c r="C251" s="10" t="s">
        <v>77</v>
      </c>
      <c r="D251" s="20" t="s">
        <v>503</v>
      </c>
      <c r="E251" s="20" t="s">
        <v>507</v>
      </c>
      <c r="F251" s="10" t="s">
        <v>77</v>
      </c>
      <c r="G251" s="20" t="s">
        <v>503</v>
      </c>
      <c r="H251" s="20" t="s">
        <v>507</v>
      </c>
      <c r="I251" s="10" t="s">
        <v>77</v>
      </c>
      <c r="J251" s="20" t="s">
        <v>503</v>
      </c>
      <c r="K251" s="20" t="s">
        <v>507</v>
      </c>
      <c r="L251" s="9" t="s">
        <v>352</v>
      </c>
      <c r="M251" s="9">
        <v>6</v>
      </c>
      <c r="N251" s="9" t="s">
        <v>353</v>
      </c>
      <c r="O251" s="9" t="s">
        <v>354</v>
      </c>
      <c r="P251" s="12">
        <v>37</v>
      </c>
      <c r="Q251" s="12" t="s">
        <v>355</v>
      </c>
      <c r="R251" s="9" t="s">
        <v>356</v>
      </c>
      <c r="S251" s="13" t="s">
        <v>524</v>
      </c>
      <c r="T251" s="13" t="s">
        <v>524</v>
      </c>
      <c r="U251" s="14">
        <f t="shared" si="27"/>
        <v>0.69897000433601886</v>
      </c>
      <c r="V251" s="15">
        <v>5</v>
      </c>
      <c r="W251" s="12">
        <v>15.018309799999997</v>
      </c>
      <c r="X251" s="12">
        <v>0.5</v>
      </c>
      <c r="Y251" s="13" t="s">
        <v>401</v>
      </c>
      <c r="Z251" s="9" t="s">
        <v>359</v>
      </c>
      <c r="AA251" s="10" t="s">
        <v>625</v>
      </c>
      <c r="AB251" s="9" t="s">
        <v>355</v>
      </c>
      <c r="AC251" s="15">
        <v>1530</v>
      </c>
      <c r="AD251" s="14">
        <f t="shared" si="28"/>
        <v>3.1846914308175989</v>
      </c>
      <c r="AE251" s="10" t="s">
        <v>626</v>
      </c>
      <c r="AF251" s="9" t="s">
        <v>362</v>
      </c>
      <c r="AG251" s="18">
        <v>40.695557000000001</v>
      </c>
      <c r="AH251" s="7">
        <f t="shared" si="29"/>
        <v>1</v>
      </c>
      <c r="AI251" s="7">
        <f t="shared" si="30"/>
        <v>1</v>
      </c>
      <c r="AJ251" s="7">
        <f t="shared" si="31"/>
        <v>0</v>
      </c>
      <c r="AK251" s="7">
        <f t="shared" si="32"/>
        <v>0</v>
      </c>
      <c r="AL251" s="7" t="s">
        <v>4157</v>
      </c>
      <c r="AM251" s="18">
        <f t="shared" si="33"/>
        <v>1.6095469970455845</v>
      </c>
      <c r="AN251" s="18">
        <v>40.695557000000001</v>
      </c>
      <c r="AO251" s="18">
        <v>-105.59433900000001</v>
      </c>
      <c r="AP251" s="9" t="s">
        <v>363</v>
      </c>
      <c r="AQ251" s="9" t="s">
        <v>355</v>
      </c>
      <c r="AR251" s="15">
        <v>1977</v>
      </c>
      <c r="AS251" s="19" t="s">
        <v>627</v>
      </c>
      <c r="AT251" s="20" t="s">
        <v>628</v>
      </c>
      <c r="AU251" s="40">
        <v>3425336</v>
      </c>
      <c r="AV251" s="35">
        <f t="shared" si="34"/>
        <v>6.5347031789784316</v>
      </c>
      <c r="AW251" s="37" t="s">
        <v>366</v>
      </c>
      <c r="AX251" s="34" t="s">
        <v>355</v>
      </c>
      <c r="AY251" s="40" t="s">
        <v>355</v>
      </c>
      <c r="AZ251" s="15">
        <v>33</v>
      </c>
      <c r="BA251" s="14">
        <f t="shared" si="35"/>
        <v>1.5185139398778875</v>
      </c>
      <c r="BB251" s="37" t="s">
        <v>367</v>
      </c>
      <c r="BC251" s="20">
        <v>2.304441776710698E-2</v>
      </c>
      <c r="BD251" s="9">
        <v>24.200000000000003</v>
      </c>
      <c r="BE251" s="9" t="s">
        <v>368</v>
      </c>
      <c r="BF251" s="9">
        <v>0</v>
      </c>
    </row>
    <row r="252" spans="1:58">
      <c r="A252" s="9">
        <v>749</v>
      </c>
      <c r="B252" s="10" t="s">
        <v>76</v>
      </c>
      <c r="C252" s="10" t="s">
        <v>77</v>
      </c>
      <c r="D252" s="20" t="s">
        <v>503</v>
      </c>
      <c r="E252" s="20" t="s">
        <v>507</v>
      </c>
      <c r="F252" s="10" t="s">
        <v>77</v>
      </c>
      <c r="G252" s="20" t="s">
        <v>503</v>
      </c>
      <c r="H252" s="20" t="s">
        <v>507</v>
      </c>
      <c r="I252" s="10" t="s">
        <v>77</v>
      </c>
      <c r="J252" s="20" t="s">
        <v>503</v>
      </c>
      <c r="K252" s="20" t="s">
        <v>507</v>
      </c>
      <c r="L252" s="9" t="s">
        <v>352</v>
      </c>
      <c r="M252" s="9">
        <v>6</v>
      </c>
      <c r="N252" s="9" t="s">
        <v>353</v>
      </c>
      <c r="O252" s="9" t="s">
        <v>354</v>
      </c>
      <c r="P252" s="12">
        <v>38.6</v>
      </c>
      <c r="Q252" s="12" t="s">
        <v>355</v>
      </c>
      <c r="R252" s="9" t="s">
        <v>356</v>
      </c>
      <c r="S252" s="13" t="s">
        <v>524</v>
      </c>
      <c r="T252" s="13" t="s">
        <v>524</v>
      </c>
      <c r="U252" s="14">
        <f t="shared" si="27"/>
        <v>0.69897000433601886</v>
      </c>
      <c r="V252" s="15">
        <v>20</v>
      </c>
      <c r="W252" s="12">
        <v>14.275024799999997</v>
      </c>
      <c r="X252" s="12">
        <v>0.5</v>
      </c>
      <c r="Y252" s="13" t="s">
        <v>401</v>
      </c>
      <c r="Z252" s="9" t="s">
        <v>359</v>
      </c>
      <c r="AA252" s="10" t="s">
        <v>625</v>
      </c>
      <c r="AB252" s="9" t="s">
        <v>355</v>
      </c>
      <c r="AC252" s="15">
        <v>1530</v>
      </c>
      <c r="AD252" s="14">
        <f t="shared" si="28"/>
        <v>3.1846914308175989</v>
      </c>
      <c r="AE252" s="10" t="s">
        <v>626</v>
      </c>
      <c r="AF252" s="9" t="s">
        <v>362</v>
      </c>
      <c r="AG252" s="18">
        <v>40.695557000000001</v>
      </c>
      <c r="AH252" s="7">
        <f t="shared" si="29"/>
        <v>1</v>
      </c>
      <c r="AI252" s="7">
        <f t="shared" si="30"/>
        <v>1</v>
      </c>
      <c r="AJ252" s="7">
        <f t="shared" si="31"/>
        <v>0</v>
      </c>
      <c r="AK252" s="7">
        <f t="shared" si="32"/>
        <v>0</v>
      </c>
      <c r="AL252" s="7" t="s">
        <v>4157</v>
      </c>
      <c r="AM252" s="18">
        <f t="shared" si="33"/>
        <v>1.6095469970455845</v>
      </c>
      <c r="AN252" s="18">
        <v>40.695557000000001</v>
      </c>
      <c r="AO252" s="18">
        <v>-105.59433900000001</v>
      </c>
      <c r="AP252" s="9" t="s">
        <v>363</v>
      </c>
      <c r="AQ252" s="9" t="s">
        <v>355</v>
      </c>
      <c r="AR252" s="15">
        <v>1977</v>
      </c>
      <c r="AS252" s="19" t="s">
        <v>627</v>
      </c>
      <c r="AT252" s="20" t="s">
        <v>628</v>
      </c>
      <c r="AU252" s="40">
        <v>3425336</v>
      </c>
      <c r="AV252" s="35">
        <f t="shared" si="34"/>
        <v>6.5347031789784316</v>
      </c>
      <c r="AW252" s="37" t="s">
        <v>366</v>
      </c>
      <c r="AX252" s="34" t="s">
        <v>355</v>
      </c>
      <c r="AY252" s="40" t="s">
        <v>355</v>
      </c>
      <c r="AZ252" s="15">
        <v>33</v>
      </c>
      <c r="BA252" s="14">
        <f t="shared" si="35"/>
        <v>1.5185139398778875</v>
      </c>
      <c r="BB252" s="37" t="s">
        <v>367</v>
      </c>
      <c r="BC252" s="20">
        <v>2.304441776710698E-2</v>
      </c>
      <c r="BD252" s="9">
        <v>24.200000000000003</v>
      </c>
      <c r="BE252" s="9" t="s">
        <v>368</v>
      </c>
      <c r="BF252" s="9">
        <v>0</v>
      </c>
    </row>
    <row r="253" spans="1:58">
      <c r="A253" s="9">
        <v>737</v>
      </c>
      <c r="B253" s="10" t="s">
        <v>76</v>
      </c>
      <c r="C253" s="10" t="s">
        <v>77</v>
      </c>
      <c r="D253" s="20" t="s">
        <v>503</v>
      </c>
      <c r="E253" s="20" t="s">
        <v>507</v>
      </c>
      <c r="F253" s="10" t="s">
        <v>77</v>
      </c>
      <c r="G253" s="20" t="s">
        <v>503</v>
      </c>
      <c r="H253" s="20" t="s">
        <v>507</v>
      </c>
      <c r="I253" s="10" t="s">
        <v>77</v>
      </c>
      <c r="J253" s="20" t="s">
        <v>503</v>
      </c>
      <c r="K253" s="20" t="s">
        <v>507</v>
      </c>
      <c r="L253" s="9" t="s">
        <v>352</v>
      </c>
      <c r="M253" s="9">
        <v>3</v>
      </c>
      <c r="N253" s="9" t="s">
        <v>353</v>
      </c>
      <c r="O253" s="9" t="s">
        <v>354</v>
      </c>
      <c r="P253" s="12">
        <v>37.1</v>
      </c>
      <c r="Q253" s="12" t="s">
        <v>355</v>
      </c>
      <c r="R253" s="9" t="s">
        <v>356</v>
      </c>
      <c r="S253" s="13" t="s">
        <v>524</v>
      </c>
      <c r="T253" s="13" t="s">
        <v>524</v>
      </c>
      <c r="U253" s="14">
        <f t="shared" si="27"/>
        <v>0.69897000433601886</v>
      </c>
      <c r="V253" s="15">
        <v>5</v>
      </c>
      <c r="W253" s="12">
        <v>15.118309799999999</v>
      </c>
      <c r="X253" s="12">
        <v>0.5</v>
      </c>
      <c r="Y253" s="13" t="s">
        <v>401</v>
      </c>
      <c r="Z253" s="9" t="s">
        <v>359</v>
      </c>
      <c r="AA253" s="10" t="s">
        <v>625</v>
      </c>
      <c r="AB253" s="9" t="s">
        <v>355</v>
      </c>
      <c r="AC253" s="15">
        <v>1542</v>
      </c>
      <c r="AD253" s="14">
        <f t="shared" si="28"/>
        <v>3.188084373714938</v>
      </c>
      <c r="AE253" s="10" t="s">
        <v>626</v>
      </c>
      <c r="AF253" s="9" t="s">
        <v>362</v>
      </c>
      <c r="AG253" s="18">
        <v>40.695557000000001</v>
      </c>
      <c r="AH253" s="7">
        <f t="shared" si="29"/>
        <v>1</v>
      </c>
      <c r="AI253" s="7">
        <f t="shared" si="30"/>
        <v>1</v>
      </c>
      <c r="AJ253" s="7">
        <f t="shared" si="31"/>
        <v>0</v>
      </c>
      <c r="AK253" s="7">
        <f t="shared" si="32"/>
        <v>0</v>
      </c>
      <c r="AL253" s="7" t="s">
        <v>4157</v>
      </c>
      <c r="AM253" s="18">
        <f t="shared" si="33"/>
        <v>1.6095469970455845</v>
      </c>
      <c r="AN253" s="18">
        <v>40.695557000000001</v>
      </c>
      <c r="AO253" s="18">
        <v>-105.59433900000001</v>
      </c>
      <c r="AP253" s="9" t="s">
        <v>363</v>
      </c>
      <c r="AQ253" s="9" t="s">
        <v>355</v>
      </c>
      <c r="AR253" s="15">
        <v>1977</v>
      </c>
      <c r="AS253" s="19" t="s">
        <v>627</v>
      </c>
      <c r="AT253" s="20" t="s">
        <v>628</v>
      </c>
      <c r="AU253" s="40">
        <v>3425336</v>
      </c>
      <c r="AV253" s="35">
        <f t="shared" si="34"/>
        <v>6.5347031789784316</v>
      </c>
      <c r="AW253" s="37" t="s">
        <v>366</v>
      </c>
      <c r="AX253" s="34" t="s">
        <v>355</v>
      </c>
      <c r="AY253" s="40" t="s">
        <v>355</v>
      </c>
      <c r="AZ253" s="15">
        <v>33</v>
      </c>
      <c r="BA253" s="14">
        <f t="shared" si="35"/>
        <v>1.5185139398778875</v>
      </c>
      <c r="BB253" s="37" t="s">
        <v>367</v>
      </c>
      <c r="BC253" s="20">
        <v>2.304441776710698E-2</v>
      </c>
      <c r="BD253" s="9">
        <v>24.200000000000003</v>
      </c>
      <c r="BE253" s="9" t="s">
        <v>368</v>
      </c>
      <c r="BF253" s="9">
        <v>0</v>
      </c>
    </row>
    <row r="254" spans="1:58">
      <c r="A254" s="9">
        <v>734</v>
      </c>
      <c r="B254" s="10" t="s">
        <v>76</v>
      </c>
      <c r="C254" s="10" t="s">
        <v>77</v>
      </c>
      <c r="D254" s="20" t="s">
        <v>503</v>
      </c>
      <c r="E254" s="20" t="s">
        <v>507</v>
      </c>
      <c r="F254" s="10" t="s">
        <v>77</v>
      </c>
      <c r="G254" s="20" t="s">
        <v>503</v>
      </c>
      <c r="H254" s="20" t="s">
        <v>507</v>
      </c>
      <c r="I254" s="10" t="s">
        <v>77</v>
      </c>
      <c r="J254" s="20" t="s">
        <v>503</v>
      </c>
      <c r="K254" s="20" t="s">
        <v>507</v>
      </c>
      <c r="L254" s="9" t="s">
        <v>352</v>
      </c>
      <c r="M254" s="9">
        <v>6</v>
      </c>
      <c r="N254" s="9" t="s">
        <v>353</v>
      </c>
      <c r="O254" s="9" t="s">
        <v>354</v>
      </c>
      <c r="P254" s="12">
        <v>37.1</v>
      </c>
      <c r="Q254" s="12" t="s">
        <v>355</v>
      </c>
      <c r="R254" s="9" t="s">
        <v>356</v>
      </c>
      <c r="S254" s="13" t="s">
        <v>524</v>
      </c>
      <c r="T254" s="13" t="s">
        <v>524</v>
      </c>
      <c r="U254" s="14">
        <f t="shared" si="27"/>
        <v>0.69897000433601886</v>
      </c>
      <c r="V254" s="15">
        <v>5</v>
      </c>
      <c r="W254" s="12">
        <v>15.118309799999999</v>
      </c>
      <c r="X254" s="12">
        <v>0.5</v>
      </c>
      <c r="Y254" s="13" t="s">
        <v>401</v>
      </c>
      <c r="Z254" s="9" t="s">
        <v>359</v>
      </c>
      <c r="AA254" s="10" t="s">
        <v>625</v>
      </c>
      <c r="AB254" s="9" t="s">
        <v>355</v>
      </c>
      <c r="AC254" s="15">
        <v>1542</v>
      </c>
      <c r="AD254" s="14">
        <f t="shared" si="28"/>
        <v>3.188084373714938</v>
      </c>
      <c r="AE254" s="10" t="s">
        <v>626</v>
      </c>
      <c r="AF254" s="9" t="s">
        <v>362</v>
      </c>
      <c r="AG254" s="18">
        <v>40.695557000000001</v>
      </c>
      <c r="AH254" s="7">
        <f t="shared" si="29"/>
        <v>1</v>
      </c>
      <c r="AI254" s="7">
        <f t="shared" si="30"/>
        <v>1</v>
      </c>
      <c r="AJ254" s="7">
        <f t="shared" si="31"/>
        <v>0</v>
      </c>
      <c r="AK254" s="7">
        <f t="shared" si="32"/>
        <v>0</v>
      </c>
      <c r="AL254" s="7" t="s">
        <v>4157</v>
      </c>
      <c r="AM254" s="18">
        <f t="shared" si="33"/>
        <v>1.6095469970455845</v>
      </c>
      <c r="AN254" s="18">
        <v>40.695557000000001</v>
      </c>
      <c r="AO254" s="18">
        <v>-105.59433900000001</v>
      </c>
      <c r="AP254" s="9" t="s">
        <v>363</v>
      </c>
      <c r="AQ254" s="9" t="s">
        <v>355</v>
      </c>
      <c r="AR254" s="15">
        <v>1977</v>
      </c>
      <c r="AS254" s="19" t="s">
        <v>627</v>
      </c>
      <c r="AT254" s="20" t="s">
        <v>628</v>
      </c>
      <c r="AU254" s="40">
        <v>3425336</v>
      </c>
      <c r="AV254" s="35">
        <f t="shared" si="34"/>
        <v>6.5347031789784316</v>
      </c>
      <c r="AW254" s="37" t="s">
        <v>366</v>
      </c>
      <c r="AX254" s="34" t="s">
        <v>355</v>
      </c>
      <c r="AY254" s="40" t="s">
        <v>355</v>
      </c>
      <c r="AZ254" s="15">
        <v>33</v>
      </c>
      <c r="BA254" s="14">
        <f t="shared" si="35"/>
        <v>1.5185139398778875</v>
      </c>
      <c r="BB254" s="37" t="s">
        <v>367</v>
      </c>
      <c r="BC254" s="20">
        <v>2.304441776710698E-2</v>
      </c>
      <c r="BD254" s="9">
        <v>24.200000000000003</v>
      </c>
      <c r="BE254" s="9" t="s">
        <v>368</v>
      </c>
      <c r="BF254" s="9">
        <v>0</v>
      </c>
    </row>
    <row r="255" spans="1:58">
      <c r="A255" s="9">
        <v>751</v>
      </c>
      <c r="B255" s="10" t="s">
        <v>76</v>
      </c>
      <c r="C255" s="10" t="s">
        <v>77</v>
      </c>
      <c r="D255" s="20" t="s">
        <v>503</v>
      </c>
      <c r="E255" s="20" t="s">
        <v>507</v>
      </c>
      <c r="F255" s="10" t="s">
        <v>77</v>
      </c>
      <c r="G255" s="20" t="s">
        <v>503</v>
      </c>
      <c r="H255" s="20" t="s">
        <v>507</v>
      </c>
      <c r="I255" s="10" t="s">
        <v>77</v>
      </c>
      <c r="J255" s="20" t="s">
        <v>503</v>
      </c>
      <c r="K255" s="20" t="s">
        <v>507</v>
      </c>
      <c r="L255" s="9" t="s">
        <v>352</v>
      </c>
      <c r="M255" s="9">
        <v>3</v>
      </c>
      <c r="N255" s="9" t="s">
        <v>353</v>
      </c>
      <c r="O255" s="9" t="s">
        <v>354</v>
      </c>
      <c r="P255" s="12">
        <v>38.6</v>
      </c>
      <c r="Q255" s="12" t="s">
        <v>355</v>
      </c>
      <c r="R255" s="9" t="s">
        <v>356</v>
      </c>
      <c r="S255" s="13" t="s">
        <v>524</v>
      </c>
      <c r="T255" s="13" t="s">
        <v>524</v>
      </c>
      <c r="U255" s="14">
        <f t="shared" si="27"/>
        <v>0.69897000433601886</v>
      </c>
      <c r="V255" s="15">
        <v>20</v>
      </c>
      <c r="W255" s="12">
        <v>14.275024799999997</v>
      </c>
      <c r="X255" s="12">
        <v>0.5</v>
      </c>
      <c r="Y255" s="13" t="s">
        <v>401</v>
      </c>
      <c r="Z255" s="9" t="s">
        <v>359</v>
      </c>
      <c r="AA255" s="10" t="s">
        <v>625</v>
      </c>
      <c r="AB255" s="9" t="s">
        <v>355</v>
      </c>
      <c r="AC255" s="15">
        <v>1542</v>
      </c>
      <c r="AD255" s="14">
        <f t="shared" si="28"/>
        <v>3.188084373714938</v>
      </c>
      <c r="AE255" s="10" t="s">
        <v>626</v>
      </c>
      <c r="AF255" s="9" t="s">
        <v>362</v>
      </c>
      <c r="AG255" s="18">
        <v>40.695557000000001</v>
      </c>
      <c r="AH255" s="7">
        <f t="shared" si="29"/>
        <v>1</v>
      </c>
      <c r="AI255" s="7">
        <f t="shared" si="30"/>
        <v>1</v>
      </c>
      <c r="AJ255" s="7">
        <f t="shared" si="31"/>
        <v>0</v>
      </c>
      <c r="AK255" s="7">
        <f t="shared" si="32"/>
        <v>0</v>
      </c>
      <c r="AL255" s="7" t="s">
        <v>4157</v>
      </c>
      <c r="AM255" s="18">
        <f t="shared" si="33"/>
        <v>1.6095469970455845</v>
      </c>
      <c r="AN255" s="18">
        <v>40.695557000000001</v>
      </c>
      <c r="AO255" s="18">
        <v>-105.59433900000001</v>
      </c>
      <c r="AP255" s="9" t="s">
        <v>363</v>
      </c>
      <c r="AQ255" s="9" t="s">
        <v>355</v>
      </c>
      <c r="AR255" s="15">
        <v>1977</v>
      </c>
      <c r="AS255" s="19" t="s">
        <v>627</v>
      </c>
      <c r="AT255" s="20" t="s">
        <v>628</v>
      </c>
      <c r="AU255" s="40">
        <v>3425336</v>
      </c>
      <c r="AV255" s="35">
        <f t="shared" si="34"/>
        <v>6.5347031789784316</v>
      </c>
      <c r="AW255" s="37" t="s">
        <v>366</v>
      </c>
      <c r="AX255" s="34" t="s">
        <v>355</v>
      </c>
      <c r="AY255" s="40" t="s">
        <v>355</v>
      </c>
      <c r="AZ255" s="15">
        <v>33</v>
      </c>
      <c r="BA255" s="14">
        <f t="shared" si="35"/>
        <v>1.5185139398778875</v>
      </c>
      <c r="BB255" s="37" t="s">
        <v>367</v>
      </c>
      <c r="BC255" s="20">
        <v>2.304441776710698E-2</v>
      </c>
      <c r="BD255" s="9">
        <v>24.200000000000003</v>
      </c>
      <c r="BE255" s="9" t="s">
        <v>368</v>
      </c>
      <c r="BF255" s="9">
        <v>0</v>
      </c>
    </row>
    <row r="256" spans="1:58">
      <c r="A256" s="9">
        <v>748</v>
      </c>
      <c r="B256" s="10" t="s">
        <v>76</v>
      </c>
      <c r="C256" s="10" t="s">
        <v>77</v>
      </c>
      <c r="D256" s="20" t="s">
        <v>503</v>
      </c>
      <c r="E256" s="20" t="s">
        <v>507</v>
      </c>
      <c r="F256" s="10" t="s">
        <v>77</v>
      </c>
      <c r="G256" s="20" t="s">
        <v>503</v>
      </c>
      <c r="H256" s="20" t="s">
        <v>507</v>
      </c>
      <c r="I256" s="10" t="s">
        <v>77</v>
      </c>
      <c r="J256" s="20" t="s">
        <v>503</v>
      </c>
      <c r="K256" s="20" t="s">
        <v>507</v>
      </c>
      <c r="L256" s="9" t="s">
        <v>352</v>
      </c>
      <c r="M256" s="9">
        <v>6</v>
      </c>
      <c r="N256" s="9" t="s">
        <v>353</v>
      </c>
      <c r="O256" s="9" t="s">
        <v>354</v>
      </c>
      <c r="P256" s="12">
        <v>38.6</v>
      </c>
      <c r="Q256" s="12" t="s">
        <v>355</v>
      </c>
      <c r="R256" s="9" t="s">
        <v>356</v>
      </c>
      <c r="S256" s="13" t="s">
        <v>524</v>
      </c>
      <c r="T256" s="13" t="s">
        <v>524</v>
      </c>
      <c r="U256" s="14">
        <f t="shared" si="27"/>
        <v>0.69897000433601886</v>
      </c>
      <c r="V256" s="15">
        <v>20</v>
      </c>
      <c r="W256" s="12">
        <v>14.275024799999997</v>
      </c>
      <c r="X256" s="12">
        <v>0.5</v>
      </c>
      <c r="Y256" s="13" t="s">
        <v>401</v>
      </c>
      <c r="Z256" s="9" t="s">
        <v>359</v>
      </c>
      <c r="AA256" s="10" t="s">
        <v>625</v>
      </c>
      <c r="AB256" s="9" t="s">
        <v>355</v>
      </c>
      <c r="AC256" s="15">
        <v>1542</v>
      </c>
      <c r="AD256" s="14">
        <f t="shared" si="28"/>
        <v>3.188084373714938</v>
      </c>
      <c r="AE256" s="10" t="s">
        <v>626</v>
      </c>
      <c r="AF256" s="9" t="s">
        <v>362</v>
      </c>
      <c r="AG256" s="18">
        <v>40.695557000000001</v>
      </c>
      <c r="AH256" s="7">
        <f t="shared" si="29"/>
        <v>1</v>
      </c>
      <c r="AI256" s="7">
        <f t="shared" si="30"/>
        <v>1</v>
      </c>
      <c r="AJ256" s="7">
        <f t="shared" si="31"/>
        <v>0</v>
      </c>
      <c r="AK256" s="7">
        <f t="shared" si="32"/>
        <v>0</v>
      </c>
      <c r="AL256" s="7" t="s">
        <v>4157</v>
      </c>
      <c r="AM256" s="18">
        <f t="shared" si="33"/>
        <v>1.6095469970455845</v>
      </c>
      <c r="AN256" s="18">
        <v>40.695557000000001</v>
      </c>
      <c r="AO256" s="18">
        <v>-105.59433900000001</v>
      </c>
      <c r="AP256" s="9" t="s">
        <v>363</v>
      </c>
      <c r="AQ256" s="9" t="s">
        <v>355</v>
      </c>
      <c r="AR256" s="15">
        <v>1977</v>
      </c>
      <c r="AS256" s="19" t="s">
        <v>627</v>
      </c>
      <c r="AT256" s="20" t="s">
        <v>628</v>
      </c>
      <c r="AU256" s="40">
        <v>3425336</v>
      </c>
      <c r="AV256" s="35">
        <f t="shared" si="34"/>
        <v>6.5347031789784316</v>
      </c>
      <c r="AW256" s="37" t="s">
        <v>366</v>
      </c>
      <c r="AX256" s="34" t="s">
        <v>355</v>
      </c>
      <c r="AY256" s="40" t="s">
        <v>355</v>
      </c>
      <c r="AZ256" s="15">
        <v>33</v>
      </c>
      <c r="BA256" s="14">
        <f t="shared" si="35"/>
        <v>1.5185139398778875</v>
      </c>
      <c r="BB256" s="37" t="s">
        <v>367</v>
      </c>
      <c r="BC256" s="20">
        <v>2.304441776710698E-2</v>
      </c>
      <c r="BD256" s="9">
        <v>24.200000000000003</v>
      </c>
      <c r="BE256" s="9" t="s">
        <v>368</v>
      </c>
      <c r="BF256" s="9">
        <v>0</v>
      </c>
    </row>
    <row r="257" spans="1:58">
      <c r="A257" s="9">
        <v>736</v>
      </c>
      <c r="B257" s="10" t="s">
        <v>76</v>
      </c>
      <c r="C257" s="10" t="s">
        <v>77</v>
      </c>
      <c r="D257" s="20" t="s">
        <v>503</v>
      </c>
      <c r="E257" s="20" t="s">
        <v>507</v>
      </c>
      <c r="F257" s="10" t="s">
        <v>77</v>
      </c>
      <c r="G257" s="20" t="s">
        <v>503</v>
      </c>
      <c r="H257" s="20" t="s">
        <v>507</v>
      </c>
      <c r="I257" s="10" t="s">
        <v>77</v>
      </c>
      <c r="J257" s="20" t="s">
        <v>503</v>
      </c>
      <c r="K257" s="20" t="s">
        <v>507</v>
      </c>
      <c r="L257" s="9" t="s">
        <v>352</v>
      </c>
      <c r="M257" s="9">
        <v>6</v>
      </c>
      <c r="N257" s="9" t="s">
        <v>353</v>
      </c>
      <c r="O257" s="9" t="s">
        <v>354</v>
      </c>
      <c r="P257" s="12">
        <v>37</v>
      </c>
      <c r="Q257" s="12" t="s">
        <v>355</v>
      </c>
      <c r="R257" s="9" t="s">
        <v>356</v>
      </c>
      <c r="S257" s="13" t="s">
        <v>524</v>
      </c>
      <c r="T257" s="13" t="s">
        <v>524</v>
      </c>
      <c r="U257" s="14">
        <f t="shared" si="27"/>
        <v>0.69897000433601886</v>
      </c>
      <c r="V257" s="15">
        <v>5</v>
      </c>
      <c r="W257" s="12">
        <v>15.018309799999997</v>
      </c>
      <c r="X257" s="12">
        <v>0.5</v>
      </c>
      <c r="Y257" s="13" t="s">
        <v>401</v>
      </c>
      <c r="Z257" s="9" t="s">
        <v>359</v>
      </c>
      <c r="AA257" s="10" t="s">
        <v>625</v>
      </c>
      <c r="AB257" s="9" t="s">
        <v>355</v>
      </c>
      <c r="AC257" s="15">
        <v>1547</v>
      </c>
      <c r="AD257" s="14">
        <f t="shared" si="28"/>
        <v>3.1894903136993675</v>
      </c>
      <c r="AE257" s="10" t="s">
        <v>626</v>
      </c>
      <c r="AF257" s="9" t="s">
        <v>362</v>
      </c>
      <c r="AG257" s="18">
        <v>40.695557000000001</v>
      </c>
      <c r="AH257" s="7">
        <f t="shared" si="29"/>
        <v>1</v>
      </c>
      <c r="AI257" s="7">
        <f t="shared" si="30"/>
        <v>1</v>
      </c>
      <c r="AJ257" s="7">
        <f t="shared" si="31"/>
        <v>0</v>
      </c>
      <c r="AK257" s="7">
        <f t="shared" si="32"/>
        <v>0</v>
      </c>
      <c r="AL257" s="7" t="s">
        <v>4157</v>
      </c>
      <c r="AM257" s="18">
        <f t="shared" si="33"/>
        <v>1.6095469970455845</v>
      </c>
      <c r="AN257" s="18">
        <v>40.695557000000001</v>
      </c>
      <c r="AO257" s="18">
        <v>-105.59433900000001</v>
      </c>
      <c r="AP257" s="9" t="s">
        <v>363</v>
      </c>
      <c r="AQ257" s="9" t="s">
        <v>355</v>
      </c>
      <c r="AR257" s="15">
        <v>1977</v>
      </c>
      <c r="AS257" s="19" t="s">
        <v>627</v>
      </c>
      <c r="AT257" s="20" t="s">
        <v>628</v>
      </c>
      <c r="AU257" s="40">
        <v>3425336</v>
      </c>
      <c r="AV257" s="35">
        <f t="shared" si="34"/>
        <v>6.5347031789784316</v>
      </c>
      <c r="AW257" s="37" t="s">
        <v>366</v>
      </c>
      <c r="AX257" s="34" t="s">
        <v>355</v>
      </c>
      <c r="AY257" s="40" t="s">
        <v>355</v>
      </c>
      <c r="AZ257" s="15">
        <v>33</v>
      </c>
      <c r="BA257" s="14">
        <f t="shared" si="35"/>
        <v>1.5185139398778875</v>
      </c>
      <c r="BB257" s="37" t="s">
        <v>367</v>
      </c>
      <c r="BC257" s="20">
        <v>2.304441776710698E-2</v>
      </c>
      <c r="BD257" s="9">
        <v>24.200000000000003</v>
      </c>
      <c r="BE257" s="9" t="s">
        <v>368</v>
      </c>
      <c r="BF257" s="9">
        <v>0</v>
      </c>
    </row>
    <row r="258" spans="1:58">
      <c r="A258" s="9">
        <v>750</v>
      </c>
      <c r="B258" s="10" t="s">
        <v>76</v>
      </c>
      <c r="C258" s="10" t="s">
        <v>77</v>
      </c>
      <c r="D258" s="20" t="s">
        <v>503</v>
      </c>
      <c r="E258" s="20" t="s">
        <v>507</v>
      </c>
      <c r="F258" s="10" t="s">
        <v>77</v>
      </c>
      <c r="G258" s="20" t="s">
        <v>503</v>
      </c>
      <c r="H258" s="20" t="s">
        <v>507</v>
      </c>
      <c r="I258" s="10" t="s">
        <v>77</v>
      </c>
      <c r="J258" s="20" t="s">
        <v>503</v>
      </c>
      <c r="K258" s="20" t="s">
        <v>507</v>
      </c>
      <c r="L258" s="9" t="s">
        <v>352</v>
      </c>
      <c r="M258" s="9">
        <v>6</v>
      </c>
      <c r="N258" s="9" t="s">
        <v>353</v>
      </c>
      <c r="O258" s="9" t="s">
        <v>354</v>
      </c>
      <c r="P258" s="12">
        <v>38.700000000000003</v>
      </c>
      <c r="Q258" s="12" t="s">
        <v>355</v>
      </c>
      <c r="R258" s="9" t="s">
        <v>356</v>
      </c>
      <c r="S258" s="13" t="s">
        <v>524</v>
      </c>
      <c r="T258" s="13" t="s">
        <v>524</v>
      </c>
      <c r="U258" s="14">
        <f t="shared" si="27"/>
        <v>0.69897000433601886</v>
      </c>
      <c r="V258" s="15">
        <v>20</v>
      </c>
      <c r="W258" s="12">
        <v>14.375024799999998</v>
      </c>
      <c r="X258" s="12">
        <v>0.5</v>
      </c>
      <c r="Y258" s="13" t="s">
        <v>401</v>
      </c>
      <c r="Z258" s="9" t="s">
        <v>359</v>
      </c>
      <c r="AA258" s="10" t="s">
        <v>625</v>
      </c>
      <c r="AB258" s="9" t="s">
        <v>355</v>
      </c>
      <c r="AC258" s="15">
        <v>1547</v>
      </c>
      <c r="AD258" s="14">
        <f t="shared" si="28"/>
        <v>3.1894903136993675</v>
      </c>
      <c r="AE258" s="10" t="s">
        <v>626</v>
      </c>
      <c r="AF258" s="9" t="s">
        <v>362</v>
      </c>
      <c r="AG258" s="18">
        <v>40.695557000000001</v>
      </c>
      <c r="AH258" s="7">
        <f t="shared" si="29"/>
        <v>1</v>
      </c>
      <c r="AI258" s="7">
        <f t="shared" si="30"/>
        <v>1</v>
      </c>
      <c r="AJ258" s="7">
        <f t="shared" si="31"/>
        <v>0</v>
      </c>
      <c r="AK258" s="7">
        <f t="shared" si="32"/>
        <v>0</v>
      </c>
      <c r="AL258" s="7" t="s">
        <v>4157</v>
      </c>
      <c r="AM258" s="18">
        <f t="shared" si="33"/>
        <v>1.6095469970455845</v>
      </c>
      <c r="AN258" s="18">
        <v>40.695557000000001</v>
      </c>
      <c r="AO258" s="18">
        <v>-105.59433900000001</v>
      </c>
      <c r="AP258" s="9" t="s">
        <v>363</v>
      </c>
      <c r="AQ258" s="9" t="s">
        <v>355</v>
      </c>
      <c r="AR258" s="15">
        <v>1977</v>
      </c>
      <c r="AS258" s="19" t="s">
        <v>627</v>
      </c>
      <c r="AT258" s="20" t="s">
        <v>628</v>
      </c>
      <c r="AU258" s="40">
        <v>3425336</v>
      </c>
      <c r="AV258" s="35">
        <f t="shared" si="34"/>
        <v>6.5347031789784316</v>
      </c>
      <c r="AW258" s="37" t="s">
        <v>366</v>
      </c>
      <c r="AX258" s="34" t="s">
        <v>355</v>
      </c>
      <c r="AY258" s="40" t="s">
        <v>355</v>
      </c>
      <c r="AZ258" s="15">
        <v>33</v>
      </c>
      <c r="BA258" s="14">
        <f t="shared" si="35"/>
        <v>1.5185139398778875</v>
      </c>
      <c r="BB258" s="37" t="s">
        <v>367</v>
      </c>
      <c r="BC258" s="20">
        <v>2.304441776710698E-2</v>
      </c>
      <c r="BD258" s="9">
        <v>24.200000000000003</v>
      </c>
      <c r="BE258" s="9" t="s">
        <v>368</v>
      </c>
      <c r="BF258" s="9">
        <v>0</v>
      </c>
    </row>
    <row r="259" spans="1:58">
      <c r="A259" s="9">
        <v>730</v>
      </c>
      <c r="B259" s="10" t="s">
        <v>76</v>
      </c>
      <c r="C259" s="10" t="s">
        <v>77</v>
      </c>
      <c r="D259" s="20" t="s">
        <v>503</v>
      </c>
      <c r="E259" s="20" t="s">
        <v>507</v>
      </c>
      <c r="F259" s="10" t="s">
        <v>77</v>
      </c>
      <c r="G259" s="20" t="s">
        <v>503</v>
      </c>
      <c r="H259" s="20" t="s">
        <v>507</v>
      </c>
      <c r="I259" s="10" t="s">
        <v>77</v>
      </c>
      <c r="J259" s="20" t="s">
        <v>503</v>
      </c>
      <c r="K259" s="20" t="s">
        <v>507</v>
      </c>
      <c r="L259" s="9" t="s">
        <v>352</v>
      </c>
      <c r="M259" s="9">
        <v>15</v>
      </c>
      <c r="N259" s="9" t="s">
        <v>381</v>
      </c>
      <c r="O259" s="9" t="s">
        <v>354</v>
      </c>
      <c r="P259" s="12">
        <v>37</v>
      </c>
      <c r="Q259" s="12" t="s">
        <v>355</v>
      </c>
      <c r="R259" s="9" t="s">
        <v>356</v>
      </c>
      <c r="S259" s="13" t="s">
        <v>524</v>
      </c>
      <c r="T259" s="13" t="s">
        <v>524</v>
      </c>
      <c r="U259" s="14">
        <f t="shared" si="27"/>
        <v>0.69897000433601886</v>
      </c>
      <c r="V259" s="15">
        <v>5</v>
      </c>
      <c r="W259" s="12">
        <v>15.018309799999997</v>
      </c>
      <c r="X259" s="12" t="s">
        <v>355</v>
      </c>
      <c r="Y259" s="13" t="s">
        <v>401</v>
      </c>
      <c r="Z259" s="9" t="s">
        <v>359</v>
      </c>
      <c r="AA259" s="10" t="s">
        <v>629</v>
      </c>
      <c r="AB259" s="9" t="s">
        <v>355</v>
      </c>
      <c r="AC259" s="15">
        <v>1587</v>
      </c>
      <c r="AD259" s="14">
        <f t="shared" si="28"/>
        <v>3.2005769267548483</v>
      </c>
      <c r="AE259" s="10" t="s">
        <v>626</v>
      </c>
      <c r="AF259" s="9" t="s">
        <v>362</v>
      </c>
      <c r="AG259" s="18">
        <v>40.695557000000001</v>
      </c>
      <c r="AH259" s="7">
        <f t="shared" si="29"/>
        <v>1</v>
      </c>
      <c r="AI259" s="7">
        <f t="shared" si="30"/>
        <v>1</v>
      </c>
      <c r="AJ259" s="7">
        <f t="shared" si="31"/>
        <v>0</v>
      </c>
      <c r="AK259" s="7">
        <f t="shared" si="32"/>
        <v>0</v>
      </c>
      <c r="AL259" s="7" t="s">
        <v>4157</v>
      </c>
      <c r="AM259" s="18">
        <f t="shared" si="33"/>
        <v>1.6095469970455845</v>
      </c>
      <c r="AN259" s="18">
        <v>40.695557000000001</v>
      </c>
      <c r="AO259" s="18">
        <v>-105.59433900000001</v>
      </c>
      <c r="AP259" s="9" t="s">
        <v>363</v>
      </c>
      <c r="AQ259" s="9" t="s">
        <v>630</v>
      </c>
      <c r="AR259" s="15">
        <v>1974</v>
      </c>
      <c r="AS259" s="19" t="s">
        <v>631</v>
      </c>
      <c r="AT259" s="20" t="s">
        <v>632</v>
      </c>
      <c r="AU259" s="40">
        <v>3425336</v>
      </c>
      <c r="AV259" s="35">
        <f t="shared" si="34"/>
        <v>6.5347031789784316</v>
      </c>
      <c r="AW259" s="37" t="s">
        <v>366</v>
      </c>
      <c r="AX259" s="34" t="s">
        <v>355</v>
      </c>
      <c r="AY259" s="40" t="s">
        <v>355</v>
      </c>
      <c r="AZ259" s="15">
        <v>33</v>
      </c>
      <c r="BA259" s="14">
        <f t="shared" si="35"/>
        <v>1.5185139398778875</v>
      </c>
      <c r="BB259" s="37" t="s">
        <v>367</v>
      </c>
      <c r="BC259" s="20">
        <v>2.304441776710698E-2</v>
      </c>
      <c r="BD259" s="9">
        <v>24.200000000000003</v>
      </c>
      <c r="BE259" s="9" t="s">
        <v>368</v>
      </c>
      <c r="BF259" s="9">
        <v>0</v>
      </c>
    </row>
    <row r="260" spans="1:58">
      <c r="A260" s="9">
        <v>731</v>
      </c>
      <c r="B260" s="10" t="s">
        <v>76</v>
      </c>
      <c r="C260" s="10" t="s">
        <v>77</v>
      </c>
      <c r="D260" s="20" t="s">
        <v>503</v>
      </c>
      <c r="E260" s="20" t="s">
        <v>507</v>
      </c>
      <c r="F260" s="10" t="s">
        <v>77</v>
      </c>
      <c r="G260" s="20" t="s">
        <v>503</v>
      </c>
      <c r="H260" s="20" t="s">
        <v>507</v>
      </c>
      <c r="I260" s="10" t="s">
        <v>77</v>
      </c>
      <c r="J260" s="20" t="s">
        <v>503</v>
      </c>
      <c r="K260" s="20" t="s">
        <v>507</v>
      </c>
      <c r="L260" s="9" t="s">
        <v>352</v>
      </c>
      <c r="M260" s="9">
        <v>15</v>
      </c>
      <c r="N260" s="9" t="s">
        <v>381</v>
      </c>
      <c r="O260" s="9" t="s">
        <v>354</v>
      </c>
      <c r="P260" s="12">
        <v>38.700000000000003</v>
      </c>
      <c r="Q260" s="12" t="s">
        <v>355</v>
      </c>
      <c r="R260" s="9" t="s">
        <v>356</v>
      </c>
      <c r="S260" s="13" t="s">
        <v>524</v>
      </c>
      <c r="T260" s="13" t="s">
        <v>524</v>
      </c>
      <c r="U260" s="14">
        <f t="shared" si="27"/>
        <v>0.69897000433601886</v>
      </c>
      <c r="V260" s="15">
        <v>20</v>
      </c>
      <c r="W260" s="12">
        <v>14.375024799999998</v>
      </c>
      <c r="X260" s="12" t="s">
        <v>355</v>
      </c>
      <c r="Y260" s="13" t="s">
        <v>401</v>
      </c>
      <c r="Z260" s="9" t="s">
        <v>359</v>
      </c>
      <c r="AA260" s="10" t="s">
        <v>629</v>
      </c>
      <c r="AB260" s="9" t="s">
        <v>355</v>
      </c>
      <c r="AC260" s="15">
        <v>1587</v>
      </c>
      <c r="AD260" s="14">
        <f t="shared" si="28"/>
        <v>3.2005769267548483</v>
      </c>
      <c r="AE260" s="10" t="s">
        <v>626</v>
      </c>
      <c r="AF260" s="9" t="s">
        <v>362</v>
      </c>
      <c r="AG260" s="18">
        <v>40.695557000000001</v>
      </c>
      <c r="AH260" s="7">
        <f t="shared" si="29"/>
        <v>1</v>
      </c>
      <c r="AI260" s="7">
        <f t="shared" si="30"/>
        <v>1</v>
      </c>
      <c r="AJ260" s="7">
        <f t="shared" si="31"/>
        <v>0</v>
      </c>
      <c r="AK260" s="7">
        <f t="shared" si="32"/>
        <v>0</v>
      </c>
      <c r="AL260" s="7" t="s">
        <v>4157</v>
      </c>
      <c r="AM260" s="18">
        <f t="shared" si="33"/>
        <v>1.6095469970455845</v>
      </c>
      <c r="AN260" s="18">
        <v>40.695557000000001</v>
      </c>
      <c r="AO260" s="18">
        <v>-105.59433900000001</v>
      </c>
      <c r="AP260" s="9" t="s">
        <v>363</v>
      </c>
      <c r="AQ260" s="9" t="s">
        <v>630</v>
      </c>
      <c r="AR260" s="15">
        <v>1974</v>
      </c>
      <c r="AS260" s="19" t="s">
        <v>631</v>
      </c>
      <c r="AT260" s="20" t="s">
        <v>632</v>
      </c>
      <c r="AU260" s="40">
        <v>3425336</v>
      </c>
      <c r="AV260" s="35">
        <f t="shared" si="34"/>
        <v>6.5347031789784316</v>
      </c>
      <c r="AW260" s="37" t="s">
        <v>366</v>
      </c>
      <c r="AX260" s="34" t="s">
        <v>355</v>
      </c>
      <c r="AY260" s="40" t="s">
        <v>355</v>
      </c>
      <c r="AZ260" s="15">
        <v>33</v>
      </c>
      <c r="BA260" s="14">
        <f t="shared" si="35"/>
        <v>1.5185139398778875</v>
      </c>
      <c r="BB260" s="37" t="s">
        <v>367</v>
      </c>
      <c r="BC260" s="20">
        <v>2.304441776710698E-2</v>
      </c>
      <c r="BD260" s="9">
        <v>24.200000000000003</v>
      </c>
      <c r="BE260" s="9" t="s">
        <v>368</v>
      </c>
      <c r="BF260" s="9">
        <v>0</v>
      </c>
    </row>
    <row r="261" spans="1:58">
      <c r="A261" s="9">
        <v>738</v>
      </c>
      <c r="B261" s="10" t="s">
        <v>76</v>
      </c>
      <c r="C261" s="10" t="s">
        <v>77</v>
      </c>
      <c r="D261" s="20" t="s">
        <v>503</v>
      </c>
      <c r="E261" s="20" t="s">
        <v>507</v>
      </c>
      <c r="F261" s="10" t="s">
        <v>77</v>
      </c>
      <c r="G261" s="20" t="s">
        <v>503</v>
      </c>
      <c r="H261" s="20" t="s">
        <v>507</v>
      </c>
      <c r="I261" s="10" t="s">
        <v>77</v>
      </c>
      <c r="J261" s="20" t="s">
        <v>503</v>
      </c>
      <c r="K261" s="20" t="s">
        <v>507</v>
      </c>
      <c r="L261" s="9" t="s">
        <v>352</v>
      </c>
      <c r="M261" s="9">
        <v>6</v>
      </c>
      <c r="N261" s="9" t="s">
        <v>353</v>
      </c>
      <c r="O261" s="9" t="s">
        <v>354</v>
      </c>
      <c r="P261" s="12">
        <v>36.4</v>
      </c>
      <c r="Q261" s="12" t="s">
        <v>355</v>
      </c>
      <c r="R261" s="9" t="s">
        <v>356</v>
      </c>
      <c r="S261" s="13" t="s">
        <v>524</v>
      </c>
      <c r="T261" s="13" t="s">
        <v>524</v>
      </c>
      <c r="U261" s="14">
        <f t="shared" ref="U261:U324" si="36">LOG(T261+1)</f>
        <v>0.69897000433601886</v>
      </c>
      <c r="V261" s="15">
        <v>5</v>
      </c>
      <c r="W261" s="12">
        <v>14.418309799999996</v>
      </c>
      <c r="X261" s="12">
        <v>0.5</v>
      </c>
      <c r="Y261" s="13" t="s">
        <v>401</v>
      </c>
      <c r="Z261" s="9" t="s">
        <v>359</v>
      </c>
      <c r="AA261" s="10" t="s">
        <v>625</v>
      </c>
      <c r="AB261" s="9" t="s">
        <v>355</v>
      </c>
      <c r="AC261" s="15">
        <v>2121</v>
      </c>
      <c r="AD261" s="14">
        <f t="shared" ref="AD261:AD324" si="37">LOG(AC261)</f>
        <v>3.3265406685165617</v>
      </c>
      <c r="AE261" s="10" t="s">
        <v>626</v>
      </c>
      <c r="AF261" s="9" t="s">
        <v>362</v>
      </c>
      <c r="AG261" s="18">
        <v>40.695557000000001</v>
      </c>
      <c r="AH261" s="7">
        <f t="shared" ref="AH261:AH324" si="38">IF(AG261&gt;15,1,0)</f>
        <v>1</v>
      </c>
      <c r="AI261" s="7">
        <f t="shared" ref="AI261:AI324" si="39">IF(AG261&gt;30,1,0)</f>
        <v>1</v>
      </c>
      <c r="AJ261" s="7">
        <f t="shared" ref="AJ261:AJ324" si="40">IF(AG261&gt;45,1,0)</f>
        <v>0</v>
      </c>
      <c r="AK261" s="7">
        <f t="shared" ref="AK261:AK324" si="41">IF(AG261&gt;60,1,0)</f>
        <v>0</v>
      </c>
      <c r="AL261" s="7" t="s">
        <v>4157</v>
      </c>
      <c r="AM261" s="18">
        <f t="shared" ref="AM261:AM324" si="42">LOG(AG261)</f>
        <v>1.6095469970455845</v>
      </c>
      <c r="AN261" s="18">
        <v>40.695557000000001</v>
      </c>
      <c r="AO261" s="18">
        <v>-105.59433900000001</v>
      </c>
      <c r="AP261" s="9" t="s">
        <v>363</v>
      </c>
      <c r="AQ261" s="9" t="s">
        <v>355</v>
      </c>
      <c r="AR261" s="15">
        <v>1977</v>
      </c>
      <c r="AS261" s="19" t="s">
        <v>627</v>
      </c>
      <c r="AT261" s="20" t="s">
        <v>628</v>
      </c>
      <c r="AU261" s="40">
        <v>3425336</v>
      </c>
      <c r="AV261" s="35">
        <f t="shared" ref="AV261:AV324" si="43">LOG(AU261)</f>
        <v>6.5347031789784316</v>
      </c>
      <c r="AW261" s="37" t="s">
        <v>366</v>
      </c>
      <c r="AX261" s="34" t="s">
        <v>355</v>
      </c>
      <c r="AY261" s="40" t="s">
        <v>355</v>
      </c>
      <c r="AZ261" s="15">
        <v>33</v>
      </c>
      <c r="BA261" s="14">
        <f t="shared" ref="BA261:BA324" si="44">LOG(AZ261)</f>
        <v>1.5185139398778875</v>
      </c>
      <c r="BB261" s="37" t="s">
        <v>367</v>
      </c>
      <c r="BC261" s="20">
        <v>2.304441776710698E-2</v>
      </c>
      <c r="BD261" s="9">
        <v>24.200000000000003</v>
      </c>
      <c r="BE261" s="9" t="s">
        <v>368</v>
      </c>
      <c r="BF261" s="9">
        <v>0</v>
      </c>
    </row>
    <row r="262" spans="1:58">
      <c r="A262" s="9">
        <v>752</v>
      </c>
      <c r="B262" s="10" t="s">
        <v>76</v>
      </c>
      <c r="C262" s="10" t="s">
        <v>77</v>
      </c>
      <c r="D262" s="20" t="s">
        <v>503</v>
      </c>
      <c r="E262" s="20" t="s">
        <v>507</v>
      </c>
      <c r="F262" s="10" t="s">
        <v>77</v>
      </c>
      <c r="G262" s="20" t="s">
        <v>503</v>
      </c>
      <c r="H262" s="20" t="s">
        <v>507</v>
      </c>
      <c r="I262" s="10" t="s">
        <v>77</v>
      </c>
      <c r="J262" s="20" t="s">
        <v>503</v>
      </c>
      <c r="K262" s="20" t="s">
        <v>507</v>
      </c>
      <c r="L262" s="9" t="s">
        <v>352</v>
      </c>
      <c r="M262" s="9">
        <v>6</v>
      </c>
      <c r="N262" s="9" t="s">
        <v>353</v>
      </c>
      <c r="O262" s="9" t="s">
        <v>354</v>
      </c>
      <c r="P262" s="12">
        <v>38.200000000000003</v>
      </c>
      <c r="Q262" s="12" t="s">
        <v>355</v>
      </c>
      <c r="R262" s="9" t="s">
        <v>356</v>
      </c>
      <c r="S262" s="13" t="s">
        <v>524</v>
      </c>
      <c r="T262" s="13" t="s">
        <v>524</v>
      </c>
      <c r="U262" s="14">
        <f t="shared" si="36"/>
        <v>0.69897000433601886</v>
      </c>
      <c r="V262" s="15">
        <v>20</v>
      </c>
      <c r="W262" s="12">
        <v>13.875024799999998</v>
      </c>
      <c r="X262" s="12">
        <v>0.5</v>
      </c>
      <c r="Y262" s="13" t="s">
        <v>401</v>
      </c>
      <c r="Z262" s="9" t="s">
        <v>359</v>
      </c>
      <c r="AA262" s="10" t="s">
        <v>625</v>
      </c>
      <c r="AB262" s="9" t="s">
        <v>355</v>
      </c>
      <c r="AC262" s="15">
        <v>2121</v>
      </c>
      <c r="AD262" s="14">
        <f t="shared" si="37"/>
        <v>3.3265406685165617</v>
      </c>
      <c r="AE262" s="10" t="s">
        <v>626</v>
      </c>
      <c r="AF262" s="9" t="s">
        <v>362</v>
      </c>
      <c r="AG262" s="18">
        <v>40.695557000000001</v>
      </c>
      <c r="AH262" s="7">
        <f t="shared" si="38"/>
        <v>1</v>
      </c>
      <c r="AI262" s="7">
        <f t="shared" si="39"/>
        <v>1</v>
      </c>
      <c r="AJ262" s="7">
        <f t="shared" si="40"/>
        <v>0</v>
      </c>
      <c r="AK262" s="7">
        <f t="shared" si="41"/>
        <v>0</v>
      </c>
      <c r="AL262" s="7" t="s">
        <v>4157</v>
      </c>
      <c r="AM262" s="18">
        <f t="shared" si="42"/>
        <v>1.6095469970455845</v>
      </c>
      <c r="AN262" s="18">
        <v>40.695557000000001</v>
      </c>
      <c r="AO262" s="18">
        <v>-105.59433900000001</v>
      </c>
      <c r="AP262" s="9" t="s">
        <v>363</v>
      </c>
      <c r="AQ262" s="9" t="s">
        <v>355</v>
      </c>
      <c r="AR262" s="15">
        <v>1977</v>
      </c>
      <c r="AS262" s="19" t="s">
        <v>627</v>
      </c>
      <c r="AT262" s="20" t="s">
        <v>628</v>
      </c>
      <c r="AU262" s="40">
        <v>3425336</v>
      </c>
      <c r="AV262" s="35">
        <f t="shared" si="43"/>
        <v>6.5347031789784316</v>
      </c>
      <c r="AW262" s="37" t="s">
        <v>366</v>
      </c>
      <c r="AX262" s="34" t="s">
        <v>355</v>
      </c>
      <c r="AY262" s="40" t="s">
        <v>355</v>
      </c>
      <c r="AZ262" s="15">
        <v>33</v>
      </c>
      <c r="BA262" s="14">
        <f t="shared" si="44"/>
        <v>1.5185139398778875</v>
      </c>
      <c r="BB262" s="37" t="s">
        <v>367</v>
      </c>
      <c r="BC262" s="20">
        <v>2.304441776710698E-2</v>
      </c>
      <c r="BD262" s="9">
        <v>24.200000000000003</v>
      </c>
      <c r="BE262" s="9" t="s">
        <v>368</v>
      </c>
      <c r="BF262" s="9">
        <v>0</v>
      </c>
    </row>
    <row r="263" spans="1:58">
      <c r="A263" s="9">
        <v>739</v>
      </c>
      <c r="B263" s="10" t="s">
        <v>76</v>
      </c>
      <c r="C263" s="10" t="s">
        <v>77</v>
      </c>
      <c r="D263" s="20" t="s">
        <v>503</v>
      </c>
      <c r="E263" s="20" t="s">
        <v>507</v>
      </c>
      <c r="F263" s="10" t="s">
        <v>77</v>
      </c>
      <c r="G263" s="20" t="s">
        <v>503</v>
      </c>
      <c r="H263" s="20" t="s">
        <v>507</v>
      </c>
      <c r="I263" s="10" t="s">
        <v>77</v>
      </c>
      <c r="J263" s="20" t="s">
        <v>503</v>
      </c>
      <c r="K263" s="20" t="s">
        <v>507</v>
      </c>
      <c r="L263" s="9" t="s">
        <v>352</v>
      </c>
      <c r="M263" s="9">
        <v>6</v>
      </c>
      <c r="N263" s="9" t="s">
        <v>353</v>
      </c>
      <c r="O263" s="9" t="s">
        <v>354</v>
      </c>
      <c r="P263" s="12">
        <v>36.200000000000003</v>
      </c>
      <c r="Q263" s="12" t="s">
        <v>355</v>
      </c>
      <c r="R263" s="9" t="s">
        <v>356</v>
      </c>
      <c r="S263" s="13" t="s">
        <v>524</v>
      </c>
      <c r="T263" s="13" t="s">
        <v>524</v>
      </c>
      <c r="U263" s="14">
        <f t="shared" si="36"/>
        <v>0.69897000433601886</v>
      </c>
      <c r="V263" s="15">
        <v>5</v>
      </c>
      <c r="W263" s="12">
        <v>14.2183098</v>
      </c>
      <c r="X263" s="12">
        <v>0.5</v>
      </c>
      <c r="Y263" s="13" t="s">
        <v>401</v>
      </c>
      <c r="Z263" s="9" t="s">
        <v>359</v>
      </c>
      <c r="AA263" s="10" t="s">
        <v>625</v>
      </c>
      <c r="AB263" s="9" t="s">
        <v>355</v>
      </c>
      <c r="AC263" s="15">
        <v>2207</v>
      </c>
      <c r="AD263" s="14">
        <f t="shared" si="37"/>
        <v>3.3438023331616549</v>
      </c>
      <c r="AE263" s="10" t="s">
        <v>626</v>
      </c>
      <c r="AF263" s="9" t="s">
        <v>362</v>
      </c>
      <c r="AG263" s="18">
        <v>40.695557000000001</v>
      </c>
      <c r="AH263" s="7">
        <f t="shared" si="38"/>
        <v>1</v>
      </c>
      <c r="AI263" s="7">
        <f t="shared" si="39"/>
        <v>1</v>
      </c>
      <c r="AJ263" s="7">
        <f t="shared" si="40"/>
        <v>0</v>
      </c>
      <c r="AK263" s="7">
        <f t="shared" si="41"/>
        <v>0</v>
      </c>
      <c r="AL263" s="7" t="s">
        <v>4157</v>
      </c>
      <c r="AM263" s="18">
        <f t="shared" si="42"/>
        <v>1.6095469970455845</v>
      </c>
      <c r="AN263" s="18">
        <v>40.695557000000001</v>
      </c>
      <c r="AO263" s="18">
        <v>-105.59433900000001</v>
      </c>
      <c r="AP263" s="9" t="s">
        <v>363</v>
      </c>
      <c r="AQ263" s="9" t="s">
        <v>355</v>
      </c>
      <c r="AR263" s="15">
        <v>1977</v>
      </c>
      <c r="AS263" s="19" t="s">
        <v>627</v>
      </c>
      <c r="AT263" s="20" t="s">
        <v>628</v>
      </c>
      <c r="AU263" s="40">
        <v>3425336</v>
      </c>
      <c r="AV263" s="35">
        <f t="shared" si="43"/>
        <v>6.5347031789784316</v>
      </c>
      <c r="AW263" s="37" t="s">
        <v>366</v>
      </c>
      <c r="AX263" s="34" t="s">
        <v>355</v>
      </c>
      <c r="AY263" s="40" t="s">
        <v>355</v>
      </c>
      <c r="AZ263" s="15">
        <v>33</v>
      </c>
      <c r="BA263" s="14">
        <f t="shared" si="44"/>
        <v>1.5185139398778875</v>
      </c>
      <c r="BB263" s="37" t="s">
        <v>367</v>
      </c>
      <c r="BC263" s="20">
        <v>2.304441776710698E-2</v>
      </c>
      <c r="BD263" s="9">
        <v>24.200000000000003</v>
      </c>
      <c r="BE263" s="9" t="s">
        <v>368</v>
      </c>
      <c r="BF263" s="9">
        <v>0</v>
      </c>
    </row>
    <row r="264" spans="1:58">
      <c r="A264" s="9">
        <v>753</v>
      </c>
      <c r="B264" s="10" t="s">
        <v>76</v>
      </c>
      <c r="C264" s="10" t="s">
        <v>77</v>
      </c>
      <c r="D264" s="20" t="s">
        <v>503</v>
      </c>
      <c r="E264" s="20" t="s">
        <v>507</v>
      </c>
      <c r="F264" s="10" t="s">
        <v>77</v>
      </c>
      <c r="G264" s="20" t="s">
        <v>503</v>
      </c>
      <c r="H264" s="20" t="s">
        <v>507</v>
      </c>
      <c r="I264" s="10" t="s">
        <v>77</v>
      </c>
      <c r="J264" s="20" t="s">
        <v>503</v>
      </c>
      <c r="K264" s="20" t="s">
        <v>507</v>
      </c>
      <c r="L264" s="9" t="s">
        <v>352</v>
      </c>
      <c r="M264" s="9">
        <v>6</v>
      </c>
      <c r="N264" s="9" t="s">
        <v>353</v>
      </c>
      <c r="O264" s="9" t="s">
        <v>354</v>
      </c>
      <c r="P264" s="12">
        <v>38.200000000000003</v>
      </c>
      <c r="Q264" s="12" t="s">
        <v>355</v>
      </c>
      <c r="R264" s="9" t="s">
        <v>356</v>
      </c>
      <c r="S264" s="13" t="s">
        <v>524</v>
      </c>
      <c r="T264" s="13" t="s">
        <v>524</v>
      </c>
      <c r="U264" s="14">
        <f t="shared" si="36"/>
        <v>0.69897000433601886</v>
      </c>
      <c r="V264" s="15">
        <v>20</v>
      </c>
      <c r="W264" s="12">
        <v>13.875024799999998</v>
      </c>
      <c r="X264" s="12">
        <v>0.5</v>
      </c>
      <c r="Y264" s="13" t="s">
        <v>401</v>
      </c>
      <c r="Z264" s="9" t="s">
        <v>359</v>
      </c>
      <c r="AA264" s="10" t="s">
        <v>625</v>
      </c>
      <c r="AB264" s="9" t="s">
        <v>355</v>
      </c>
      <c r="AC264" s="15">
        <v>2207</v>
      </c>
      <c r="AD264" s="14">
        <f t="shared" si="37"/>
        <v>3.3438023331616549</v>
      </c>
      <c r="AE264" s="10" t="s">
        <v>626</v>
      </c>
      <c r="AF264" s="9" t="s">
        <v>362</v>
      </c>
      <c r="AG264" s="18">
        <v>40.695557000000001</v>
      </c>
      <c r="AH264" s="7">
        <f t="shared" si="38"/>
        <v>1</v>
      </c>
      <c r="AI264" s="7">
        <f t="shared" si="39"/>
        <v>1</v>
      </c>
      <c r="AJ264" s="7">
        <f t="shared" si="40"/>
        <v>0</v>
      </c>
      <c r="AK264" s="7">
        <f t="shared" si="41"/>
        <v>0</v>
      </c>
      <c r="AL264" s="7" t="s">
        <v>4157</v>
      </c>
      <c r="AM264" s="18">
        <f t="shared" si="42"/>
        <v>1.6095469970455845</v>
      </c>
      <c r="AN264" s="18">
        <v>40.695557000000001</v>
      </c>
      <c r="AO264" s="18">
        <v>-105.59433900000001</v>
      </c>
      <c r="AP264" s="9" t="s">
        <v>363</v>
      </c>
      <c r="AQ264" s="9" t="s">
        <v>355</v>
      </c>
      <c r="AR264" s="15">
        <v>1977</v>
      </c>
      <c r="AS264" s="19" t="s">
        <v>627</v>
      </c>
      <c r="AT264" s="20" t="s">
        <v>628</v>
      </c>
      <c r="AU264" s="40">
        <v>3425336</v>
      </c>
      <c r="AV264" s="35">
        <f t="shared" si="43"/>
        <v>6.5347031789784316</v>
      </c>
      <c r="AW264" s="37" t="s">
        <v>366</v>
      </c>
      <c r="AX264" s="34" t="s">
        <v>355</v>
      </c>
      <c r="AY264" s="40" t="s">
        <v>355</v>
      </c>
      <c r="AZ264" s="15">
        <v>33</v>
      </c>
      <c r="BA264" s="14">
        <f t="shared" si="44"/>
        <v>1.5185139398778875</v>
      </c>
      <c r="BB264" s="37" t="s">
        <v>367</v>
      </c>
      <c r="BC264" s="20">
        <v>2.304441776710698E-2</v>
      </c>
      <c r="BD264" s="9">
        <v>24.200000000000003</v>
      </c>
      <c r="BE264" s="9" t="s">
        <v>368</v>
      </c>
      <c r="BF264" s="9">
        <v>0</v>
      </c>
    </row>
    <row r="265" spans="1:58">
      <c r="A265" s="9">
        <v>740</v>
      </c>
      <c r="B265" s="10" t="s">
        <v>76</v>
      </c>
      <c r="C265" s="10" t="s">
        <v>77</v>
      </c>
      <c r="D265" s="20" t="s">
        <v>503</v>
      </c>
      <c r="E265" s="20" t="s">
        <v>507</v>
      </c>
      <c r="F265" s="10" t="s">
        <v>77</v>
      </c>
      <c r="G265" s="20" t="s">
        <v>503</v>
      </c>
      <c r="H265" s="20" t="s">
        <v>507</v>
      </c>
      <c r="I265" s="10" t="s">
        <v>77</v>
      </c>
      <c r="J265" s="20" t="s">
        <v>503</v>
      </c>
      <c r="K265" s="20" t="s">
        <v>507</v>
      </c>
      <c r="L265" s="9" t="s">
        <v>352</v>
      </c>
      <c r="M265" s="9">
        <v>6</v>
      </c>
      <c r="N265" s="9" t="s">
        <v>353</v>
      </c>
      <c r="O265" s="9" t="s">
        <v>354</v>
      </c>
      <c r="P265" s="12">
        <v>36</v>
      </c>
      <c r="Q265" s="12" t="s">
        <v>355</v>
      </c>
      <c r="R265" s="9" t="s">
        <v>356</v>
      </c>
      <c r="S265" s="13" t="s">
        <v>524</v>
      </c>
      <c r="T265" s="13" t="s">
        <v>524</v>
      </c>
      <c r="U265" s="14">
        <f t="shared" si="36"/>
        <v>0.69897000433601886</v>
      </c>
      <c r="V265" s="15">
        <v>5</v>
      </c>
      <c r="W265" s="12">
        <v>14.018309799999997</v>
      </c>
      <c r="X265" s="12">
        <v>0.5</v>
      </c>
      <c r="Y265" s="13" t="s">
        <v>401</v>
      </c>
      <c r="Z265" s="9" t="s">
        <v>359</v>
      </c>
      <c r="AA265" s="10" t="s">
        <v>625</v>
      </c>
      <c r="AB265" s="9" t="s">
        <v>355</v>
      </c>
      <c r="AC265" s="15">
        <v>2359</v>
      </c>
      <c r="AD265" s="14">
        <f t="shared" si="37"/>
        <v>3.3727279408855955</v>
      </c>
      <c r="AE265" s="10" t="s">
        <v>626</v>
      </c>
      <c r="AF265" s="9" t="s">
        <v>362</v>
      </c>
      <c r="AG265" s="18">
        <v>40.695557000000001</v>
      </c>
      <c r="AH265" s="7">
        <f t="shared" si="38"/>
        <v>1</v>
      </c>
      <c r="AI265" s="7">
        <f t="shared" si="39"/>
        <v>1</v>
      </c>
      <c r="AJ265" s="7">
        <f t="shared" si="40"/>
        <v>0</v>
      </c>
      <c r="AK265" s="7">
        <f t="shared" si="41"/>
        <v>0</v>
      </c>
      <c r="AL265" s="7" t="s">
        <v>4157</v>
      </c>
      <c r="AM265" s="18">
        <f t="shared" si="42"/>
        <v>1.6095469970455845</v>
      </c>
      <c r="AN265" s="18">
        <v>40.695557000000001</v>
      </c>
      <c r="AO265" s="18">
        <v>-105.59433900000001</v>
      </c>
      <c r="AP265" s="9" t="s">
        <v>363</v>
      </c>
      <c r="AQ265" s="9" t="s">
        <v>355</v>
      </c>
      <c r="AR265" s="15">
        <v>1977</v>
      </c>
      <c r="AS265" s="19" t="s">
        <v>627</v>
      </c>
      <c r="AT265" s="20" t="s">
        <v>628</v>
      </c>
      <c r="AU265" s="40">
        <v>3425336</v>
      </c>
      <c r="AV265" s="35">
        <f t="shared" si="43"/>
        <v>6.5347031789784316</v>
      </c>
      <c r="AW265" s="37" t="s">
        <v>366</v>
      </c>
      <c r="AX265" s="34" t="s">
        <v>355</v>
      </c>
      <c r="AY265" s="40" t="s">
        <v>355</v>
      </c>
      <c r="AZ265" s="15">
        <v>33</v>
      </c>
      <c r="BA265" s="14">
        <f t="shared" si="44"/>
        <v>1.5185139398778875</v>
      </c>
      <c r="BB265" s="37" t="s">
        <v>367</v>
      </c>
      <c r="BC265" s="20">
        <v>2.304441776710698E-2</v>
      </c>
      <c r="BD265" s="9">
        <v>24.200000000000003</v>
      </c>
      <c r="BE265" s="9" t="s">
        <v>368</v>
      </c>
      <c r="BF265" s="9">
        <v>0</v>
      </c>
    </row>
    <row r="266" spans="1:58">
      <c r="A266" s="9">
        <v>754</v>
      </c>
      <c r="B266" s="10" t="s">
        <v>76</v>
      </c>
      <c r="C266" s="10" t="s">
        <v>77</v>
      </c>
      <c r="D266" s="20" t="s">
        <v>503</v>
      </c>
      <c r="E266" s="20" t="s">
        <v>507</v>
      </c>
      <c r="F266" s="10" t="s">
        <v>77</v>
      </c>
      <c r="G266" s="20" t="s">
        <v>503</v>
      </c>
      <c r="H266" s="20" t="s">
        <v>507</v>
      </c>
      <c r="I266" s="10" t="s">
        <v>77</v>
      </c>
      <c r="J266" s="20" t="s">
        <v>503</v>
      </c>
      <c r="K266" s="20" t="s">
        <v>507</v>
      </c>
      <c r="L266" s="9" t="s">
        <v>352</v>
      </c>
      <c r="M266" s="9">
        <v>6</v>
      </c>
      <c r="N266" s="9" t="s">
        <v>353</v>
      </c>
      <c r="O266" s="9" t="s">
        <v>354</v>
      </c>
      <c r="P266" s="12">
        <v>38</v>
      </c>
      <c r="Q266" s="12" t="s">
        <v>355</v>
      </c>
      <c r="R266" s="9" t="s">
        <v>356</v>
      </c>
      <c r="S266" s="13" t="s">
        <v>524</v>
      </c>
      <c r="T266" s="13" t="s">
        <v>524</v>
      </c>
      <c r="U266" s="14">
        <f t="shared" si="36"/>
        <v>0.69897000433601886</v>
      </c>
      <c r="V266" s="15">
        <v>20</v>
      </c>
      <c r="W266" s="12">
        <v>13.675024799999996</v>
      </c>
      <c r="X266" s="12">
        <v>0.5</v>
      </c>
      <c r="Y266" s="13" t="s">
        <v>401</v>
      </c>
      <c r="Z266" s="9" t="s">
        <v>359</v>
      </c>
      <c r="AA266" s="10" t="s">
        <v>625</v>
      </c>
      <c r="AB266" s="9" t="s">
        <v>355</v>
      </c>
      <c r="AC266" s="15">
        <v>2359</v>
      </c>
      <c r="AD266" s="14">
        <f t="shared" si="37"/>
        <v>3.3727279408855955</v>
      </c>
      <c r="AE266" s="10" t="s">
        <v>626</v>
      </c>
      <c r="AF266" s="9" t="s">
        <v>362</v>
      </c>
      <c r="AG266" s="18">
        <v>40.695557000000001</v>
      </c>
      <c r="AH266" s="7">
        <f t="shared" si="38"/>
        <v>1</v>
      </c>
      <c r="AI266" s="7">
        <f t="shared" si="39"/>
        <v>1</v>
      </c>
      <c r="AJ266" s="7">
        <f t="shared" si="40"/>
        <v>0</v>
      </c>
      <c r="AK266" s="7">
        <f t="shared" si="41"/>
        <v>0</v>
      </c>
      <c r="AL266" s="7" t="s">
        <v>4157</v>
      </c>
      <c r="AM266" s="18">
        <f t="shared" si="42"/>
        <v>1.6095469970455845</v>
      </c>
      <c r="AN266" s="18">
        <v>40.695557000000001</v>
      </c>
      <c r="AO266" s="18">
        <v>-105.59433900000001</v>
      </c>
      <c r="AP266" s="9" t="s">
        <v>363</v>
      </c>
      <c r="AQ266" s="9" t="s">
        <v>355</v>
      </c>
      <c r="AR266" s="15">
        <v>1977</v>
      </c>
      <c r="AS266" s="19" t="s">
        <v>627</v>
      </c>
      <c r="AT266" s="20" t="s">
        <v>628</v>
      </c>
      <c r="AU266" s="40">
        <v>3425336</v>
      </c>
      <c r="AV266" s="35">
        <f t="shared" si="43"/>
        <v>6.5347031789784316</v>
      </c>
      <c r="AW266" s="37" t="s">
        <v>366</v>
      </c>
      <c r="AX266" s="34" t="s">
        <v>355</v>
      </c>
      <c r="AY266" s="40" t="s">
        <v>355</v>
      </c>
      <c r="AZ266" s="15">
        <v>33</v>
      </c>
      <c r="BA266" s="14">
        <f t="shared" si="44"/>
        <v>1.5185139398778875</v>
      </c>
      <c r="BB266" s="37" t="s">
        <v>367</v>
      </c>
      <c r="BC266" s="20">
        <v>2.304441776710698E-2</v>
      </c>
      <c r="BD266" s="9">
        <v>24.200000000000003</v>
      </c>
      <c r="BE266" s="9" t="s">
        <v>368</v>
      </c>
      <c r="BF266" s="9">
        <v>0</v>
      </c>
    </row>
    <row r="267" spans="1:58">
      <c r="A267" s="9">
        <v>742</v>
      </c>
      <c r="B267" s="10" t="s">
        <v>76</v>
      </c>
      <c r="C267" s="10" t="s">
        <v>77</v>
      </c>
      <c r="D267" s="20" t="s">
        <v>503</v>
      </c>
      <c r="E267" s="20" t="s">
        <v>507</v>
      </c>
      <c r="F267" s="10" t="s">
        <v>77</v>
      </c>
      <c r="G267" s="20" t="s">
        <v>503</v>
      </c>
      <c r="H267" s="20" t="s">
        <v>507</v>
      </c>
      <c r="I267" s="10" t="s">
        <v>77</v>
      </c>
      <c r="J267" s="20" t="s">
        <v>503</v>
      </c>
      <c r="K267" s="20" t="s">
        <v>507</v>
      </c>
      <c r="L267" s="9" t="s">
        <v>352</v>
      </c>
      <c r="M267" s="9">
        <v>6</v>
      </c>
      <c r="N267" s="9" t="s">
        <v>353</v>
      </c>
      <c r="O267" s="9" t="s">
        <v>354</v>
      </c>
      <c r="P267" s="12">
        <v>36.200000000000003</v>
      </c>
      <c r="Q267" s="12" t="s">
        <v>355</v>
      </c>
      <c r="R267" s="9" t="s">
        <v>356</v>
      </c>
      <c r="S267" s="13" t="s">
        <v>524</v>
      </c>
      <c r="T267" s="13" t="s">
        <v>524</v>
      </c>
      <c r="U267" s="14">
        <f t="shared" si="36"/>
        <v>0.69897000433601886</v>
      </c>
      <c r="V267" s="15">
        <v>5</v>
      </c>
      <c r="W267" s="12">
        <v>14.2183098</v>
      </c>
      <c r="X267" s="12">
        <v>0.5</v>
      </c>
      <c r="Y267" s="13" t="s">
        <v>401</v>
      </c>
      <c r="Z267" s="9" t="s">
        <v>359</v>
      </c>
      <c r="AA267" s="10" t="s">
        <v>625</v>
      </c>
      <c r="AB267" s="9" t="s">
        <v>355</v>
      </c>
      <c r="AC267" s="15">
        <v>2371</v>
      </c>
      <c r="AD267" s="14">
        <f t="shared" si="37"/>
        <v>3.3749315539781883</v>
      </c>
      <c r="AE267" s="10" t="s">
        <v>626</v>
      </c>
      <c r="AF267" s="9" t="s">
        <v>362</v>
      </c>
      <c r="AG267" s="18">
        <v>40.695557000000001</v>
      </c>
      <c r="AH267" s="7">
        <f t="shared" si="38"/>
        <v>1</v>
      </c>
      <c r="AI267" s="7">
        <f t="shared" si="39"/>
        <v>1</v>
      </c>
      <c r="AJ267" s="7">
        <f t="shared" si="40"/>
        <v>0</v>
      </c>
      <c r="AK267" s="7">
        <f t="shared" si="41"/>
        <v>0</v>
      </c>
      <c r="AL267" s="7" t="s">
        <v>4157</v>
      </c>
      <c r="AM267" s="18">
        <f t="shared" si="42"/>
        <v>1.6095469970455845</v>
      </c>
      <c r="AN267" s="18">
        <v>40.695557000000001</v>
      </c>
      <c r="AO267" s="18">
        <v>-105.59433900000001</v>
      </c>
      <c r="AP267" s="9" t="s">
        <v>363</v>
      </c>
      <c r="AQ267" s="9" t="s">
        <v>355</v>
      </c>
      <c r="AR267" s="15">
        <v>1977</v>
      </c>
      <c r="AS267" s="19" t="s">
        <v>627</v>
      </c>
      <c r="AT267" s="20" t="s">
        <v>628</v>
      </c>
      <c r="AU267" s="40">
        <v>3425336</v>
      </c>
      <c r="AV267" s="35">
        <f t="shared" si="43"/>
        <v>6.5347031789784316</v>
      </c>
      <c r="AW267" s="37" t="s">
        <v>366</v>
      </c>
      <c r="AX267" s="34" t="s">
        <v>355</v>
      </c>
      <c r="AY267" s="40" t="s">
        <v>355</v>
      </c>
      <c r="AZ267" s="15">
        <v>33</v>
      </c>
      <c r="BA267" s="14">
        <f t="shared" si="44"/>
        <v>1.5185139398778875</v>
      </c>
      <c r="BB267" s="37" t="s">
        <v>367</v>
      </c>
      <c r="BC267" s="20">
        <v>2.304441776710698E-2</v>
      </c>
      <c r="BD267" s="9">
        <v>24.200000000000003</v>
      </c>
      <c r="BE267" s="9" t="s">
        <v>368</v>
      </c>
      <c r="BF267" s="9">
        <v>0</v>
      </c>
    </row>
    <row r="268" spans="1:58">
      <c r="A268" s="9">
        <v>756</v>
      </c>
      <c r="B268" s="10" t="s">
        <v>76</v>
      </c>
      <c r="C268" s="10" t="s">
        <v>77</v>
      </c>
      <c r="D268" s="20" t="s">
        <v>503</v>
      </c>
      <c r="E268" s="20" t="s">
        <v>507</v>
      </c>
      <c r="F268" s="10" t="s">
        <v>77</v>
      </c>
      <c r="G268" s="20" t="s">
        <v>503</v>
      </c>
      <c r="H268" s="20" t="s">
        <v>507</v>
      </c>
      <c r="I268" s="10" t="s">
        <v>77</v>
      </c>
      <c r="J268" s="20" t="s">
        <v>503</v>
      </c>
      <c r="K268" s="20" t="s">
        <v>507</v>
      </c>
      <c r="L268" s="9" t="s">
        <v>352</v>
      </c>
      <c r="M268" s="9">
        <v>6</v>
      </c>
      <c r="N268" s="9" t="s">
        <v>353</v>
      </c>
      <c r="O268" s="9" t="s">
        <v>354</v>
      </c>
      <c r="P268" s="12">
        <v>38</v>
      </c>
      <c r="Q268" s="12" t="s">
        <v>355</v>
      </c>
      <c r="R268" s="9" t="s">
        <v>356</v>
      </c>
      <c r="S268" s="13" t="s">
        <v>524</v>
      </c>
      <c r="T268" s="13" t="s">
        <v>524</v>
      </c>
      <c r="U268" s="14">
        <f t="shared" si="36"/>
        <v>0.69897000433601886</v>
      </c>
      <c r="V268" s="15">
        <v>20</v>
      </c>
      <c r="W268" s="12">
        <v>13.675024799999996</v>
      </c>
      <c r="X268" s="12">
        <v>0.5</v>
      </c>
      <c r="Y268" s="13" t="s">
        <v>401</v>
      </c>
      <c r="Z268" s="9" t="s">
        <v>359</v>
      </c>
      <c r="AA268" s="10" t="s">
        <v>625</v>
      </c>
      <c r="AB268" s="9" t="s">
        <v>355</v>
      </c>
      <c r="AC268" s="15">
        <v>2371</v>
      </c>
      <c r="AD268" s="14">
        <f t="shared" si="37"/>
        <v>3.3749315539781883</v>
      </c>
      <c r="AE268" s="10" t="s">
        <v>626</v>
      </c>
      <c r="AF268" s="9" t="s">
        <v>362</v>
      </c>
      <c r="AG268" s="18">
        <v>40.695557000000001</v>
      </c>
      <c r="AH268" s="7">
        <f t="shared" si="38"/>
        <v>1</v>
      </c>
      <c r="AI268" s="7">
        <f t="shared" si="39"/>
        <v>1</v>
      </c>
      <c r="AJ268" s="7">
        <f t="shared" si="40"/>
        <v>0</v>
      </c>
      <c r="AK268" s="7">
        <f t="shared" si="41"/>
        <v>0</v>
      </c>
      <c r="AL268" s="7" t="s">
        <v>4157</v>
      </c>
      <c r="AM268" s="18">
        <f t="shared" si="42"/>
        <v>1.6095469970455845</v>
      </c>
      <c r="AN268" s="18">
        <v>40.695557000000001</v>
      </c>
      <c r="AO268" s="18">
        <v>-105.59433900000001</v>
      </c>
      <c r="AP268" s="9" t="s">
        <v>363</v>
      </c>
      <c r="AQ268" s="9" t="s">
        <v>355</v>
      </c>
      <c r="AR268" s="15">
        <v>1977</v>
      </c>
      <c r="AS268" s="19" t="s">
        <v>627</v>
      </c>
      <c r="AT268" s="20" t="s">
        <v>628</v>
      </c>
      <c r="AU268" s="40">
        <v>3425336</v>
      </c>
      <c r="AV268" s="35">
        <f t="shared" si="43"/>
        <v>6.5347031789784316</v>
      </c>
      <c r="AW268" s="37" t="s">
        <v>366</v>
      </c>
      <c r="AX268" s="34" t="s">
        <v>355</v>
      </c>
      <c r="AY268" s="40" t="s">
        <v>355</v>
      </c>
      <c r="AZ268" s="15">
        <v>33</v>
      </c>
      <c r="BA268" s="14">
        <f t="shared" si="44"/>
        <v>1.5185139398778875</v>
      </c>
      <c r="BB268" s="37" t="s">
        <v>367</v>
      </c>
      <c r="BC268" s="20">
        <v>2.304441776710698E-2</v>
      </c>
      <c r="BD268" s="9">
        <v>24.200000000000003</v>
      </c>
      <c r="BE268" s="9" t="s">
        <v>368</v>
      </c>
      <c r="BF268" s="9">
        <v>0</v>
      </c>
    </row>
    <row r="269" spans="1:58">
      <c r="A269" s="9">
        <v>741</v>
      </c>
      <c r="B269" s="10" t="s">
        <v>76</v>
      </c>
      <c r="C269" s="10" t="s">
        <v>77</v>
      </c>
      <c r="D269" s="20" t="s">
        <v>503</v>
      </c>
      <c r="E269" s="20" t="s">
        <v>507</v>
      </c>
      <c r="F269" s="10" t="s">
        <v>77</v>
      </c>
      <c r="G269" s="20" t="s">
        <v>503</v>
      </c>
      <c r="H269" s="20" t="s">
        <v>507</v>
      </c>
      <c r="I269" s="10" t="s">
        <v>77</v>
      </c>
      <c r="J269" s="20" t="s">
        <v>503</v>
      </c>
      <c r="K269" s="20" t="s">
        <v>507</v>
      </c>
      <c r="L269" s="9" t="s">
        <v>352</v>
      </c>
      <c r="M269" s="9">
        <v>6</v>
      </c>
      <c r="N269" s="9" t="s">
        <v>353</v>
      </c>
      <c r="O269" s="9" t="s">
        <v>354</v>
      </c>
      <c r="P269" s="12">
        <v>36.200000000000003</v>
      </c>
      <c r="Q269" s="12" t="s">
        <v>355</v>
      </c>
      <c r="R269" s="9" t="s">
        <v>356</v>
      </c>
      <c r="S269" s="13" t="s">
        <v>524</v>
      </c>
      <c r="T269" s="13" t="s">
        <v>524</v>
      </c>
      <c r="U269" s="14">
        <f t="shared" si="36"/>
        <v>0.69897000433601886</v>
      </c>
      <c r="V269" s="15">
        <v>5</v>
      </c>
      <c r="W269" s="12">
        <v>14.2183098</v>
      </c>
      <c r="X269" s="12">
        <v>0.5</v>
      </c>
      <c r="Y269" s="13" t="s">
        <v>401</v>
      </c>
      <c r="Z269" s="9" t="s">
        <v>359</v>
      </c>
      <c r="AA269" s="10" t="s">
        <v>625</v>
      </c>
      <c r="AB269" s="9" t="s">
        <v>355</v>
      </c>
      <c r="AC269" s="15">
        <v>2426</v>
      </c>
      <c r="AD269" s="14">
        <f t="shared" si="37"/>
        <v>3.3848907965305544</v>
      </c>
      <c r="AE269" s="10" t="s">
        <v>626</v>
      </c>
      <c r="AF269" s="9" t="s">
        <v>362</v>
      </c>
      <c r="AG269" s="18">
        <v>40.695557000000001</v>
      </c>
      <c r="AH269" s="7">
        <f t="shared" si="38"/>
        <v>1</v>
      </c>
      <c r="AI269" s="7">
        <f t="shared" si="39"/>
        <v>1</v>
      </c>
      <c r="AJ269" s="7">
        <f t="shared" si="40"/>
        <v>0</v>
      </c>
      <c r="AK269" s="7">
        <f t="shared" si="41"/>
        <v>0</v>
      </c>
      <c r="AL269" s="7" t="s">
        <v>4157</v>
      </c>
      <c r="AM269" s="18">
        <f t="shared" si="42"/>
        <v>1.6095469970455845</v>
      </c>
      <c r="AN269" s="18">
        <v>40.695557000000001</v>
      </c>
      <c r="AO269" s="18">
        <v>-105.59433900000001</v>
      </c>
      <c r="AP269" s="9" t="s">
        <v>363</v>
      </c>
      <c r="AQ269" s="9" t="s">
        <v>355</v>
      </c>
      <c r="AR269" s="15">
        <v>1977</v>
      </c>
      <c r="AS269" s="19" t="s">
        <v>627</v>
      </c>
      <c r="AT269" s="20" t="s">
        <v>628</v>
      </c>
      <c r="AU269" s="40">
        <v>3425336</v>
      </c>
      <c r="AV269" s="35">
        <f t="shared" si="43"/>
        <v>6.5347031789784316</v>
      </c>
      <c r="AW269" s="37" t="s">
        <v>366</v>
      </c>
      <c r="AX269" s="34" t="s">
        <v>355</v>
      </c>
      <c r="AY269" s="40" t="s">
        <v>355</v>
      </c>
      <c r="AZ269" s="15">
        <v>33</v>
      </c>
      <c r="BA269" s="14">
        <f t="shared" si="44"/>
        <v>1.5185139398778875</v>
      </c>
      <c r="BB269" s="37" t="s">
        <v>367</v>
      </c>
      <c r="BC269" s="20">
        <v>2.304441776710698E-2</v>
      </c>
      <c r="BD269" s="9">
        <v>24.200000000000003</v>
      </c>
      <c r="BE269" s="9" t="s">
        <v>368</v>
      </c>
      <c r="BF269" s="9">
        <v>0</v>
      </c>
    </row>
    <row r="270" spans="1:58">
      <c r="A270" s="9">
        <v>755</v>
      </c>
      <c r="B270" s="10" t="s">
        <v>76</v>
      </c>
      <c r="C270" s="10" t="s">
        <v>77</v>
      </c>
      <c r="D270" s="20" t="s">
        <v>503</v>
      </c>
      <c r="E270" s="20" t="s">
        <v>507</v>
      </c>
      <c r="F270" s="10" t="s">
        <v>77</v>
      </c>
      <c r="G270" s="20" t="s">
        <v>503</v>
      </c>
      <c r="H270" s="20" t="s">
        <v>507</v>
      </c>
      <c r="I270" s="10" t="s">
        <v>77</v>
      </c>
      <c r="J270" s="20" t="s">
        <v>503</v>
      </c>
      <c r="K270" s="20" t="s">
        <v>507</v>
      </c>
      <c r="L270" s="9" t="s">
        <v>352</v>
      </c>
      <c r="M270" s="9">
        <v>6</v>
      </c>
      <c r="N270" s="9" t="s">
        <v>353</v>
      </c>
      <c r="O270" s="9" t="s">
        <v>354</v>
      </c>
      <c r="P270" s="12">
        <v>37.799999999999997</v>
      </c>
      <c r="Q270" s="12" t="s">
        <v>355</v>
      </c>
      <c r="R270" s="9" t="s">
        <v>356</v>
      </c>
      <c r="S270" s="13" t="s">
        <v>524</v>
      </c>
      <c r="T270" s="13" t="s">
        <v>524</v>
      </c>
      <c r="U270" s="14">
        <f t="shared" si="36"/>
        <v>0.69897000433601886</v>
      </c>
      <c r="V270" s="15">
        <v>20</v>
      </c>
      <c r="W270" s="12">
        <v>13.475024799999993</v>
      </c>
      <c r="X270" s="12">
        <v>0.5</v>
      </c>
      <c r="Y270" s="13" t="s">
        <v>401</v>
      </c>
      <c r="Z270" s="9" t="s">
        <v>359</v>
      </c>
      <c r="AA270" s="10" t="s">
        <v>625</v>
      </c>
      <c r="AB270" s="9" t="s">
        <v>355</v>
      </c>
      <c r="AC270" s="15">
        <v>2426</v>
      </c>
      <c r="AD270" s="14">
        <f t="shared" si="37"/>
        <v>3.3848907965305544</v>
      </c>
      <c r="AE270" s="10" t="s">
        <v>626</v>
      </c>
      <c r="AF270" s="9" t="s">
        <v>362</v>
      </c>
      <c r="AG270" s="18">
        <v>40.695557000000001</v>
      </c>
      <c r="AH270" s="7">
        <f t="shared" si="38"/>
        <v>1</v>
      </c>
      <c r="AI270" s="7">
        <f t="shared" si="39"/>
        <v>1</v>
      </c>
      <c r="AJ270" s="7">
        <f t="shared" si="40"/>
        <v>0</v>
      </c>
      <c r="AK270" s="7">
        <f t="shared" si="41"/>
        <v>0</v>
      </c>
      <c r="AL270" s="7" t="s">
        <v>4157</v>
      </c>
      <c r="AM270" s="18">
        <f t="shared" si="42"/>
        <v>1.6095469970455845</v>
      </c>
      <c r="AN270" s="18">
        <v>40.695557000000001</v>
      </c>
      <c r="AO270" s="18">
        <v>-105.59433900000001</v>
      </c>
      <c r="AP270" s="9" t="s">
        <v>363</v>
      </c>
      <c r="AQ270" s="9" t="s">
        <v>355</v>
      </c>
      <c r="AR270" s="15">
        <v>1977</v>
      </c>
      <c r="AS270" s="19" t="s">
        <v>627</v>
      </c>
      <c r="AT270" s="20" t="s">
        <v>628</v>
      </c>
      <c r="AU270" s="40">
        <v>3425336</v>
      </c>
      <c r="AV270" s="35">
        <f t="shared" si="43"/>
        <v>6.5347031789784316</v>
      </c>
      <c r="AW270" s="37" t="s">
        <v>366</v>
      </c>
      <c r="AX270" s="34" t="s">
        <v>355</v>
      </c>
      <c r="AY270" s="40" t="s">
        <v>355</v>
      </c>
      <c r="AZ270" s="15">
        <v>33</v>
      </c>
      <c r="BA270" s="14">
        <f t="shared" si="44"/>
        <v>1.5185139398778875</v>
      </c>
      <c r="BB270" s="37" t="s">
        <v>367</v>
      </c>
      <c r="BC270" s="20">
        <v>2.304441776710698E-2</v>
      </c>
      <c r="BD270" s="9">
        <v>24.200000000000003</v>
      </c>
      <c r="BE270" s="9" t="s">
        <v>368</v>
      </c>
      <c r="BF270" s="9">
        <v>0</v>
      </c>
    </row>
    <row r="271" spans="1:58">
      <c r="A271" s="9">
        <v>745</v>
      </c>
      <c r="B271" s="10" t="s">
        <v>76</v>
      </c>
      <c r="C271" s="10" t="s">
        <v>77</v>
      </c>
      <c r="D271" s="20" t="s">
        <v>503</v>
      </c>
      <c r="E271" s="20" t="s">
        <v>507</v>
      </c>
      <c r="F271" s="10" t="s">
        <v>77</v>
      </c>
      <c r="G271" s="20" t="s">
        <v>503</v>
      </c>
      <c r="H271" s="20" t="s">
        <v>507</v>
      </c>
      <c r="I271" s="10" t="s">
        <v>77</v>
      </c>
      <c r="J271" s="20" t="s">
        <v>503</v>
      </c>
      <c r="K271" s="20" t="s">
        <v>507</v>
      </c>
      <c r="L271" s="9" t="s">
        <v>352</v>
      </c>
      <c r="M271" s="9">
        <v>3</v>
      </c>
      <c r="N271" s="9" t="s">
        <v>353</v>
      </c>
      <c r="O271" s="9" t="s">
        <v>354</v>
      </c>
      <c r="P271" s="12">
        <v>35.4</v>
      </c>
      <c r="Q271" s="12" t="s">
        <v>355</v>
      </c>
      <c r="R271" s="9" t="s">
        <v>356</v>
      </c>
      <c r="S271" s="13" t="s">
        <v>524</v>
      </c>
      <c r="T271" s="13" t="s">
        <v>524</v>
      </c>
      <c r="U271" s="14">
        <f t="shared" si="36"/>
        <v>0.69897000433601886</v>
      </c>
      <c r="V271" s="15">
        <v>5</v>
      </c>
      <c r="W271" s="12">
        <v>13.418309799999996</v>
      </c>
      <c r="X271" s="12">
        <v>0.5</v>
      </c>
      <c r="Y271" s="13" t="s">
        <v>401</v>
      </c>
      <c r="Z271" s="9" t="s">
        <v>359</v>
      </c>
      <c r="AA271" s="10" t="s">
        <v>625</v>
      </c>
      <c r="AB271" s="9" t="s">
        <v>355</v>
      </c>
      <c r="AC271" s="15">
        <v>2755</v>
      </c>
      <c r="AD271" s="14">
        <f t="shared" si="37"/>
        <v>3.4401216031878037</v>
      </c>
      <c r="AE271" s="10" t="s">
        <v>626</v>
      </c>
      <c r="AF271" s="9" t="s">
        <v>362</v>
      </c>
      <c r="AG271" s="18">
        <v>40.695557000000001</v>
      </c>
      <c r="AH271" s="7">
        <f t="shared" si="38"/>
        <v>1</v>
      </c>
      <c r="AI271" s="7">
        <f t="shared" si="39"/>
        <v>1</v>
      </c>
      <c r="AJ271" s="7">
        <f t="shared" si="40"/>
        <v>0</v>
      </c>
      <c r="AK271" s="7">
        <f t="shared" si="41"/>
        <v>0</v>
      </c>
      <c r="AL271" s="7" t="s">
        <v>4157</v>
      </c>
      <c r="AM271" s="18">
        <f t="shared" si="42"/>
        <v>1.6095469970455845</v>
      </c>
      <c r="AN271" s="18">
        <v>40.695557000000001</v>
      </c>
      <c r="AO271" s="18">
        <v>-105.59433900000001</v>
      </c>
      <c r="AP271" s="9" t="s">
        <v>363</v>
      </c>
      <c r="AQ271" s="9" t="s">
        <v>355</v>
      </c>
      <c r="AR271" s="15">
        <v>1977</v>
      </c>
      <c r="AS271" s="19" t="s">
        <v>627</v>
      </c>
      <c r="AT271" s="20" t="s">
        <v>628</v>
      </c>
      <c r="AU271" s="40">
        <v>3425336</v>
      </c>
      <c r="AV271" s="35">
        <f t="shared" si="43"/>
        <v>6.5347031789784316</v>
      </c>
      <c r="AW271" s="37" t="s">
        <v>366</v>
      </c>
      <c r="AX271" s="34" t="s">
        <v>355</v>
      </c>
      <c r="AY271" s="40" t="s">
        <v>355</v>
      </c>
      <c r="AZ271" s="15">
        <v>33</v>
      </c>
      <c r="BA271" s="14">
        <f t="shared" si="44"/>
        <v>1.5185139398778875</v>
      </c>
      <c r="BB271" s="37" t="s">
        <v>367</v>
      </c>
      <c r="BC271" s="20">
        <v>2.304441776710698E-2</v>
      </c>
      <c r="BD271" s="9">
        <v>24.200000000000003</v>
      </c>
      <c r="BE271" s="9" t="s">
        <v>368</v>
      </c>
      <c r="BF271" s="9">
        <v>0</v>
      </c>
    </row>
    <row r="272" spans="1:58">
      <c r="A272" s="9">
        <v>759</v>
      </c>
      <c r="B272" s="10" t="s">
        <v>76</v>
      </c>
      <c r="C272" s="10" t="s">
        <v>77</v>
      </c>
      <c r="D272" s="20" t="s">
        <v>503</v>
      </c>
      <c r="E272" s="20" t="s">
        <v>507</v>
      </c>
      <c r="F272" s="10" t="s">
        <v>77</v>
      </c>
      <c r="G272" s="20" t="s">
        <v>503</v>
      </c>
      <c r="H272" s="20" t="s">
        <v>507</v>
      </c>
      <c r="I272" s="10" t="s">
        <v>77</v>
      </c>
      <c r="J272" s="20" t="s">
        <v>503</v>
      </c>
      <c r="K272" s="20" t="s">
        <v>507</v>
      </c>
      <c r="L272" s="9" t="s">
        <v>352</v>
      </c>
      <c r="M272" s="9">
        <v>3</v>
      </c>
      <c r="N272" s="9" t="s">
        <v>353</v>
      </c>
      <c r="O272" s="9" t="s">
        <v>354</v>
      </c>
      <c r="P272" s="12">
        <v>38</v>
      </c>
      <c r="Q272" s="12" t="s">
        <v>355</v>
      </c>
      <c r="R272" s="9" t="s">
        <v>356</v>
      </c>
      <c r="S272" s="13" t="s">
        <v>524</v>
      </c>
      <c r="T272" s="13" t="s">
        <v>524</v>
      </c>
      <c r="U272" s="14">
        <f t="shared" si="36"/>
        <v>0.69897000433601886</v>
      </c>
      <c r="V272" s="15">
        <v>20</v>
      </c>
      <c r="W272" s="12">
        <v>13.675024799999996</v>
      </c>
      <c r="X272" s="12">
        <v>0.5</v>
      </c>
      <c r="Y272" s="13" t="s">
        <v>401</v>
      </c>
      <c r="Z272" s="9" t="s">
        <v>359</v>
      </c>
      <c r="AA272" s="10" t="s">
        <v>625</v>
      </c>
      <c r="AB272" s="9" t="s">
        <v>355</v>
      </c>
      <c r="AC272" s="15">
        <v>2755</v>
      </c>
      <c r="AD272" s="14">
        <f t="shared" si="37"/>
        <v>3.4401216031878037</v>
      </c>
      <c r="AE272" s="10" t="s">
        <v>626</v>
      </c>
      <c r="AF272" s="9" t="s">
        <v>362</v>
      </c>
      <c r="AG272" s="18">
        <v>40.695557000000001</v>
      </c>
      <c r="AH272" s="7">
        <f t="shared" si="38"/>
        <v>1</v>
      </c>
      <c r="AI272" s="7">
        <f t="shared" si="39"/>
        <v>1</v>
      </c>
      <c r="AJ272" s="7">
        <f t="shared" si="40"/>
        <v>0</v>
      </c>
      <c r="AK272" s="7">
        <f t="shared" si="41"/>
        <v>0</v>
      </c>
      <c r="AL272" s="7" t="s">
        <v>4157</v>
      </c>
      <c r="AM272" s="18">
        <f t="shared" si="42"/>
        <v>1.6095469970455845</v>
      </c>
      <c r="AN272" s="18">
        <v>40.695557000000001</v>
      </c>
      <c r="AO272" s="18">
        <v>-105.59433900000001</v>
      </c>
      <c r="AP272" s="9" t="s">
        <v>363</v>
      </c>
      <c r="AQ272" s="9" t="s">
        <v>355</v>
      </c>
      <c r="AR272" s="15">
        <v>1977</v>
      </c>
      <c r="AS272" s="19" t="s">
        <v>627</v>
      </c>
      <c r="AT272" s="20" t="s">
        <v>628</v>
      </c>
      <c r="AU272" s="40">
        <v>3425336</v>
      </c>
      <c r="AV272" s="35">
        <f t="shared" si="43"/>
        <v>6.5347031789784316</v>
      </c>
      <c r="AW272" s="37" t="s">
        <v>366</v>
      </c>
      <c r="AX272" s="34" t="s">
        <v>355</v>
      </c>
      <c r="AY272" s="40" t="s">
        <v>355</v>
      </c>
      <c r="AZ272" s="15">
        <v>33</v>
      </c>
      <c r="BA272" s="14">
        <f t="shared" si="44"/>
        <v>1.5185139398778875</v>
      </c>
      <c r="BB272" s="37" t="s">
        <v>367</v>
      </c>
      <c r="BC272" s="20">
        <v>2.304441776710698E-2</v>
      </c>
      <c r="BD272" s="9">
        <v>24.200000000000003</v>
      </c>
      <c r="BE272" s="9" t="s">
        <v>368</v>
      </c>
      <c r="BF272" s="9">
        <v>0</v>
      </c>
    </row>
    <row r="273" spans="1:58">
      <c r="A273" s="9">
        <v>743</v>
      </c>
      <c r="B273" s="10" t="s">
        <v>76</v>
      </c>
      <c r="C273" s="10" t="s">
        <v>77</v>
      </c>
      <c r="D273" s="20" t="s">
        <v>503</v>
      </c>
      <c r="E273" s="20" t="s">
        <v>507</v>
      </c>
      <c r="F273" s="10" t="s">
        <v>77</v>
      </c>
      <c r="G273" s="20" t="s">
        <v>503</v>
      </c>
      <c r="H273" s="20" t="s">
        <v>507</v>
      </c>
      <c r="I273" s="10" t="s">
        <v>77</v>
      </c>
      <c r="J273" s="20" t="s">
        <v>503</v>
      </c>
      <c r="K273" s="20" t="s">
        <v>507</v>
      </c>
      <c r="L273" s="9" t="s">
        <v>352</v>
      </c>
      <c r="M273" s="9">
        <v>3</v>
      </c>
      <c r="N273" s="9" t="s">
        <v>353</v>
      </c>
      <c r="O273" s="9" t="s">
        <v>354</v>
      </c>
      <c r="P273" s="12">
        <v>35.5</v>
      </c>
      <c r="Q273" s="12" t="s">
        <v>355</v>
      </c>
      <c r="R273" s="9" t="s">
        <v>356</v>
      </c>
      <c r="S273" s="13" t="s">
        <v>524</v>
      </c>
      <c r="T273" s="13" t="s">
        <v>524</v>
      </c>
      <c r="U273" s="14">
        <f t="shared" si="36"/>
        <v>0.69897000433601886</v>
      </c>
      <c r="V273" s="15">
        <v>5</v>
      </c>
      <c r="W273" s="12">
        <v>13.518309799999997</v>
      </c>
      <c r="X273" s="12">
        <v>0.5</v>
      </c>
      <c r="Y273" s="13" t="s">
        <v>401</v>
      </c>
      <c r="Z273" s="9" t="s">
        <v>359</v>
      </c>
      <c r="AA273" s="10" t="s">
        <v>625</v>
      </c>
      <c r="AB273" s="9" t="s">
        <v>355</v>
      </c>
      <c r="AC273" s="15">
        <v>2761</v>
      </c>
      <c r="AD273" s="14">
        <f t="shared" si="37"/>
        <v>3.4410664066392633</v>
      </c>
      <c r="AE273" s="10" t="s">
        <v>626</v>
      </c>
      <c r="AF273" s="9" t="s">
        <v>362</v>
      </c>
      <c r="AG273" s="18">
        <v>40.695557000000001</v>
      </c>
      <c r="AH273" s="7">
        <f t="shared" si="38"/>
        <v>1</v>
      </c>
      <c r="AI273" s="7">
        <f t="shared" si="39"/>
        <v>1</v>
      </c>
      <c r="AJ273" s="7">
        <f t="shared" si="40"/>
        <v>0</v>
      </c>
      <c r="AK273" s="7">
        <f t="shared" si="41"/>
        <v>0</v>
      </c>
      <c r="AL273" s="7" t="s">
        <v>4157</v>
      </c>
      <c r="AM273" s="18">
        <f t="shared" si="42"/>
        <v>1.6095469970455845</v>
      </c>
      <c r="AN273" s="18">
        <v>40.695557000000001</v>
      </c>
      <c r="AO273" s="18">
        <v>-105.59433900000001</v>
      </c>
      <c r="AP273" s="9" t="s">
        <v>363</v>
      </c>
      <c r="AQ273" s="9" t="s">
        <v>355</v>
      </c>
      <c r="AR273" s="15">
        <v>1977</v>
      </c>
      <c r="AS273" s="19" t="s">
        <v>627</v>
      </c>
      <c r="AT273" s="20" t="s">
        <v>628</v>
      </c>
      <c r="AU273" s="40">
        <v>3425336</v>
      </c>
      <c r="AV273" s="35">
        <f t="shared" si="43"/>
        <v>6.5347031789784316</v>
      </c>
      <c r="AW273" s="37" t="s">
        <v>366</v>
      </c>
      <c r="AX273" s="34" t="s">
        <v>355</v>
      </c>
      <c r="AY273" s="40" t="s">
        <v>355</v>
      </c>
      <c r="AZ273" s="15">
        <v>33</v>
      </c>
      <c r="BA273" s="14">
        <f t="shared" si="44"/>
        <v>1.5185139398778875</v>
      </c>
      <c r="BB273" s="37" t="s">
        <v>367</v>
      </c>
      <c r="BC273" s="20">
        <v>2.304441776710698E-2</v>
      </c>
      <c r="BD273" s="9">
        <v>24.200000000000003</v>
      </c>
      <c r="BE273" s="9" t="s">
        <v>368</v>
      </c>
      <c r="BF273" s="9">
        <v>0</v>
      </c>
    </row>
    <row r="274" spans="1:58">
      <c r="A274" s="9">
        <v>757</v>
      </c>
      <c r="B274" s="10" t="s">
        <v>76</v>
      </c>
      <c r="C274" s="10" t="s">
        <v>77</v>
      </c>
      <c r="D274" s="20" t="s">
        <v>503</v>
      </c>
      <c r="E274" s="20" t="s">
        <v>507</v>
      </c>
      <c r="F274" s="10" t="s">
        <v>77</v>
      </c>
      <c r="G274" s="20" t="s">
        <v>503</v>
      </c>
      <c r="H274" s="20" t="s">
        <v>507</v>
      </c>
      <c r="I274" s="10" t="s">
        <v>77</v>
      </c>
      <c r="J274" s="20" t="s">
        <v>503</v>
      </c>
      <c r="K274" s="20" t="s">
        <v>507</v>
      </c>
      <c r="L274" s="9" t="s">
        <v>352</v>
      </c>
      <c r="M274" s="9">
        <v>3</v>
      </c>
      <c r="N274" s="9" t="s">
        <v>353</v>
      </c>
      <c r="O274" s="9" t="s">
        <v>354</v>
      </c>
      <c r="P274" s="12">
        <v>38</v>
      </c>
      <c r="Q274" s="12" t="s">
        <v>355</v>
      </c>
      <c r="R274" s="9" t="s">
        <v>356</v>
      </c>
      <c r="S274" s="13" t="s">
        <v>524</v>
      </c>
      <c r="T274" s="13" t="s">
        <v>524</v>
      </c>
      <c r="U274" s="14">
        <f t="shared" si="36"/>
        <v>0.69897000433601886</v>
      </c>
      <c r="V274" s="15">
        <v>20</v>
      </c>
      <c r="W274" s="12">
        <v>13.675024799999996</v>
      </c>
      <c r="X274" s="12">
        <v>0.5</v>
      </c>
      <c r="Y274" s="13" t="s">
        <v>401</v>
      </c>
      <c r="Z274" s="9" t="s">
        <v>359</v>
      </c>
      <c r="AA274" s="10" t="s">
        <v>625</v>
      </c>
      <c r="AB274" s="9" t="s">
        <v>355</v>
      </c>
      <c r="AC274" s="15">
        <v>2761</v>
      </c>
      <c r="AD274" s="14">
        <f t="shared" si="37"/>
        <v>3.4410664066392633</v>
      </c>
      <c r="AE274" s="10" t="s">
        <v>626</v>
      </c>
      <c r="AF274" s="9" t="s">
        <v>362</v>
      </c>
      <c r="AG274" s="18">
        <v>40.695557000000001</v>
      </c>
      <c r="AH274" s="7">
        <f t="shared" si="38"/>
        <v>1</v>
      </c>
      <c r="AI274" s="7">
        <f t="shared" si="39"/>
        <v>1</v>
      </c>
      <c r="AJ274" s="7">
        <f t="shared" si="40"/>
        <v>0</v>
      </c>
      <c r="AK274" s="7">
        <f t="shared" si="41"/>
        <v>0</v>
      </c>
      <c r="AL274" s="7" t="s">
        <v>4157</v>
      </c>
      <c r="AM274" s="18">
        <f t="shared" si="42"/>
        <v>1.6095469970455845</v>
      </c>
      <c r="AN274" s="18">
        <v>40.695557000000001</v>
      </c>
      <c r="AO274" s="18">
        <v>-105.59433900000001</v>
      </c>
      <c r="AP274" s="9" t="s">
        <v>363</v>
      </c>
      <c r="AQ274" s="9" t="s">
        <v>355</v>
      </c>
      <c r="AR274" s="15">
        <v>1977</v>
      </c>
      <c r="AS274" s="19" t="s">
        <v>627</v>
      </c>
      <c r="AT274" s="20" t="s">
        <v>628</v>
      </c>
      <c r="AU274" s="40">
        <v>3425336</v>
      </c>
      <c r="AV274" s="35">
        <f t="shared" si="43"/>
        <v>6.5347031789784316</v>
      </c>
      <c r="AW274" s="37" t="s">
        <v>366</v>
      </c>
      <c r="AX274" s="34" t="s">
        <v>355</v>
      </c>
      <c r="AY274" s="40" t="s">
        <v>355</v>
      </c>
      <c r="AZ274" s="15">
        <v>33</v>
      </c>
      <c r="BA274" s="14">
        <f t="shared" si="44"/>
        <v>1.5185139398778875</v>
      </c>
      <c r="BB274" s="37" t="s">
        <v>367</v>
      </c>
      <c r="BC274" s="20">
        <v>2.304441776710698E-2</v>
      </c>
      <c r="BD274" s="9">
        <v>24.200000000000003</v>
      </c>
      <c r="BE274" s="9" t="s">
        <v>368</v>
      </c>
      <c r="BF274" s="9">
        <v>0</v>
      </c>
    </row>
    <row r="275" spans="1:58">
      <c r="A275" s="9">
        <v>744</v>
      </c>
      <c r="B275" s="10" t="s">
        <v>76</v>
      </c>
      <c r="C275" s="10" t="s">
        <v>77</v>
      </c>
      <c r="D275" s="20" t="s">
        <v>503</v>
      </c>
      <c r="E275" s="20" t="s">
        <v>507</v>
      </c>
      <c r="F275" s="10" t="s">
        <v>77</v>
      </c>
      <c r="G275" s="20" t="s">
        <v>503</v>
      </c>
      <c r="H275" s="20" t="s">
        <v>507</v>
      </c>
      <c r="I275" s="10" t="s">
        <v>77</v>
      </c>
      <c r="J275" s="20" t="s">
        <v>503</v>
      </c>
      <c r="K275" s="20" t="s">
        <v>507</v>
      </c>
      <c r="L275" s="9" t="s">
        <v>352</v>
      </c>
      <c r="M275" s="9">
        <v>3</v>
      </c>
      <c r="N275" s="9" t="s">
        <v>353</v>
      </c>
      <c r="O275" s="9" t="s">
        <v>354</v>
      </c>
      <c r="P275" s="12">
        <v>35.4</v>
      </c>
      <c r="Q275" s="12" t="s">
        <v>355</v>
      </c>
      <c r="R275" s="9" t="s">
        <v>356</v>
      </c>
      <c r="S275" s="13" t="s">
        <v>524</v>
      </c>
      <c r="T275" s="13" t="s">
        <v>524</v>
      </c>
      <c r="U275" s="14">
        <f t="shared" si="36"/>
        <v>0.69897000433601886</v>
      </c>
      <c r="V275" s="15">
        <v>5</v>
      </c>
      <c r="W275" s="12">
        <v>13.418309799999996</v>
      </c>
      <c r="X275" s="12">
        <v>0.5</v>
      </c>
      <c r="Y275" s="13" t="s">
        <v>401</v>
      </c>
      <c r="Z275" s="9" t="s">
        <v>359</v>
      </c>
      <c r="AA275" s="10" t="s">
        <v>625</v>
      </c>
      <c r="AB275" s="9" t="s">
        <v>355</v>
      </c>
      <c r="AC275" s="15">
        <v>2768</v>
      </c>
      <c r="AD275" s="14">
        <f t="shared" si="37"/>
        <v>3.4421660857847201</v>
      </c>
      <c r="AE275" s="10" t="s">
        <v>626</v>
      </c>
      <c r="AF275" s="9" t="s">
        <v>362</v>
      </c>
      <c r="AG275" s="18">
        <v>40.695557000000001</v>
      </c>
      <c r="AH275" s="7">
        <f t="shared" si="38"/>
        <v>1</v>
      </c>
      <c r="AI275" s="7">
        <f t="shared" si="39"/>
        <v>1</v>
      </c>
      <c r="AJ275" s="7">
        <f t="shared" si="40"/>
        <v>0</v>
      </c>
      <c r="AK275" s="7">
        <f t="shared" si="41"/>
        <v>0</v>
      </c>
      <c r="AL275" s="7" t="s">
        <v>4157</v>
      </c>
      <c r="AM275" s="18">
        <f t="shared" si="42"/>
        <v>1.6095469970455845</v>
      </c>
      <c r="AN275" s="18">
        <v>40.695557000000001</v>
      </c>
      <c r="AO275" s="18">
        <v>-105.59433900000001</v>
      </c>
      <c r="AP275" s="9" t="s">
        <v>363</v>
      </c>
      <c r="AQ275" s="9" t="s">
        <v>355</v>
      </c>
      <c r="AR275" s="15">
        <v>1977</v>
      </c>
      <c r="AS275" s="19" t="s">
        <v>627</v>
      </c>
      <c r="AT275" s="20" t="s">
        <v>628</v>
      </c>
      <c r="AU275" s="40">
        <v>3425336</v>
      </c>
      <c r="AV275" s="35">
        <f t="shared" si="43"/>
        <v>6.5347031789784316</v>
      </c>
      <c r="AW275" s="37" t="s">
        <v>366</v>
      </c>
      <c r="AX275" s="34" t="s">
        <v>355</v>
      </c>
      <c r="AY275" s="40" t="s">
        <v>355</v>
      </c>
      <c r="AZ275" s="15">
        <v>33</v>
      </c>
      <c r="BA275" s="14">
        <f t="shared" si="44"/>
        <v>1.5185139398778875</v>
      </c>
      <c r="BB275" s="37" t="s">
        <v>367</v>
      </c>
      <c r="BC275" s="20">
        <v>2.304441776710698E-2</v>
      </c>
      <c r="BD275" s="9">
        <v>24.200000000000003</v>
      </c>
      <c r="BE275" s="9" t="s">
        <v>368</v>
      </c>
      <c r="BF275" s="9">
        <v>0</v>
      </c>
    </row>
    <row r="276" spans="1:58">
      <c r="A276" s="9">
        <v>758</v>
      </c>
      <c r="B276" s="10" t="s">
        <v>76</v>
      </c>
      <c r="C276" s="10" t="s">
        <v>77</v>
      </c>
      <c r="D276" s="20" t="s">
        <v>503</v>
      </c>
      <c r="E276" s="20" t="s">
        <v>507</v>
      </c>
      <c r="F276" s="10" t="s">
        <v>77</v>
      </c>
      <c r="G276" s="20" t="s">
        <v>503</v>
      </c>
      <c r="H276" s="20" t="s">
        <v>507</v>
      </c>
      <c r="I276" s="10" t="s">
        <v>77</v>
      </c>
      <c r="J276" s="20" t="s">
        <v>503</v>
      </c>
      <c r="K276" s="20" t="s">
        <v>507</v>
      </c>
      <c r="L276" s="9" t="s">
        <v>352</v>
      </c>
      <c r="M276" s="9">
        <v>3</v>
      </c>
      <c r="N276" s="9" t="s">
        <v>353</v>
      </c>
      <c r="O276" s="9" t="s">
        <v>354</v>
      </c>
      <c r="P276" s="12">
        <v>37.799999999999997</v>
      </c>
      <c r="Q276" s="12" t="s">
        <v>355</v>
      </c>
      <c r="R276" s="9" t="s">
        <v>356</v>
      </c>
      <c r="S276" s="13" t="s">
        <v>524</v>
      </c>
      <c r="T276" s="13" t="s">
        <v>524</v>
      </c>
      <c r="U276" s="14">
        <f t="shared" si="36"/>
        <v>0.69897000433601886</v>
      </c>
      <c r="V276" s="15">
        <v>20</v>
      </c>
      <c r="W276" s="12">
        <v>13.475024799999993</v>
      </c>
      <c r="X276" s="12">
        <v>0.5</v>
      </c>
      <c r="Y276" s="13" t="s">
        <v>401</v>
      </c>
      <c r="Z276" s="9" t="s">
        <v>359</v>
      </c>
      <c r="AA276" s="10" t="s">
        <v>625</v>
      </c>
      <c r="AB276" s="9" t="s">
        <v>355</v>
      </c>
      <c r="AC276" s="15">
        <v>2768</v>
      </c>
      <c r="AD276" s="14">
        <f t="shared" si="37"/>
        <v>3.4421660857847201</v>
      </c>
      <c r="AE276" s="10" t="s">
        <v>626</v>
      </c>
      <c r="AF276" s="9" t="s">
        <v>362</v>
      </c>
      <c r="AG276" s="18">
        <v>40.695557000000001</v>
      </c>
      <c r="AH276" s="7">
        <f t="shared" si="38"/>
        <v>1</v>
      </c>
      <c r="AI276" s="7">
        <f t="shared" si="39"/>
        <v>1</v>
      </c>
      <c r="AJ276" s="7">
        <f t="shared" si="40"/>
        <v>0</v>
      </c>
      <c r="AK276" s="7">
        <f t="shared" si="41"/>
        <v>0</v>
      </c>
      <c r="AL276" s="7" t="s">
        <v>4157</v>
      </c>
      <c r="AM276" s="18">
        <f t="shared" si="42"/>
        <v>1.6095469970455845</v>
      </c>
      <c r="AN276" s="18">
        <v>40.695557000000001</v>
      </c>
      <c r="AO276" s="18">
        <v>-105.59433900000001</v>
      </c>
      <c r="AP276" s="9" t="s">
        <v>363</v>
      </c>
      <c r="AQ276" s="9" t="s">
        <v>355</v>
      </c>
      <c r="AR276" s="15">
        <v>1977</v>
      </c>
      <c r="AS276" s="19" t="s">
        <v>627</v>
      </c>
      <c r="AT276" s="20" t="s">
        <v>628</v>
      </c>
      <c r="AU276" s="40">
        <v>3425336</v>
      </c>
      <c r="AV276" s="35">
        <f t="shared" si="43"/>
        <v>6.5347031789784316</v>
      </c>
      <c r="AW276" s="37" t="s">
        <v>366</v>
      </c>
      <c r="AX276" s="34" t="s">
        <v>355</v>
      </c>
      <c r="AY276" s="40" t="s">
        <v>355</v>
      </c>
      <c r="AZ276" s="15">
        <v>33</v>
      </c>
      <c r="BA276" s="14">
        <f t="shared" si="44"/>
        <v>1.5185139398778875</v>
      </c>
      <c r="BB276" s="37" t="s">
        <v>367</v>
      </c>
      <c r="BC276" s="20">
        <v>2.304441776710698E-2</v>
      </c>
      <c r="BD276" s="9">
        <v>24.200000000000003</v>
      </c>
      <c r="BE276" s="9" t="s">
        <v>368</v>
      </c>
      <c r="BF276" s="9">
        <v>0</v>
      </c>
    </row>
    <row r="277" spans="1:58">
      <c r="A277" s="9">
        <v>732</v>
      </c>
      <c r="B277" s="10" t="s">
        <v>76</v>
      </c>
      <c r="C277" s="10" t="s">
        <v>77</v>
      </c>
      <c r="D277" s="20" t="s">
        <v>503</v>
      </c>
      <c r="E277" s="20" t="s">
        <v>507</v>
      </c>
      <c r="F277" s="10" t="s">
        <v>77</v>
      </c>
      <c r="G277" s="20" t="s">
        <v>503</v>
      </c>
      <c r="H277" s="20" t="s">
        <v>507</v>
      </c>
      <c r="I277" s="10" t="s">
        <v>77</v>
      </c>
      <c r="J277" s="20" t="s">
        <v>503</v>
      </c>
      <c r="K277" s="20" t="s">
        <v>507</v>
      </c>
      <c r="L277" s="9" t="s">
        <v>352</v>
      </c>
      <c r="M277" s="9">
        <v>15</v>
      </c>
      <c r="N277" s="9" t="s">
        <v>381</v>
      </c>
      <c r="O277" s="9" t="s">
        <v>354</v>
      </c>
      <c r="P277" s="12">
        <v>35.4</v>
      </c>
      <c r="Q277" s="12" t="s">
        <v>355</v>
      </c>
      <c r="R277" s="9" t="s">
        <v>356</v>
      </c>
      <c r="S277" s="13" t="s">
        <v>524</v>
      </c>
      <c r="T277" s="13" t="s">
        <v>524</v>
      </c>
      <c r="U277" s="14">
        <f t="shared" si="36"/>
        <v>0.69897000433601886</v>
      </c>
      <c r="V277" s="15">
        <v>5</v>
      </c>
      <c r="W277" s="12">
        <v>13.418309799999996</v>
      </c>
      <c r="X277" s="12" t="s">
        <v>355</v>
      </c>
      <c r="Y277" s="13" t="s">
        <v>401</v>
      </c>
      <c r="Z277" s="9" t="s">
        <v>359</v>
      </c>
      <c r="AA277" s="10" t="s">
        <v>629</v>
      </c>
      <c r="AB277" s="9" t="s">
        <v>355</v>
      </c>
      <c r="AC277" s="15">
        <v>2900</v>
      </c>
      <c r="AD277" s="14">
        <f t="shared" si="37"/>
        <v>3.4623979978989561</v>
      </c>
      <c r="AE277" s="10" t="s">
        <v>626</v>
      </c>
      <c r="AF277" s="9" t="s">
        <v>362</v>
      </c>
      <c r="AG277" s="18">
        <v>40.695557000000001</v>
      </c>
      <c r="AH277" s="7">
        <f t="shared" si="38"/>
        <v>1</v>
      </c>
      <c r="AI277" s="7">
        <f t="shared" si="39"/>
        <v>1</v>
      </c>
      <c r="AJ277" s="7">
        <f t="shared" si="40"/>
        <v>0</v>
      </c>
      <c r="AK277" s="7">
        <f t="shared" si="41"/>
        <v>0</v>
      </c>
      <c r="AL277" s="7" t="s">
        <v>4157</v>
      </c>
      <c r="AM277" s="18">
        <f t="shared" si="42"/>
        <v>1.6095469970455845</v>
      </c>
      <c r="AN277" s="18">
        <v>40.695557000000001</v>
      </c>
      <c r="AO277" s="18">
        <v>-105.59433900000001</v>
      </c>
      <c r="AP277" s="9" t="s">
        <v>363</v>
      </c>
      <c r="AQ277" s="9" t="s">
        <v>633</v>
      </c>
      <c r="AR277" s="15">
        <v>1974</v>
      </c>
      <c r="AS277" s="19" t="s">
        <v>631</v>
      </c>
      <c r="AT277" s="20" t="s">
        <v>632</v>
      </c>
      <c r="AU277" s="40">
        <v>3425336</v>
      </c>
      <c r="AV277" s="35">
        <f t="shared" si="43"/>
        <v>6.5347031789784316</v>
      </c>
      <c r="AW277" s="37" t="s">
        <v>366</v>
      </c>
      <c r="AX277" s="34" t="s">
        <v>355</v>
      </c>
      <c r="AY277" s="40" t="s">
        <v>355</v>
      </c>
      <c r="AZ277" s="15">
        <v>33</v>
      </c>
      <c r="BA277" s="14">
        <f t="shared" si="44"/>
        <v>1.5185139398778875</v>
      </c>
      <c r="BB277" s="37" t="s">
        <v>367</v>
      </c>
      <c r="BC277" s="20">
        <v>2.304441776710698E-2</v>
      </c>
      <c r="BD277" s="9">
        <v>24.200000000000003</v>
      </c>
      <c r="BE277" s="9" t="s">
        <v>368</v>
      </c>
      <c r="BF277" s="9">
        <v>0</v>
      </c>
    </row>
    <row r="278" spans="1:58">
      <c r="A278" s="9">
        <v>733</v>
      </c>
      <c r="B278" s="10" t="s">
        <v>76</v>
      </c>
      <c r="C278" s="10" t="s">
        <v>77</v>
      </c>
      <c r="D278" s="20" t="s">
        <v>503</v>
      </c>
      <c r="E278" s="20" t="s">
        <v>507</v>
      </c>
      <c r="F278" s="10" t="s">
        <v>77</v>
      </c>
      <c r="G278" s="20" t="s">
        <v>503</v>
      </c>
      <c r="H278" s="20" t="s">
        <v>507</v>
      </c>
      <c r="I278" s="10" t="s">
        <v>77</v>
      </c>
      <c r="J278" s="20" t="s">
        <v>503</v>
      </c>
      <c r="K278" s="20" t="s">
        <v>507</v>
      </c>
      <c r="L278" s="9" t="s">
        <v>352</v>
      </c>
      <c r="M278" s="9">
        <v>15</v>
      </c>
      <c r="N278" s="9" t="s">
        <v>381</v>
      </c>
      <c r="O278" s="9" t="s">
        <v>354</v>
      </c>
      <c r="P278" s="12">
        <v>37.700000000000003</v>
      </c>
      <c r="Q278" s="12" t="s">
        <v>355</v>
      </c>
      <c r="R278" s="9" t="s">
        <v>356</v>
      </c>
      <c r="S278" s="13" t="s">
        <v>524</v>
      </c>
      <c r="T278" s="13" t="s">
        <v>524</v>
      </c>
      <c r="U278" s="14">
        <f t="shared" si="36"/>
        <v>0.69897000433601886</v>
      </c>
      <c r="V278" s="15">
        <v>20</v>
      </c>
      <c r="W278" s="12">
        <v>13.375024799999998</v>
      </c>
      <c r="X278" s="12" t="s">
        <v>355</v>
      </c>
      <c r="Y278" s="13" t="s">
        <v>401</v>
      </c>
      <c r="Z278" s="9" t="s">
        <v>359</v>
      </c>
      <c r="AA278" s="10" t="s">
        <v>629</v>
      </c>
      <c r="AB278" s="9" t="s">
        <v>355</v>
      </c>
      <c r="AC278" s="15">
        <v>2900</v>
      </c>
      <c r="AD278" s="14">
        <f t="shared" si="37"/>
        <v>3.4623979978989561</v>
      </c>
      <c r="AE278" s="10" t="s">
        <v>626</v>
      </c>
      <c r="AF278" s="9" t="s">
        <v>362</v>
      </c>
      <c r="AG278" s="18">
        <v>40.695557000000001</v>
      </c>
      <c r="AH278" s="7">
        <f t="shared" si="38"/>
        <v>1</v>
      </c>
      <c r="AI278" s="7">
        <f t="shared" si="39"/>
        <v>1</v>
      </c>
      <c r="AJ278" s="7">
        <f t="shared" si="40"/>
        <v>0</v>
      </c>
      <c r="AK278" s="7">
        <f t="shared" si="41"/>
        <v>0</v>
      </c>
      <c r="AL278" s="7" t="s">
        <v>4157</v>
      </c>
      <c r="AM278" s="18">
        <f t="shared" si="42"/>
        <v>1.6095469970455845</v>
      </c>
      <c r="AN278" s="18">
        <v>40.695557000000001</v>
      </c>
      <c r="AO278" s="18">
        <v>-105.59433900000001</v>
      </c>
      <c r="AP278" s="9" t="s">
        <v>363</v>
      </c>
      <c r="AQ278" s="9" t="s">
        <v>633</v>
      </c>
      <c r="AR278" s="15">
        <v>1974</v>
      </c>
      <c r="AS278" s="19" t="s">
        <v>631</v>
      </c>
      <c r="AT278" s="20" t="s">
        <v>632</v>
      </c>
      <c r="AU278" s="40">
        <v>3425336</v>
      </c>
      <c r="AV278" s="35">
        <f t="shared" si="43"/>
        <v>6.5347031789784316</v>
      </c>
      <c r="AW278" s="37" t="s">
        <v>366</v>
      </c>
      <c r="AX278" s="34" t="s">
        <v>355</v>
      </c>
      <c r="AY278" s="40" t="s">
        <v>355</v>
      </c>
      <c r="AZ278" s="15">
        <v>33</v>
      </c>
      <c r="BA278" s="14">
        <f t="shared" si="44"/>
        <v>1.5185139398778875</v>
      </c>
      <c r="BB278" s="37" t="s">
        <v>367</v>
      </c>
      <c r="BC278" s="20">
        <v>2.304441776710698E-2</v>
      </c>
      <c r="BD278" s="9">
        <v>24.200000000000003</v>
      </c>
      <c r="BE278" s="9" t="s">
        <v>368</v>
      </c>
      <c r="BF278" s="9">
        <v>0</v>
      </c>
    </row>
    <row r="279" spans="1:58">
      <c r="A279" s="9">
        <v>746</v>
      </c>
      <c r="B279" s="10" t="s">
        <v>76</v>
      </c>
      <c r="C279" s="10" t="s">
        <v>77</v>
      </c>
      <c r="D279" s="20" t="s">
        <v>503</v>
      </c>
      <c r="E279" s="20" t="s">
        <v>507</v>
      </c>
      <c r="F279" s="10" t="s">
        <v>77</v>
      </c>
      <c r="G279" s="20" t="s">
        <v>503</v>
      </c>
      <c r="H279" s="20" t="s">
        <v>507</v>
      </c>
      <c r="I279" s="10" t="s">
        <v>77</v>
      </c>
      <c r="J279" s="20" t="s">
        <v>503</v>
      </c>
      <c r="K279" s="20" t="s">
        <v>507</v>
      </c>
      <c r="L279" s="9" t="s">
        <v>352</v>
      </c>
      <c r="M279" s="9">
        <v>3</v>
      </c>
      <c r="N279" s="9" t="s">
        <v>353</v>
      </c>
      <c r="O279" s="9" t="s">
        <v>354</v>
      </c>
      <c r="P279" s="12">
        <v>35.5</v>
      </c>
      <c r="Q279" s="12" t="s">
        <v>355</v>
      </c>
      <c r="R279" s="9" t="s">
        <v>356</v>
      </c>
      <c r="S279" s="13" t="s">
        <v>524</v>
      </c>
      <c r="T279" s="13" t="s">
        <v>524</v>
      </c>
      <c r="U279" s="14">
        <f t="shared" si="36"/>
        <v>0.69897000433601886</v>
      </c>
      <c r="V279" s="15">
        <v>5</v>
      </c>
      <c r="W279" s="12">
        <v>13.518309799999997</v>
      </c>
      <c r="X279" s="12">
        <v>0.5</v>
      </c>
      <c r="Y279" s="13" t="s">
        <v>401</v>
      </c>
      <c r="Z279" s="9" t="s">
        <v>359</v>
      </c>
      <c r="AA279" s="10" t="s">
        <v>625</v>
      </c>
      <c r="AB279" s="9" t="s">
        <v>355</v>
      </c>
      <c r="AC279" s="15">
        <v>2969</v>
      </c>
      <c r="AD279" s="14">
        <f t="shared" si="37"/>
        <v>3.4726101975960448</v>
      </c>
      <c r="AE279" s="10" t="s">
        <v>626</v>
      </c>
      <c r="AF279" s="9" t="s">
        <v>362</v>
      </c>
      <c r="AG279" s="18">
        <v>40.695557000000001</v>
      </c>
      <c r="AH279" s="7">
        <f t="shared" si="38"/>
        <v>1</v>
      </c>
      <c r="AI279" s="7">
        <f t="shared" si="39"/>
        <v>1</v>
      </c>
      <c r="AJ279" s="7">
        <f t="shared" si="40"/>
        <v>0</v>
      </c>
      <c r="AK279" s="7">
        <f t="shared" si="41"/>
        <v>0</v>
      </c>
      <c r="AL279" s="7" t="s">
        <v>4157</v>
      </c>
      <c r="AM279" s="18">
        <f t="shared" si="42"/>
        <v>1.6095469970455845</v>
      </c>
      <c r="AN279" s="18">
        <v>40.695557000000001</v>
      </c>
      <c r="AO279" s="18">
        <v>-105.59433900000001</v>
      </c>
      <c r="AP279" s="9" t="s">
        <v>363</v>
      </c>
      <c r="AQ279" s="9" t="s">
        <v>355</v>
      </c>
      <c r="AR279" s="15">
        <v>1977</v>
      </c>
      <c r="AS279" s="19" t="s">
        <v>627</v>
      </c>
      <c r="AT279" s="20" t="s">
        <v>628</v>
      </c>
      <c r="AU279" s="40">
        <v>3425336</v>
      </c>
      <c r="AV279" s="35">
        <f t="shared" si="43"/>
        <v>6.5347031789784316</v>
      </c>
      <c r="AW279" s="37" t="s">
        <v>366</v>
      </c>
      <c r="AX279" s="34" t="s">
        <v>355</v>
      </c>
      <c r="AY279" s="40" t="s">
        <v>355</v>
      </c>
      <c r="AZ279" s="15">
        <v>33</v>
      </c>
      <c r="BA279" s="14">
        <f t="shared" si="44"/>
        <v>1.5185139398778875</v>
      </c>
      <c r="BB279" s="37" t="s">
        <v>367</v>
      </c>
      <c r="BC279" s="20">
        <v>2.304441776710698E-2</v>
      </c>
      <c r="BD279" s="9">
        <v>24.200000000000003</v>
      </c>
      <c r="BE279" s="9" t="s">
        <v>368</v>
      </c>
      <c r="BF279" s="9">
        <v>0</v>
      </c>
    </row>
    <row r="280" spans="1:58">
      <c r="A280" s="9">
        <v>760</v>
      </c>
      <c r="B280" s="10" t="s">
        <v>76</v>
      </c>
      <c r="C280" s="10" t="s">
        <v>77</v>
      </c>
      <c r="D280" s="20" t="s">
        <v>503</v>
      </c>
      <c r="E280" s="20" t="s">
        <v>507</v>
      </c>
      <c r="F280" s="10" t="s">
        <v>77</v>
      </c>
      <c r="G280" s="20" t="s">
        <v>503</v>
      </c>
      <c r="H280" s="20" t="s">
        <v>507</v>
      </c>
      <c r="I280" s="10" t="s">
        <v>77</v>
      </c>
      <c r="J280" s="20" t="s">
        <v>503</v>
      </c>
      <c r="K280" s="20" t="s">
        <v>507</v>
      </c>
      <c r="L280" s="9" t="s">
        <v>352</v>
      </c>
      <c r="M280" s="9">
        <v>3</v>
      </c>
      <c r="N280" s="9" t="s">
        <v>353</v>
      </c>
      <c r="O280" s="9" t="s">
        <v>354</v>
      </c>
      <c r="P280" s="12">
        <v>37.4</v>
      </c>
      <c r="Q280" s="12" t="s">
        <v>355</v>
      </c>
      <c r="R280" s="9" t="s">
        <v>356</v>
      </c>
      <c r="S280" s="13" t="s">
        <v>524</v>
      </c>
      <c r="T280" s="13" t="s">
        <v>524</v>
      </c>
      <c r="U280" s="14">
        <f t="shared" si="36"/>
        <v>0.69897000433601886</v>
      </c>
      <c r="V280" s="15">
        <v>20</v>
      </c>
      <c r="W280" s="12">
        <v>13.075024799999994</v>
      </c>
      <c r="X280" s="12">
        <v>0.5</v>
      </c>
      <c r="Y280" s="13" t="s">
        <v>401</v>
      </c>
      <c r="Z280" s="9" t="s">
        <v>359</v>
      </c>
      <c r="AA280" s="10" t="s">
        <v>625</v>
      </c>
      <c r="AB280" s="9" t="s">
        <v>355</v>
      </c>
      <c r="AC280" s="15">
        <v>2969</v>
      </c>
      <c r="AD280" s="14">
        <f t="shared" si="37"/>
        <v>3.4726101975960448</v>
      </c>
      <c r="AE280" s="10" t="s">
        <v>626</v>
      </c>
      <c r="AF280" s="9" t="s">
        <v>362</v>
      </c>
      <c r="AG280" s="18">
        <v>40.695557000000001</v>
      </c>
      <c r="AH280" s="7">
        <f t="shared" si="38"/>
        <v>1</v>
      </c>
      <c r="AI280" s="7">
        <f t="shared" si="39"/>
        <v>1</v>
      </c>
      <c r="AJ280" s="7">
        <f t="shared" si="40"/>
        <v>0</v>
      </c>
      <c r="AK280" s="7">
        <f t="shared" si="41"/>
        <v>0</v>
      </c>
      <c r="AL280" s="7" t="s">
        <v>4157</v>
      </c>
      <c r="AM280" s="18">
        <f t="shared" si="42"/>
        <v>1.6095469970455845</v>
      </c>
      <c r="AN280" s="18">
        <v>40.695557000000001</v>
      </c>
      <c r="AO280" s="18">
        <v>-105.59433900000001</v>
      </c>
      <c r="AP280" s="9" t="s">
        <v>363</v>
      </c>
      <c r="AQ280" s="9" t="s">
        <v>355</v>
      </c>
      <c r="AR280" s="15">
        <v>1977</v>
      </c>
      <c r="AS280" s="19" t="s">
        <v>627</v>
      </c>
      <c r="AT280" s="20" t="s">
        <v>628</v>
      </c>
      <c r="AU280" s="40">
        <v>3425336</v>
      </c>
      <c r="AV280" s="35">
        <f t="shared" si="43"/>
        <v>6.5347031789784316</v>
      </c>
      <c r="AW280" s="37" t="s">
        <v>366</v>
      </c>
      <c r="AX280" s="34" t="s">
        <v>355</v>
      </c>
      <c r="AY280" s="40" t="s">
        <v>355</v>
      </c>
      <c r="AZ280" s="15">
        <v>33</v>
      </c>
      <c r="BA280" s="14">
        <f t="shared" si="44"/>
        <v>1.5185139398778875</v>
      </c>
      <c r="BB280" s="37" t="s">
        <v>367</v>
      </c>
      <c r="BC280" s="20">
        <v>2.304441776710698E-2</v>
      </c>
      <c r="BD280" s="9">
        <v>24.200000000000003</v>
      </c>
      <c r="BE280" s="9" t="s">
        <v>368</v>
      </c>
      <c r="BF280" s="9">
        <v>0</v>
      </c>
    </row>
    <row r="281" spans="1:58">
      <c r="A281" s="9">
        <v>747</v>
      </c>
      <c r="B281" s="10" t="s">
        <v>76</v>
      </c>
      <c r="C281" s="10" t="s">
        <v>77</v>
      </c>
      <c r="D281" s="20" t="s">
        <v>503</v>
      </c>
      <c r="E281" s="20" t="s">
        <v>507</v>
      </c>
      <c r="F281" s="10" t="s">
        <v>77</v>
      </c>
      <c r="G281" s="20" t="s">
        <v>503</v>
      </c>
      <c r="H281" s="20" t="s">
        <v>507</v>
      </c>
      <c r="I281" s="10" t="s">
        <v>77</v>
      </c>
      <c r="J281" s="20" t="s">
        <v>503</v>
      </c>
      <c r="K281" s="20" t="s">
        <v>507</v>
      </c>
      <c r="L281" s="9" t="s">
        <v>352</v>
      </c>
      <c r="M281" s="9">
        <v>3</v>
      </c>
      <c r="N281" s="9" t="s">
        <v>353</v>
      </c>
      <c r="O281" s="9" t="s">
        <v>354</v>
      </c>
      <c r="P281" s="12">
        <v>35.4</v>
      </c>
      <c r="Q281" s="12" t="s">
        <v>355</v>
      </c>
      <c r="R281" s="9" t="s">
        <v>356</v>
      </c>
      <c r="S281" s="13" t="s">
        <v>524</v>
      </c>
      <c r="T281" s="13" t="s">
        <v>524</v>
      </c>
      <c r="U281" s="14">
        <f t="shared" si="36"/>
        <v>0.69897000433601886</v>
      </c>
      <c r="V281" s="15">
        <v>5</v>
      </c>
      <c r="W281" s="12">
        <v>13.418309799999996</v>
      </c>
      <c r="X281" s="12">
        <v>0.5</v>
      </c>
      <c r="Y281" s="13" t="s">
        <v>401</v>
      </c>
      <c r="Z281" s="9" t="s">
        <v>359</v>
      </c>
      <c r="AA281" s="10" t="s">
        <v>625</v>
      </c>
      <c r="AB281" s="9" t="s">
        <v>355</v>
      </c>
      <c r="AC281" s="15">
        <v>3036</v>
      </c>
      <c r="AD281" s="14">
        <f t="shared" si="37"/>
        <v>3.4823017672234426</v>
      </c>
      <c r="AE281" s="10" t="s">
        <v>626</v>
      </c>
      <c r="AF281" s="9" t="s">
        <v>362</v>
      </c>
      <c r="AG281" s="18">
        <v>40.695557000000001</v>
      </c>
      <c r="AH281" s="7">
        <f t="shared" si="38"/>
        <v>1</v>
      </c>
      <c r="AI281" s="7">
        <f t="shared" si="39"/>
        <v>1</v>
      </c>
      <c r="AJ281" s="7">
        <f t="shared" si="40"/>
        <v>0</v>
      </c>
      <c r="AK281" s="7">
        <f t="shared" si="41"/>
        <v>0</v>
      </c>
      <c r="AL281" s="7" t="s">
        <v>4157</v>
      </c>
      <c r="AM281" s="18">
        <f t="shared" si="42"/>
        <v>1.6095469970455845</v>
      </c>
      <c r="AN281" s="18">
        <v>40.695557000000001</v>
      </c>
      <c r="AO281" s="18">
        <v>-105.59433900000001</v>
      </c>
      <c r="AP281" s="9" t="s">
        <v>363</v>
      </c>
      <c r="AQ281" s="9" t="s">
        <v>355</v>
      </c>
      <c r="AR281" s="15">
        <v>1977</v>
      </c>
      <c r="AS281" s="19" t="s">
        <v>627</v>
      </c>
      <c r="AT281" s="20" t="s">
        <v>628</v>
      </c>
      <c r="AU281" s="40">
        <v>3425336</v>
      </c>
      <c r="AV281" s="35">
        <f t="shared" si="43"/>
        <v>6.5347031789784316</v>
      </c>
      <c r="AW281" s="37" t="s">
        <v>366</v>
      </c>
      <c r="AX281" s="34" t="s">
        <v>355</v>
      </c>
      <c r="AY281" s="40" t="s">
        <v>355</v>
      </c>
      <c r="AZ281" s="15">
        <v>33</v>
      </c>
      <c r="BA281" s="14">
        <f t="shared" si="44"/>
        <v>1.5185139398778875</v>
      </c>
      <c r="BB281" s="37" t="s">
        <v>367</v>
      </c>
      <c r="BC281" s="20">
        <v>2.304441776710698E-2</v>
      </c>
      <c r="BD281" s="9">
        <v>24.200000000000003</v>
      </c>
      <c r="BE281" s="9" t="s">
        <v>368</v>
      </c>
      <c r="BF281" s="9">
        <v>0</v>
      </c>
    </row>
    <row r="282" spans="1:58">
      <c r="A282" s="9">
        <v>761</v>
      </c>
      <c r="B282" s="10" t="s">
        <v>76</v>
      </c>
      <c r="C282" s="10" t="s">
        <v>77</v>
      </c>
      <c r="D282" s="20" t="s">
        <v>503</v>
      </c>
      <c r="E282" s="20" t="s">
        <v>507</v>
      </c>
      <c r="F282" s="10" t="s">
        <v>77</v>
      </c>
      <c r="G282" s="20" t="s">
        <v>503</v>
      </c>
      <c r="H282" s="20" t="s">
        <v>507</v>
      </c>
      <c r="I282" s="10" t="s">
        <v>77</v>
      </c>
      <c r="J282" s="20" t="s">
        <v>503</v>
      </c>
      <c r="K282" s="20" t="s">
        <v>507</v>
      </c>
      <c r="L282" s="9" t="s">
        <v>352</v>
      </c>
      <c r="M282" s="9">
        <v>3</v>
      </c>
      <c r="N282" s="9" t="s">
        <v>353</v>
      </c>
      <c r="O282" s="9" t="s">
        <v>354</v>
      </c>
      <c r="P282" s="12">
        <v>36.9</v>
      </c>
      <c r="Q282" s="12" t="s">
        <v>355</v>
      </c>
      <c r="R282" s="9" t="s">
        <v>356</v>
      </c>
      <c r="S282" s="13" t="s">
        <v>524</v>
      </c>
      <c r="T282" s="13" t="s">
        <v>524</v>
      </c>
      <c r="U282" s="14">
        <f t="shared" si="36"/>
        <v>0.69897000433601886</v>
      </c>
      <c r="V282" s="15">
        <v>20</v>
      </c>
      <c r="W282" s="12">
        <v>12.575024799999994</v>
      </c>
      <c r="X282" s="12">
        <v>0.5</v>
      </c>
      <c r="Y282" s="13" t="s">
        <v>401</v>
      </c>
      <c r="Z282" s="9" t="s">
        <v>359</v>
      </c>
      <c r="AA282" s="10" t="s">
        <v>625</v>
      </c>
      <c r="AB282" s="9" t="s">
        <v>355</v>
      </c>
      <c r="AC282" s="15">
        <v>3036</v>
      </c>
      <c r="AD282" s="14">
        <f t="shared" si="37"/>
        <v>3.4823017672234426</v>
      </c>
      <c r="AE282" s="10" t="s">
        <v>626</v>
      </c>
      <c r="AF282" s="9" t="s">
        <v>362</v>
      </c>
      <c r="AG282" s="18">
        <v>40.695557000000001</v>
      </c>
      <c r="AH282" s="7">
        <f t="shared" si="38"/>
        <v>1</v>
      </c>
      <c r="AI282" s="7">
        <f t="shared" si="39"/>
        <v>1</v>
      </c>
      <c r="AJ282" s="7">
        <f t="shared" si="40"/>
        <v>0</v>
      </c>
      <c r="AK282" s="7">
        <f t="shared" si="41"/>
        <v>0</v>
      </c>
      <c r="AL282" s="7" t="s">
        <v>4157</v>
      </c>
      <c r="AM282" s="18">
        <f t="shared" si="42"/>
        <v>1.6095469970455845</v>
      </c>
      <c r="AN282" s="18">
        <v>40.695557000000001</v>
      </c>
      <c r="AO282" s="18">
        <v>-105.59433900000001</v>
      </c>
      <c r="AP282" s="9" t="s">
        <v>363</v>
      </c>
      <c r="AQ282" s="9" t="s">
        <v>355</v>
      </c>
      <c r="AR282" s="15">
        <v>1977</v>
      </c>
      <c r="AS282" s="19" t="s">
        <v>627</v>
      </c>
      <c r="AT282" s="20" t="s">
        <v>628</v>
      </c>
      <c r="AU282" s="40">
        <v>3425336</v>
      </c>
      <c r="AV282" s="35">
        <f t="shared" si="43"/>
        <v>6.5347031789784316</v>
      </c>
      <c r="AW282" s="37" t="s">
        <v>366</v>
      </c>
      <c r="AX282" s="34" t="s">
        <v>355</v>
      </c>
      <c r="AY282" s="40" t="s">
        <v>355</v>
      </c>
      <c r="AZ282" s="15">
        <v>33</v>
      </c>
      <c r="BA282" s="14">
        <f t="shared" si="44"/>
        <v>1.5185139398778875</v>
      </c>
      <c r="BB282" s="37" t="s">
        <v>367</v>
      </c>
      <c r="BC282" s="20">
        <v>2.304441776710698E-2</v>
      </c>
      <c r="BD282" s="9">
        <v>24.200000000000003</v>
      </c>
      <c r="BE282" s="9" t="s">
        <v>368</v>
      </c>
      <c r="BF282" s="9">
        <v>0</v>
      </c>
    </row>
    <row r="283" spans="1:58">
      <c r="A283" s="9">
        <v>20</v>
      </c>
      <c r="B283" s="10" t="s">
        <v>76</v>
      </c>
      <c r="C283" s="10" t="s">
        <v>77</v>
      </c>
      <c r="D283" s="20" t="s">
        <v>634</v>
      </c>
      <c r="E283" s="20" t="s">
        <v>635</v>
      </c>
      <c r="F283" s="20" t="s">
        <v>77</v>
      </c>
      <c r="G283" s="20" t="s">
        <v>636</v>
      </c>
      <c r="H283" s="20" t="s">
        <v>635</v>
      </c>
      <c r="I283" s="20" t="s">
        <v>77</v>
      </c>
      <c r="J283" s="20" t="s">
        <v>634</v>
      </c>
      <c r="K283" s="20" t="s">
        <v>635</v>
      </c>
      <c r="L283" s="9" t="s">
        <v>380</v>
      </c>
      <c r="M283" s="9">
        <v>14</v>
      </c>
      <c r="N283" s="9" t="s">
        <v>381</v>
      </c>
      <c r="O283" s="9" t="s">
        <v>382</v>
      </c>
      <c r="P283" s="12">
        <v>41.9</v>
      </c>
      <c r="Q283" s="12" t="s">
        <v>355</v>
      </c>
      <c r="R283" s="9" t="s">
        <v>356</v>
      </c>
      <c r="S283" s="13">
        <v>4</v>
      </c>
      <c r="T283" s="13">
        <v>4</v>
      </c>
      <c r="U283" s="14">
        <f t="shared" si="36"/>
        <v>0.69897000433601886</v>
      </c>
      <c r="V283" s="15">
        <v>20</v>
      </c>
      <c r="W283" s="12"/>
      <c r="X283" s="12">
        <v>1</v>
      </c>
      <c r="Y283" s="13" t="s">
        <v>358</v>
      </c>
      <c r="Z283" s="9" t="s">
        <v>417</v>
      </c>
      <c r="AA283" s="10" t="s">
        <v>418</v>
      </c>
      <c r="AB283" s="9" t="s">
        <v>355</v>
      </c>
      <c r="AC283" s="15">
        <v>102</v>
      </c>
      <c r="AD283" s="14">
        <f t="shared" si="37"/>
        <v>2.0086001717619175</v>
      </c>
      <c r="AE283" s="10" t="s">
        <v>530</v>
      </c>
      <c r="AF283" s="9" t="s">
        <v>420</v>
      </c>
      <c r="AG283" s="18">
        <v>25.316761</v>
      </c>
      <c r="AH283" s="7">
        <f t="shared" si="38"/>
        <v>1</v>
      </c>
      <c r="AI283" s="7">
        <f t="shared" si="39"/>
        <v>0</v>
      </c>
      <c r="AJ283" s="7">
        <f t="shared" si="40"/>
        <v>0</v>
      </c>
      <c r="AK283" s="7">
        <f t="shared" si="41"/>
        <v>0</v>
      </c>
      <c r="AL283" s="7" t="s">
        <v>4159</v>
      </c>
      <c r="AM283" s="18">
        <f t="shared" si="42"/>
        <v>1.4034081417162645</v>
      </c>
      <c r="AN283" s="18">
        <v>-25.316761</v>
      </c>
      <c r="AO283" s="18">
        <v>-59.695506000000002</v>
      </c>
      <c r="AP283" s="9" t="s">
        <v>363</v>
      </c>
      <c r="AQ283" s="9" t="s">
        <v>355</v>
      </c>
      <c r="AR283" s="15">
        <v>2012</v>
      </c>
      <c r="AS283" s="19" t="s">
        <v>520</v>
      </c>
      <c r="AT283" s="20" t="s">
        <v>521</v>
      </c>
      <c r="AU283" s="40">
        <v>814005</v>
      </c>
      <c r="AV283" s="35">
        <f t="shared" si="43"/>
        <v>5.9106270725375314</v>
      </c>
      <c r="AW283" s="37" t="s">
        <v>366</v>
      </c>
      <c r="AX283" s="40">
        <v>100</v>
      </c>
      <c r="AY283" s="40">
        <v>200</v>
      </c>
      <c r="AZ283" s="36">
        <v>33</v>
      </c>
      <c r="BA283" s="14">
        <f t="shared" si="44"/>
        <v>1.5185139398778875</v>
      </c>
      <c r="BB283" s="41" t="s">
        <v>343</v>
      </c>
      <c r="BC283" s="20">
        <v>1.251420568227286E-2</v>
      </c>
      <c r="BD283" s="9">
        <v>34.6</v>
      </c>
      <c r="BE283" s="9" t="s">
        <v>368</v>
      </c>
      <c r="BF283" s="9">
        <v>0</v>
      </c>
    </row>
    <row r="284" spans="1:58">
      <c r="A284" s="9">
        <v>21</v>
      </c>
      <c r="B284" s="10" t="s">
        <v>76</v>
      </c>
      <c r="C284" s="10" t="s">
        <v>77</v>
      </c>
      <c r="D284" s="20" t="s">
        <v>634</v>
      </c>
      <c r="E284" s="20" t="s">
        <v>637</v>
      </c>
      <c r="F284" s="10" t="s">
        <v>77</v>
      </c>
      <c r="G284" s="20" t="s">
        <v>634</v>
      </c>
      <c r="H284" s="20" t="s">
        <v>638</v>
      </c>
      <c r="I284" s="10" t="s">
        <v>77</v>
      </c>
      <c r="J284" s="20" t="s">
        <v>634</v>
      </c>
      <c r="K284" s="20" t="s">
        <v>638</v>
      </c>
      <c r="L284" s="9" t="s">
        <v>380</v>
      </c>
      <c r="M284" s="9">
        <v>31</v>
      </c>
      <c r="N284" s="9" t="s">
        <v>381</v>
      </c>
      <c r="O284" s="9" t="s">
        <v>382</v>
      </c>
      <c r="P284" s="12">
        <v>42.3</v>
      </c>
      <c r="Q284" s="12" t="s">
        <v>355</v>
      </c>
      <c r="R284" s="9" t="s">
        <v>356</v>
      </c>
      <c r="S284" s="13">
        <v>4</v>
      </c>
      <c r="T284" s="13">
        <v>4</v>
      </c>
      <c r="U284" s="14">
        <f t="shared" si="36"/>
        <v>0.69897000433601886</v>
      </c>
      <c r="V284" s="15">
        <v>20</v>
      </c>
      <c r="W284" s="12"/>
      <c r="X284" s="12">
        <v>1</v>
      </c>
      <c r="Y284" s="13" t="s">
        <v>358</v>
      </c>
      <c r="Z284" s="9" t="s">
        <v>417</v>
      </c>
      <c r="AA284" s="10" t="s">
        <v>418</v>
      </c>
      <c r="AB284" s="9" t="s">
        <v>355</v>
      </c>
      <c r="AC284" s="15">
        <v>102</v>
      </c>
      <c r="AD284" s="14">
        <f t="shared" si="37"/>
        <v>2.0086001717619175</v>
      </c>
      <c r="AE284" s="10" t="s">
        <v>530</v>
      </c>
      <c r="AF284" s="9" t="s">
        <v>420</v>
      </c>
      <c r="AG284" s="18">
        <v>25.316761</v>
      </c>
      <c r="AH284" s="7">
        <f t="shared" si="38"/>
        <v>1</v>
      </c>
      <c r="AI284" s="7">
        <f t="shared" si="39"/>
        <v>0</v>
      </c>
      <c r="AJ284" s="7">
        <f t="shared" si="40"/>
        <v>0</v>
      </c>
      <c r="AK284" s="7">
        <f t="shared" si="41"/>
        <v>0</v>
      </c>
      <c r="AL284" s="7" t="s">
        <v>4159</v>
      </c>
      <c r="AM284" s="18">
        <f t="shared" si="42"/>
        <v>1.4034081417162645</v>
      </c>
      <c r="AN284" s="18">
        <v>-25.316761</v>
      </c>
      <c r="AO284" s="18">
        <v>-59.695506000000002</v>
      </c>
      <c r="AP284" s="9" t="s">
        <v>363</v>
      </c>
      <c r="AQ284" s="9" t="s">
        <v>355</v>
      </c>
      <c r="AR284" s="15">
        <v>2012</v>
      </c>
      <c r="AS284" s="19" t="s">
        <v>520</v>
      </c>
      <c r="AT284" s="20" t="s">
        <v>521</v>
      </c>
      <c r="AU284" s="40">
        <v>7775167</v>
      </c>
      <c r="AV284" s="35">
        <f t="shared" si="43"/>
        <v>6.8907097258531618</v>
      </c>
      <c r="AW284" s="37" t="s">
        <v>366</v>
      </c>
      <c r="AX284" s="34" t="s">
        <v>355</v>
      </c>
      <c r="AY284" s="40">
        <v>1000</v>
      </c>
      <c r="AZ284" s="37">
        <v>75</v>
      </c>
      <c r="BA284" s="14">
        <f t="shared" si="44"/>
        <v>1.8750612633917001</v>
      </c>
      <c r="BB284" s="41" t="s">
        <v>343</v>
      </c>
      <c r="BC284" s="20">
        <v>1.251420568227286E-2</v>
      </c>
      <c r="BD284" s="9">
        <v>34.6</v>
      </c>
      <c r="BE284" s="9" t="s">
        <v>368</v>
      </c>
      <c r="BF284" s="9">
        <v>0</v>
      </c>
    </row>
    <row r="285" spans="1:58">
      <c r="A285" s="9">
        <v>51</v>
      </c>
      <c r="B285" s="10" t="s">
        <v>76</v>
      </c>
      <c r="C285" s="10" t="s">
        <v>369</v>
      </c>
      <c r="D285" s="20" t="s">
        <v>370</v>
      </c>
      <c r="E285" s="20" t="s">
        <v>639</v>
      </c>
      <c r="F285" s="10" t="s">
        <v>369</v>
      </c>
      <c r="G285" s="20" t="s">
        <v>370</v>
      </c>
      <c r="H285" s="20" t="s">
        <v>639</v>
      </c>
      <c r="I285" s="10" t="s">
        <v>369</v>
      </c>
      <c r="J285" s="20" t="s">
        <v>370</v>
      </c>
      <c r="K285" s="20" t="s">
        <v>639</v>
      </c>
      <c r="L285" s="9" t="s">
        <v>380</v>
      </c>
      <c r="M285" s="9">
        <v>15</v>
      </c>
      <c r="N285" s="9" t="s">
        <v>381</v>
      </c>
      <c r="O285" s="9" t="s">
        <v>382</v>
      </c>
      <c r="P285" s="12">
        <v>35.799999999999997</v>
      </c>
      <c r="Q285" s="12" t="s">
        <v>355</v>
      </c>
      <c r="R285" s="9" t="s">
        <v>356</v>
      </c>
      <c r="S285" s="13">
        <v>4</v>
      </c>
      <c r="T285" s="13">
        <v>4</v>
      </c>
      <c r="U285" s="14">
        <f t="shared" si="36"/>
        <v>0.69897000433601886</v>
      </c>
      <c r="V285" s="15">
        <v>20</v>
      </c>
      <c r="W285" s="12"/>
      <c r="X285" s="12">
        <v>1</v>
      </c>
      <c r="Y285" s="13" t="s">
        <v>358</v>
      </c>
      <c r="Z285" s="9" t="s">
        <v>417</v>
      </c>
      <c r="AA285" s="10" t="s">
        <v>418</v>
      </c>
      <c r="AB285" s="9" t="s">
        <v>355</v>
      </c>
      <c r="AC285" s="15">
        <v>1756</v>
      </c>
      <c r="AD285" s="14">
        <f t="shared" si="37"/>
        <v>3.2445245115700838</v>
      </c>
      <c r="AE285" s="10" t="s">
        <v>519</v>
      </c>
      <c r="AF285" s="9" t="s">
        <v>420</v>
      </c>
      <c r="AG285" s="18">
        <v>37.378830999999998</v>
      </c>
      <c r="AH285" s="7">
        <f t="shared" si="38"/>
        <v>1</v>
      </c>
      <c r="AI285" s="7">
        <f t="shared" si="39"/>
        <v>1</v>
      </c>
      <c r="AJ285" s="7">
        <f t="shared" si="40"/>
        <v>0</v>
      </c>
      <c r="AK285" s="7">
        <f t="shared" si="41"/>
        <v>0</v>
      </c>
      <c r="AL285" s="7" t="s">
        <v>4157</v>
      </c>
      <c r="AM285" s="18">
        <f t="shared" si="42"/>
        <v>1.5726257149618044</v>
      </c>
      <c r="AN285" s="18">
        <v>37.378830999999998</v>
      </c>
      <c r="AO285" s="18">
        <v>-2.8584580000000002</v>
      </c>
      <c r="AP285" s="9" t="s">
        <v>363</v>
      </c>
      <c r="AQ285" s="9" t="s">
        <v>355</v>
      </c>
      <c r="AR285" s="15">
        <v>2012</v>
      </c>
      <c r="AS285" s="19" t="s">
        <v>520</v>
      </c>
      <c r="AT285" s="20" t="s">
        <v>521</v>
      </c>
      <c r="AU285" s="40">
        <v>9851753</v>
      </c>
      <c r="AV285" s="35">
        <f t="shared" si="43"/>
        <v>6.993513514811224</v>
      </c>
      <c r="AW285" s="37" t="s">
        <v>366</v>
      </c>
      <c r="AX285" s="34" t="s">
        <v>355</v>
      </c>
      <c r="AY285" s="40">
        <v>1500</v>
      </c>
      <c r="AZ285" s="36">
        <v>52.5</v>
      </c>
      <c r="BA285" s="14">
        <f t="shared" si="44"/>
        <v>1.7201593034059568</v>
      </c>
      <c r="BB285" s="37" t="s">
        <v>388</v>
      </c>
      <c r="BC285" s="20">
        <v>3.0292917166866652E-2</v>
      </c>
      <c r="BD285" s="9">
        <v>28.8</v>
      </c>
      <c r="BE285" s="9" t="s">
        <v>368</v>
      </c>
      <c r="BF285" s="9">
        <v>0</v>
      </c>
    </row>
    <row r="286" spans="1:58">
      <c r="A286" s="9">
        <v>1016</v>
      </c>
      <c r="B286" s="20" t="s">
        <v>76</v>
      </c>
      <c r="C286" s="20" t="s">
        <v>369</v>
      </c>
      <c r="D286" s="20" t="s">
        <v>370</v>
      </c>
      <c r="E286" s="20" t="s">
        <v>371</v>
      </c>
      <c r="F286" s="20" t="s">
        <v>369</v>
      </c>
      <c r="G286" s="20" t="s">
        <v>370</v>
      </c>
      <c r="H286" s="20" t="s">
        <v>371</v>
      </c>
      <c r="I286" s="20" t="s">
        <v>369</v>
      </c>
      <c r="J286" s="20" t="s">
        <v>370</v>
      </c>
      <c r="K286" s="20" t="s">
        <v>371</v>
      </c>
      <c r="L286" s="9" t="s">
        <v>352</v>
      </c>
      <c r="M286" s="9">
        <v>3</v>
      </c>
      <c r="N286" s="9" t="s">
        <v>353</v>
      </c>
      <c r="O286" s="9" t="s">
        <v>354</v>
      </c>
      <c r="P286" s="12">
        <v>35.005569999999999</v>
      </c>
      <c r="Q286" s="9" t="s">
        <v>355</v>
      </c>
      <c r="R286" s="9" t="s">
        <v>356</v>
      </c>
      <c r="S286" s="9">
        <v>4</v>
      </c>
      <c r="T286" s="9">
        <v>4</v>
      </c>
      <c r="U286" s="14">
        <f t="shared" si="36"/>
        <v>0.69897000433601886</v>
      </c>
      <c r="V286" s="15">
        <v>23</v>
      </c>
      <c r="W286" s="12">
        <v>8.9462662999999978</v>
      </c>
      <c r="X286" s="9" t="s">
        <v>355</v>
      </c>
      <c r="Y286" s="13" t="s">
        <v>358</v>
      </c>
      <c r="Z286" s="9" t="s">
        <v>359</v>
      </c>
      <c r="AA286" s="10" t="s">
        <v>372</v>
      </c>
      <c r="AB286" s="9" t="s">
        <v>355</v>
      </c>
      <c r="AC286" s="15">
        <v>422</v>
      </c>
      <c r="AD286" s="14">
        <f t="shared" si="37"/>
        <v>2.6253124509616739</v>
      </c>
      <c r="AE286" s="10" t="s">
        <v>373</v>
      </c>
      <c r="AF286" s="9" t="s">
        <v>362</v>
      </c>
      <c r="AG286" s="18">
        <v>42</v>
      </c>
      <c r="AH286" s="7">
        <f t="shared" si="38"/>
        <v>1</v>
      </c>
      <c r="AI286" s="7">
        <f t="shared" si="39"/>
        <v>1</v>
      </c>
      <c r="AJ286" s="7">
        <f t="shared" si="40"/>
        <v>0</v>
      </c>
      <c r="AK286" s="7">
        <f t="shared" si="41"/>
        <v>0</v>
      </c>
      <c r="AL286" s="7" t="s">
        <v>4157</v>
      </c>
      <c r="AM286" s="18">
        <f t="shared" si="42"/>
        <v>1.6232492903979006</v>
      </c>
      <c r="AN286" s="18">
        <v>42</v>
      </c>
      <c r="AO286" s="18">
        <v>-73.134960000000007</v>
      </c>
      <c r="AP286" s="9" t="s">
        <v>363</v>
      </c>
      <c r="AQ286" s="9" t="s">
        <v>355</v>
      </c>
      <c r="AR286" s="9">
        <v>1962</v>
      </c>
      <c r="AS286" s="10" t="s">
        <v>374</v>
      </c>
      <c r="AT286" s="20" t="s">
        <v>375</v>
      </c>
      <c r="AU286" s="39">
        <v>3826484</v>
      </c>
      <c r="AV286" s="35">
        <f t="shared" si="43"/>
        <v>6.5827999017171539</v>
      </c>
      <c r="AW286" s="37" t="s">
        <v>338</v>
      </c>
      <c r="AX286" s="34" t="s">
        <v>355</v>
      </c>
      <c r="AY286" s="40" t="s">
        <v>355</v>
      </c>
      <c r="AZ286" s="15">
        <v>87</v>
      </c>
      <c r="BA286" s="14">
        <f t="shared" si="44"/>
        <v>1.9395192526186185</v>
      </c>
      <c r="BB286" s="41" t="s">
        <v>343</v>
      </c>
      <c r="BC286" s="20">
        <v>2.6780712284914233E-2</v>
      </c>
      <c r="BD286" s="9">
        <v>25.700000000000003</v>
      </c>
      <c r="BE286" s="9" t="s">
        <v>368</v>
      </c>
      <c r="BF286" s="9">
        <v>0</v>
      </c>
    </row>
    <row r="287" spans="1:58">
      <c r="A287" s="9">
        <v>52</v>
      </c>
      <c r="B287" s="10" t="s">
        <v>76</v>
      </c>
      <c r="C287" s="10" t="s">
        <v>369</v>
      </c>
      <c r="D287" s="20" t="s">
        <v>370</v>
      </c>
      <c r="E287" s="20" t="s">
        <v>640</v>
      </c>
      <c r="F287" s="10" t="s">
        <v>369</v>
      </c>
      <c r="G287" s="20" t="s">
        <v>370</v>
      </c>
      <c r="H287" s="20" t="s">
        <v>640</v>
      </c>
      <c r="I287" s="10" t="s">
        <v>369</v>
      </c>
      <c r="J287" s="20" t="s">
        <v>370</v>
      </c>
      <c r="K287" s="20" t="s">
        <v>640</v>
      </c>
      <c r="L287" s="9" t="s">
        <v>380</v>
      </c>
      <c r="M287" s="9">
        <v>15</v>
      </c>
      <c r="N287" s="9" t="s">
        <v>381</v>
      </c>
      <c r="O287" s="9" t="s">
        <v>382</v>
      </c>
      <c r="P287" s="12">
        <v>35.4</v>
      </c>
      <c r="Q287" s="12" t="s">
        <v>355</v>
      </c>
      <c r="R287" s="9" t="s">
        <v>356</v>
      </c>
      <c r="S287" s="13">
        <v>4</v>
      </c>
      <c r="T287" s="13">
        <v>4</v>
      </c>
      <c r="U287" s="14">
        <f t="shared" si="36"/>
        <v>0.69897000433601886</v>
      </c>
      <c r="V287" s="15">
        <v>20</v>
      </c>
      <c r="W287" s="12"/>
      <c r="X287" s="12">
        <v>1</v>
      </c>
      <c r="Y287" s="13" t="s">
        <v>358</v>
      </c>
      <c r="Z287" s="9" t="s">
        <v>417</v>
      </c>
      <c r="AA287" s="10" t="s">
        <v>418</v>
      </c>
      <c r="AB287" s="9" t="s">
        <v>355</v>
      </c>
      <c r="AC287" s="15">
        <v>1756</v>
      </c>
      <c r="AD287" s="14">
        <f t="shared" si="37"/>
        <v>3.2445245115700838</v>
      </c>
      <c r="AE287" s="10" t="s">
        <v>519</v>
      </c>
      <c r="AF287" s="9" t="s">
        <v>420</v>
      </c>
      <c r="AG287" s="18">
        <v>37.378830999999998</v>
      </c>
      <c r="AH287" s="7">
        <f t="shared" si="38"/>
        <v>1</v>
      </c>
      <c r="AI287" s="7">
        <f t="shared" si="39"/>
        <v>1</v>
      </c>
      <c r="AJ287" s="7">
        <f t="shared" si="40"/>
        <v>0</v>
      </c>
      <c r="AK287" s="7">
        <f t="shared" si="41"/>
        <v>0</v>
      </c>
      <c r="AL287" s="7" t="s">
        <v>4157</v>
      </c>
      <c r="AM287" s="18">
        <f t="shared" si="42"/>
        <v>1.5726257149618044</v>
      </c>
      <c r="AN287" s="18">
        <v>37.378830999999998</v>
      </c>
      <c r="AO287" s="18">
        <v>-2.8584580000000002</v>
      </c>
      <c r="AP287" s="9" t="s">
        <v>363</v>
      </c>
      <c r="AQ287" s="9" t="s">
        <v>355</v>
      </c>
      <c r="AR287" s="15">
        <v>2012</v>
      </c>
      <c r="AS287" s="19" t="s">
        <v>520</v>
      </c>
      <c r="AT287" s="20" t="s">
        <v>521</v>
      </c>
      <c r="AU287" s="40">
        <v>101054</v>
      </c>
      <c r="AV287" s="35">
        <f t="shared" si="43"/>
        <v>5.0045535087820108</v>
      </c>
      <c r="AW287" s="37" t="s">
        <v>366</v>
      </c>
      <c r="AX287" s="34" t="s">
        <v>355</v>
      </c>
      <c r="AY287" s="40">
        <v>2425</v>
      </c>
      <c r="AZ287" s="37">
        <v>75</v>
      </c>
      <c r="BA287" s="14">
        <f t="shared" si="44"/>
        <v>1.8750612633917001</v>
      </c>
      <c r="BB287" s="37" t="s">
        <v>388</v>
      </c>
      <c r="BC287" s="20">
        <v>3.0292917166866652E-2</v>
      </c>
      <c r="BD287" s="9">
        <v>28.8</v>
      </c>
      <c r="BE287" s="9" t="s">
        <v>459</v>
      </c>
      <c r="BF287" s="9">
        <v>1</v>
      </c>
    </row>
    <row r="288" spans="1:58">
      <c r="A288" s="9">
        <v>53</v>
      </c>
      <c r="B288" s="10" t="s">
        <v>76</v>
      </c>
      <c r="C288" s="10" t="s">
        <v>369</v>
      </c>
      <c r="D288" s="20" t="s">
        <v>370</v>
      </c>
      <c r="E288" s="20" t="s">
        <v>641</v>
      </c>
      <c r="F288" s="10" t="s">
        <v>369</v>
      </c>
      <c r="G288" s="20" t="s">
        <v>370</v>
      </c>
      <c r="H288" s="20" t="s">
        <v>641</v>
      </c>
      <c r="I288" s="10" t="s">
        <v>369</v>
      </c>
      <c r="J288" s="20" t="s">
        <v>370</v>
      </c>
      <c r="K288" s="20" t="s">
        <v>641</v>
      </c>
      <c r="L288" s="9" t="s">
        <v>380</v>
      </c>
      <c r="M288" s="9">
        <v>45</v>
      </c>
      <c r="N288" s="9" t="s">
        <v>381</v>
      </c>
      <c r="O288" s="9" t="s">
        <v>382</v>
      </c>
      <c r="P288" s="12">
        <v>37.200000000000003</v>
      </c>
      <c r="Q288" s="12" t="s">
        <v>355</v>
      </c>
      <c r="R288" s="9" t="s">
        <v>356</v>
      </c>
      <c r="S288" s="13">
        <v>4</v>
      </c>
      <c r="T288" s="13">
        <v>4</v>
      </c>
      <c r="U288" s="14">
        <f t="shared" si="36"/>
        <v>0.69897000433601886</v>
      </c>
      <c r="V288" s="15">
        <v>20</v>
      </c>
      <c r="W288" s="12"/>
      <c r="X288" s="12">
        <v>1</v>
      </c>
      <c r="Y288" s="13" t="s">
        <v>358</v>
      </c>
      <c r="Z288" s="9" t="s">
        <v>417</v>
      </c>
      <c r="AA288" s="10" t="s">
        <v>418</v>
      </c>
      <c r="AB288" s="9" t="s">
        <v>355</v>
      </c>
      <c r="AC288" s="15">
        <v>1756</v>
      </c>
      <c r="AD288" s="14">
        <f t="shared" si="37"/>
        <v>3.2445245115700838</v>
      </c>
      <c r="AE288" s="10" t="s">
        <v>519</v>
      </c>
      <c r="AF288" s="9" t="s">
        <v>420</v>
      </c>
      <c r="AG288" s="18">
        <v>37.378830999999998</v>
      </c>
      <c r="AH288" s="7">
        <f t="shared" si="38"/>
        <v>1</v>
      </c>
      <c r="AI288" s="7">
        <f t="shared" si="39"/>
        <v>1</v>
      </c>
      <c r="AJ288" s="7">
        <f t="shared" si="40"/>
        <v>0</v>
      </c>
      <c r="AK288" s="7">
        <f t="shared" si="41"/>
        <v>0</v>
      </c>
      <c r="AL288" s="7" t="s">
        <v>4157</v>
      </c>
      <c r="AM288" s="18">
        <f t="shared" si="42"/>
        <v>1.5726257149618044</v>
      </c>
      <c r="AN288" s="18">
        <v>37.378830999999998</v>
      </c>
      <c r="AO288" s="18">
        <v>-2.8584580000000002</v>
      </c>
      <c r="AP288" s="9" t="s">
        <v>363</v>
      </c>
      <c r="AQ288" s="9" t="s">
        <v>355</v>
      </c>
      <c r="AR288" s="15">
        <v>2012</v>
      </c>
      <c r="AS288" s="19" t="s">
        <v>520</v>
      </c>
      <c r="AT288" s="20" t="s">
        <v>521</v>
      </c>
      <c r="AU288" s="40">
        <v>7769722</v>
      </c>
      <c r="AV288" s="35">
        <f t="shared" si="43"/>
        <v>6.8904054800588463</v>
      </c>
      <c r="AW288" s="37" t="s">
        <v>366</v>
      </c>
      <c r="AX288" s="49">
        <v>0</v>
      </c>
      <c r="AY288" s="40">
        <v>2700</v>
      </c>
      <c r="AZ288" s="37">
        <v>75</v>
      </c>
      <c r="BA288" s="14">
        <f t="shared" si="44"/>
        <v>1.8750612633917001</v>
      </c>
      <c r="BB288" s="37" t="s">
        <v>388</v>
      </c>
      <c r="BC288" s="20">
        <v>3.0292917166866652E-2</v>
      </c>
      <c r="BD288" s="9">
        <v>28.8</v>
      </c>
      <c r="BE288" s="9" t="s">
        <v>368</v>
      </c>
      <c r="BF288" s="9">
        <v>0</v>
      </c>
    </row>
    <row r="289" spans="1:58">
      <c r="A289" s="9">
        <v>627</v>
      </c>
      <c r="B289" s="10" t="s">
        <v>76</v>
      </c>
      <c r="C289" s="10" t="s">
        <v>369</v>
      </c>
      <c r="D289" s="20" t="s">
        <v>370</v>
      </c>
      <c r="E289" s="20" t="s">
        <v>588</v>
      </c>
      <c r="F289" s="10" t="s">
        <v>369</v>
      </c>
      <c r="G289" s="20" t="s">
        <v>370</v>
      </c>
      <c r="H289" s="20" t="s">
        <v>588</v>
      </c>
      <c r="I289" s="10" t="s">
        <v>369</v>
      </c>
      <c r="J289" s="20" t="s">
        <v>370</v>
      </c>
      <c r="K289" s="20" t="s">
        <v>589</v>
      </c>
      <c r="L289" s="9" t="s">
        <v>352</v>
      </c>
      <c r="M289" s="9">
        <v>24</v>
      </c>
      <c r="N289" s="9" t="s">
        <v>381</v>
      </c>
      <c r="O289" s="9" t="s">
        <v>354</v>
      </c>
      <c r="P289" s="12">
        <v>38</v>
      </c>
      <c r="Q289" s="12" t="s">
        <v>355</v>
      </c>
      <c r="R289" s="9" t="s">
        <v>356</v>
      </c>
      <c r="S289" s="13">
        <v>4</v>
      </c>
      <c r="T289" s="13">
        <v>4</v>
      </c>
      <c r="U289" s="14">
        <f t="shared" si="36"/>
        <v>0.69897000433601886</v>
      </c>
      <c r="V289" s="15">
        <v>25</v>
      </c>
      <c r="W289" s="12">
        <v>8.3375124000000014</v>
      </c>
      <c r="X289" s="12">
        <v>0.54</v>
      </c>
      <c r="Y289" s="13" t="s">
        <v>401</v>
      </c>
      <c r="Z289" s="9" t="s">
        <v>417</v>
      </c>
      <c r="AA289" s="10" t="s">
        <v>418</v>
      </c>
      <c r="AB289" s="9" t="s">
        <v>355</v>
      </c>
      <c r="AC289" s="15">
        <v>32</v>
      </c>
      <c r="AD289" s="14">
        <f t="shared" si="37"/>
        <v>1.505149978319906</v>
      </c>
      <c r="AE289" s="10" t="s">
        <v>590</v>
      </c>
      <c r="AF289" s="9" t="s">
        <v>362</v>
      </c>
      <c r="AG289" s="18">
        <v>39.855848999999999</v>
      </c>
      <c r="AH289" s="7">
        <f t="shared" si="38"/>
        <v>1</v>
      </c>
      <c r="AI289" s="7">
        <f t="shared" si="39"/>
        <v>1</v>
      </c>
      <c r="AJ289" s="7">
        <f t="shared" si="40"/>
        <v>0</v>
      </c>
      <c r="AK289" s="7">
        <f t="shared" si="41"/>
        <v>0</v>
      </c>
      <c r="AL289" s="7" t="s">
        <v>4157</v>
      </c>
      <c r="AM289" s="18">
        <f t="shared" si="42"/>
        <v>1.6004920648042591</v>
      </c>
      <c r="AN289" s="18">
        <v>39.855848999999999</v>
      </c>
      <c r="AO289" s="18">
        <v>-74.686881999999997</v>
      </c>
      <c r="AP289" s="9" t="s">
        <v>363</v>
      </c>
      <c r="AQ289" s="9" t="s">
        <v>355</v>
      </c>
      <c r="AR289" s="15">
        <v>1973</v>
      </c>
      <c r="AS289" s="19" t="s">
        <v>591</v>
      </c>
      <c r="AT289" s="10" t="s">
        <v>592</v>
      </c>
      <c r="AU289" s="40">
        <v>166551</v>
      </c>
      <c r="AV289" s="35">
        <f t="shared" si="43"/>
        <v>5.2215472446115729</v>
      </c>
      <c r="AW289" s="37" t="s">
        <v>366</v>
      </c>
      <c r="AX289" s="34" t="s">
        <v>355</v>
      </c>
      <c r="AY289" s="40" t="s">
        <v>355</v>
      </c>
      <c r="AZ289" s="15">
        <v>55</v>
      </c>
      <c r="BA289" s="14">
        <f t="shared" si="44"/>
        <v>1.7403626894942439</v>
      </c>
      <c r="BB289" s="37" t="s">
        <v>388</v>
      </c>
      <c r="BC289" s="20">
        <v>2.2967987194878095E-2</v>
      </c>
      <c r="BD289" s="9">
        <v>29.6</v>
      </c>
      <c r="BE289" s="9" t="s">
        <v>368</v>
      </c>
      <c r="BF289" s="9">
        <v>0</v>
      </c>
    </row>
    <row r="290" spans="1:58">
      <c r="A290" s="9">
        <v>35</v>
      </c>
      <c r="B290" s="10" t="s">
        <v>76</v>
      </c>
      <c r="C290" s="10" t="s">
        <v>389</v>
      </c>
      <c r="D290" s="20" t="s">
        <v>405</v>
      </c>
      <c r="E290" s="20" t="s">
        <v>642</v>
      </c>
      <c r="F290" s="20" t="s">
        <v>389</v>
      </c>
      <c r="G290" s="20" t="s">
        <v>390</v>
      </c>
      <c r="H290" s="20" t="s">
        <v>643</v>
      </c>
      <c r="I290" s="20" t="s">
        <v>389</v>
      </c>
      <c r="J290" s="20" t="s">
        <v>405</v>
      </c>
      <c r="K290" s="20" t="s">
        <v>643</v>
      </c>
      <c r="L290" s="9" t="s">
        <v>380</v>
      </c>
      <c r="M290" s="9">
        <v>16</v>
      </c>
      <c r="N290" s="9" t="s">
        <v>381</v>
      </c>
      <c r="O290" s="9" t="s">
        <v>382</v>
      </c>
      <c r="P290" s="12">
        <v>40.700000000000003</v>
      </c>
      <c r="Q290" s="12" t="s">
        <v>355</v>
      </c>
      <c r="R290" s="9" t="s">
        <v>356</v>
      </c>
      <c r="S290" s="13">
        <v>4</v>
      </c>
      <c r="T290" s="13">
        <v>4</v>
      </c>
      <c r="U290" s="14">
        <f t="shared" si="36"/>
        <v>0.69897000433601886</v>
      </c>
      <c r="V290" s="15">
        <v>20</v>
      </c>
      <c r="W290" s="12"/>
      <c r="X290" s="12">
        <v>1</v>
      </c>
      <c r="Y290" s="13" t="s">
        <v>358</v>
      </c>
      <c r="Z290" s="9" t="s">
        <v>417</v>
      </c>
      <c r="AA290" s="10" t="s">
        <v>418</v>
      </c>
      <c r="AB290" s="9" t="s">
        <v>355</v>
      </c>
      <c r="AC290" s="15">
        <v>312</v>
      </c>
      <c r="AD290" s="14">
        <f t="shared" si="37"/>
        <v>2.4941545940184429</v>
      </c>
      <c r="AE290" s="10" t="s">
        <v>534</v>
      </c>
      <c r="AF290" s="9" t="s">
        <v>420</v>
      </c>
      <c r="AG290" s="18">
        <v>27.087367</v>
      </c>
      <c r="AH290" s="7">
        <f t="shared" si="38"/>
        <v>1</v>
      </c>
      <c r="AI290" s="7">
        <f t="shared" si="39"/>
        <v>0</v>
      </c>
      <c r="AJ290" s="7">
        <f t="shared" si="40"/>
        <v>0</v>
      </c>
      <c r="AK290" s="7">
        <f t="shared" si="41"/>
        <v>0</v>
      </c>
      <c r="AL290" s="7" t="s">
        <v>4159</v>
      </c>
      <c r="AM290" s="18">
        <f t="shared" si="42"/>
        <v>1.4327667919307208</v>
      </c>
      <c r="AN290" s="18">
        <v>-27.087367</v>
      </c>
      <c r="AO290" s="18">
        <v>-54.950392000000001</v>
      </c>
      <c r="AP290" s="9" t="s">
        <v>363</v>
      </c>
      <c r="AQ290" s="9" t="s">
        <v>355</v>
      </c>
      <c r="AR290" s="15">
        <v>2012</v>
      </c>
      <c r="AS290" s="19" t="s">
        <v>520</v>
      </c>
      <c r="AT290" s="20" t="s">
        <v>521</v>
      </c>
      <c r="AU290" s="40">
        <v>1266394</v>
      </c>
      <c r="AV290" s="35">
        <f t="shared" si="43"/>
        <v>6.1025688442318549</v>
      </c>
      <c r="AW290" s="37" t="s">
        <v>366</v>
      </c>
      <c r="AX290" s="34" t="s">
        <v>355</v>
      </c>
      <c r="AY290" s="40">
        <v>900</v>
      </c>
      <c r="AZ290" s="37">
        <v>75</v>
      </c>
      <c r="BA290" s="14">
        <f t="shared" si="44"/>
        <v>1.8750612633917001</v>
      </c>
      <c r="BB290" s="37" t="s">
        <v>367</v>
      </c>
      <c r="BC290" s="20">
        <v>2.8247298919569274E-3</v>
      </c>
      <c r="BD290" s="9">
        <v>31.200000000000003</v>
      </c>
      <c r="BE290" s="9" t="s">
        <v>368</v>
      </c>
      <c r="BF290" s="9">
        <v>0</v>
      </c>
    </row>
    <row r="291" spans="1:58">
      <c r="A291" s="9">
        <v>34</v>
      </c>
      <c r="B291" s="10" t="s">
        <v>76</v>
      </c>
      <c r="C291" s="10" t="s">
        <v>389</v>
      </c>
      <c r="D291" s="20" t="s">
        <v>405</v>
      </c>
      <c r="E291" s="20" t="s">
        <v>644</v>
      </c>
      <c r="F291" s="20" t="s">
        <v>389</v>
      </c>
      <c r="G291" s="20" t="s">
        <v>390</v>
      </c>
      <c r="H291" s="20" t="s">
        <v>645</v>
      </c>
      <c r="I291" s="20" t="s">
        <v>389</v>
      </c>
      <c r="J291" s="20" t="s">
        <v>405</v>
      </c>
      <c r="K291" s="20" t="s">
        <v>646</v>
      </c>
      <c r="L291" s="9" t="s">
        <v>380</v>
      </c>
      <c r="M291" s="9">
        <v>15</v>
      </c>
      <c r="N291" s="9" t="s">
        <v>381</v>
      </c>
      <c r="O291" s="9" t="s">
        <v>382</v>
      </c>
      <c r="P291" s="12">
        <v>40.4</v>
      </c>
      <c r="Q291" s="12" t="s">
        <v>355</v>
      </c>
      <c r="R291" s="9" t="s">
        <v>356</v>
      </c>
      <c r="S291" s="13">
        <v>4</v>
      </c>
      <c r="T291" s="13">
        <v>4</v>
      </c>
      <c r="U291" s="14">
        <f t="shared" si="36"/>
        <v>0.69897000433601886</v>
      </c>
      <c r="V291" s="15">
        <v>20</v>
      </c>
      <c r="W291" s="12"/>
      <c r="X291" s="12">
        <v>1</v>
      </c>
      <c r="Y291" s="13" t="s">
        <v>358</v>
      </c>
      <c r="Z291" s="9" t="s">
        <v>417</v>
      </c>
      <c r="AA291" s="10" t="s">
        <v>418</v>
      </c>
      <c r="AB291" s="9" t="s">
        <v>355</v>
      </c>
      <c r="AC291" s="15">
        <v>312</v>
      </c>
      <c r="AD291" s="14">
        <f t="shared" si="37"/>
        <v>2.4941545940184429</v>
      </c>
      <c r="AE291" s="10" t="s">
        <v>534</v>
      </c>
      <c r="AF291" s="9" t="s">
        <v>420</v>
      </c>
      <c r="AG291" s="18">
        <v>27.087367</v>
      </c>
      <c r="AH291" s="7">
        <f t="shared" si="38"/>
        <v>1</v>
      </c>
      <c r="AI291" s="7">
        <f t="shared" si="39"/>
        <v>0</v>
      </c>
      <c r="AJ291" s="7">
        <f t="shared" si="40"/>
        <v>0</v>
      </c>
      <c r="AK291" s="7">
        <f t="shared" si="41"/>
        <v>0</v>
      </c>
      <c r="AL291" s="7" t="s">
        <v>4159</v>
      </c>
      <c r="AM291" s="18">
        <f t="shared" si="42"/>
        <v>1.4327667919307208</v>
      </c>
      <c r="AN291" s="18">
        <v>-27.087367</v>
      </c>
      <c r="AO291" s="18">
        <v>-54.950392000000001</v>
      </c>
      <c r="AP291" s="9" t="s">
        <v>363</v>
      </c>
      <c r="AQ291" s="9" t="s">
        <v>355</v>
      </c>
      <c r="AR291" s="15">
        <v>2012</v>
      </c>
      <c r="AS291" s="19" t="s">
        <v>520</v>
      </c>
      <c r="AT291" s="20" t="s">
        <v>521</v>
      </c>
      <c r="AU291" s="40">
        <v>11025169</v>
      </c>
      <c r="AV291" s="35">
        <f t="shared" si="43"/>
        <v>7.0423852553013191</v>
      </c>
      <c r="AW291" s="37" t="s">
        <v>366</v>
      </c>
      <c r="AX291" s="34" t="s">
        <v>355</v>
      </c>
      <c r="AY291" s="40">
        <v>1500</v>
      </c>
      <c r="AZ291" s="36">
        <v>33</v>
      </c>
      <c r="BA291" s="14">
        <f t="shared" si="44"/>
        <v>1.5185139398778875</v>
      </c>
      <c r="BB291" s="37" t="s">
        <v>367</v>
      </c>
      <c r="BC291" s="20">
        <v>2.8247298919569274E-3</v>
      </c>
      <c r="BD291" s="9">
        <v>31.200000000000003</v>
      </c>
      <c r="BE291" s="9" t="s">
        <v>368</v>
      </c>
      <c r="BF291" s="9">
        <v>0</v>
      </c>
    </row>
    <row r="292" spans="1:58">
      <c r="A292" s="9">
        <v>1036</v>
      </c>
      <c r="B292" s="20" t="s">
        <v>76</v>
      </c>
      <c r="C292" s="20" t="s">
        <v>389</v>
      </c>
      <c r="D292" s="20" t="s">
        <v>390</v>
      </c>
      <c r="E292" s="20" t="s">
        <v>404</v>
      </c>
      <c r="F292" s="20" t="s">
        <v>389</v>
      </c>
      <c r="G292" s="20" t="s">
        <v>390</v>
      </c>
      <c r="H292" s="20" t="s">
        <v>404</v>
      </c>
      <c r="I292" s="20" t="s">
        <v>389</v>
      </c>
      <c r="J292" s="20" t="s">
        <v>405</v>
      </c>
      <c r="K292" s="20" t="s">
        <v>406</v>
      </c>
      <c r="L292" s="9" t="s">
        <v>352</v>
      </c>
      <c r="M292" s="9">
        <v>3</v>
      </c>
      <c r="N292" s="9" t="s">
        <v>353</v>
      </c>
      <c r="O292" s="9" t="s">
        <v>354</v>
      </c>
      <c r="P292" s="12">
        <v>41.775640000000003</v>
      </c>
      <c r="Q292" s="9" t="s">
        <v>355</v>
      </c>
      <c r="R292" s="9" t="s">
        <v>356</v>
      </c>
      <c r="S292" s="9">
        <v>4</v>
      </c>
      <c r="T292" s="9">
        <v>4</v>
      </c>
      <c r="U292" s="14">
        <f t="shared" si="36"/>
        <v>0.69897000433601886</v>
      </c>
      <c r="V292" s="15">
        <v>38</v>
      </c>
      <c r="W292" s="12">
        <v>8.5634996000000037</v>
      </c>
      <c r="X292" s="9" t="s">
        <v>355</v>
      </c>
      <c r="Y292" s="13" t="s">
        <v>401</v>
      </c>
      <c r="Z292" s="9" t="s">
        <v>359</v>
      </c>
      <c r="AA292" s="10" t="s">
        <v>372</v>
      </c>
      <c r="AB292" s="9" t="s">
        <v>355</v>
      </c>
      <c r="AC292" s="15">
        <v>57</v>
      </c>
      <c r="AD292" s="14">
        <f t="shared" si="37"/>
        <v>1.7558748556724915</v>
      </c>
      <c r="AE292" s="10" t="s">
        <v>407</v>
      </c>
      <c r="AF292" s="9" t="s">
        <v>408</v>
      </c>
      <c r="AG292" s="18">
        <v>9.1521019999999993</v>
      </c>
      <c r="AH292" s="7">
        <f t="shared" si="38"/>
        <v>0</v>
      </c>
      <c r="AI292" s="7">
        <f t="shared" si="39"/>
        <v>0</v>
      </c>
      <c r="AJ292" s="7">
        <f t="shared" si="40"/>
        <v>0</v>
      </c>
      <c r="AK292" s="7">
        <f t="shared" si="41"/>
        <v>0</v>
      </c>
      <c r="AL292" s="7" t="s">
        <v>4160</v>
      </c>
      <c r="AM292" s="18">
        <f t="shared" si="42"/>
        <v>0.96152085167953272</v>
      </c>
      <c r="AN292" s="18">
        <v>9.1521019999999993</v>
      </c>
      <c r="AO292" s="18">
        <v>-79.84648</v>
      </c>
      <c r="AP292" s="9" t="s">
        <v>363</v>
      </c>
      <c r="AQ292" s="9" t="s">
        <v>355</v>
      </c>
      <c r="AR292" s="9">
        <v>1962</v>
      </c>
      <c r="AS292" s="10" t="s">
        <v>374</v>
      </c>
      <c r="AT292" s="20" t="s">
        <v>375</v>
      </c>
      <c r="AU292" s="39">
        <v>11320528</v>
      </c>
      <c r="AV292" s="35">
        <f t="shared" si="43"/>
        <v>7.0538666832249381</v>
      </c>
      <c r="AW292" s="37" t="s">
        <v>338</v>
      </c>
      <c r="AX292" s="40">
        <v>0</v>
      </c>
      <c r="AY292" s="40">
        <v>2200</v>
      </c>
      <c r="AZ292" s="15">
        <v>146</v>
      </c>
      <c r="BA292" s="14">
        <f t="shared" si="44"/>
        <v>2.1643528557844371</v>
      </c>
      <c r="BB292" s="37" t="s">
        <v>367</v>
      </c>
      <c r="BC292" s="20">
        <v>6.6782713085232533E-3</v>
      </c>
      <c r="BD292" s="9">
        <v>31.400000000000002</v>
      </c>
      <c r="BE292" s="9" t="s">
        <v>368</v>
      </c>
      <c r="BF292" s="9">
        <v>0</v>
      </c>
    </row>
    <row r="293" spans="1:58">
      <c r="A293" s="9">
        <v>22</v>
      </c>
      <c r="B293" s="10" t="s">
        <v>76</v>
      </c>
      <c r="C293" s="10" t="s">
        <v>389</v>
      </c>
      <c r="D293" s="20" t="s">
        <v>405</v>
      </c>
      <c r="E293" s="20" t="s">
        <v>647</v>
      </c>
      <c r="F293" s="10" t="s">
        <v>389</v>
      </c>
      <c r="G293" s="20" t="s">
        <v>390</v>
      </c>
      <c r="H293" s="20" t="s">
        <v>647</v>
      </c>
      <c r="I293" s="10" t="s">
        <v>389</v>
      </c>
      <c r="J293" s="20" t="s">
        <v>405</v>
      </c>
      <c r="K293" s="20" t="s">
        <v>647</v>
      </c>
      <c r="L293" s="9" t="s">
        <v>380</v>
      </c>
      <c r="M293" s="9">
        <v>10</v>
      </c>
      <c r="N293" s="9" t="s">
        <v>381</v>
      </c>
      <c r="O293" s="9" t="s">
        <v>382</v>
      </c>
      <c r="P293" s="12">
        <v>42.5</v>
      </c>
      <c r="Q293" s="12" t="s">
        <v>355</v>
      </c>
      <c r="R293" s="9" t="s">
        <v>356</v>
      </c>
      <c r="S293" s="13">
        <v>4</v>
      </c>
      <c r="T293" s="13">
        <v>4</v>
      </c>
      <c r="U293" s="14">
        <f t="shared" si="36"/>
        <v>0.69897000433601886</v>
      </c>
      <c r="V293" s="15">
        <v>20</v>
      </c>
      <c r="W293" s="12"/>
      <c r="X293" s="12">
        <v>1</v>
      </c>
      <c r="Y293" s="13" t="s">
        <v>358</v>
      </c>
      <c r="Z293" s="9" t="s">
        <v>417</v>
      </c>
      <c r="AA293" s="10" t="s">
        <v>418</v>
      </c>
      <c r="AB293" s="9" t="s">
        <v>355</v>
      </c>
      <c r="AC293" s="15">
        <v>102</v>
      </c>
      <c r="AD293" s="14">
        <f t="shared" si="37"/>
        <v>2.0086001717619175</v>
      </c>
      <c r="AE293" s="10" t="s">
        <v>530</v>
      </c>
      <c r="AF293" s="9" t="s">
        <v>420</v>
      </c>
      <c r="AG293" s="18">
        <v>25.316761</v>
      </c>
      <c r="AH293" s="7">
        <f t="shared" si="38"/>
        <v>1</v>
      </c>
      <c r="AI293" s="7">
        <f t="shared" si="39"/>
        <v>0</v>
      </c>
      <c r="AJ293" s="7">
        <f t="shared" si="40"/>
        <v>0</v>
      </c>
      <c r="AK293" s="7">
        <f t="shared" si="41"/>
        <v>0</v>
      </c>
      <c r="AL293" s="7" t="s">
        <v>4159</v>
      </c>
      <c r="AM293" s="18">
        <f t="shared" si="42"/>
        <v>1.4034081417162645</v>
      </c>
      <c r="AN293" s="18">
        <v>-25.316761</v>
      </c>
      <c r="AO293" s="18">
        <v>-59.695506000000002</v>
      </c>
      <c r="AP293" s="9" t="s">
        <v>363</v>
      </c>
      <c r="AQ293" s="9" t="s">
        <v>355</v>
      </c>
      <c r="AR293" s="15">
        <v>2012</v>
      </c>
      <c r="AS293" s="19" t="s">
        <v>520</v>
      </c>
      <c r="AT293" s="20" t="s">
        <v>521</v>
      </c>
      <c r="AU293" s="40">
        <v>6534532</v>
      </c>
      <c r="AV293" s="35">
        <f t="shared" si="43"/>
        <v>6.8152144890710114</v>
      </c>
      <c r="AW293" s="37" t="s">
        <v>366</v>
      </c>
      <c r="AX293" s="34" t="s">
        <v>355</v>
      </c>
      <c r="AY293" s="40">
        <v>2000</v>
      </c>
      <c r="AZ293" s="37">
        <v>75</v>
      </c>
      <c r="BA293" s="14">
        <f t="shared" si="44"/>
        <v>1.8750612633917001</v>
      </c>
      <c r="BB293" s="37" t="s">
        <v>388</v>
      </c>
      <c r="BC293" s="20">
        <v>1.251420568227286E-2</v>
      </c>
      <c r="BD293" s="9">
        <v>34.6</v>
      </c>
      <c r="BE293" s="9" t="s">
        <v>368</v>
      </c>
      <c r="BF293" s="9">
        <v>0</v>
      </c>
    </row>
    <row r="294" spans="1:58">
      <c r="A294" s="9">
        <v>54</v>
      </c>
      <c r="B294" s="10" t="s">
        <v>348</v>
      </c>
      <c r="C294" s="10" t="s">
        <v>622</v>
      </c>
      <c r="D294" s="20" t="s">
        <v>648</v>
      </c>
      <c r="E294" s="20" t="s">
        <v>649</v>
      </c>
      <c r="F294" s="10" t="s">
        <v>622</v>
      </c>
      <c r="G294" s="20" t="s">
        <v>648</v>
      </c>
      <c r="H294" s="20" t="s">
        <v>649</v>
      </c>
      <c r="I294" s="10" t="s">
        <v>622</v>
      </c>
      <c r="J294" s="20" t="s">
        <v>648</v>
      </c>
      <c r="K294" s="20" t="s">
        <v>649</v>
      </c>
      <c r="L294" s="9" t="s">
        <v>380</v>
      </c>
      <c r="M294" s="9">
        <v>10</v>
      </c>
      <c r="N294" s="9" t="s">
        <v>381</v>
      </c>
      <c r="O294" s="9" t="s">
        <v>382</v>
      </c>
      <c r="P294" s="12">
        <v>36.6</v>
      </c>
      <c r="Q294" s="12" t="s">
        <v>355</v>
      </c>
      <c r="R294" s="9" t="s">
        <v>356</v>
      </c>
      <c r="S294" s="13">
        <v>4</v>
      </c>
      <c r="T294" s="13">
        <v>4</v>
      </c>
      <c r="U294" s="14">
        <f t="shared" si="36"/>
        <v>0.69897000433601886</v>
      </c>
      <c r="V294" s="15">
        <v>20</v>
      </c>
      <c r="W294" s="12"/>
      <c r="X294" s="12">
        <v>1</v>
      </c>
      <c r="Y294" s="13" t="s">
        <v>358</v>
      </c>
      <c r="Z294" s="9" t="s">
        <v>417</v>
      </c>
      <c r="AA294" s="10" t="s">
        <v>418</v>
      </c>
      <c r="AB294" s="9" t="s">
        <v>355</v>
      </c>
      <c r="AC294" s="15">
        <v>1756</v>
      </c>
      <c r="AD294" s="14">
        <f t="shared" si="37"/>
        <v>3.2445245115700838</v>
      </c>
      <c r="AE294" s="10" t="s">
        <v>519</v>
      </c>
      <c r="AF294" s="9" t="s">
        <v>420</v>
      </c>
      <c r="AG294" s="18">
        <v>37.378830999999998</v>
      </c>
      <c r="AH294" s="7">
        <f t="shared" si="38"/>
        <v>1</v>
      </c>
      <c r="AI294" s="7">
        <f t="shared" si="39"/>
        <v>1</v>
      </c>
      <c r="AJ294" s="7">
        <f t="shared" si="40"/>
        <v>0</v>
      </c>
      <c r="AK294" s="7">
        <f t="shared" si="41"/>
        <v>0</v>
      </c>
      <c r="AL294" s="7" t="s">
        <v>4157</v>
      </c>
      <c r="AM294" s="18">
        <f t="shared" si="42"/>
        <v>1.5726257149618044</v>
      </c>
      <c r="AN294" s="18">
        <v>37.378830999999998</v>
      </c>
      <c r="AO294" s="18">
        <v>-2.8584580000000002</v>
      </c>
      <c r="AP294" s="9" t="s">
        <v>363</v>
      </c>
      <c r="AQ294" s="9" t="s">
        <v>355</v>
      </c>
      <c r="AR294" s="15">
        <v>2012</v>
      </c>
      <c r="AS294" s="19" t="s">
        <v>520</v>
      </c>
      <c r="AT294" s="20" t="s">
        <v>521</v>
      </c>
      <c r="AU294" s="34">
        <v>2196189</v>
      </c>
      <c r="AV294" s="35">
        <f t="shared" si="43"/>
        <v>6.341669711973446</v>
      </c>
      <c r="AW294" s="36" t="s">
        <v>366</v>
      </c>
      <c r="AX294" s="34">
        <v>800</v>
      </c>
      <c r="AY294" s="34">
        <v>2500</v>
      </c>
      <c r="AZ294" s="36">
        <v>190</v>
      </c>
      <c r="BA294" s="14">
        <f t="shared" si="44"/>
        <v>2.2787536009528289</v>
      </c>
      <c r="BB294" s="36" t="s">
        <v>367</v>
      </c>
      <c r="BC294" s="20">
        <v>3.0292917166866652E-2</v>
      </c>
      <c r="BD294" s="9">
        <v>28.8</v>
      </c>
      <c r="BE294" s="9" t="s">
        <v>368</v>
      </c>
      <c r="BF294" s="9">
        <v>0</v>
      </c>
    </row>
    <row r="295" spans="1:58">
      <c r="A295" s="9">
        <v>844</v>
      </c>
      <c r="B295" s="10" t="s">
        <v>76</v>
      </c>
      <c r="C295" s="10" t="s">
        <v>369</v>
      </c>
      <c r="D295" s="20" t="s">
        <v>650</v>
      </c>
      <c r="E295" s="20" t="s">
        <v>619</v>
      </c>
      <c r="F295" s="10" t="s">
        <v>369</v>
      </c>
      <c r="G295" s="20" t="s">
        <v>370</v>
      </c>
      <c r="H295" s="20" t="s">
        <v>651</v>
      </c>
      <c r="I295" s="10" t="s">
        <v>369</v>
      </c>
      <c r="J295" s="20" t="s">
        <v>650</v>
      </c>
      <c r="K295" s="20" t="s">
        <v>651</v>
      </c>
      <c r="L295" s="9" t="s">
        <v>380</v>
      </c>
      <c r="M295" s="9">
        <v>23</v>
      </c>
      <c r="N295" s="9" t="s">
        <v>381</v>
      </c>
      <c r="O295" s="9" t="s">
        <v>382</v>
      </c>
      <c r="P295" s="12">
        <v>37.799999999999997</v>
      </c>
      <c r="Q295" s="12" t="s">
        <v>355</v>
      </c>
      <c r="R295" s="9" t="s">
        <v>356</v>
      </c>
      <c r="S295" s="13" t="s">
        <v>524</v>
      </c>
      <c r="T295" s="13" t="s">
        <v>524</v>
      </c>
      <c r="U295" s="14">
        <f t="shared" si="36"/>
        <v>0.69897000433601886</v>
      </c>
      <c r="V295" s="15">
        <v>22</v>
      </c>
      <c r="W295" s="12"/>
      <c r="X295" s="12">
        <v>0.5</v>
      </c>
      <c r="Y295" s="13" t="s">
        <v>355</v>
      </c>
      <c r="Z295" s="9" t="s">
        <v>417</v>
      </c>
      <c r="AA295" s="10" t="s">
        <v>418</v>
      </c>
      <c r="AB295" s="9" t="s">
        <v>355</v>
      </c>
      <c r="AC295" s="15">
        <v>1100</v>
      </c>
      <c r="AD295" s="14">
        <f t="shared" si="37"/>
        <v>3.0413926851582249</v>
      </c>
      <c r="AE295" s="10" t="s">
        <v>559</v>
      </c>
      <c r="AF295" s="9" t="s">
        <v>408</v>
      </c>
      <c r="AG295" s="18">
        <v>14.067500000000001</v>
      </c>
      <c r="AH295" s="7">
        <f t="shared" si="38"/>
        <v>0</v>
      </c>
      <c r="AI295" s="7">
        <f t="shared" si="39"/>
        <v>0</v>
      </c>
      <c r="AJ295" s="7">
        <f t="shared" si="40"/>
        <v>0</v>
      </c>
      <c r="AK295" s="7">
        <f t="shared" si="41"/>
        <v>0</v>
      </c>
      <c r="AL295" s="7" t="s">
        <v>4160</v>
      </c>
      <c r="AM295" s="18">
        <f t="shared" si="42"/>
        <v>1.1482169238260302</v>
      </c>
      <c r="AN295" s="18">
        <v>14.067500000000001</v>
      </c>
      <c r="AO295" s="18">
        <v>121.49250000000001</v>
      </c>
      <c r="AP295" s="9" t="s">
        <v>363</v>
      </c>
      <c r="AQ295" s="9" t="s">
        <v>355</v>
      </c>
      <c r="AR295" s="15">
        <v>2013</v>
      </c>
      <c r="AS295" s="19" t="s">
        <v>566</v>
      </c>
      <c r="AT295" s="20" t="s">
        <v>567</v>
      </c>
      <c r="AU295" s="40">
        <v>30864</v>
      </c>
      <c r="AV295" s="35">
        <f t="shared" si="43"/>
        <v>4.4894522102998096</v>
      </c>
      <c r="AW295" s="37" t="s">
        <v>366</v>
      </c>
      <c r="AX295" s="34" t="s">
        <v>355</v>
      </c>
      <c r="AY295" s="40" t="s">
        <v>355</v>
      </c>
      <c r="AZ295" s="37">
        <v>75</v>
      </c>
      <c r="BA295" s="14">
        <f t="shared" si="44"/>
        <v>1.8750612633917001</v>
      </c>
      <c r="BB295" s="37" t="s">
        <v>388</v>
      </c>
      <c r="BC295" s="20">
        <v>-6.6590636254504464E-3</v>
      </c>
      <c r="BD295" s="9">
        <v>24.6</v>
      </c>
      <c r="BE295" s="9" t="s">
        <v>355</v>
      </c>
      <c r="BF295" s="9"/>
    </row>
    <row r="296" spans="1:58">
      <c r="A296" s="9">
        <v>958</v>
      </c>
      <c r="B296" s="10" t="s">
        <v>76</v>
      </c>
      <c r="C296" s="10" t="s">
        <v>369</v>
      </c>
      <c r="D296" s="20" t="s">
        <v>370</v>
      </c>
      <c r="E296" s="20" t="s">
        <v>619</v>
      </c>
      <c r="F296" s="10" t="s">
        <v>369</v>
      </c>
      <c r="G296" s="20" t="s">
        <v>370</v>
      </c>
      <c r="H296" s="20" t="s">
        <v>619</v>
      </c>
      <c r="I296" s="10" t="s">
        <v>369</v>
      </c>
      <c r="J296" s="20" t="s">
        <v>650</v>
      </c>
      <c r="K296" s="20" t="s">
        <v>652</v>
      </c>
      <c r="L296" s="9" t="s">
        <v>352</v>
      </c>
      <c r="M296" s="9">
        <v>10</v>
      </c>
      <c r="N296" s="9" t="s">
        <v>355</v>
      </c>
      <c r="O296" s="9" t="s">
        <v>558</v>
      </c>
      <c r="P296" s="12">
        <v>34.1</v>
      </c>
      <c r="Q296" s="12" t="s">
        <v>355</v>
      </c>
      <c r="R296" s="9" t="s">
        <v>356</v>
      </c>
      <c r="S296" s="13" t="s">
        <v>524</v>
      </c>
      <c r="T296" s="13" t="s">
        <v>524</v>
      </c>
      <c r="U296" s="14">
        <f t="shared" si="36"/>
        <v>0.69897000433601886</v>
      </c>
      <c r="V296" s="15">
        <v>22</v>
      </c>
      <c r="W296" s="12">
        <v>9.1250744000000026</v>
      </c>
      <c r="X296" s="12">
        <v>0.5</v>
      </c>
      <c r="Y296" s="13" t="s">
        <v>355</v>
      </c>
      <c r="Z296" s="9" t="s">
        <v>417</v>
      </c>
      <c r="AA296" s="10" t="s">
        <v>418</v>
      </c>
      <c r="AB296" s="9" t="s">
        <v>355</v>
      </c>
      <c r="AC296" s="15">
        <v>1100</v>
      </c>
      <c r="AD296" s="14">
        <f t="shared" si="37"/>
        <v>3.0413926851582249</v>
      </c>
      <c r="AE296" s="10" t="s">
        <v>559</v>
      </c>
      <c r="AF296" s="9" t="s">
        <v>408</v>
      </c>
      <c r="AG296" s="18">
        <v>14.067500000000001</v>
      </c>
      <c r="AH296" s="7">
        <f t="shared" si="38"/>
        <v>0</v>
      </c>
      <c r="AI296" s="7">
        <f t="shared" si="39"/>
        <v>0</v>
      </c>
      <c r="AJ296" s="7">
        <f t="shared" si="40"/>
        <v>0</v>
      </c>
      <c r="AK296" s="7">
        <f t="shared" si="41"/>
        <v>0</v>
      </c>
      <c r="AL296" s="7" t="s">
        <v>4160</v>
      </c>
      <c r="AM296" s="18">
        <f t="shared" si="42"/>
        <v>1.1482169238260302</v>
      </c>
      <c r="AN296" s="18">
        <v>14.067500000000001</v>
      </c>
      <c r="AO296" s="18">
        <v>121.49250000000001</v>
      </c>
      <c r="AP296" s="9" t="s">
        <v>363</v>
      </c>
      <c r="AQ296" s="9" t="s">
        <v>355</v>
      </c>
      <c r="AR296" s="15">
        <v>2013</v>
      </c>
      <c r="AS296" s="19" t="s">
        <v>560</v>
      </c>
      <c r="AT296" s="20" t="s">
        <v>561</v>
      </c>
      <c r="AU296" s="40">
        <v>19643</v>
      </c>
      <c r="AV296" s="35">
        <f t="shared" si="43"/>
        <v>4.2932078166458618</v>
      </c>
      <c r="AW296" s="37" t="s">
        <v>366</v>
      </c>
      <c r="AX296" s="34" t="s">
        <v>355</v>
      </c>
      <c r="AY296" s="40" t="s">
        <v>355</v>
      </c>
      <c r="AZ296" s="15">
        <v>75</v>
      </c>
      <c r="BA296" s="14">
        <f t="shared" si="44"/>
        <v>1.8750612633917001</v>
      </c>
      <c r="BB296" s="37" t="s">
        <v>388</v>
      </c>
      <c r="BC296" s="20">
        <v>-6.6590636254504464E-3</v>
      </c>
      <c r="BD296" s="9">
        <v>24.6</v>
      </c>
      <c r="BE296" s="9" t="s">
        <v>459</v>
      </c>
      <c r="BF296" s="9">
        <v>1</v>
      </c>
    </row>
    <row r="297" spans="1:58">
      <c r="A297" s="9">
        <v>23</v>
      </c>
      <c r="B297" s="10" t="s">
        <v>76</v>
      </c>
      <c r="C297" s="10" t="s">
        <v>77</v>
      </c>
      <c r="D297" s="20" t="s">
        <v>653</v>
      </c>
      <c r="E297" s="20" t="s">
        <v>654</v>
      </c>
      <c r="F297" s="10" t="s">
        <v>77</v>
      </c>
      <c r="G297" s="20" t="s">
        <v>653</v>
      </c>
      <c r="H297" s="20" t="s">
        <v>654</v>
      </c>
      <c r="I297" s="10" t="s">
        <v>77</v>
      </c>
      <c r="J297" s="20" t="s">
        <v>653</v>
      </c>
      <c r="K297" s="20" t="s">
        <v>654</v>
      </c>
      <c r="L297" s="9" t="s">
        <v>380</v>
      </c>
      <c r="M297" s="9">
        <v>16</v>
      </c>
      <c r="N297" s="9" t="s">
        <v>381</v>
      </c>
      <c r="O297" s="9" t="s">
        <v>382</v>
      </c>
      <c r="P297" s="12">
        <v>43</v>
      </c>
      <c r="Q297" s="12" t="s">
        <v>355</v>
      </c>
      <c r="R297" s="9" t="s">
        <v>356</v>
      </c>
      <c r="S297" s="13">
        <v>4</v>
      </c>
      <c r="T297" s="13">
        <v>4</v>
      </c>
      <c r="U297" s="14">
        <f t="shared" si="36"/>
        <v>0.69897000433601886</v>
      </c>
      <c r="V297" s="15">
        <v>20</v>
      </c>
      <c r="W297" s="12"/>
      <c r="X297" s="12">
        <v>1</v>
      </c>
      <c r="Y297" s="13" t="s">
        <v>358</v>
      </c>
      <c r="Z297" s="9" t="s">
        <v>417</v>
      </c>
      <c r="AA297" s="10" t="s">
        <v>418</v>
      </c>
      <c r="AB297" s="9" t="s">
        <v>355</v>
      </c>
      <c r="AC297" s="15">
        <v>102</v>
      </c>
      <c r="AD297" s="14">
        <f t="shared" si="37"/>
        <v>2.0086001717619175</v>
      </c>
      <c r="AE297" s="10" t="s">
        <v>530</v>
      </c>
      <c r="AF297" s="9" t="s">
        <v>420</v>
      </c>
      <c r="AG297" s="18">
        <v>25.316761</v>
      </c>
      <c r="AH297" s="7">
        <f t="shared" si="38"/>
        <v>1</v>
      </c>
      <c r="AI297" s="7">
        <f t="shared" si="39"/>
        <v>0</v>
      </c>
      <c r="AJ297" s="7">
        <f t="shared" si="40"/>
        <v>0</v>
      </c>
      <c r="AK297" s="7">
        <f t="shared" si="41"/>
        <v>0</v>
      </c>
      <c r="AL297" s="7" t="s">
        <v>4159</v>
      </c>
      <c r="AM297" s="18">
        <f t="shared" si="42"/>
        <v>1.4034081417162645</v>
      </c>
      <c r="AN297" s="18">
        <v>-25.316761</v>
      </c>
      <c r="AO297" s="18">
        <v>-59.695506000000002</v>
      </c>
      <c r="AP297" s="9" t="s">
        <v>363</v>
      </c>
      <c r="AQ297" s="9" t="s">
        <v>355</v>
      </c>
      <c r="AR297" s="15">
        <v>2012</v>
      </c>
      <c r="AS297" s="19" t="s">
        <v>520</v>
      </c>
      <c r="AT297" s="20" t="s">
        <v>521</v>
      </c>
      <c r="AU297" s="40">
        <v>1008913</v>
      </c>
      <c r="AV297" s="35">
        <f t="shared" si="43"/>
        <v>6.0038537180218992</v>
      </c>
      <c r="AW297" s="37" t="s">
        <v>366</v>
      </c>
      <c r="AX297" s="40">
        <v>150</v>
      </c>
      <c r="AY297" s="40">
        <v>1000</v>
      </c>
      <c r="AZ297" s="36">
        <v>33</v>
      </c>
      <c r="BA297" s="14">
        <f t="shared" si="44"/>
        <v>1.5185139398778875</v>
      </c>
      <c r="BB297" s="37" t="s">
        <v>388</v>
      </c>
      <c r="BC297" s="20">
        <v>1.251420568227286E-2</v>
      </c>
      <c r="BD297" s="9">
        <v>34.6</v>
      </c>
      <c r="BE297" s="9" t="s">
        <v>368</v>
      </c>
      <c r="BF297" s="9">
        <v>0</v>
      </c>
    </row>
    <row r="298" spans="1:58">
      <c r="A298" s="9">
        <v>36</v>
      </c>
      <c r="B298" s="10" t="s">
        <v>76</v>
      </c>
      <c r="C298" s="10" t="s">
        <v>77</v>
      </c>
      <c r="D298" s="20" t="s">
        <v>653</v>
      </c>
      <c r="E298" s="20" t="s">
        <v>655</v>
      </c>
      <c r="F298" s="10" t="s">
        <v>77</v>
      </c>
      <c r="G298" s="20" t="s">
        <v>653</v>
      </c>
      <c r="H298" s="20" t="s">
        <v>655</v>
      </c>
      <c r="I298" s="10" t="s">
        <v>77</v>
      </c>
      <c r="J298" s="20" t="s">
        <v>653</v>
      </c>
      <c r="K298" s="20" t="s">
        <v>655</v>
      </c>
      <c r="L298" s="9" t="s">
        <v>380</v>
      </c>
      <c r="M298" s="9">
        <v>15</v>
      </c>
      <c r="N298" s="9" t="s">
        <v>381</v>
      </c>
      <c r="O298" s="9" t="s">
        <v>382</v>
      </c>
      <c r="P298" s="12">
        <v>41</v>
      </c>
      <c r="Q298" s="12" t="s">
        <v>355</v>
      </c>
      <c r="R298" s="9" t="s">
        <v>356</v>
      </c>
      <c r="S298" s="13">
        <v>4</v>
      </c>
      <c r="T298" s="13">
        <v>4</v>
      </c>
      <c r="U298" s="14">
        <f t="shared" si="36"/>
        <v>0.69897000433601886</v>
      </c>
      <c r="V298" s="15">
        <v>20</v>
      </c>
      <c r="W298" s="12"/>
      <c r="X298" s="12">
        <v>1</v>
      </c>
      <c r="Y298" s="13" t="s">
        <v>358</v>
      </c>
      <c r="Z298" s="9" t="s">
        <v>417</v>
      </c>
      <c r="AA298" s="10" t="s">
        <v>418</v>
      </c>
      <c r="AB298" s="9" t="s">
        <v>355</v>
      </c>
      <c r="AC298" s="15">
        <v>312</v>
      </c>
      <c r="AD298" s="14">
        <f t="shared" si="37"/>
        <v>2.4941545940184429</v>
      </c>
      <c r="AE298" s="10" t="s">
        <v>534</v>
      </c>
      <c r="AF298" s="9" t="s">
        <v>420</v>
      </c>
      <c r="AG298" s="18">
        <v>27.087367</v>
      </c>
      <c r="AH298" s="7">
        <f t="shared" si="38"/>
        <v>1</v>
      </c>
      <c r="AI298" s="7">
        <f t="shared" si="39"/>
        <v>0</v>
      </c>
      <c r="AJ298" s="7">
        <f t="shared" si="40"/>
        <v>0</v>
      </c>
      <c r="AK298" s="7">
        <f t="shared" si="41"/>
        <v>0</v>
      </c>
      <c r="AL298" s="7" t="s">
        <v>4159</v>
      </c>
      <c r="AM298" s="18">
        <f t="shared" si="42"/>
        <v>1.4327667919307208</v>
      </c>
      <c r="AN298" s="18">
        <v>-27.087367</v>
      </c>
      <c r="AO298" s="18">
        <v>-54.950392000000001</v>
      </c>
      <c r="AP298" s="9" t="s">
        <v>363</v>
      </c>
      <c r="AQ298" s="9" t="s">
        <v>355</v>
      </c>
      <c r="AR298" s="15">
        <v>2012</v>
      </c>
      <c r="AS298" s="19" t="s">
        <v>520</v>
      </c>
      <c r="AT298" s="20" t="s">
        <v>521</v>
      </c>
      <c r="AU298" s="40">
        <v>4974046</v>
      </c>
      <c r="AV298" s="35">
        <f t="shared" si="43"/>
        <v>6.69670979730983</v>
      </c>
      <c r="AW298" s="37" t="s">
        <v>366</v>
      </c>
      <c r="AX298" s="34" t="s">
        <v>355</v>
      </c>
      <c r="AY298" s="40">
        <v>2000</v>
      </c>
      <c r="AZ298" s="36">
        <v>33</v>
      </c>
      <c r="BA298" s="14">
        <f t="shared" si="44"/>
        <v>1.5185139398778875</v>
      </c>
      <c r="BB298" s="37" t="s">
        <v>388</v>
      </c>
      <c r="BC298" s="20">
        <v>2.8247298919569274E-3</v>
      </c>
      <c r="BD298" s="9">
        <v>31.200000000000003</v>
      </c>
      <c r="BE298" s="9" t="s">
        <v>368</v>
      </c>
      <c r="BF298" s="9">
        <v>0</v>
      </c>
    </row>
    <row r="299" spans="1:58">
      <c r="A299" s="9">
        <v>24</v>
      </c>
      <c r="B299" s="10" t="s">
        <v>76</v>
      </c>
      <c r="C299" s="10" t="s">
        <v>77</v>
      </c>
      <c r="D299" s="20" t="s">
        <v>653</v>
      </c>
      <c r="E299" s="20" t="s">
        <v>656</v>
      </c>
      <c r="F299" s="10" t="s">
        <v>77</v>
      </c>
      <c r="G299" s="20" t="s">
        <v>653</v>
      </c>
      <c r="H299" s="20" t="s">
        <v>656</v>
      </c>
      <c r="I299" s="10" t="s">
        <v>77</v>
      </c>
      <c r="J299" s="20" t="s">
        <v>653</v>
      </c>
      <c r="K299" s="20" t="s">
        <v>656</v>
      </c>
      <c r="L299" s="9" t="s">
        <v>380</v>
      </c>
      <c r="M299" s="9">
        <v>15</v>
      </c>
      <c r="N299" s="9" t="s">
        <v>381</v>
      </c>
      <c r="O299" s="9" t="s">
        <v>382</v>
      </c>
      <c r="P299" s="12">
        <v>42.6</v>
      </c>
      <c r="Q299" s="12" t="s">
        <v>355</v>
      </c>
      <c r="R299" s="9" t="s">
        <v>356</v>
      </c>
      <c r="S299" s="13">
        <v>4</v>
      </c>
      <c r="T299" s="13">
        <v>4</v>
      </c>
      <c r="U299" s="14">
        <f t="shared" si="36"/>
        <v>0.69897000433601886</v>
      </c>
      <c r="V299" s="15">
        <v>20</v>
      </c>
      <c r="W299" s="12"/>
      <c r="X299" s="12">
        <v>1</v>
      </c>
      <c r="Y299" s="13" t="s">
        <v>358</v>
      </c>
      <c r="Z299" s="9" t="s">
        <v>417</v>
      </c>
      <c r="AA299" s="10" t="s">
        <v>418</v>
      </c>
      <c r="AB299" s="9" t="s">
        <v>355</v>
      </c>
      <c r="AC299" s="15">
        <v>102</v>
      </c>
      <c r="AD299" s="14">
        <f t="shared" si="37"/>
        <v>2.0086001717619175</v>
      </c>
      <c r="AE299" s="10" t="s">
        <v>530</v>
      </c>
      <c r="AF299" s="9" t="s">
        <v>420</v>
      </c>
      <c r="AG299" s="18">
        <v>25.316761</v>
      </c>
      <c r="AH299" s="7">
        <f t="shared" si="38"/>
        <v>1</v>
      </c>
      <c r="AI299" s="7">
        <f t="shared" si="39"/>
        <v>0</v>
      </c>
      <c r="AJ299" s="7">
        <f t="shared" si="40"/>
        <v>0</v>
      </c>
      <c r="AK299" s="7">
        <f t="shared" si="41"/>
        <v>0</v>
      </c>
      <c r="AL299" s="7" t="s">
        <v>4159</v>
      </c>
      <c r="AM299" s="18">
        <f t="shared" si="42"/>
        <v>1.4034081417162645</v>
      </c>
      <c r="AN299" s="18">
        <v>-25.316761</v>
      </c>
      <c r="AO299" s="18">
        <v>-59.695506000000002</v>
      </c>
      <c r="AP299" s="9" t="s">
        <v>363</v>
      </c>
      <c r="AQ299" s="9" t="s">
        <v>355</v>
      </c>
      <c r="AR299" s="15">
        <v>2012</v>
      </c>
      <c r="AS299" s="19" t="s">
        <v>520</v>
      </c>
      <c r="AT299" s="20" t="s">
        <v>521</v>
      </c>
      <c r="AU299" s="40">
        <v>2579107</v>
      </c>
      <c r="AV299" s="35">
        <f t="shared" si="43"/>
        <v>6.4114693601858646</v>
      </c>
      <c r="AW299" s="37" t="s">
        <v>366</v>
      </c>
      <c r="AX299" s="34" t="s">
        <v>355</v>
      </c>
      <c r="AY299" s="40">
        <v>1000</v>
      </c>
      <c r="AZ299" s="36">
        <v>33</v>
      </c>
      <c r="BA299" s="14">
        <f t="shared" si="44"/>
        <v>1.5185139398778875</v>
      </c>
      <c r="BB299" s="37" t="s">
        <v>388</v>
      </c>
      <c r="BC299" s="20">
        <v>1.251420568227286E-2</v>
      </c>
      <c r="BD299" s="9">
        <v>34.6</v>
      </c>
      <c r="BE299" s="9" t="s">
        <v>368</v>
      </c>
      <c r="BF299" s="9">
        <v>0</v>
      </c>
    </row>
    <row r="300" spans="1:58">
      <c r="A300" s="9">
        <v>25</v>
      </c>
      <c r="B300" s="10" t="s">
        <v>76</v>
      </c>
      <c r="C300" s="10" t="s">
        <v>77</v>
      </c>
      <c r="D300" s="20" t="s">
        <v>657</v>
      </c>
      <c r="E300" s="20" t="s">
        <v>658</v>
      </c>
      <c r="F300" s="10" t="s">
        <v>77</v>
      </c>
      <c r="G300" s="20" t="s">
        <v>657</v>
      </c>
      <c r="H300" s="20" t="s">
        <v>658</v>
      </c>
      <c r="I300" s="10" t="s">
        <v>77</v>
      </c>
      <c r="J300" s="20" t="s">
        <v>657</v>
      </c>
      <c r="K300" s="20" t="s">
        <v>658</v>
      </c>
      <c r="L300" s="9" t="s">
        <v>380</v>
      </c>
      <c r="M300" s="9">
        <v>14</v>
      </c>
      <c r="N300" s="9" t="s">
        <v>381</v>
      </c>
      <c r="O300" s="9" t="s">
        <v>382</v>
      </c>
      <c r="P300" s="12">
        <v>41.9</v>
      </c>
      <c r="Q300" s="12" t="s">
        <v>355</v>
      </c>
      <c r="R300" s="9" t="s">
        <v>356</v>
      </c>
      <c r="S300" s="13">
        <v>4</v>
      </c>
      <c r="T300" s="13">
        <v>4</v>
      </c>
      <c r="U300" s="14">
        <f t="shared" si="36"/>
        <v>0.69897000433601886</v>
      </c>
      <c r="V300" s="15">
        <v>20</v>
      </c>
      <c r="W300" s="12"/>
      <c r="X300" s="12">
        <v>1</v>
      </c>
      <c r="Y300" s="13" t="s">
        <v>358</v>
      </c>
      <c r="Z300" s="9" t="s">
        <v>417</v>
      </c>
      <c r="AA300" s="10" t="s">
        <v>418</v>
      </c>
      <c r="AB300" s="9" t="s">
        <v>355</v>
      </c>
      <c r="AC300" s="15">
        <v>102</v>
      </c>
      <c r="AD300" s="14">
        <f t="shared" si="37"/>
        <v>2.0086001717619175</v>
      </c>
      <c r="AE300" s="10" t="s">
        <v>530</v>
      </c>
      <c r="AF300" s="9" t="s">
        <v>420</v>
      </c>
      <c r="AG300" s="18">
        <v>25.316761</v>
      </c>
      <c r="AH300" s="7">
        <f t="shared" si="38"/>
        <v>1</v>
      </c>
      <c r="AI300" s="7">
        <f t="shared" si="39"/>
        <v>0</v>
      </c>
      <c r="AJ300" s="7">
        <f t="shared" si="40"/>
        <v>0</v>
      </c>
      <c r="AK300" s="7">
        <f t="shared" si="41"/>
        <v>0</v>
      </c>
      <c r="AL300" s="7" t="s">
        <v>4159</v>
      </c>
      <c r="AM300" s="18">
        <f t="shared" si="42"/>
        <v>1.4034081417162645</v>
      </c>
      <c r="AN300" s="18">
        <v>-25.316761</v>
      </c>
      <c r="AO300" s="18">
        <v>-59.695506000000002</v>
      </c>
      <c r="AP300" s="9" t="s">
        <v>363</v>
      </c>
      <c r="AQ300" s="9" t="s">
        <v>355</v>
      </c>
      <c r="AR300" s="15">
        <v>2012</v>
      </c>
      <c r="AS300" s="19" t="s">
        <v>520</v>
      </c>
      <c r="AT300" s="20" t="s">
        <v>521</v>
      </c>
      <c r="AU300" s="40">
        <v>12169706</v>
      </c>
      <c r="AV300" s="35">
        <f t="shared" si="43"/>
        <v>7.0852800865193037</v>
      </c>
      <c r="AW300" s="37" t="s">
        <v>366</v>
      </c>
      <c r="AX300" s="34" t="s">
        <v>355</v>
      </c>
      <c r="AY300" s="40">
        <v>800</v>
      </c>
      <c r="AZ300" s="36">
        <v>113</v>
      </c>
      <c r="BA300" s="14">
        <f t="shared" si="44"/>
        <v>2.0530784434834195</v>
      </c>
      <c r="BB300" s="37" t="s">
        <v>472</v>
      </c>
      <c r="BC300" s="20">
        <v>1.251420568227286E-2</v>
      </c>
      <c r="BD300" s="9">
        <v>34.6</v>
      </c>
      <c r="BE300" s="9" t="s">
        <v>368</v>
      </c>
      <c r="BF300" s="9">
        <v>0</v>
      </c>
    </row>
    <row r="301" spans="1:58">
      <c r="A301" s="9">
        <v>45</v>
      </c>
      <c r="B301" s="10" t="s">
        <v>348</v>
      </c>
      <c r="C301" s="10" t="s">
        <v>622</v>
      </c>
      <c r="D301" s="20" t="s">
        <v>659</v>
      </c>
      <c r="E301" s="20" t="s">
        <v>660</v>
      </c>
      <c r="F301" s="20" t="s">
        <v>622</v>
      </c>
      <c r="G301" s="20" t="s">
        <v>661</v>
      </c>
      <c r="H301" s="20" t="s">
        <v>660</v>
      </c>
      <c r="I301" s="20" t="s">
        <v>622</v>
      </c>
      <c r="J301" s="20" t="s">
        <v>661</v>
      </c>
      <c r="K301" s="20" t="s">
        <v>660</v>
      </c>
      <c r="L301" s="9" t="s">
        <v>380</v>
      </c>
      <c r="M301" s="9">
        <v>15</v>
      </c>
      <c r="N301" s="9" t="s">
        <v>381</v>
      </c>
      <c r="O301" s="9" t="s">
        <v>382</v>
      </c>
      <c r="P301" s="12">
        <v>38.299999999999997</v>
      </c>
      <c r="Q301" s="12" t="s">
        <v>355</v>
      </c>
      <c r="R301" s="9" t="s">
        <v>356</v>
      </c>
      <c r="S301" s="13">
        <v>4</v>
      </c>
      <c r="T301" s="13">
        <v>4</v>
      </c>
      <c r="U301" s="14">
        <f t="shared" si="36"/>
        <v>0.69897000433601886</v>
      </c>
      <c r="V301" s="15">
        <v>20</v>
      </c>
      <c r="W301" s="12"/>
      <c r="X301" s="12">
        <v>1</v>
      </c>
      <c r="Y301" s="13" t="s">
        <v>358</v>
      </c>
      <c r="Z301" s="9" t="s">
        <v>417</v>
      </c>
      <c r="AA301" s="10" t="s">
        <v>418</v>
      </c>
      <c r="AB301" s="9" t="s">
        <v>355</v>
      </c>
      <c r="AC301" s="15">
        <v>1756</v>
      </c>
      <c r="AD301" s="14">
        <f t="shared" si="37"/>
        <v>3.2445245115700838</v>
      </c>
      <c r="AE301" s="10" t="s">
        <v>519</v>
      </c>
      <c r="AF301" s="9" t="s">
        <v>420</v>
      </c>
      <c r="AG301" s="18">
        <v>37.378830999999998</v>
      </c>
      <c r="AH301" s="7">
        <f t="shared" si="38"/>
        <v>1</v>
      </c>
      <c r="AI301" s="7">
        <f t="shared" si="39"/>
        <v>1</v>
      </c>
      <c r="AJ301" s="7">
        <f t="shared" si="40"/>
        <v>0</v>
      </c>
      <c r="AK301" s="7">
        <f t="shared" si="41"/>
        <v>0</v>
      </c>
      <c r="AL301" s="7" t="s">
        <v>4157</v>
      </c>
      <c r="AM301" s="18">
        <f t="shared" si="42"/>
        <v>1.5726257149618044</v>
      </c>
      <c r="AN301" s="18">
        <v>37.378830999999998</v>
      </c>
      <c r="AO301" s="18">
        <v>-2.8584580000000002</v>
      </c>
      <c r="AP301" s="9" t="s">
        <v>363</v>
      </c>
      <c r="AQ301" s="9" t="s">
        <v>355</v>
      </c>
      <c r="AR301" s="15">
        <v>2012</v>
      </c>
      <c r="AS301" s="19" t="s">
        <v>520</v>
      </c>
      <c r="AT301" s="20" t="s">
        <v>521</v>
      </c>
      <c r="AU301" s="34">
        <v>226805</v>
      </c>
      <c r="AV301" s="35">
        <f t="shared" si="43"/>
        <v>5.3556526245086724</v>
      </c>
      <c r="AW301" s="36" t="s">
        <v>366</v>
      </c>
      <c r="AX301" s="34">
        <v>0</v>
      </c>
      <c r="AY301" s="34">
        <v>1800</v>
      </c>
      <c r="AZ301" s="36">
        <v>115</v>
      </c>
      <c r="BA301" s="14">
        <f t="shared" si="44"/>
        <v>2.0606978403536118</v>
      </c>
      <c r="BB301" s="36" t="s">
        <v>367</v>
      </c>
      <c r="BC301" s="20">
        <v>3.0292917166866652E-2</v>
      </c>
      <c r="BD301" s="9">
        <v>28.8</v>
      </c>
      <c r="BE301" s="9" t="s">
        <v>368</v>
      </c>
      <c r="BF301" s="9">
        <v>0</v>
      </c>
    </row>
    <row r="302" spans="1:58">
      <c r="A302" s="9">
        <v>55</v>
      </c>
      <c r="B302" s="10" t="s">
        <v>348</v>
      </c>
      <c r="C302" s="10" t="s">
        <v>622</v>
      </c>
      <c r="D302" s="20" t="s">
        <v>661</v>
      </c>
      <c r="E302" s="20" t="s">
        <v>662</v>
      </c>
      <c r="F302" s="10" t="s">
        <v>622</v>
      </c>
      <c r="G302" s="20" t="s">
        <v>661</v>
      </c>
      <c r="H302" s="20" t="s">
        <v>662</v>
      </c>
      <c r="I302" s="10" t="s">
        <v>622</v>
      </c>
      <c r="J302" s="20" t="s">
        <v>661</v>
      </c>
      <c r="K302" s="20" t="s">
        <v>662</v>
      </c>
      <c r="L302" s="9" t="s">
        <v>380</v>
      </c>
      <c r="M302" s="9">
        <v>15</v>
      </c>
      <c r="N302" s="9" t="s">
        <v>381</v>
      </c>
      <c r="O302" s="9" t="s">
        <v>382</v>
      </c>
      <c r="P302" s="12">
        <v>37.799999999999997</v>
      </c>
      <c r="Q302" s="12" t="s">
        <v>355</v>
      </c>
      <c r="R302" s="9" t="s">
        <v>356</v>
      </c>
      <c r="S302" s="13">
        <v>4</v>
      </c>
      <c r="T302" s="13">
        <v>4</v>
      </c>
      <c r="U302" s="14">
        <f t="shared" si="36"/>
        <v>0.69897000433601886</v>
      </c>
      <c r="V302" s="15">
        <v>20</v>
      </c>
      <c r="W302" s="12"/>
      <c r="X302" s="12">
        <v>1</v>
      </c>
      <c r="Y302" s="13" t="s">
        <v>358</v>
      </c>
      <c r="Z302" s="9" t="s">
        <v>417</v>
      </c>
      <c r="AA302" s="10" t="s">
        <v>418</v>
      </c>
      <c r="AB302" s="9" t="s">
        <v>355</v>
      </c>
      <c r="AC302" s="15">
        <v>1756</v>
      </c>
      <c r="AD302" s="14">
        <f t="shared" si="37"/>
        <v>3.2445245115700838</v>
      </c>
      <c r="AE302" s="10" t="s">
        <v>519</v>
      </c>
      <c r="AF302" s="9" t="s">
        <v>420</v>
      </c>
      <c r="AG302" s="18">
        <v>37.378830999999998</v>
      </c>
      <c r="AH302" s="7">
        <f t="shared" si="38"/>
        <v>1</v>
      </c>
      <c r="AI302" s="7">
        <f t="shared" si="39"/>
        <v>1</v>
      </c>
      <c r="AJ302" s="7">
        <f t="shared" si="40"/>
        <v>0</v>
      </c>
      <c r="AK302" s="7">
        <f t="shared" si="41"/>
        <v>0</v>
      </c>
      <c r="AL302" s="7" t="s">
        <v>4157</v>
      </c>
      <c r="AM302" s="18">
        <f t="shared" si="42"/>
        <v>1.5726257149618044</v>
      </c>
      <c r="AN302" s="18">
        <v>37.378830999999998</v>
      </c>
      <c r="AO302" s="18">
        <v>-2.8584580000000002</v>
      </c>
      <c r="AP302" s="9" t="s">
        <v>363</v>
      </c>
      <c r="AQ302" s="9" t="s">
        <v>355</v>
      </c>
      <c r="AR302" s="15">
        <v>2012</v>
      </c>
      <c r="AS302" s="19" t="s">
        <v>520</v>
      </c>
      <c r="AT302" s="20" t="s">
        <v>521</v>
      </c>
      <c r="AU302" s="34">
        <v>4358250</v>
      </c>
      <c r="AV302" s="35">
        <f t="shared" si="43"/>
        <v>6.6393121388304737</v>
      </c>
      <c r="AW302" s="36" t="s">
        <v>366</v>
      </c>
      <c r="AX302" s="34">
        <v>0</v>
      </c>
      <c r="AY302" s="34">
        <v>1750</v>
      </c>
      <c r="AZ302" s="36">
        <v>154</v>
      </c>
      <c r="BA302" s="14">
        <f t="shared" si="44"/>
        <v>2.1875207208364631</v>
      </c>
      <c r="BB302" s="36" t="s">
        <v>367</v>
      </c>
      <c r="BC302" s="20">
        <v>3.0292917166866652E-2</v>
      </c>
      <c r="BD302" s="9">
        <v>28.8</v>
      </c>
      <c r="BE302" s="9" t="s">
        <v>368</v>
      </c>
      <c r="BF302" s="9">
        <v>0</v>
      </c>
    </row>
    <row r="303" spans="1:58">
      <c r="A303" s="9">
        <v>56</v>
      </c>
      <c r="B303" s="10" t="s">
        <v>348</v>
      </c>
      <c r="C303" s="10" t="s">
        <v>622</v>
      </c>
      <c r="D303" s="20" t="s">
        <v>661</v>
      </c>
      <c r="E303" s="20" t="s">
        <v>663</v>
      </c>
      <c r="F303" s="10" t="s">
        <v>622</v>
      </c>
      <c r="G303" s="20" t="s">
        <v>661</v>
      </c>
      <c r="H303" s="20" t="s">
        <v>663</v>
      </c>
      <c r="I303" s="10" t="s">
        <v>622</v>
      </c>
      <c r="J303" s="20" t="s">
        <v>661</v>
      </c>
      <c r="K303" s="20" t="s">
        <v>663</v>
      </c>
      <c r="L303" s="9" t="s">
        <v>380</v>
      </c>
      <c r="M303" s="9">
        <v>10</v>
      </c>
      <c r="N303" s="9" t="s">
        <v>381</v>
      </c>
      <c r="O303" s="9" t="s">
        <v>382</v>
      </c>
      <c r="P303" s="12">
        <v>38.5</v>
      </c>
      <c r="Q303" s="12" t="s">
        <v>355</v>
      </c>
      <c r="R303" s="9" t="s">
        <v>356</v>
      </c>
      <c r="S303" s="13">
        <v>4</v>
      </c>
      <c r="T303" s="13">
        <v>4</v>
      </c>
      <c r="U303" s="14">
        <f t="shared" si="36"/>
        <v>0.69897000433601886</v>
      </c>
      <c r="V303" s="15">
        <v>20</v>
      </c>
      <c r="W303" s="12"/>
      <c r="X303" s="12">
        <v>1</v>
      </c>
      <c r="Y303" s="13" t="s">
        <v>358</v>
      </c>
      <c r="Z303" s="9" t="s">
        <v>417</v>
      </c>
      <c r="AA303" s="10" t="s">
        <v>418</v>
      </c>
      <c r="AB303" s="9" t="s">
        <v>355</v>
      </c>
      <c r="AC303" s="15">
        <v>1756</v>
      </c>
      <c r="AD303" s="14">
        <f t="shared" si="37"/>
        <v>3.2445245115700838</v>
      </c>
      <c r="AE303" s="10" t="s">
        <v>519</v>
      </c>
      <c r="AF303" s="9" t="s">
        <v>420</v>
      </c>
      <c r="AG303" s="18">
        <v>37.378830999999998</v>
      </c>
      <c r="AH303" s="7">
        <f t="shared" si="38"/>
        <v>1</v>
      </c>
      <c r="AI303" s="7">
        <f t="shared" si="39"/>
        <v>1</v>
      </c>
      <c r="AJ303" s="7">
        <f t="shared" si="40"/>
        <v>0</v>
      </c>
      <c r="AK303" s="7">
        <f t="shared" si="41"/>
        <v>0</v>
      </c>
      <c r="AL303" s="7" t="s">
        <v>4157</v>
      </c>
      <c r="AM303" s="18">
        <f t="shared" si="42"/>
        <v>1.5726257149618044</v>
      </c>
      <c r="AN303" s="18">
        <v>37.378830999999998</v>
      </c>
      <c r="AO303" s="18">
        <v>-2.8584580000000002</v>
      </c>
      <c r="AP303" s="9" t="s">
        <v>363</v>
      </c>
      <c r="AQ303" s="9" t="s">
        <v>355</v>
      </c>
      <c r="AR303" s="15">
        <v>2012</v>
      </c>
      <c r="AS303" s="19" t="s">
        <v>520</v>
      </c>
      <c r="AT303" s="20" t="s">
        <v>521</v>
      </c>
      <c r="AU303" s="34">
        <v>174016</v>
      </c>
      <c r="AV303" s="35">
        <f t="shared" si="43"/>
        <v>5.2405891815713872</v>
      </c>
      <c r="AW303" s="36" t="s">
        <v>366</v>
      </c>
      <c r="AX303" s="34">
        <v>0</v>
      </c>
      <c r="AY303" s="34">
        <v>2100</v>
      </c>
      <c r="AZ303" s="36">
        <v>115</v>
      </c>
      <c r="BA303" s="14">
        <f t="shared" si="44"/>
        <v>2.0606978403536118</v>
      </c>
      <c r="BB303" s="36" t="s">
        <v>367</v>
      </c>
      <c r="BC303" s="20">
        <v>3.0292917166866652E-2</v>
      </c>
      <c r="BD303" s="9">
        <v>28.8</v>
      </c>
      <c r="BE303" s="9" t="s">
        <v>459</v>
      </c>
      <c r="BF303" s="9">
        <v>1</v>
      </c>
    </row>
    <row r="304" spans="1:58">
      <c r="A304" s="9">
        <v>102</v>
      </c>
      <c r="B304" s="10" t="s">
        <v>76</v>
      </c>
      <c r="C304" s="10" t="s">
        <v>77</v>
      </c>
      <c r="D304" s="20" t="s">
        <v>664</v>
      </c>
      <c r="E304" s="20" t="s">
        <v>665</v>
      </c>
      <c r="F304" s="10" t="s">
        <v>77</v>
      </c>
      <c r="G304" s="20" t="s">
        <v>664</v>
      </c>
      <c r="H304" s="20" t="s">
        <v>665</v>
      </c>
      <c r="I304" s="10" t="s">
        <v>77</v>
      </c>
      <c r="J304" s="20" t="s">
        <v>664</v>
      </c>
      <c r="K304" s="20" t="s">
        <v>665</v>
      </c>
      <c r="L304" s="9" t="s">
        <v>352</v>
      </c>
      <c r="M304" s="9">
        <v>12</v>
      </c>
      <c r="N304" s="9" t="s">
        <v>381</v>
      </c>
      <c r="O304" s="9" t="s">
        <v>354</v>
      </c>
      <c r="P304" s="12">
        <v>40.520000000000003</v>
      </c>
      <c r="Q304" s="12" t="s">
        <v>355</v>
      </c>
      <c r="R304" s="50" t="s">
        <v>356</v>
      </c>
      <c r="S304" s="13" t="s">
        <v>666</v>
      </c>
      <c r="T304" s="13" t="s">
        <v>666</v>
      </c>
      <c r="U304" s="14">
        <f t="shared" si="36"/>
        <v>0.77815125038364363</v>
      </c>
      <c r="V304" s="15">
        <v>4</v>
      </c>
      <c r="W304" s="12">
        <v>13.125574199999999</v>
      </c>
      <c r="X304" s="12">
        <v>0.6</v>
      </c>
      <c r="Y304" s="13" t="s">
        <v>401</v>
      </c>
      <c r="Z304" s="9" t="s">
        <v>359</v>
      </c>
      <c r="AA304" s="10" t="s">
        <v>629</v>
      </c>
      <c r="AB304" s="9" t="s">
        <v>355</v>
      </c>
      <c r="AC304" s="15">
        <v>372</v>
      </c>
      <c r="AD304" s="14">
        <f t="shared" si="37"/>
        <v>2.5705429398818973</v>
      </c>
      <c r="AE304" s="10" t="s">
        <v>667</v>
      </c>
      <c r="AF304" s="9" t="s">
        <v>362</v>
      </c>
      <c r="AG304" s="18">
        <v>42.779442000000003</v>
      </c>
      <c r="AH304" s="7">
        <f t="shared" si="38"/>
        <v>1</v>
      </c>
      <c r="AI304" s="7">
        <f t="shared" si="39"/>
        <v>1</v>
      </c>
      <c r="AJ304" s="7">
        <f t="shared" si="40"/>
        <v>0</v>
      </c>
      <c r="AK304" s="7">
        <f t="shared" si="41"/>
        <v>0</v>
      </c>
      <c r="AL304" s="7" t="s">
        <v>4157</v>
      </c>
      <c r="AM304" s="18">
        <f t="shared" si="42"/>
        <v>1.6312351154879317</v>
      </c>
      <c r="AN304" s="18">
        <v>42.779442000000003</v>
      </c>
      <c r="AO304" s="18">
        <v>-96.929209999999998</v>
      </c>
      <c r="AP304" s="9" t="s">
        <v>363</v>
      </c>
      <c r="AQ304" s="9" t="s">
        <v>355</v>
      </c>
      <c r="AR304" s="15">
        <v>1968</v>
      </c>
      <c r="AS304" s="19" t="s">
        <v>668</v>
      </c>
      <c r="AT304" s="20" t="s">
        <v>669</v>
      </c>
      <c r="AU304" s="40">
        <v>3208862</v>
      </c>
      <c r="AV304" s="35">
        <f t="shared" si="43"/>
        <v>6.5063510402718165</v>
      </c>
      <c r="AW304" s="37" t="s">
        <v>366</v>
      </c>
      <c r="AX304" s="34" t="s">
        <v>355</v>
      </c>
      <c r="AY304" s="40" t="s">
        <v>355</v>
      </c>
      <c r="AZ304" s="15">
        <v>33</v>
      </c>
      <c r="BA304" s="14">
        <f t="shared" si="44"/>
        <v>1.5185139398778875</v>
      </c>
      <c r="BB304" s="37" t="s">
        <v>388</v>
      </c>
      <c r="BC304" s="20">
        <v>1.3273309323729485E-2</v>
      </c>
      <c r="BD304" s="9">
        <v>30.8</v>
      </c>
      <c r="BE304" s="9" t="s">
        <v>368</v>
      </c>
      <c r="BF304" s="9">
        <v>0</v>
      </c>
    </row>
    <row r="305" spans="1:58">
      <c r="A305" s="9">
        <v>103</v>
      </c>
      <c r="B305" s="10" t="s">
        <v>76</v>
      </c>
      <c r="C305" s="10" t="s">
        <v>77</v>
      </c>
      <c r="D305" s="20" t="s">
        <v>664</v>
      </c>
      <c r="E305" s="20" t="s">
        <v>665</v>
      </c>
      <c r="F305" s="10" t="s">
        <v>77</v>
      </c>
      <c r="G305" s="20" t="s">
        <v>664</v>
      </c>
      <c r="H305" s="20" t="s">
        <v>665</v>
      </c>
      <c r="I305" s="10" t="s">
        <v>77</v>
      </c>
      <c r="J305" s="20" t="s">
        <v>664</v>
      </c>
      <c r="K305" s="20" t="s">
        <v>665</v>
      </c>
      <c r="L305" s="9" t="s">
        <v>352</v>
      </c>
      <c r="M305" s="9">
        <v>15</v>
      </c>
      <c r="N305" s="9" t="s">
        <v>381</v>
      </c>
      <c r="O305" s="9" t="s">
        <v>354</v>
      </c>
      <c r="P305" s="12">
        <v>40.53</v>
      </c>
      <c r="Q305" s="12" t="s">
        <v>355</v>
      </c>
      <c r="R305" s="50" t="s">
        <v>356</v>
      </c>
      <c r="S305" s="13" t="s">
        <v>666</v>
      </c>
      <c r="T305" s="13" t="s">
        <v>666</v>
      </c>
      <c r="U305" s="14">
        <f t="shared" si="36"/>
        <v>0.77815125038364363</v>
      </c>
      <c r="V305" s="15">
        <v>14</v>
      </c>
      <c r="W305" s="12">
        <v>11.573384200000003</v>
      </c>
      <c r="X305" s="12">
        <v>0.6</v>
      </c>
      <c r="Y305" s="13" t="s">
        <v>401</v>
      </c>
      <c r="Z305" s="9" t="s">
        <v>359</v>
      </c>
      <c r="AA305" s="10" t="s">
        <v>629</v>
      </c>
      <c r="AB305" s="9" t="s">
        <v>355</v>
      </c>
      <c r="AC305" s="15">
        <v>372</v>
      </c>
      <c r="AD305" s="14">
        <f t="shared" si="37"/>
        <v>2.5705429398818973</v>
      </c>
      <c r="AE305" s="10" t="s">
        <v>667</v>
      </c>
      <c r="AF305" s="9" t="s">
        <v>362</v>
      </c>
      <c r="AG305" s="18">
        <v>42.779442000000003</v>
      </c>
      <c r="AH305" s="7">
        <f t="shared" si="38"/>
        <v>1</v>
      </c>
      <c r="AI305" s="7">
        <f t="shared" si="39"/>
        <v>1</v>
      </c>
      <c r="AJ305" s="7">
        <f t="shared" si="40"/>
        <v>0</v>
      </c>
      <c r="AK305" s="7">
        <f t="shared" si="41"/>
        <v>0</v>
      </c>
      <c r="AL305" s="7" t="s">
        <v>4157</v>
      </c>
      <c r="AM305" s="18">
        <f t="shared" si="42"/>
        <v>1.6312351154879317</v>
      </c>
      <c r="AN305" s="18">
        <v>42.779442000000003</v>
      </c>
      <c r="AO305" s="18">
        <v>-96.929209999999998</v>
      </c>
      <c r="AP305" s="9" t="s">
        <v>363</v>
      </c>
      <c r="AQ305" s="9" t="s">
        <v>355</v>
      </c>
      <c r="AR305" s="15">
        <v>1968</v>
      </c>
      <c r="AS305" s="19" t="s">
        <v>668</v>
      </c>
      <c r="AT305" s="20" t="s">
        <v>669</v>
      </c>
      <c r="AU305" s="40">
        <v>3208862</v>
      </c>
      <c r="AV305" s="35">
        <f t="shared" si="43"/>
        <v>6.5063510402718165</v>
      </c>
      <c r="AW305" s="37" t="s">
        <v>366</v>
      </c>
      <c r="AX305" s="34" t="s">
        <v>355</v>
      </c>
      <c r="AY305" s="40" t="s">
        <v>355</v>
      </c>
      <c r="AZ305" s="15">
        <v>33</v>
      </c>
      <c r="BA305" s="14">
        <f t="shared" si="44"/>
        <v>1.5185139398778875</v>
      </c>
      <c r="BB305" s="37" t="s">
        <v>388</v>
      </c>
      <c r="BC305" s="20">
        <v>1.3273309323729485E-2</v>
      </c>
      <c r="BD305" s="9">
        <v>30.8</v>
      </c>
      <c r="BE305" s="9" t="s">
        <v>368</v>
      </c>
      <c r="BF305" s="9">
        <v>0</v>
      </c>
    </row>
    <row r="306" spans="1:58">
      <c r="A306" s="9">
        <v>104</v>
      </c>
      <c r="B306" s="10" t="s">
        <v>76</v>
      </c>
      <c r="C306" s="10" t="s">
        <v>77</v>
      </c>
      <c r="D306" s="20" t="s">
        <v>664</v>
      </c>
      <c r="E306" s="20" t="s">
        <v>665</v>
      </c>
      <c r="F306" s="10" t="s">
        <v>77</v>
      </c>
      <c r="G306" s="20" t="s">
        <v>664</v>
      </c>
      <c r="H306" s="20" t="s">
        <v>665</v>
      </c>
      <c r="I306" s="10" t="s">
        <v>77</v>
      </c>
      <c r="J306" s="20" t="s">
        <v>664</v>
      </c>
      <c r="K306" s="20" t="s">
        <v>665</v>
      </c>
      <c r="L306" s="9" t="s">
        <v>352</v>
      </c>
      <c r="M306" s="9">
        <v>10</v>
      </c>
      <c r="N306" s="9" t="s">
        <v>381</v>
      </c>
      <c r="O306" s="9" t="s">
        <v>354</v>
      </c>
      <c r="P306" s="12">
        <v>41.1</v>
      </c>
      <c r="Q306" s="12" t="s">
        <v>355</v>
      </c>
      <c r="R306" s="50" t="s">
        <v>356</v>
      </c>
      <c r="S306" s="13" t="s">
        <v>666</v>
      </c>
      <c r="T306" s="13" t="s">
        <v>666</v>
      </c>
      <c r="U306" s="14">
        <f t="shared" si="36"/>
        <v>0.77815125038364363</v>
      </c>
      <c r="V306" s="15">
        <v>25</v>
      </c>
      <c r="W306" s="12">
        <v>10.424975200000002</v>
      </c>
      <c r="X306" s="12">
        <v>0.6</v>
      </c>
      <c r="Y306" s="13" t="s">
        <v>401</v>
      </c>
      <c r="Z306" s="9" t="s">
        <v>359</v>
      </c>
      <c r="AA306" s="10" t="s">
        <v>629</v>
      </c>
      <c r="AB306" s="9" t="s">
        <v>355</v>
      </c>
      <c r="AC306" s="15">
        <v>372</v>
      </c>
      <c r="AD306" s="14">
        <f t="shared" si="37"/>
        <v>2.5705429398818973</v>
      </c>
      <c r="AE306" s="10" t="s">
        <v>667</v>
      </c>
      <c r="AF306" s="9" t="s">
        <v>362</v>
      </c>
      <c r="AG306" s="18">
        <v>42.779442000000003</v>
      </c>
      <c r="AH306" s="7">
        <f t="shared" si="38"/>
        <v>1</v>
      </c>
      <c r="AI306" s="7">
        <f t="shared" si="39"/>
        <v>1</v>
      </c>
      <c r="AJ306" s="7">
        <f t="shared" si="40"/>
        <v>0</v>
      </c>
      <c r="AK306" s="7">
        <f t="shared" si="41"/>
        <v>0</v>
      </c>
      <c r="AL306" s="7" t="s">
        <v>4157</v>
      </c>
      <c r="AM306" s="18">
        <f t="shared" si="42"/>
        <v>1.6312351154879317</v>
      </c>
      <c r="AN306" s="18">
        <v>42.779442000000003</v>
      </c>
      <c r="AO306" s="18">
        <v>-96.929209999999998</v>
      </c>
      <c r="AP306" s="9" t="s">
        <v>363</v>
      </c>
      <c r="AQ306" s="9" t="s">
        <v>355</v>
      </c>
      <c r="AR306" s="15">
        <v>1968</v>
      </c>
      <c r="AS306" s="19" t="s">
        <v>668</v>
      </c>
      <c r="AT306" s="20" t="s">
        <v>669</v>
      </c>
      <c r="AU306" s="40">
        <v>3208862</v>
      </c>
      <c r="AV306" s="35">
        <f t="shared" si="43"/>
        <v>6.5063510402718165</v>
      </c>
      <c r="AW306" s="37" t="s">
        <v>366</v>
      </c>
      <c r="AX306" s="34" t="s">
        <v>355</v>
      </c>
      <c r="AY306" s="40" t="s">
        <v>355</v>
      </c>
      <c r="AZ306" s="15">
        <v>33</v>
      </c>
      <c r="BA306" s="14">
        <f t="shared" si="44"/>
        <v>1.5185139398778875</v>
      </c>
      <c r="BB306" s="37" t="s">
        <v>388</v>
      </c>
      <c r="BC306" s="20">
        <v>1.3273309323729485E-2</v>
      </c>
      <c r="BD306" s="9">
        <v>30.8</v>
      </c>
      <c r="BE306" s="9" t="s">
        <v>368</v>
      </c>
      <c r="BF306" s="9">
        <v>0</v>
      </c>
    </row>
    <row r="307" spans="1:58">
      <c r="A307" s="9">
        <v>105</v>
      </c>
      <c r="B307" s="10" t="s">
        <v>76</v>
      </c>
      <c r="C307" s="10" t="s">
        <v>77</v>
      </c>
      <c r="D307" s="20" t="s">
        <v>664</v>
      </c>
      <c r="E307" s="20" t="s">
        <v>665</v>
      </c>
      <c r="F307" s="10" t="s">
        <v>77</v>
      </c>
      <c r="G307" s="20" t="s">
        <v>664</v>
      </c>
      <c r="H307" s="20" t="s">
        <v>665</v>
      </c>
      <c r="I307" s="10" t="s">
        <v>77</v>
      </c>
      <c r="J307" s="20" t="s">
        <v>664</v>
      </c>
      <c r="K307" s="20" t="s">
        <v>665</v>
      </c>
      <c r="L307" s="9" t="s">
        <v>352</v>
      </c>
      <c r="M307" s="9">
        <v>11</v>
      </c>
      <c r="N307" s="9" t="s">
        <v>381</v>
      </c>
      <c r="O307" s="9" t="s">
        <v>354</v>
      </c>
      <c r="P307" s="12">
        <v>43.24</v>
      </c>
      <c r="Q307" s="12" t="s">
        <v>355</v>
      </c>
      <c r="R307" s="50" t="s">
        <v>356</v>
      </c>
      <c r="S307" s="13" t="s">
        <v>666</v>
      </c>
      <c r="T307" s="13" t="s">
        <v>666</v>
      </c>
      <c r="U307" s="14">
        <f t="shared" si="36"/>
        <v>0.77815125038364363</v>
      </c>
      <c r="V307" s="15">
        <v>35</v>
      </c>
      <c r="W307" s="12">
        <v>11.002785200000002</v>
      </c>
      <c r="X307" s="12">
        <v>0.6</v>
      </c>
      <c r="Y307" s="13" t="s">
        <v>401</v>
      </c>
      <c r="Z307" s="9" t="s">
        <v>359</v>
      </c>
      <c r="AA307" s="10" t="s">
        <v>629</v>
      </c>
      <c r="AB307" s="9" t="s">
        <v>355</v>
      </c>
      <c r="AC307" s="15">
        <v>372</v>
      </c>
      <c r="AD307" s="14">
        <f t="shared" si="37"/>
        <v>2.5705429398818973</v>
      </c>
      <c r="AE307" s="10" t="s">
        <v>667</v>
      </c>
      <c r="AF307" s="9" t="s">
        <v>362</v>
      </c>
      <c r="AG307" s="18">
        <v>42.779442000000003</v>
      </c>
      <c r="AH307" s="7">
        <f t="shared" si="38"/>
        <v>1</v>
      </c>
      <c r="AI307" s="7">
        <f t="shared" si="39"/>
        <v>1</v>
      </c>
      <c r="AJ307" s="7">
        <f t="shared" si="40"/>
        <v>0</v>
      </c>
      <c r="AK307" s="7">
        <f t="shared" si="41"/>
        <v>0</v>
      </c>
      <c r="AL307" s="7" t="s">
        <v>4157</v>
      </c>
      <c r="AM307" s="18">
        <f t="shared" si="42"/>
        <v>1.6312351154879317</v>
      </c>
      <c r="AN307" s="18">
        <v>42.779442000000003</v>
      </c>
      <c r="AO307" s="18">
        <v>-96.929209999999998</v>
      </c>
      <c r="AP307" s="9" t="s">
        <v>363</v>
      </c>
      <c r="AQ307" s="9" t="s">
        <v>355</v>
      </c>
      <c r="AR307" s="15">
        <v>1968</v>
      </c>
      <c r="AS307" s="19" t="s">
        <v>668</v>
      </c>
      <c r="AT307" s="20" t="s">
        <v>669</v>
      </c>
      <c r="AU307" s="40">
        <v>3208862</v>
      </c>
      <c r="AV307" s="35">
        <f t="shared" si="43"/>
        <v>6.5063510402718165</v>
      </c>
      <c r="AW307" s="37" t="s">
        <v>366</v>
      </c>
      <c r="AX307" s="34" t="s">
        <v>355</v>
      </c>
      <c r="AY307" s="40" t="s">
        <v>355</v>
      </c>
      <c r="AZ307" s="15">
        <v>33</v>
      </c>
      <c r="BA307" s="14">
        <f t="shared" si="44"/>
        <v>1.5185139398778875</v>
      </c>
      <c r="BB307" s="37" t="s">
        <v>388</v>
      </c>
      <c r="BC307" s="20">
        <v>1.3273309323729485E-2</v>
      </c>
      <c r="BD307" s="9">
        <v>30.8</v>
      </c>
      <c r="BE307" s="9" t="s">
        <v>368</v>
      </c>
      <c r="BF307" s="9">
        <v>0</v>
      </c>
    </row>
    <row r="308" spans="1:58">
      <c r="A308" s="9">
        <v>489</v>
      </c>
      <c r="B308" s="10" t="s">
        <v>76</v>
      </c>
      <c r="C308" s="10" t="s">
        <v>389</v>
      </c>
      <c r="D308" s="20" t="s">
        <v>390</v>
      </c>
      <c r="E308" s="20" t="s">
        <v>435</v>
      </c>
      <c r="F308" s="10" t="s">
        <v>389</v>
      </c>
      <c r="G308" s="20" t="s">
        <v>390</v>
      </c>
      <c r="H308" s="20" t="s">
        <v>435</v>
      </c>
      <c r="I308" s="10" t="s">
        <v>389</v>
      </c>
      <c r="J308" s="20" t="s">
        <v>392</v>
      </c>
      <c r="K308" s="20" t="s">
        <v>435</v>
      </c>
      <c r="L308" s="9" t="s">
        <v>380</v>
      </c>
      <c r="M308" s="9">
        <v>10</v>
      </c>
      <c r="N308" s="9" t="s">
        <v>381</v>
      </c>
      <c r="O308" s="9" t="s">
        <v>382</v>
      </c>
      <c r="P308" s="12">
        <v>38.252400000000002</v>
      </c>
      <c r="Q308" s="12" t="s">
        <v>355</v>
      </c>
      <c r="R308" s="9" t="s">
        <v>356</v>
      </c>
      <c r="S308" s="13">
        <v>5</v>
      </c>
      <c r="T308" s="13">
        <v>5</v>
      </c>
      <c r="U308" s="14">
        <f t="shared" si="36"/>
        <v>0.77815125038364363</v>
      </c>
      <c r="V308" s="15">
        <v>10</v>
      </c>
      <c r="W308" s="12"/>
      <c r="X308" s="12">
        <v>0.7</v>
      </c>
      <c r="Y308" s="13" t="s">
        <v>358</v>
      </c>
      <c r="Z308" s="9" t="s">
        <v>359</v>
      </c>
      <c r="AA308" s="10" t="s">
        <v>436</v>
      </c>
      <c r="AB308" s="9" t="s">
        <v>355</v>
      </c>
      <c r="AC308" s="15">
        <v>213</v>
      </c>
      <c r="AD308" s="14">
        <f t="shared" si="37"/>
        <v>2.3283796034387376</v>
      </c>
      <c r="AE308" s="10" t="s">
        <v>437</v>
      </c>
      <c r="AF308" s="9" t="s">
        <v>420</v>
      </c>
      <c r="AG308" s="18">
        <v>34.683438000000002</v>
      </c>
      <c r="AH308" s="7">
        <f t="shared" si="38"/>
        <v>1</v>
      </c>
      <c r="AI308" s="7">
        <f t="shared" si="39"/>
        <v>1</v>
      </c>
      <c r="AJ308" s="7">
        <f t="shared" si="40"/>
        <v>0</v>
      </c>
      <c r="AK308" s="7">
        <f t="shared" si="41"/>
        <v>0</v>
      </c>
      <c r="AL308" s="7" t="s">
        <v>4157</v>
      </c>
      <c r="AM308" s="18">
        <f t="shared" si="42"/>
        <v>1.5401221404311698</v>
      </c>
      <c r="AN308" s="18">
        <v>34.683438000000002</v>
      </c>
      <c r="AO308" s="18">
        <v>-82.837365000000005</v>
      </c>
      <c r="AP308" s="9" t="s">
        <v>363</v>
      </c>
      <c r="AQ308" s="9" t="s">
        <v>438</v>
      </c>
      <c r="AR308" s="15">
        <v>1980</v>
      </c>
      <c r="AS308" s="19" t="s">
        <v>439</v>
      </c>
      <c r="AT308" s="20" t="s">
        <v>440</v>
      </c>
      <c r="AU308" s="40">
        <v>5638611</v>
      </c>
      <c r="AV308" s="35">
        <f t="shared" si="43"/>
        <v>6.7511721342441762</v>
      </c>
      <c r="AW308" s="37" t="s">
        <v>366</v>
      </c>
      <c r="AX308" s="34" t="s">
        <v>355</v>
      </c>
      <c r="AY308" s="40" t="s">
        <v>355</v>
      </c>
      <c r="AZ308" s="36">
        <v>113</v>
      </c>
      <c r="BA308" s="14">
        <f t="shared" si="44"/>
        <v>2.0530784434834195</v>
      </c>
      <c r="BB308" s="37" t="s">
        <v>367</v>
      </c>
      <c r="BC308" s="20">
        <v>1.137454981992851E-2</v>
      </c>
      <c r="BD308" s="9">
        <v>32</v>
      </c>
      <c r="BE308" s="9" t="s">
        <v>368</v>
      </c>
      <c r="BF308" s="9">
        <v>0</v>
      </c>
    </row>
    <row r="309" spans="1:58">
      <c r="A309" s="9">
        <v>488</v>
      </c>
      <c r="B309" s="10" t="s">
        <v>76</v>
      </c>
      <c r="C309" s="10" t="s">
        <v>389</v>
      </c>
      <c r="D309" s="20" t="s">
        <v>390</v>
      </c>
      <c r="E309" s="20" t="s">
        <v>435</v>
      </c>
      <c r="F309" s="10" t="s">
        <v>389</v>
      </c>
      <c r="G309" s="20" t="s">
        <v>390</v>
      </c>
      <c r="H309" s="20" t="s">
        <v>435</v>
      </c>
      <c r="I309" s="10" t="s">
        <v>389</v>
      </c>
      <c r="J309" s="20" t="s">
        <v>392</v>
      </c>
      <c r="K309" s="20" t="s">
        <v>435</v>
      </c>
      <c r="L309" s="9" t="s">
        <v>380</v>
      </c>
      <c r="M309" s="9">
        <v>10</v>
      </c>
      <c r="N309" s="9" t="s">
        <v>381</v>
      </c>
      <c r="O309" s="9" t="s">
        <v>382</v>
      </c>
      <c r="P309" s="12">
        <v>39.287239999999997</v>
      </c>
      <c r="Q309" s="12" t="s">
        <v>355</v>
      </c>
      <c r="R309" s="9" t="s">
        <v>356</v>
      </c>
      <c r="S309" s="13">
        <v>5</v>
      </c>
      <c r="T309" s="13">
        <v>5</v>
      </c>
      <c r="U309" s="14">
        <f t="shared" si="36"/>
        <v>0.77815125038364363</v>
      </c>
      <c r="V309" s="15">
        <v>10</v>
      </c>
      <c r="W309" s="12"/>
      <c r="X309" s="12">
        <v>0.7</v>
      </c>
      <c r="Y309" s="13" t="s">
        <v>358</v>
      </c>
      <c r="Z309" s="9" t="s">
        <v>359</v>
      </c>
      <c r="AA309" s="10" t="s">
        <v>436</v>
      </c>
      <c r="AB309" s="9" t="s">
        <v>355</v>
      </c>
      <c r="AC309" s="15">
        <v>213</v>
      </c>
      <c r="AD309" s="14">
        <f t="shared" si="37"/>
        <v>2.3283796034387376</v>
      </c>
      <c r="AE309" s="10" t="s">
        <v>437</v>
      </c>
      <c r="AF309" s="9" t="s">
        <v>420</v>
      </c>
      <c r="AG309" s="18">
        <v>34.683438000000002</v>
      </c>
      <c r="AH309" s="7">
        <f t="shared" si="38"/>
        <v>1</v>
      </c>
      <c r="AI309" s="7">
        <f t="shared" si="39"/>
        <v>1</v>
      </c>
      <c r="AJ309" s="7">
        <f t="shared" si="40"/>
        <v>0</v>
      </c>
      <c r="AK309" s="7">
        <f t="shared" si="41"/>
        <v>0</v>
      </c>
      <c r="AL309" s="7" t="s">
        <v>4157</v>
      </c>
      <c r="AM309" s="18">
        <f t="shared" si="42"/>
        <v>1.5401221404311698</v>
      </c>
      <c r="AN309" s="18">
        <v>34.683438000000002</v>
      </c>
      <c r="AO309" s="18">
        <v>-82.837365000000005</v>
      </c>
      <c r="AP309" s="9" t="s">
        <v>363</v>
      </c>
      <c r="AQ309" s="9" t="s">
        <v>441</v>
      </c>
      <c r="AR309" s="15">
        <v>1980</v>
      </c>
      <c r="AS309" s="19" t="s">
        <v>439</v>
      </c>
      <c r="AT309" s="20" t="s">
        <v>440</v>
      </c>
      <c r="AU309" s="40">
        <v>5638611</v>
      </c>
      <c r="AV309" s="35">
        <f t="shared" si="43"/>
        <v>6.7511721342441762</v>
      </c>
      <c r="AW309" s="37" t="s">
        <v>366</v>
      </c>
      <c r="AX309" s="34" t="s">
        <v>355</v>
      </c>
      <c r="AY309" s="40" t="s">
        <v>355</v>
      </c>
      <c r="AZ309" s="36">
        <v>113</v>
      </c>
      <c r="BA309" s="14">
        <f t="shared" si="44"/>
        <v>2.0530784434834195</v>
      </c>
      <c r="BB309" s="37" t="s">
        <v>367</v>
      </c>
      <c r="BC309" s="20">
        <v>1.137454981992851E-2</v>
      </c>
      <c r="BD309" s="9">
        <v>32</v>
      </c>
      <c r="BE309" s="9" t="s">
        <v>368</v>
      </c>
      <c r="BF309" s="9">
        <v>0</v>
      </c>
    </row>
    <row r="310" spans="1:58">
      <c r="A310" s="9">
        <v>484</v>
      </c>
      <c r="B310" s="10" t="s">
        <v>76</v>
      </c>
      <c r="C310" s="10" t="s">
        <v>389</v>
      </c>
      <c r="D310" s="20" t="s">
        <v>390</v>
      </c>
      <c r="E310" s="20" t="s">
        <v>435</v>
      </c>
      <c r="F310" s="10" t="s">
        <v>389</v>
      </c>
      <c r="G310" s="20" t="s">
        <v>390</v>
      </c>
      <c r="H310" s="20" t="s">
        <v>435</v>
      </c>
      <c r="I310" s="10" t="s">
        <v>389</v>
      </c>
      <c r="J310" s="20" t="s">
        <v>392</v>
      </c>
      <c r="K310" s="20" t="s">
        <v>435</v>
      </c>
      <c r="L310" s="9" t="s">
        <v>380</v>
      </c>
      <c r="M310" s="9">
        <v>10</v>
      </c>
      <c r="N310" s="9" t="s">
        <v>381</v>
      </c>
      <c r="O310" s="9" t="s">
        <v>382</v>
      </c>
      <c r="P310" s="12">
        <v>39.665480000000002</v>
      </c>
      <c r="Q310" s="12" t="s">
        <v>355</v>
      </c>
      <c r="R310" s="9" t="s">
        <v>356</v>
      </c>
      <c r="S310" s="13">
        <v>5</v>
      </c>
      <c r="T310" s="13">
        <v>5</v>
      </c>
      <c r="U310" s="14">
        <f t="shared" si="36"/>
        <v>0.77815125038364363</v>
      </c>
      <c r="V310" s="15">
        <v>10</v>
      </c>
      <c r="W310" s="12"/>
      <c r="X310" s="12">
        <v>0.7</v>
      </c>
      <c r="Y310" s="13" t="s">
        <v>358</v>
      </c>
      <c r="Z310" s="9" t="s">
        <v>359</v>
      </c>
      <c r="AA310" s="10" t="s">
        <v>436</v>
      </c>
      <c r="AB310" s="9" t="s">
        <v>355</v>
      </c>
      <c r="AC310" s="15">
        <v>213</v>
      </c>
      <c r="AD310" s="14">
        <f t="shared" si="37"/>
        <v>2.3283796034387376</v>
      </c>
      <c r="AE310" s="10" t="s">
        <v>437</v>
      </c>
      <c r="AF310" s="9" t="s">
        <v>420</v>
      </c>
      <c r="AG310" s="18">
        <v>34.683438000000002</v>
      </c>
      <c r="AH310" s="7">
        <f t="shared" si="38"/>
        <v>1</v>
      </c>
      <c r="AI310" s="7">
        <f t="shared" si="39"/>
        <v>1</v>
      </c>
      <c r="AJ310" s="7">
        <f t="shared" si="40"/>
        <v>0</v>
      </c>
      <c r="AK310" s="7">
        <f t="shared" si="41"/>
        <v>0</v>
      </c>
      <c r="AL310" s="7" t="s">
        <v>4157</v>
      </c>
      <c r="AM310" s="18">
        <f t="shared" si="42"/>
        <v>1.5401221404311698</v>
      </c>
      <c r="AN310" s="18">
        <v>34.683438000000002</v>
      </c>
      <c r="AO310" s="18">
        <v>-82.837365000000005</v>
      </c>
      <c r="AP310" s="9" t="s">
        <v>363</v>
      </c>
      <c r="AQ310" s="9" t="s">
        <v>445</v>
      </c>
      <c r="AR310" s="15">
        <v>1980</v>
      </c>
      <c r="AS310" s="19" t="s">
        <v>439</v>
      </c>
      <c r="AT310" s="20" t="s">
        <v>440</v>
      </c>
      <c r="AU310" s="40">
        <v>5638611</v>
      </c>
      <c r="AV310" s="35">
        <f t="shared" si="43"/>
        <v>6.7511721342441762</v>
      </c>
      <c r="AW310" s="37" t="s">
        <v>366</v>
      </c>
      <c r="AX310" s="34" t="s">
        <v>355</v>
      </c>
      <c r="AY310" s="40" t="s">
        <v>355</v>
      </c>
      <c r="AZ310" s="36">
        <v>113</v>
      </c>
      <c r="BA310" s="14">
        <f t="shared" si="44"/>
        <v>2.0530784434834195</v>
      </c>
      <c r="BB310" s="37" t="s">
        <v>367</v>
      </c>
      <c r="BC310" s="20">
        <v>1.137454981992851E-2</v>
      </c>
      <c r="BD310" s="9">
        <v>32</v>
      </c>
      <c r="BE310" s="9" t="s">
        <v>368</v>
      </c>
      <c r="BF310" s="9">
        <v>0</v>
      </c>
    </row>
    <row r="311" spans="1:58">
      <c r="A311" s="9">
        <v>485</v>
      </c>
      <c r="B311" s="10" t="s">
        <v>76</v>
      </c>
      <c r="C311" s="10" t="s">
        <v>389</v>
      </c>
      <c r="D311" s="20" t="s">
        <v>390</v>
      </c>
      <c r="E311" s="20" t="s">
        <v>435</v>
      </c>
      <c r="F311" s="10" t="s">
        <v>389</v>
      </c>
      <c r="G311" s="20" t="s">
        <v>390</v>
      </c>
      <c r="H311" s="20" t="s">
        <v>435</v>
      </c>
      <c r="I311" s="10" t="s">
        <v>389</v>
      </c>
      <c r="J311" s="20" t="s">
        <v>392</v>
      </c>
      <c r="K311" s="20" t="s">
        <v>435</v>
      </c>
      <c r="L311" s="9" t="s">
        <v>380</v>
      </c>
      <c r="M311" s="9">
        <v>10</v>
      </c>
      <c r="N311" s="9" t="s">
        <v>381</v>
      </c>
      <c r="O311" s="9" t="s">
        <v>382</v>
      </c>
      <c r="P311" s="12">
        <v>39.697479999999999</v>
      </c>
      <c r="Q311" s="12" t="s">
        <v>355</v>
      </c>
      <c r="R311" s="9" t="s">
        <v>356</v>
      </c>
      <c r="S311" s="13">
        <v>5</v>
      </c>
      <c r="T311" s="13">
        <v>5</v>
      </c>
      <c r="U311" s="14">
        <f t="shared" si="36"/>
        <v>0.77815125038364363</v>
      </c>
      <c r="V311" s="15">
        <v>10</v>
      </c>
      <c r="W311" s="12"/>
      <c r="X311" s="12">
        <v>0.7</v>
      </c>
      <c r="Y311" s="13" t="s">
        <v>358</v>
      </c>
      <c r="Z311" s="9" t="s">
        <v>359</v>
      </c>
      <c r="AA311" s="10" t="s">
        <v>436</v>
      </c>
      <c r="AB311" s="9" t="s">
        <v>355</v>
      </c>
      <c r="AC311" s="15">
        <v>213</v>
      </c>
      <c r="AD311" s="14">
        <f t="shared" si="37"/>
        <v>2.3283796034387376</v>
      </c>
      <c r="AE311" s="10" t="s">
        <v>437</v>
      </c>
      <c r="AF311" s="9" t="s">
        <v>420</v>
      </c>
      <c r="AG311" s="18">
        <v>34.683438000000002</v>
      </c>
      <c r="AH311" s="7">
        <f t="shared" si="38"/>
        <v>1</v>
      </c>
      <c r="AI311" s="7">
        <f t="shared" si="39"/>
        <v>1</v>
      </c>
      <c r="AJ311" s="7">
        <f t="shared" si="40"/>
        <v>0</v>
      </c>
      <c r="AK311" s="7">
        <f t="shared" si="41"/>
        <v>0</v>
      </c>
      <c r="AL311" s="7" t="s">
        <v>4157</v>
      </c>
      <c r="AM311" s="18">
        <f t="shared" si="42"/>
        <v>1.5401221404311698</v>
      </c>
      <c r="AN311" s="18">
        <v>34.683438000000002</v>
      </c>
      <c r="AO311" s="18">
        <v>-82.837365000000005</v>
      </c>
      <c r="AP311" s="9" t="s">
        <v>363</v>
      </c>
      <c r="AQ311" s="9" t="s">
        <v>446</v>
      </c>
      <c r="AR311" s="15">
        <v>1980</v>
      </c>
      <c r="AS311" s="19" t="s">
        <v>439</v>
      </c>
      <c r="AT311" s="20" t="s">
        <v>440</v>
      </c>
      <c r="AU311" s="40">
        <v>5638611</v>
      </c>
      <c r="AV311" s="35">
        <f t="shared" si="43"/>
        <v>6.7511721342441762</v>
      </c>
      <c r="AW311" s="37" t="s">
        <v>366</v>
      </c>
      <c r="AX311" s="34" t="s">
        <v>355</v>
      </c>
      <c r="AY311" s="40" t="s">
        <v>355</v>
      </c>
      <c r="AZ311" s="36">
        <v>113</v>
      </c>
      <c r="BA311" s="14">
        <f t="shared" si="44"/>
        <v>2.0530784434834195</v>
      </c>
      <c r="BB311" s="37" t="s">
        <v>367</v>
      </c>
      <c r="BC311" s="20">
        <v>1.137454981992851E-2</v>
      </c>
      <c r="BD311" s="9">
        <v>32</v>
      </c>
      <c r="BE311" s="9" t="s">
        <v>368</v>
      </c>
      <c r="BF311" s="9">
        <v>0</v>
      </c>
    </row>
    <row r="312" spans="1:58">
      <c r="A312" s="9">
        <v>487</v>
      </c>
      <c r="B312" s="10" t="s">
        <v>76</v>
      </c>
      <c r="C312" s="10" t="s">
        <v>389</v>
      </c>
      <c r="D312" s="20" t="s">
        <v>390</v>
      </c>
      <c r="E312" s="20" t="s">
        <v>435</v>
      </c>
      <c r="F312" s="10" t="s">
        <v>389</v>
      </c>
      <c r="G312" s="20" t="s">
        <v>390</v>
      </c>
      <c r="H312" s="20" t="s">
        <v>435</v>
      </c>
      <c r="I312" s="10" t="s">
        <v>389</v>
      </c>
      <c r="J312" s="20" t="s">
        <v>392</v>
      </c>
      <c r="K312" s="20" t="s">
        <v>435</v>
      </c>
      <c r="L312" s="9" t="s">
        <v>380</v>
      </c>
      <c r="M312" s="9">
        <v>10</v>
      </c>
      <c r="N312" s="9" t="s">
        <v>381</v>
      </c>
      <c r="O312" s="9" t="s">
        <v>382</v>
      </c>
      <c r="P312" s="12">
        <v>39.708500000000001</v>
      </c>
      <c r="Q312" s="12" t="s">
        <v>355</v>
      </c>
      <c r="R312" s="9" t="s">
        <v>356</v>
      </c>
      <c r="S312" s="13">
        <v>5</v>
      </c>
      <c r="T312" s="13">
        <v>5</v>
      </c>
      <c r="U312" s="14">
        <f t="shared" si="36"/>
        <v>0.77815125038364363</v>
      </c>
      <c r="V312" s="15">
        <v>10</v>
      </c>
      <c r="W312" s="12"/>
      <c r="X312" s="12">
        <v>0.7</v>
      </c>
      <c r="Y312" s="13" t="s">
        <v>358</v>
      </c>
      <c r="Z312" s="9" t="s">
        <v>359</v>
      </c>
      <c r="AA312" s="10" t="s">
        <v>436</v>
      </c>
      <c r="AB312" s="9" t="s">
        <v>355</v>
      </c>
      <c r="AC312" s="15">
        <v>213</v>
      </c>
      <c r="AD312" s="14">
        <f t="shared" si="37"/>
        <v>2.3283796034387376</v>
      </c>
      <c r="AE312" s="10" t="s">
        <v>437</v>
      </c>
      <c r="AF312" s="9" t="s">
        <v>420</v>
      </c>
      <c r="AG312" s="18">
        <v>34.683438000000002</v>
      </c>
      <c r="AH312" s="7">
        <f t="shared" si="38"/>
        <v>1</v>
      </c>
      <c r="AI312" s="7">
        <f t="shared" si="39"/>
        <v>1</v>
      </c>
      <c r="AJ312" s="7">
        <f t="shared" si="40"/>
        <v>0</v>
      </c>
      <c r="AK312" s="7">
        <f t="shared" si="41"/>
        <v>0</v>
      </c>
      <c r="AL312" s="7" t="s">
        <v>4157</v>
      </c>
      <c r="AM312" s="18">
        <f t="shared" si="42"/>
        <v>1.5401221404311698</v>
      </c>
      <c r="AN312" s="18">
        <v>34.683438000000002</v>
      </c>
      <c r="AO312" s="18">
        <v>-82.837365000000005</v>
      </c>
      <c r="AP312" s="9" t="s">
        <v>363</v>
      </c>
      <c r="AQ312" s="9" t="s">
        <v>443</v>
      </c>
      <c r="AR312" s="15">
        <v>1980</v>
      </c>
      <c r="AS312" s="19" t="s">
        <v>439</v>
      </c>
      <c r="AT312" s="20" t="s">
        <v>440</v>
      </c>
      <c r="AU312" s="40">
        <v>5638611</v>
      </c>
      <c r="AV312" s="35">
        <f t="shared" si="43"/>
        <v>6.7511721342441762</v>
      </c>
      <c r="AW312" s="37" t="s">
        <v>366</v>
      </c>
      <c r="AX312" s="34" t="s">
        <v>355</v>
      </c>
      <c r="AY312" s="40" t="s">
        <v>355</v>
      </c>
      <c r="AZ312" s="36">
        <v>113</v>
      </c>
      <c r="BA312" s="14">
        <f t="shared" si="44"/>
        <v>2.0530784434834195</v>
      </c>
      <c r="BB312" s="37" t="s">
        <v>367</v>
      </c>
      <c r="BC312" s="20">
        <v>1.137454981992851E-2</v>
      </c>
      <c r="BD312" s="9">
        <v>32</v>
      </c>
      <c r="BE312" s="9" t="s">
        <v>368</v>
      </c>
      <c r="BF312" s="9">
        <v>0</v>
      </c>
    </row>
    <row r="313" spans="1:58">
      <c r="A313" s="9">
        <v>486</v>
      </c>
      <c r="B313" s="10" t="s">
        <v>76</v>
      </c>
      <c r="C313" s="10" t="s">
        <v>389</v>
      </c>
      <c r="D313" s="20" t="s">
        <v>390</v>
      </c>
      <c r="E313" s="20" t="s">
        <v>435</v>
      </c>
      <c r="F313" s="10" t="s">
        <v>389</v>
      </c>
      <c r="G313" s="20" t="s">
        <v>390</v>
      </c>
      <c r="H313" s="20" t="s">
        <v>435</v>
      </c>
      <c r="I313" s="10" t="s">
        <v>389</v>
      </c>
      <c r="J313" s="20" t="s">
        <v>392</v>
      </c>
      <c r="K313" s="20" t="s">
        <v>435</v>
      </c>
      <c r="L313" s="9" t="s">
        <v>380</v>
      </c>
      <c r="M313" s="9">
        <v>10</v>
      </c>
      <c r="N313" s="9" t="s">
        <v>381</v>
      </c>
      <c r="O313" s="9" t="s">
        <v>382</v>
      </c>
      <c r="P313" s="12">
        <v>39.809460000000001</v>
      </c>
      <c r="Q313" s="12" t="s">
        <v>355</v>
      </c>
      <c r="R313" s="9" t="s">
        <v>356</v>
      </c>
      <c r="S313" s="13">
        <v>5</v>
      </c>
      <c r="T313" s="13">
        <v>5</v>
      </c>
      <c r="U313" s="14">
        <f t="shared" si="36"/>
        <v>0.77815125038364363</v>
      </c>
      <c r="V313" s="15">
        <v>10</v>
      </c>
      <c r="W313" s="12"/>
      <c r="X313" s="12">
        <v>0.7</v>
      </c>
      <c r="Y313" s="13" t="s">
        <v>358</v>
      </c>
      <c r="Z313" s="9" t="s">
        <v>359</v>
      </c>
      <c r="AA313" s="10" t="s">
        <v>436</v>
      </c>
      <c r="AB313" s="9" t="s">
        <v>355</v>
      </c>
      <c r="AC313" s="15">
        <v>213</v>
      </c>
      <c r="AD313" s="14">
        <f t="shared" si="37"/>
        <v>2.3283796034387376</v>
      </c>
      <c r="AE313" s="10" t="s">
        <v>437</v>
      </c>
      <c r="AF313" s="9" t="s">
        <v>420</v>
      </c>
      <c r="AG313" s="18">
        <v>34.683438000000002</v>
      </c>
      <c r="AH313" s="7">
        <f t="shared" si="38"/>
        <v>1</v>
      </c>
      <c r="AI313" s="7">
        <f t="shared" si="39"/>
        <v>1</v>
      </c>
      <c r="AJ313" s="7">
        <f t="shared" si="40"/>
        <v>0</v>
      </c>
      <c r="AK313" s="7">
        <f t="shared" si="41"/>
        <v>0</v>
      </c>
      <c r="AL313" s="7" t="s">
        <v>4157</v>
      </c>
      <c r="AM313" s="18">
        <f t="shared" si="42"/>
        <v>1.5401221404311698</v>
      </c>
      <c r="AN313" s="18">
        <v>34.683438000000002</v>
      </c>
      <c r="AO313" s="18">
        <v>-82.837365000000005</v>
      </c>
      <c r="AP313" s="9" t="s">
        <v>363</v>
      </c>
      <c r="AQ313" s="9" t="s">
        <v>444</v>
      </c>
      <c r="AR313" s="15">
        <v>1980</v>
      </c>
      <c r="AS313" s="19" t="s">
        <v>439</v>
      </c>
      <c r="AT313" s="20" t="s">
        <v>440</v>
      </c>
      <c r="AU313" s="40">
        <v>5638611</v>
      </c>
      <c r="AV313" s="35">
        <f t="shared" si="43"/>
        <v>6.7511721342441762</v>
      </c>
      <c r="AW313" s="37" t="s">
        <v>366</v>
      </c>
      <c r="AX313" s="34" t="s">
        <v>355</v>
      </c>
      <c r="AY313" s="40" t="s">
        <v>355</v>
      </c>
      <c r="AZ313" s="36">
        <v>113</v>
      </c>
      <c r="BA313" s="14">
        <f t="shared" si="44"/>
        <v>2.0530784434834195</v>
      </c>
      <c r="BB313" s="37" t="s">
        <v>367</v>
      </c>
      <c r="BC313" s="20">
        <v>1.137454981992851E-2</v>
      </c>
      <c r="BD313" s="9">
        <v>32</v>
      </c>
      <c r="BE313" s="9" t="s">
        <v>368</v>
      </c>
      <c r="BF313" s="9">
        <v>0</v>
      </c>
    </row>
    <row r="314" spans="1:58">
      <c r="A314" s="9">
        <v>483</v>
      </c>
      <c r="B314" s="10" t="s">
        <v>76</v>
      </c>
      <c r="C314" s="10" t="s">
        <v>389</v>
      </c>
      <c r="D314" s="20" t="s">
        <v>390</v>
      </c>
      <c r="E314" s="20" t="s">
        <v>435</v>
      </c>
      <c r="F314" s="10" t="s">
        <v>389</v>
      </c>
      <c r="G314" s="20" t="s">
        <v>390</v>
      </c>
      <c r="H314" s="20" t="s">
        <v>435</v>
      </c>
      <c r="I314" s="10" t="s">
        <v>389</v>
      </c>
      <c r="J314" s="20" t="s">
        <v>392</v>
      </c>
      <c r="K314" s="20" t="s">
        <v>435</v>
      </c>
      <c r="L314" s="9" t="s">
        <v>380</v>
      </c>
      <c r="M314" s="9">
        <v>10</v>
      </c>
      <c r="N314" s="9" t="s">
        <v>381</v>
      </c>
      <c r="O314" s="9" t="s">
        <v>382</v>
      </c>
      <c r="P314" s="12">
        <v>40.006399999999999</v>
      </c>
      <c r="Q314" s="12" t="s">
        <v>355</v>
      </c>
      <c r="R314" s="9" t="s">
        <v>356</v>
      </c>
      <c r="S314" s="13">
        <v>5</v>
      </c>
      <c r="T314" s="13">
        <v>5</v>
      </c>
      <c r="U314" s="14">
        <f t="shared" si="36"/>
        <v>0.77815125038364363</v>
      </c>
      <c r="V314" s="15">
        <v>10</v>
      </c>
      <c r="W314" s="12"/>
      <c r="X314" s="12">
        <v>0.7</v>
      </c>
      <c r="Y314" s="13" t="s">
        <v>358</v>
      </c>
      <c r="Z314" s="9" t="s">
        <v>359</v>
      </c>
      <c r="AA314" s="10" t="s">
        <v>436</v>
      </c>
      <c r="AB314" s="9" t="s">
        <v>355</v>
      </c>
      <c r="AC314" s="15">
        <v>213</v>
      </c>
      <c r="AD314" s="14">
        <f t="shared" si="37"/>
        <v>2.3283796034387376</v>
      </c>
      <c r="AE314" s="10" t="s">
        <v>437</v>
      </c>
      <c r="AF314" s="9" t="s">
        <v>420</v>
      </c>
      <c r="AG314" s="18">
        <v>34.683438000000002</v>
      </c>
      <c r="AH314" s="7">
        <f t="shared" si="38"/>
        <v>1</v>
      </c>
      <c r="AI314" s="7">
        <f t="shared" si="39"/>
        <v>1</v>
      </c>
      <c r="AJ314" s="7">
        <f t="shared" si="40"/>
        <v>0</v>
      </c>
      <c r="AK314" s="7">
        <f t="shared" si="41"/>
        <v>0</v>
      </c>
      <c r="AL314" s="7" t="s">
        <v>4157</v>
      </c>
      <c r="AM314" s="18">
        <f t="shared" si="42"/>
        <v>1.5401221404311698</v>
      </c>
      <c r="AN314" s="18">
        <v>34.683438000000002</v>
      </c>
      <c r="AO314" s="18">
        <v>-82.837365000000005</v>
      </c>
      <c r="AP314" s="9" t="s">
        <v>363</v>
      </c>
      <c r="AQ314" s="9" t="s">
        <v>449</v>
      </c>
      <c r="AR314" s="15">
        <v>1980</v>
      </c>
      <c r="AS314" s="19" t="s">
        <v>439</v>
      </c>
      <c r="AT314" s="20" t="s">
        <v>440</v>
      </c>
      <c r="AU314" s="40">
        <v>5638611</v>
      </c>
      <c r="AV314" s="35">
        <f t="shared" si="43"/>
        <v>6.7511721342441762</v>
      </c>
      <c r="AW314" s="37" t="s">
        <v>366</v>
      </c>
      <c r="AX314" s="34" t="s">
        <v>355</v>
      </c>
      <c r="AY314" s="40" t="s">
        <v>355</v>
      </c>
      <c r="AZ314" s="36">
        <v>113</v>
      </c>
      <c r="BA314" s="14">
        <f t="shared" si="44"/>
        <v>2.0530784434834195</v>
      </c>
      <c r="BB314" s="37" t="s">
        <v>367</v>
      </c>
      <c r="BC314" s="20">
        <v>1.137454981992851E-2</v>
      </c>
      <c r="BD314" s="9">
        <v>32</v>
      </c>
      <c r="BE314" s="9" t="s">
        <v>368</v>
      </c>
      <c r="BF314" s="9">
        <v>0</v>
      </c>
    </row>
    <row r="315" spans="1:58">
      <c r="A315" s="9">
        <v>791</v>
      </c>
      <c r="B315" s="10" t="s">
        <v>76</v>
      </c>
      <c r="C315" s="10" t="s">
        <v>389</v>
      </c>
      <c r="D315" s="20" t="s">
        <v>390</v>
      </c>
      <c r="E315" s="20" t="s">
        <v>670</v>
      </c>
      <c r="F315" s="10" t="s">
        <v>389</v>
      </c>
      <c r="G315" s="20" t="s">
        <v>390</v>
      </c>
      <c r="H315" s="20" t="s">
        <v>670</v>
      </c>
      <c r="I315" s="10" t="s">
        <v>389</v>
      </c>
      <c r="J315" s="20" t="s">
        <v>392</v>
      </c>
      <c r="K315" s="20" t="s">
        <v>670</v>
      </c>
      <c r="L315" s="9" t="s">
        <v>380</v>
      </c>
      <c r="M315" s="9">
        <v>18</v>
      </c>
      <c r="N315" s="9" t="s">
        <v>381</v>
      </c>
      <c r="O315" s="9" t="s">
        <v>382</v>
      </c>
      <c r="P315" s="12">
        <v>39.147060000000003</v>
      </c>
      <c r="Q315" s="12" t="s">
        <v>355</v>
      </c>
      <c r="R315" s="9" t="s">
        <v>356</v>
      </c>
      <c r="S315" s="13" t="s">
        <v>666</v>
      </c>
      <c r="T315" s="13" t="s">
        <v>666</v>
      </c>
      <c r="U315" s="14">
        <f t="shared" si="36"/>
        <v>0.77815125038364363</v>
      </c>
      <c r="V315" s="15">
        <v>22</v>
      </c>
      <c r="W315" s="12"/>
      <c r="X315" s="12">
        <v>1</v>
      </c>
      <c r="Y315" s="13" t="s">
        <v>384</v>
      </c>
      <c r="Z315" s="9" t="s">
        <v>417</v>
      </c>
      <c r="AA315" s="10" t="s">
        <v>418</v>
      </c>
      <c r="AB315" s="9" t="s">
        <v>355</v>
      </c>
      <c r="AC315" s="15">
        <v>128</v>
      </c>
      <c r="AD315" s="14">
        <f t="shared" si="37"/>
        <v>2.1072099696478683</v>
      </c>
      <c r="AE315" s="10" t="s">
        <v>671</v>
      </c>
      <c r="AF315" s="9" t="s">
        <v>420</v>
      </c>
      <c r="AG315" s="18">
        <v>33.322764999999997</v>
      </c>
      <c r="AH315" s="7">
        <f t="shared" si="38"/>
        <v>1</v>
      </c>
      <c r="AI315" s="7">
        <f t="shared" si="39"/>
        <v>1</v>
      </c>
      <c r="AJ315" s="7">
        <f t="shared" si="40"/>
        <v>0</v>
      </c>
      <c r="AK315" s="7">
        <f t="shared" si="41"/>
        <v>0</v>
      </c>
      <c r="AL315" s="7" t="s">
        <v>4157</v>
      </c>
      <c r="AM315" s="18">
        <f t="shared" si="42"/>
        <v>1.522741030382442</v>
      </c>
      <c r="AN315" s="18">
        <v>33.322764999999997</v>
      </c>
      <c r="AO315" s="18">
        <v>-87.460397</v>
      </c>
      <c r="AP315" s="9" t="s">
        <v>363</v>
      </c>
      <c r="AQ315" s="9" t="s">
        <v>355</v>
      </c>
      <c r="AR315" s="15">
        <v>1981</v>
      </c>
      <c r="AS315" s="19" t="s">
        <v>672</v>
      </c>
      <c r="AT315" s="20" t="s">
        <v>673</v>
      </c>
      <c r="AU315" s="40">
        <v>546106</v>
      </c>
      <c r="AV315" s="35">
        <f t="shared" si="43"/>
        <v>5.737276948102247</v>
      </c>
      <c r="AW315" s="41" t="s">
        <v>366</v>
      </c>
      <c r="AX315" s="34" t="s">
        <v>355</v>
      </c>
      <c r="AY315" s="40" t="s">
        <v>355</v>
      </c>
      <c r="AZ315" s="36">
        <v>87</v>
      </c>
      <c r="BA315" s="14">
        <f t="shared" si="44"/>
        <v>1.9395192526186185</v>
      </c>
      <c r="BB315" s="37" t="s">
        <v>367</v>
      </c>
      <c r="BC315" s="20">
        <v>4.4029611844734577E-3</v>
      </c>
      <c r="BD315" s="9">
        <v>32.800000000000004</v>
      </c>
      <c r="BE315" s="9" t="s">
        <v>368</v>
      </c>
      <c r="BF315" s="9">
        <v>0</v>
      </c>
    </row>
    <row r="316" spans="1:58">
      <c r="A316" s="9">
        <v>795</v>
      </c>
      <c r="B316" s="10" t="s">
        <v>76</v>
      </c>
      <c r="C316" s="10" t="s">
        <v>389</v>
      </c>
      <c r="D316" s="20" t="s">
        <v>390</v>
      </c>
      <c r="E316" s="20" t="s">
        <v>670</v>
      </c>
      <c r="F316" s="10" t="s">
        <v>389</v>
      </c>
      <c r="G316" s="20" t="s">
        <v>390</v>
      </c>
      <c r="H316" s="20" t="s">
        <v>670</v>
      </c>
      <c r="I316" s="10" t="s">
        <v>389</v>
      </c>
      <c r="J316" s="20" t="s">
        <v>392</v>
      </c>
      <c r="K316" s="20" t="s">
        <v>670</v>
      </c>
      <c r="L316" s="9" t="s">
        <v>380</v>
      </c>
      <c r="M316" s="9">
        <v>14</v>
      </c>
      <c r="N316" s="9" t="s">
        <v>381</v>
      </c>
      <c r="O316" s="9" t="s">
        <v>382</v>
      </c>
      <c r="P316" s="12">
        <v>39.558822999999997</v>
      </c>
      <c r="Q316" s="12" t="s">
        <v>355</v>
      </c>
      <c r="R316" s="9" t="s">
        <v>356</v>
      </c>
      <c r="S316" s="13" t="s">
        <v>666</v>
      </c>
      <c r="T316" s="13" t="s">
        <v>666</v>
      </c>
      <c r="U316" s="14">
        <f t="shared" si="36"/>
        <v>0.77815125038364363</v>
      </c>
      <c r="V316" s="15">
        <v>27</v>
      </c>
      <c r="W316" s="12"/>
      <c r="X316" s="12">
        <v>1</v>
      </c>
      <c r="Y316" s="13" t="s">
        <v>384</v>
      </c>
      <c r="Z316" s="9" t="s">
        <v>417</v>
      </c>
      <c r="AA316" s="10" t="s">
        <v>418</v>
      </c>
      <c r="AB316" s="9" t="s">
        <v>355</v>
      </c>
      <c r="AC316" s="15">
        <v>128</v>
      </c>
      <c r="AD316" s="14">
        <f t="shared" si="37"/>
        <v>2.1072099696478683</v>
      </c>
      <c r="AE316" s="10" t="s">
        <v>671</v>
      </c>
      <c r="AF316" s="9" t="s">
        <v>420</v>
      </c>
      <c r="AG316" s="18">
        <v>33.322764999999997</v>
      </c>
      <c r="AH316" s="7">
        <f t="shared" si="38"/>
        <v>1</v>
      </c>
      <c r="AI316" s="7">
        <f t="shared" si="39"/>
        <v>1</v>
      </c>
      <c r="AJ316" s="7">
        <f t="shared" si="40"/>
        <v>0</v>
      </c>
      <c r="AK316" s="7">
        <f t="shared" si="41"/>
        <v>0</v>
      </c>
      <c r="AL316" s="7" t="s">
        <v>4157</v>
      </c>
      <c r="AM316" s="18">
        <f t="shared" si="42"/>
        <v>1.522741030382442</v>
      </c>
      <c r="AN316" s="18">
        <v>33.322764999999997</v>
      </c>
      <c r="AO316" s="18">
        <v>-87.460397</v>
      </c>
      <c r="AP316" s="9" t="s">
        <v>363</v>
      </c>
      <c r="AQ316" s="9" t="s">
        <v>355</v>
      </c>
      <c r="AR316" s="15">
        <v>1981</v>
      </c>
      <c r="AS316" s="19" t="s">
        <v>672</v>
      </c>
      <c r="AT316" s="20" t="s">
        <v>673</v>
      </c>
      <c r="AU316" s="40">
        <v>546106</v>
      </c>
      <c r="AV316" s="35">
        <f t="shared" si="43"/>
        <v>5.737276948102247</v>
      </c>
      <c r="AW316" s="41" t="s">
        <v>366</v>
      </c>
      <c r="AX316" s="34" t="s">
        <v>355</v>
      </c>
      <c r="AY316" s="40" t="s">
        <v>355</v>
      </c>
      <c r="AZ316" s="36">
        <v>87</v>
      </c>
      <c r="BA316" s="14">
        <f t="shared" si="44"/>
        <v>1.9395192526186185</v>
      </c>
      <c r="BB316" s="37" t="s">
        <v>367</v>
      </c>
      <c r="BC316" s="20">
        <v>4.4029611844734577E-3</v>
      </c>
      <c r="BD316" s="9">
        <v>32.800000000000004</v>
      </c>
      <c r="BE316" s="9" t="s">
        <v>368</v>
      </c>
      <c r="BF316" s="9">
        <v>0</v>
      </c>
    </row>
    <row r="317" spans="1:58">
      <c r="A317" s="9">
        <v>790</v>
      </c>
      <c r="B317" s="10" t="s">
        <v>76</v>
      </c>
      <c r="C317" s="10" t="s">
        <v>389</v>
      </c>
      <c r="D317" s="20" t="s">
        <v>390</v>
      </c>
      <c r="E317" s="20" t="s">
        <v>670</v>
      </c>
      <c r="F317" s="10" t="s">
        <v>389</v>
      </c>
      <c r="G317" s="20" t="s">
        <v>390</v>
      </c>
      <c r="H317" s="20" t="s">
        <v>670</v>
      </c>
      <c r="I317" s="10" t="s">
        <v>389</v>
      </c>
      <c r="J317" s="20" t="s">
        <v>392</v>
      </c>
      <c r="K317" s="20" t="s">
        <v>670</v>
      </c>
      <c r="L317" s="9" t="s">
        <v>380</v>
      </c>
      <c r="M317" s="9">
        <v>13</v>
      </c>
      <c r="N317" s="9" t="s">
        <v>381</v>
      </c>
      <c r="O317" s="9" t="s">
        <v>382</v>
      </c>
      <c r="P317" s="12">
        <v>39.573529999999998</v>
      </c>
      <c r="Q317" s="12" t="s">
        <v>355</v>
      </c>
      <c r="R317" s="9" t="s">
        <v>356</v>
      </c>
      <c r="S317" s="13" t="s">
        <v>666</v>
      </c>
      <c r="T317" s="13" t="s">
        <v>666</v>
      </c>
      <c r="U317" s="14">
        <f t="shared" si="36"/>
        <v>0.77815125038364363</v>
      </c>
      <c r="V317" s="15">
        <v>22</v>
      </c>
      <c r="W317" s="12"/>
      <c r="X317" s="12">
        <v>1</v>
      </c>
      <c r="Y317" s="13" t="s">
        <v>384</v>
      </c>
      <c r="Z317" s="9" t="s">
        <v>417</v>
      </c>
      <c r="AA317" s="10" t="s">
        <v>418</v>
      </c>
      <c r="AB317" s="9" t="s">
        <v>355</v>
      </c>
      <c r="AC317" s="15">
        <v>128</v>
      </c>
      <c r="AD317" s="14">
        <f t="shared" si="37"/>
        <v>2.1072099696478683</v>
      </c>
      <c r="AE317" s="10" t="s">
        <v>671</v>
      </c>
      <c r="AF317" s="9" t="s">
        <v>420</v>
      </c>
      <c r="AG317" s="18">
        <v>33.322764999999997</v>
      </c>
      <c r="AH317" s="7">
        <f t="shared" si="38"/>
        <v>1</v>
      </c>
      <c r="AI317" s="7">
        <f t="shared" si="39"/>
        <v>1</v>
      </c>
      <c r="AJ317" s="7">
        <f t="shared" si="40"/>
        <v>0</v>
      </c>
      <c r="AK317" s="7">
        <f t="shared" si="41"/>
        <v>0</v>
      </c>
      <c r="AL317" s="7" t="s">
        <v>4157</v>
      </c>
      <c r="AM317" s="18">
        <f t="shared" si="42"/>
        <v>1.522741030382442</v>
      </c>
      <c r="AN317" s="18">
        <v>33.322764999999997</v>
      </c>
      <c r="AO317" s="18">
        <v>-87.460397</v>
      </c>
      <c r="AP317" s="9" t="s">
        <v>363</v>
      </c>
      <c r="AQ317" s="9" t="s">
        <v>355</v>
      </c>
      <c r="AR317" s="15">
        <v>1981</v>
      </c>
      <c r="AS317" s="19" t="s">
        <v>672</v>
      </c>
      <c r="AT317" s="20" t="s">
        <v>673</v>
      </c>
      <c r="AU317" s="40">
        <v>546106</v>
      </c>
      <c r="AV317" s="35">
        <f t="shared" si="43"/>
        <v>5.737276948102247</v>
      </c>
      <c r="AW317" s="41" t="s">
        <v>366</v>
      </c>
      <c r="AX317" s="34" t="s">
        <v>355</v>
      </c>
      <c r="AY317" s="40" t="s">
        <v>355</v>
      </c>
      <c r="AZ317" s="36">
        <v>87</v>
      </c>
      <c r="BA317" s="14">
        <f t="shared" si="44"/>
        <v>1.9395192526186185</v>
      </c>
      <c r="BB317" s="37" t="s">
        <v>367</v>
      </c>
      <c r="BC317" s="20">
        <v>4.4029611844734577E-3</v>
      </c>
      <c r="BD317" s="9">
        <v>32.800000000000004</v>
      </c>
      <c r="BE317" s="9" t="s">
        <v>368</v>
      </c>
      <c r="BF317" s="9">
        <v>0</v>
      </c>
    </row>
    <row r="318" spans="1:58">
      <c r="A318" s="9">
        <v>789</v>
      </c>
      <c r="B318" s="10" t="s">
        <v>76</v>
      </c>
      <c r="C318" s="10" t="s">
        <v>389</v>
      </c>
      <c r="D318" s="20" t="s">
        <v>390</v>
      </c>
      <c r="E318" s="20" t="s">
        <v>670</v>
      </c>
      <c r="F318" s="10" t="s">
        <v>389</v>
      </c>
      <c r="G318" s="20" t="s">
        <v>390</v>
      </c>
      <c r="H318" s="20" t="s">
        <v>670</v>
      </c>
      <c r="I318" s="10" t="s">
        <v>389</v>
      </c>
      <c r="J318" s="20" t="s">
        <v>392</v>
      </c>
      <c r="K318" s="20" t="s">
        <v>670</v>
      </c>
      <c r="L318" s="9" t="s">
        <v>380</v>
      </c>
      <c r="M318" s="9">
        <v>13</v>
      </c>
      <c r="N318" s="9" t="s">
        <v>381</v>
      </c>
      <c r="O318" s="9" t="s">
        <v>382</v>
      </c>
      <c r="P318" s="12">
        <v>39.808822999999997</v>
      </c>
      <c r="Q318" s="12" t="s">
        <v>355</v>
      </c>
      <c r="R318" s="9" t="s">
        <v>356</v>
      </c>
      <c r="S318" s="13" t="s">
        <v>666</v>
      </c>
      <c r="T318" s="13" t="s">
        <v>666</v>
      </c>
      <c r="U318" s="14">
        <f t="shared" si="36"/>
        <v>0.77815125038364363</v>
      </c>
      <c r="V318" s="15">
        <v>22</v>
      </c>
      <c r="W318" s="12"/>
      <c r="X318" s="12">
        <v>1</v>
      </c>
      <c r="Y318" s="13" t="s">
        <v>384</v>
      </c>
      <c r="Z318" s="9" t="s">
        <v>417</v>
      </c>
      <c r="AA318" s="10" t="s">
        <v>418</v>
      </c>
      <c r="AB318" s="9" t="s">
        <v>355</v>
      </c>
      <c r="AC318" s="15">
        <v>128</v>
      </c>
      <c r="AD318" s="14">
        <f t="shared" si="37"/>
        <v>2.1072099696478683</v>
      </c>
      <c r="AE318" s="10" t="s">
        <v>671</v>
      </c>
      <c r="AF318" s="9" t="s">
        <v>420</v>
      </c>
      <c r="AG318" s="18">
        <v>33.322764999999997</v>
      </c>
      <c r="AH318" s="7">
        <f t="shared" si="38"/>
        <v>1</v>
      </c>
      <c r="AI318" s="7">
        <f t="shared" si="39"/>
        <v>1</v>
      </c>
      <c r="AJ318" s="7">
        <f t="shared" si="40"/>
        <v>0</v>
      </c>
      <c r="AK318" s="7">
        <f t="shared" si="41"/>
        <v>0</v>
      </c>
      <c r="AL318" s="7" t="s">
        <v>4157</v>
      </c>
      <c r="AM318" s="18">
        <f t="shared" si="42"/>
        <v>1.522741030382442</v>
      </c>
      <c r="AN318" s="18">
        <v>33.322764999999997</v>
      </c>
      <c r="AO318" s="18">
        <v>-87.460397</v>
      </c>
      <c r="AP318" s="9" t="s">
        <v>363</v>
      </c>
      <c r="AQ318" s="9" t="s">
        <v>355</v>
      </c>
      <c r="AR318" s="15">
        <v>1981</v>
      </c>
      <c r="AS318" s="19" t="s">
        <v>672</v>
      </c>
      <c r="AT318" s="20" t="s">
        <v>673</v>
      </c>
      <c r="AU318" s="40">
        <v>546106</v>
      </c>
      <c r="AV318" s="35">
        <f t="shared" si="43"/>
        <v>5.737276948102247</v>
      </c>
      <c r="AW318" s="41" t="s">
        <v>366</v>
      </c>
      <c r="AX318" s="34" t="s">
        <v>355</v>
      </c>
      <c r="AY318" s="40" t="s">
        <v>355</v>
      </c>
      <c r="AZ318" s="36">
        <v>87</v>
      </c>
      <c r="BA318" s="14">
        <f t="shared" si="44"/>
        <v>1.9395192526186185</v>
      </c>
      <c r="BB318" s="37" t="s">
        <v>367</v>
      </c>
      <c r="BC318" s="20">
        <v>4.4029611844734577E-3</v>
      </c>
      <c r="BD318" s="9">
        <v>32.800000000000004</v>
      </c>
      <c r="BE318" s="9" t="s">
        <v>368</v>
      </c>
      <c r="BF318" s="9">
        <v>0</v>
      </c>
    </row>
    <row r="319" spans="1:58">
      <c r="A319" s="9">
        <v>788</v>
      </c>
      <c r="B319" s="10" t="s">
        <v>76</v>
      </c>
      <c r="C319" s="10" t="s">
        <v>389</v>
      </c>
      <c r="D319" s="20" t="s">
        <v>390</v>
      </c>
      <c r="E319" s="20" t="s">
        <v>670</v>
      </c>
      <c r="F319" s="10" t="s">
        <v>389</v>
      </c>
      <c r="G319" s="20" t="s">
        <v>390</v>
      </c>
      <c r="H319" s="20" t="s">
        <v>670</v>
      </c>
      <c r="I319" s="10" t="s">
        <v>389</v>
      </c>
      <c r="J319" s="20" t="s">
        <v>392</v>
      </c>
      <c r="K319" s="20" t="s">
        <v>670</v>
      </c>
      <c r="L319" s="9" t="s">
        <v>380</v>
      </c>
      <c r="M319" s="9">
        <v>34</v>
      </c>
      <c r="N319" s="9" t="s">
        <v>381</v>
      </c>
      <c r="O319" s="9" t="s">
        <v>382</v>
      </c>
      <c r="P319" s="12">
        <v>39.970590000000001</v>
      </c>
      <c r="Q319" s="12" t="s">
        <v>355</v>
      </c>
      <c r="R319" s="9" t="s">
        <v>356</v>
      </c>
      <c r="S319" s="13" t="s">
        <v>666</v>
      </c>
      <c r="T319" s="13" t="s">
        <v>666</v>
      </c>
      <c r="U319" s="14">
        <f t="shared" si="36"/>
        <v>0.77815125038364363</v>
      </c>
      <c r="V319" s="15">
        <v>22</v>
      </c>
      <c r="W319" s="12"/>
      <c r="X319" s="12">
        <v>1</v>
      </c>
      <c r="Y319" s="13" t="s">
        <v>384</v>
      </c>
      <c r="Z319" s="9" t="s">
        <v>417</v>
      </c>
      <c r="AA319" s="10" t="s">
        <v>418</v>
      </c>
      <c r="AB319" s="9" t="s">
        <v>355</v>
      </c>
      <c r="AC319" s="15">
        <v>128</v>
      </c>
      <c r="AD319" s="14">
        <f t="shared" si="37"/>
        <v>2.1072099696478683</v>
      </c>
      <c r="AE319" s="10" t="s">
        <v>671</v>
      </c>
      <c r="AF319" s="9" t="s">
        <v>420</v>
      </c>
      <c r="AG319" s="18">
        <v>33.322764999999997</v>
      </c>
      <c r="AH319" s="7">
        <f t="shared" si="38"/>
        <v>1</v>
      </c>
      <c r="AI319" s="7">
        <f t="shared" si="39"/>
        <v>1</v>
      </c>
      <c r="AJ319" s="7">
        <f t="shared" si="40"/>
        <v>0</v>
      </c>
      <c r="AK319" s="7">
        <f t="shared" si="41"/>
        <v>0</v>
      </c>
      <c r="AL319" s="7" t="s">
        <v>4157</v>
      </c>
      <c r="AM319" s="18">
        <f t="shared" si="42"/>
        <v>1.522741030382442</v>
      </c>
      <c r="AN319" s="18">
        <v>33.322764999999997</v>
      </c>
      <c r="AO319" s="18">
        <v>-87.460397</v>
      </c>
      <c r="AP319" s="9" t="s">
        <v>363</v>
      </c>
      <c r="AQ319" s="9" t="s">
        <v>355</v>
      </c>
      <c r="AR319" s="15">
        <v>1981</v>
      </c>
      <c r="AS319" s="19" t="s">
        <v>672</v>
      </c>
      <c r="AT319" s="20" t="s">
        <v>673</v>
      </c>
      <c r="AU319" s="40">
        <v>546106</v>
      </c>
      <c r="AV319" s="35">
        <f t="shared" si="43"/>
        <v>5.737276948102247</v>
      </c>
      <c r="AW319" s="41" t="s">
        <v>366</v>
      </c>
      <c r="AX319" s="34" t="s">
        <v>355</v>
      </c>
      <c r="AY319" s="40" t="s">
        <v>355</v>
      </c>
      <c r="AZ319" s="36">
        <v>87</v>
      </c>
      <c r="BA319" s="14">
        <f t="shared" si="44"/>
        <v>1.9395192526186185</v>
      </c>
      <c r="BB319" s="37" t="s">
        <v>367</v>
      </c>
      <c r="BC319" s="20">
        <v>4.4029611844734577E-3</v>
      </c>
      <c r="BD319" s="9">
        <v>32.800000000000004</v>
      </c>
      <c r="BE319" s="9" t="s">
        <v>368</v>
      </c>
      <c r="BF319" s="9">
        <v>0</v>
      </c>
    </row>
    <row r="320" spans="1:58">
      <c r="A320" s="9">
        <v>792</v>
      </c>
      <c r="B320" s="10" t="s">
        <v>76</v>
      </c>
      <c r="C320" s="10" t="s">
        <v>389</v>
      </c>
      <c r="D320" s="20" t="s">
        <v>390</v>
      </c>
      <c r="E320" s="20" t="s">
        <v>670</v>
      </c>
      <c r="F320" s="10" t="s">
        <v>389</v>
      </c>
      <c r="G320" s="20" t="s">
        <v>390</v>
      </c>
      <c r="H320" s="20" t="s">
        <v>670</v>
      </c>
      <c r="I320" s="10" t="s">
        <v>389</v>
      </c>
      <c r="J320" s="20" t="s">
        <v>392</v>
      </c>
      <c r="K320" s="20" t="s">
        <v>670</v>
      </c>
      <c r="L320" s="9" t="s">
        <v>380</v>
      </c>
      <c r="M320" s="9">
        <v>25</v>
      </c>
      <c r="N320" s="9" t="s">
        <v>381</v>
      </c>
      <c r="O320" s="9" t="s">
        <v>382</v>
      </c>
      <c r="P320" s="12">
        <v>40.235294000000003</v>
      </c>
      <c r="Q320" s="12" t="s">
        <v>355</v>
      </c>
      <c r="R320" s="9" t="s">
        <v>356</v>
      </c>
      <c r="S320" s="13" t="s">
        <v>666</v>
      </c>
      <c r="T320" s="13" t="s">
        <v>666</v>
      </c>
      <c r="U320" s="14">
        <f t="shared" si="36"/>
        <v>0.77815125038364363</v>
      </c>
      <c r="V320" s="15">
        <v>27</v>
      </c>
      <c r="W320" s="12"/>
      <c r="X320" s="12">
        <v>1</v>
      </c>
      <c r="Y320" s="13" t="s">
        <v>384</v>
      </c>
      <c r="Z320" s="9" t="s">
        <v>417</v>
      </c>
      <c r="AA320" s="10" t="s">
        <v>418</v>
      </c>
      <c r="AB320" s="9" t="s">
        <v>355</v>
      </c>
      <c r="AC320" s="15">
        <v>128</v>
      </c>
      <c r="AD320" s="14">
        <f t="shared" si="37"/>
        <v>2.1072099696478683</v>
      </c>
      <c r="AE320" s="10" t="s">
        <v>671</v>
      </c>
      <c r="AF320" s="9" t="s">
        <v>420</v>
      </c>
      <c r="AG320" s="18">
        <v>33.322764999999997</v>
      </c>
      <c r="AH320" s="7">
        <f t="shared" si="38"/>
        <v>1</v>
      </c>
      <c r="AI320" s="7">
        <f t="shared" si="39"/>
        <v>1</v>
      </c>
      <c r="AJ320" s="7">
        <f t="shared" si="40"/>
        <v>0</v>
      </c>
      <c r="AK320" s="7">
        <f t="shared" si="41"/>
        <v>0</v>
      </c>
      <c r="AL320" s="7" t="s">
        <v>4157</v>
      </c>
      <c r="AM320" s="18">
        <f t="shared" si="42"/>
        <v>1.522741030382442</v>
      </c>
      <c r="AN320" s="18">
        <v>33.322764999999997</v>
      </c>
      <c r="AO320" s="18">
        <v>-87.460397</v>
      </c>
      <c r="AP320" s="9" t="s">
        <v>363</v>
      </c>
      <c r="AQ320" s="9" t="s">
        <v>355</v>
      </c>
      <c r="AR320" s="15">
        <v>1981</v>
      </c>
      <c r="AS320" s="19" t="s">
        <v>672</v>
      </c>
      <c r="AT320" s="20" t="s">
        <v>673</v>
      </c>
      <c r="AU320" s="40">
        <v>546106</v>
      </c>
      <c r="AV320" s="35">
        <f t="shared" si="43"/>
        <v>5.737276948102247</v>
      </c>
      <c r="AW320" s="41" t="s">
        <v>366</v>
      </c>
      <c r="AX320" s="34" t="s">
        <v>355</v>
      </c>
      <c r="AY320" s="40" t="s">
        <v>355</v>
      </c>
      <c r="AZ320" s="36">
        <v>87</v>
      </c>
      <c r="BA320" s="14">
        <f t="shared" si="44"/>
        <v>1.9395192526186185</v>
      </c>
      <c r="BB320" s="37" t="s">
        <v>367</v>
      </c>
      <c r="BC320" s="20">
        <v>4.4029611844734577E-3</v>
      </c>
      <c r="BD320" s="9">
        <v>32.800000000000004</v>
      </c>
      <c r="BE320" s="9" t="s">
        <v>368</v>
      </c>
      <c r="BF320" s="9">
        <v>0</v>
      </c>
    </row>
    <row r="321" spans="1:58">
      <c r="A321" s="9">
        <v>794</v>
      </c>
      <c r="B321" s="10" t="s">
        <v>76</v>
      </c>
      <c r="C321" s="10" t="s">
        <v>389</v>
      </c>
      <c r="D321" s="20" t="s">
        <v>390</v>
      </c>
      <c r="E321" s="20" t="s">
        <v>670</v>
      </c>
      <c r="F321" s="10" t="s">
        <v>389</v>
      </c>
      <c r="G321" s="20" t="s">
        <v>390</v>
      </c>
      <c r="H321" s="20" t="s">
        <v>670</v>
      </c>
      <c r="I321" s="10" t="s">
        <v>389</v>
      </c>
      <c r="J321" s="20" t="s">
        <v>392</v>
      </c>
      <c r="K321" s="20" t="s">
        <v>670</v>
      </c>
      <c r="L321" s="9" t="s">
        <v>380</v>
      </c>
      <c r="M321" s="9">
        <v>17</v>
      </c>
      <c r="N321" s="9" t="s">
        <v>381</v>
      </c>
      <c r="O321" s="9" t="s">
        <v>382</v>
      </c>
      <c r="P321" s="12">
        <v>40.264705999999997</v>
      </c>
      <c r="Q321" s="12" t="s">
        <v>355</v>
      </c>
      <c r="R321" s="9" t="s">
        <v>356</v>
      </c>
      <c r="S321" s="13" t="s">
        <v>666</v>
      </c>
      <c r="T321" s="13" t="s">
        <v>666</v>
      </c>
      <c r="U321" s="14">
        <f t="shared" si="36"/>
        <v>0.77815125038364363</v>
      </c>
      <c r="V321" s="15">
        <v>27</v>
      </c>
      <c r="W321" s="12"/>
      <c r="X321" s="12">
        <v>1</v>
      </c>
      <c r="Y321" s="13" t="s">
        <v>384</v>
      </c>
      <c r="Z321" s="9" t="s">
        <v>417</v>
      </c>
      <c r="AA321" s="10" t="s">
        <v>418</v>
      </c>
      <c r="AB321" s="9" t="s">
        <v>355</v>
      </c>
      <c r="AC321" s="15">
        <v>128</v>
      </c>
      <c r="AD321" s="14">
        <f t="shared" si="37"/>
        <v>2.1072099696478683</v>
      </c>
      <c r="AE321" s="10" t="s">
        <v>671</v>
      </c>
      <c r="AF321" s="9" t="s">
        <v>420</v>
      </c>
      <c r="AG321" s="18">
        <v>33.322764999999997</v>
      </c>
      <c r="AH321" s="7">
        <f t="shared" si="38"/>
        <v>1</v>
      </c>
      <c r="AI321" s="7">
        <f t="shared" si="39"/>
        <v>1</v>
      </c>
      <c r="AJ321" s="7">
        <f t="shared" si="40"/>
        <v>0</v>
      </c>
      <c r="AK321" s="7">
        <f t="shared" si="41"/>
        <v>0</v>
      </c>
      <c r="AL321" s="7" t="s">
        <v>4157</v>
      </c>
      <c r="AM321" s="18">
        <f t="shared" si="42"/>
        <v>1.522741030382442</v>
      </c>
      <c r="AN321" s="18">
        <v>33.322764999999997</v>
      </c>
      <c r="AO321" s="18">
        <v>-87.460397</v>
      </c>
      <c r="AP321" s="9" t="s">
        <v>363</v>
      </c>
      <c r="AQ321" s="9" t="s">
        <v>355</v>
      </c>
      <c r="AR321" s="15">
        <v>1981</v>
      </c>
      <c r="AS321" s="19" t="s">
        <v>672</v>
      </c>
      <c r="AT321" s="20" t="s">
        <v>673</v>
      </c>
      <c r="AU321" s="40">
        <v>546106</v>
      </c>
      <c r="AV321" s="35">
        <f t="shared" si="43"/>
        <v>5.737276948102247</v>
      </c>
      <c r="AW321" s="41" t="s">
        <v>366</v>
      </c>
      <c r="AX321" s="34" t="s">
        <v>355</v>
      </c>
      <c r="AY321" s="40" t="s">
        <v>355</v>
      </c>
      <c r="AZ321" s="36">
        <v>87</v>
      </c>
      <c r="BA321" s="14">
        <f t="shared" si="44"/>
        <v>1.9395192526186185</v>
      </c>
      <c r="BB321" s="37" t="s">
        <v>367</v>
      </c>
      <c r="BC321" s="20">
        <v>4.4029611844734577E-3</v>
      </c>
      <c r="BD321" s="9">
        <v>32.800000000000004</v>
      </c>
      <c r="BE321" s="9" t="s">
        <v>368</v>
      </c>
      <c r="BF321" s="9">
        <v>0</v>
      </c>
    </row>
    <row r="322" spans="1:58">
      <c r="A322" s="9">
        <v>793</v>
      </c>
      <c r="B322" s="10" t="s">
        <v>76</v>
      </c>
      <c r="C322" s="10" t="s">
        <v>389</v>
      </c>
      <c r="D322" s="20" t="s">
        <v>390</v>
      </c>
      <c r="E322" s="20" t="s">
        <v>670</v>
      </c>
      <c r="F322" s="10" t="s">
        <v>389</v>
      </c>
      <c r="G322" s="20" t="s">
        <v>390</v>
      </c>
      <c r="H322" s="20" t="s">
        <v>670</v>
      </c>
      <c r="I322" s="10" t="s">
        <v>389</v>
      </c>
      <c r="J322" s="20" t="s">
        <v>392</v>
      </c>
      <c r="K322" s="20" t="s">
        <v>670</v>
      </c>
      <c r="L322" s="9" t="s">
        <v>380</v>
      </c>
      <c r="M322" s="9">
        <v>27</v>
      </c>
      <c r="N322" s="9" t="s">
        <v>381</v>
      </c>
      <c r="O322" s="9" t="s">
        <v>382</v>
      </c>
      <c r="P322" s="12">
        <v>40.617645000000003</v>
      </c>
      <c r="Q322" s="12" t="s">
        <v>355</v>
      </c>
      <c r="R322" s="9" t="s">
        <v>356</v>
      </c>
      <c r="S322" s="13" t="s">
        <v>666</v>
      </c>
      <c r="T322" s="13" t="s">
        <v>666</v>
      </c>
      <c r="U322" s="14">
        <f t="shared" si="36"/>
        <v>0.77815125038364363</v>
      </c>
      <c r="V322" s="15">
        <v>27</v>
      </c>
      <c r="W322" s="12"/>
      <c r="X322" s="12">
        <v>1</v>
      </c>
      <c r="Y322" s="13" t="s">
        <v>384</v>
      </c>
      <c r="Z322" s="9" t="s">
        <v>417</v>
      </c>
      <c r="AA322" s="10" t="s">
        <v>418</v>
      </c>
      <c r="AB322" s="9" t="s">
        <v>355</v>
      </c>
      <c r="AC322" s="15">
        <v>128</v>
      </c>
      <c r="AD322" s="14">
        <f t="shared" si="37"/>
        <v>2.1072099696478683</v>
      </c>
      <c r="AE322" s="10" t="s">
        <v>671</v>
      </c>
      <c r="AF322" s="9" t="s">
        <v>420</v>
      </c>
      <c r="AG322" s="18">
        <v>33.322764999999997</v>
      </c>
      <c r="AH322" s="7">
        <f t="shared" si="38"/>
        <v>1</v>
      </c>
      <c r="AI322" s="7">
        <f t="shared" si="39"/>
        <v>1</v>
      </c>
      <c r="AJ322" s="7">
        <f t="shared" si="40"/>
        <v>0</v>
      </c>
      <c r="AK322" s="7">
        <f t="shared" si="41"/>
        <v>0</v>
      </c>
      <c r="AL322" s="7" t="s">
        <v>4157</v>
      </c>
      <c r="AM322" s="18">
        <f t="shared" si="42"/>
        <v>1.522741030382442</v>
      </c>
      <c r="AN322" s="18">
        <v>33.322764999999997</v>
      </c>
      <c r="AO322" s="18">
        <v>-87.460397</v>
      </c>
      <c r="AP322" s="9" t="s">
        <v>363</v>
      </c>
      <c r="AQ322" s="9" t="s">
        <v>355</v>
      </c>
      <c r="AR322" s="15">
        <v>1981</v>
      </c>
      <c r="AS322" s="19" t="s">
        <v>672</v>
      </c>
      <c r="AT322" s="20" t="s">
        <v>673</v>
      </c>
      <c r="AU322" s="40">
        <v>546106</v>
      </c>
      <c r="AV322" s="35">
        <f t="shared" si="43"/>
        <v>5.737276948102247</v>
      </c>
      <c r="AW322" s="41" t="s">
        <v>366</v>
      </c>
      <c r="AX322" s="34" t="s">
        <v>355</v>
      </c>
      <c r="AY322" s="40" t="s">
        <v>355</v>
      </c>
      <c r="AZ322" s="36">
        <v>87</v>
      </c>
      <c r="BA322" s="14">
        <f t="shared" si="44"/>
        <v>1.9395192526186185</v>
      </c>
      <c r="BB322" s="37" t="s">
        <v>367</v>
      </c>
      <c r="BC322" s="20">
        <v>4.4029611844734577E-3</v>
      </c>
      <c r="BD322" s="9">
        <v>32.800000000000004</v>
      </c>
      <c r="BE322" s="9" t="s">
        <v>368</v>
      </c>
      <c r="BF322" s="9">
        <v>0</v>
      </c>
    </row>
    <row r="323" spans="1:58">
      <c r="A323" s="9">
        <v>799</v>
      </c>
      <c r="B323" s="10" t="s">
        <v>76</v>
      </c>
      <c r="C323" s="10" t="s">
        <v>389</v>
      </c>
      <c r="D323" s="20" t="s">
        <v>390</v>
      </c>
      <c r="E323" s="20" t="s">
        <v>670</v>
      </c>
      <c r="F323" s="10" t="s">
        <v>389</v>
      </c>
      <c r="G323" s="20" t="s">
        <v>390</v>
      </c>
      <c r="H323" s="20" t="s">
        <v>670</v>
      </c>
      <c r="I323" s="10" t="s">
        <v>389</v>
      </c>
      <c r="J323" s="20" t="s">
        <v>392</v>
      </c>
      <c r="K323" s="20" t="s">
        <v>670</v>
      </c>
      <c r="L323" s="9" t="s">
        <v>380</v>
      </c>
      <c r="M323" s="9">
        <v>12</v>
      </c>
      <c r="N323" s="9" t="s">
        <v>381</v>
      </c>
      <c r="O323" s="9" t="s">
        <v>382</v>
      </c>
      <c r="P323" s="12">
        <v>41.264705999999997</v>
      </c>
      <c r="Q323" s="12" t="s">
        <v>355</v>
      </c>
      <c r="R323" s="9" t="s">
        <v>356</v>
      </c>
      <c r="S323" s="13" t="s">
        <v>666</v>
      </c>
      <c r="T323" s="13" t="s">
        <v>666</v>
      </c>
      <c r="U323" s="14">
        <f t="shared" si="36"/>
        <v>0.77815125038364363</v>
      </c>
      <c r="V323" s="15">
        <v>32</v>
      </c>
      <c r="W323" s="12"/>
      <c r="X323" s="12">
        <v>1</v>
      </c>
      <c r="Y323" s="13" t="s">
        <v>384</v>
      </c>
      <c r="Z323" s="9" t="s">
        <v>417</v>
      </c>
      <c r="AA323" s="10" t="s">
        <v>418</v>
      </c>
      <c r="AB323" s="9" t="s">
        <v>355</v>
      </c>
      <c r="AC323" s="15">
        <v>128</v>
      </c>
      <c r="AD323" s="14">
        <f t="shared" si="37"/>
        <v>2.1072099696478683</v>
      </c>
      <c r="AE323" s="10" t="s">
        <v>671</v>
      </c>
      <c r="AF323" s="9" t="s">
        <v>420</v>
      </c>
      <c r="AG323" s="18">
        <v>33.322764999999997</v>
      </c>
      <c r="AH323" s="7">
        <f t="shared" si="38"/>
        <v>1</v>
      </c>
      <c r="AI323" s="7">
        <f t="shared" si="39"/>
        <v>1</v>
      </c>
      <c r="AJ323" s="7">
        <f t="shared" si="40"/>
        <v>0</v>
      </c>
      <c r="AK323" s="7">
        <f t="shared" si="41"/>
        <v>0</v>
      </c>
      <c r="AL323" s="7" t="s">
        <v>4157</v>
      </c>
      <c r="AM323" s="18">
        <f t="shared" si="42"/>
        <v>1.522741030382442</v>
      </c>
      <c r="AN323" s="18">
        <v>33.322764999999997</v>
      </c>
      <c r="AO323" s="18">
        <v>-87.460397</v>
      </c>
      <c r="AP323" s="9" t="s">
        <v>363</v>
      </c>
      <c r="AQ323" s="9" t="s">
        <v>355</v>
      </c>
      <c r="AR323" s="15">
        <v>1981</v>
      </c>
      <c r="AS323" s="19" t="s">
        <v>672</v>
      </c>
      <c r="AT323" s="20" t="s">
        <v>673</v>
      </c>
      <c r="AU323" s="40">
        <v>546106</v>
      </c>
      <c r="AV323" s="35">
        <f t="shared" si="43"/>
        <v>5.737276948102247</v>
      </c>
      <c r="AW323" s="41" t="s">
        <v>366</v>
      </c>
      <c r="AX323" s="34" t="s">
        <v>355</v>
      </c>
      <c r="AY323" s="40" t="s">
        <v>355</v>
      </c>
      <c r="AZ323" s="36">
        <v>87</v>
      </c>
      <c r="BA323" s="14">
        <f t="shared" si="44"/>
        <v>1.9395192526186185</v>
      </c>
      <c r="BB323" s="37" t="s">
        <v>367</v>
      </c>
      <c r="BC323" s="20">
        <v>4.4029611844734577E-3</v>
      </c>
      <c r="BD323" s="9">
        <v>32.800000000000004</v>
      </c>
      <c r="BE323" s="9" t="s">
        <v>368</v>
      </c>
      <c r="BF323" s="9">
        <v>0</v>
      </c>
    </row>
    <row r="324" spans="1:58">
      <c r="A324" s="9">
        <v>798</v>
      </c>
      <c r="B324" s="10" t="s">
        <v>76</v>
      </c>
      <c r="C324" s="10" t="s">
        <v>389</v>
      </c>
      <c r="D324" s="20" t="s">
        <v>390</v>
      </c>
      <c r="E324" s="20" t="s">
        <v>670</v>
      </c>
      <c r="F324" s="10" t="s">
        <v>389</v>
      </c>
      <c r="G324" s="20" t="s">
        <v>390</v>
      </c>
      <c r="H324" s="20" t="s">
        <v>670</v>
      </c>
      <c r="I324" s="10" t="s">
        <v>389</v>
      </c>
      <c r="J324" s="20" t="s">
        <v>392</v>
      </c>
      <c r="K324" s="20" t="s">
        <v>670</v>
      </c>
      <c r="L324" s="9" t="s">
        <v>380</v>
      </c>
      <c r="M324" s="9">
        <v>15</v>
      </c>
      <c r="N324" s="9" t="s">
        <v>381</v>
      </c>
      <c r="O324" s="9" t="s">
        <v>382</v>
      </c>
      <c r="P324" s="12">
        <v>41.691177000000003</v>
      </c>
      <c r="Q324" s="12" t="s">
        <v>355</v>
      </c>
      <c r="R324" s="9" t="s">
        <v>356</v>
      </c>
      <c r="S324" s="13" t="s">
        <v>666</v>
      </c>
      <c r="T324" s="13" t="s">
        <v>666</v>
      </c>
      <c r="U324" s="14">
        <f t="shared" si="36"/>
        <v>0.77815125038364363</v>
      </c>
      <c r="V324" s="15">
        <v>32</v>
      </c>
      <c r="W324" s="12"/>
      <c r="X324" s="12">
        <v>1</v>
      </c>
      <c r="Y324" s="13" t="s">
        <v>384</v>
      </c>
      <c r="Z324" s="9" t="s">
        <v>417</v>
      </c>
      <c r="AA324" s="10" t="s">
        <v>418</v>
      </c>
      <c r="AB324" s="9" t="s">
        <v>355</v>
      </c>
      <c r="AC324" s="15">
        <v>128</v>
      </c>
      <c r="AD324" s="14">
        <f t="shared" si="37"/>
        <v>2.1072099696478683</v>
      </c>
      <c r="AE324" s="10" t="s">
        <v>671</v>
      </c>
      <c r="AF324" s="9" t="s">
        <v>420</v>
      </c>
      <c r="AG324" s="18">
        <v>33.322764999999997</v>
      </c>
      <c r="AH324" s="7">
        <f t="shared" si="38"/>
        <v>1</v>
      </c>
      <c r="AI324" s="7">
        <f t="shared" si="39"/>
        <v>1</v>
      </c>
      <c r="AJ324" s="7">
        <f t="shared" si="40"/>
        <v>0</v>
      </c>
      <c r="AK324" s="7">
        <f t="shared" si="41"/>
        <v>0</v>
      </c>
      <c r="AL324" s="7" t="s">
        <v>4157</v>
      </c>
      <c r="AM324" s="18">
        <f t="shared" si="42"/>
        <v>1.522741030382442</v>
      </c>
      <c r="AN324" s="18">
        <v>33.322764999999997</v>
      </c>
      <c r="AO324" s="18">
        <v>-87.460397</v>
      </c>
      <c r="AP324" s="9" t="s">
        <v>363</v>
      </c>
      <c r="AQ324" s="9" t="s">
        <v>355</v>
      </c>
      <c r="AR324" s="15">
        <v>1981</v>
      </c>
      <c r="AS324" s="19" t="s">
        <v>672</v>
      </c>
      <c r="AT324" s="20" t="s">
        <v>673</v>
      </c>
      <c r="AU324" s="40">
        <v>546106</v>
      </c>
      <c r="AV324" s="35">
        <f t="shared" si="43"/>
        <v>5.737276948102247</v>
      </c>
      <c r="AW324" s="41" t="s">
        <v>366</v>
      </c>
      <c r="AX324" s="34" t="s">
        <v>355</v>
      </c>
      <c r="AY324" s="40" t="s">
        <v>355</v>
      </c>
      <c r="AZ324" s="36">
        <v>87</v>
      </c>
      <c r="BA324" s="14">
        <f t="shared" si="44"/>
        <v>1.9395192526186185</v>
      </c>
      <c r="BB324" s="37" t="s">
        <v>367</v>
      </c>
      <c r="BC324" s="20">
        <v>4.4029611844734577E-3</v>
      </c>
      <c r="BD324" s="9">
        <v>32.800000000000004</v>
      </c>
      <c r="BE324" s="9" t="s">
        <v>368</v>
      </c>
      <c r="BF324" s="9">
        <v>0</v>
      </c>
    </row>
    <row r="325" spans="1:58">
      <c r="A325" s="9">
        <v>797</v>
      </c>
      <c r="B325" s="10" t="s">
        <v>76</v>
      </c>
      <c r="C325" s="10" t="s">
        <v>389</v>
      </c>
      <c r="D325" s="20" t="s">
        <v>390</v>
      </c>
      <c r="E325" s="20" t="s">
        <v>670</v>
      </c>
      <c r="F325" s="10" t="s">
        <v>389</v>
      </c>
      <c r="G325" s="20" t="s">
        <v>390</v>
      </c>
      <c r="H325" s="20" t="s">
        <v>670</v>
      </c>
      <c r="I325" s="10" t="s">
        <v>389</v>
      </c>
      <c r="J325" s="20" t="s">
        <v>392</v>
      </c>
      <c r="K325" s="20" t="s">
        <v>670</v>
      </c>
      <c r="L325" s="9" t="s">
        <v>380</v>
      </c>
      <c r="M325" s="9">
        <v>21</v>
      </c>
      <c r="N325" s="9" t="s">
        <v>381</v>
      </c>
      <c r="O325" s="9" t="s">
        <v>382</v>
      </c>
      <c r="P325" s="12">
        <v>41.720590000000001</v>
      </c>
      <c r="Q325" s="12" t="s">
        <v>355</v>
      </c>
      <c r="R325" s="9" t="s">
        <v>356</v>
      </c>
      <c r="S325" s="13" t="s">
        <v>666</v>
      </c>
      <c r="T325" s="13" t="s">
        <v>666</v>
      </c>
      <c r="U325" s="14">
        <f t="shared" ref="U325:U388" si="45">LOG(T325+1)</f>
        <v>0.77815125038364363</v>
      </c>
      <c r="V325" s="15">
        <v>32</v>
      </c>
      <c r="W325" s="12"/>
      <c r="X325" s="12">
        <v>1</v>
      </c>
      <c r="Y325" s="13" t="s">
        <v>384</v>
      </c>
      <c r="Z325" s="9" t="s">
        <v>417</v>
      </c>
      <c r="AA325" s="10" t="s">
        <v>418</v>
      </c>
      <c r="AB325" s="9" t="s">
        <v>355</v>
      </c>
      <c r="AC325" s="15">
        <v>128</v>
      </c>
      <c r="AD325" s="14">
        <f t="shared" ref="AD325:AD388" si="46">LOG(AC325)</f>
        <v>2.1072099696478683</v>
      </c>
      <c r="AE325" s="10" t="s">
        <v>671</v>
      </c>
      <c r="AF325" s="9" t="s">
        <v>420</v>
      </c>
      <c r="AG325" s="18">
        <v>33.322764999999997</v>
      </c>
      <c r="AH325" s="7">
        <f t="shared" ref="AH325:AH388" si="47">IF(AG325&gt;15,1,0)</f>
        <v>1</v>
      </c>
      <c r="AI325" s="7">
        <f t="shared" ref="AI325:AI388" si="48">IF(AG325&gt;30,1,0)</f>
        <v>1</v>
      </c>
      <c r="AJ325" s="7">
        <f t="shared" ref="AJ325:AJ388" si="49">IF(AG325&gt;45,1,0)</f>
        <v>0</v>
      </c>
      <c r="AK325" s="7">
        <f t="shared" ref="AK325:AK388" si="50">IF(AG325&gt;60,1,0)</f>
        <v>0</v>
      </c>
      <c r="AL325" s="7" t="s">
        <v>4157</v>
      </c>
      <c r="AM325" s="18">
        <f t="shared" ref="AM325:AM388" si="51">LOG(AG325)</f>
        <v>1.522741030382442</v>
      </c>
      <c r="AN325" s="18">
        <v>33.322764999999997</v>
      </c>
      <c r="AO325" s="18">
        <v>-87.460397</v>
      </c>
      <c r="AP325" s="9" t="s">
        <v>363</v>
      </c>
      <c r="AQ325" s="9" t="s">
        <v>355</v>
      </c>
      <c r="AR325" s="15">
        <v>1981</v>
      </c>
      <c r="AS325" s="19" t="s">
        <v>672</v>
      </c>
      <c r="AT325" s="20" t="s">
        <v>673</v>
      </c>
      <c r="AU325" s="40">
        <v>546106</v>
      </c>
      <c r="AV325" s="35">
        <f t="shared" ref="AV325:AV388" si="52">LOG(AU325)</f>
        <v>5.737276948102247</v>
      </c>
      <c r="AW325" s="41" t="s">
        <v>366</v>
      </c>
      <c r="AX325" s="34" t="s">
        <v>355</v>
      </c>
      <c r="AY325" s="40" t="s">
        <v>355</v>
      </c>
      <c r="AZ325" s="36">
        <v>87</v>
      </c>
      <c r="BA325" s="14">
        <f t="shared" ref="BA325:BA388" si="53">LOG(AZ325)</f>
        <v>1.9395192526186185</v>
      </c>
      <c r="BB325" s="37" t="s">
        <v>367</v>
      </c>
      <c r="BC325" s="20">
        <v>4.4029611844734577E-3</v>
      </c>
      <c r="BD325" s="9">
        <v>32.800000000000004</v>
      </c>
      <c r="BE325" s="9" t="s">
        <v>368</v>
      </c>
      <c r="BF325" s="9">
        <v>0</v>
      </c>
    </row>
    <row r="326" spans="1:58">
      <c r="A326" s="9">
        <v>796</v>
      </c>
      <c r="B326" s="10" t="s">
        <v>76</v>
      </c>
      <c r="C326" s="10" t="s">
        <v>389</v>
      </c>
      <c r="D326" s="20" t="s">
        <v>390</v>
      </c>
      <c r="E326" s="20" t="s">
        <v>670</v>
      </c>
      <c r="F326" s="10" t="s">
        <v>389</v>
      </c>
      <c r="G326" s="20" t="s">
        <v>390</v>
      </c>
      <c r="H326" s="20" t="s">
        <v>670</v>
      </c>
      <c r="I326" s="10" t="s">
        <v>389</v>
      </c>
      <c r="J326" s="20" t="s">
        <v>392</v>
      </c>
      <c r="K326" s="20" t="s">
        <v>670</v>
      </c>
      <c r="L326" s="9" t="s">
        <v>380</v>
      </c>
      <c r="M326" s="9">
        <v>17</v>
      </c>
      <c r="N326" s="9" t="s">
        <v>381</v>
      </c>
      <c r="O326" s="9" t="s">
        <v>382</v>
      </c>
      <c r="P326" s="12">
        <v>41.779409999999999</v>
      </c>
      <c r="Q326" s="12" t="s">
        <v>355</v>
      </c>
      <c r="R326" s="9" t="s">
        <v>356</v>
      </c>
      <c r="S326" s="13" t="s">
        <v>666</v>
      </c>
      <c r="T326" s="13" t="s">
        <v>666</v>
      </c>
      <c r="U326" s="14">
        <f t="shared" si="45"/>
        <v>0.77815125038364363</v>
      </c>
      <c r="V326" s="15">
        <v>32</v>
      </c>
      <c r="W326" s="12"/>
      <c r="X326" s="12">
        <v>1</v>
      </c>
      <c r="Y326" s="13" t="s">
        <v>384</v>
      </c>
      <c r="Z326" s="9" t="s">
        <v>417</v>
      </c>
      <c r="AA326" s="10" t="s">
        <v>418</v>
      </c>
      <c r="AB326" s="9" t="s">
        <v>355</v>
      </c>
      <c r="AC326" s="15">
        <v>128</v>
      </c>
      <c r="AD326" s="14">
        <f t="shared" si="46"/>
        <v>2.1072099696478683</v>
      </c>
      <c r="AE326" s="10" t="s">
        <v>671</v>
      </c>
      <c r="AF326" s="9" t="s">
        <v>420</v>
      </c>
      <c r="AG326" s="18">
        <v>33.322764999999997</v>
      </c>
      <c r="AH326" s="7">
        <f t="shared" si="47"/>
        <v>1</v>
      </c>
      <c r="AI326" s="7">
        <f t="shared" si="48"/>
        <v>1</v>
      </c>
      <c r="AJ326" s="7">
        <f t="shared" si="49"/>
        <v>0</v>
      </c>
      <c r="AK326" s="7">
        <f t="shared" si="50"/>
        <v>0</v>
      </c>
      <c r="AL326" s="7" t="s">
        <v>4157</v>
      </c>
      <c r="AM326" s="18">
        <f t="shared" si="51"/>
        <v>1.522741030382442</v>
      </c>
      <c r="AN326" s="18">
        <v>33.322764999999997</v>
      </c>
      <c r="AO326" s="18">
        <v>-87.460397</v>
      </c>
      <c r="AP326" s="9" t="s">
        <v>363</v>
      </c>
      <c r="AQ326" s="9" t="s">
        <v>355</v>
      </c>
      <c r="AR326" s="15">
        <v>1981</v>
      </c>
      <c r="AS326" s="19" t="s">
        <v>672</v>
      </c>
      <c r="AT326" s="20" t="s">
        <v>673</v>
      </c>
      <c r="AU326" s="40">
        <v>546106</v>
      </c>
      <c r="AV326" s="35">
        <f t="shared" si="52"/>
        <v>5.737276948102247</v>
      </c>
      <c r="AW326" s="41" t="s">
        <v>366</v>
      </c>
      <c r="AX326" s="34" t="s">
        <v>355</v>
      </c>
      <c r="AY326" s="40" t="s">
        <v>355</v>
      </c>
      <c r="AZ326" s="36">
        <v>87</v>
      </c>
      <c r="BA326" s="14">
        <f t="shared" si="53"/>
        <v>1.9395192526186185</v>
      </c>
      <c r="BB326" s="37" t="s">
        <v>367</v>
      </c>
      <c r="BC326" s="20">
        <v>4.4029611844734577E-3</v>
      </c>
      <c r="BD326" s="9">
        <v>32.800000000000004</v>
      </c>
      <c r="BE326" s="9" t="s">
        <v>368</v>
      </c>
      <c r="BF326" s="9">
        <v>0</v>
      </c>
    </row>
    <row r="327" spans="1:58">
      <c r="A327" s="9">
        <v>513</v>
      </c>
      <c r="B327" s="10" t="s">
        <v>76</v>
      </c>
      <c r="C327" s="10" t="s">
        <v>389</v>
      </c>
      <c r="D327" s="20" t="s">
        <v>390</v>
      </c>
      <c r="E327" s="20" t="s">
        <v>447</v>
      </c>
      <c r="F327" s="10" t="s">
        <v>389</v>
      </c>
      <c r="G327" s="20" t="s">
        <v>390</v>
      </c>
      <c r="H327" s="20" t="s">
        <v>447</v>
      </c>
      <c r="I327" s="10" t="s">
        <v>389</v>
      </c>
      <c r="J327" s="20" t="s">
        <v>392</v>
      </c>
      <c r="K327" s="20" t="s">
        <v>447</v>
      </c>
      <c r="L327" s="9" t="s">
        <v>380</v>
      </c>
      <c r="M327" s="9">
        <v>5</v>
      </c>
      <c r="N327" s="9" t="s">
        <v>353</v>
      </c>
      <c r="O327" s="9" t="s">
        <v>382</v>
      </c>
      <c r="P327" s="12">
        <v>39.808979999999998</v>
      </c>
      <c r="Q327" s="12" t="s">
        <v>355</v>
      </c>
      <c r="R327" s="9" t="s">
        <v>356</v>
      </c>
      <c r="S327" s="13">
        <v>5</v>
      </c>
      <c r="T327" s="13">
        <v>5</v>
      </c>
      <c r="U327" s="14">
        <f t="shared" si="45"/>
        <v>0.77815125038364363</v>
      </c>
      <c r="V327" s="15">
        <v>10</v>
      </c>
      <c r="W327" s="12"/>
      <c r="X327" s="12">
        <v>0.7</v>
      </c>
      <c r="Y327" s="13" t="s">
        <v>358</v>
      </c>
      <c r="Z327" s="9" t="s">
        <v>359</v>
      </c>
      <c r="AA327" s="10" t="s">
        <v>436</v>
      </c>
      <c r="AB327" s="9" t="s">
        <v>355</v>
      </c>
      <c r="AC327" s="15">
        <v>213</v>
      </c>
      <c r="AD327" s="14">
        <f t="shared" si="46"/>
        <v>2.3283796034387376</v>
      </c>
      <c r="AE327" s="10" t="s">
        <v>437</v>
      </c>
      <c r="AF327" s="9" t="s">
        <v>420</v>
      </c>
      <c r="AG327" s="18">
        <v>34.683438000000002</v>
      </c>
      <c r="AH327" s="7">
        <f t="shared" si="47"/>
        <v>1</v>
      </c>
      <c r="AI327" s="7">
        <f t="shared" si="48"/>
        <v>1</v>
      </c>
      <c r="AJ327" s="7">
        <f t="shared" si="49"/>
        <v>0</v>
      </c>
      <c r="AK327" s="7">
        <f t="shared" si="50"/>
        <v>0</v>
      </c>
      <c r="AL327" s="7" t="s">
        <v>4157</v>
      </c>
      <c r="AM327" s="18">
        <f t="shared" si="51"/>
        <v>1.5401221404311698</v>
      </c>
      <c r="AN327" s="18">
        <v>34.683438000000002</v>
      </c>
      <c r="AO327" s="18">
        <v>-82.837365000000005</v>
      </c>
      <c r="AP327" s="9" t="s">
        <v>363</v>
      </c>
      <c r="AQ327" s="9" t="s">
        <v>438</v>
      </c>
      <c r="AR327" s="15">
        <v>1980</v>
      </c>
      <c r="AS327" s="19" t="s">
        <v>439</v>
      </c>
      <c r="AT327" s="20" t="s">
        <v>440</v>
      </c>
      <c r="AU327" s="40">
        <v>3240610</v>
      </c>
      <c r="AV327" s="35">
        <f t="shared" si="52"/>
        <v>6.5106267678296579</v>
      </c>
      <c r="AW327" s="41" t="s">
        <v>366</v>
      </c>
      <c r="AX327" s="34" t="s">
        <v>355</v>
      </c>
      <c r="AY327" s="40" t="s">
        <v>355</v>
      </c>
      <c r="AZ327" s="36">
        <v>87</v>
      </c>
      <c r="BA327" s="14">
        <f t="shared" si="53"/>
        <v>1.9395192526186185</v>
      </c>
      <c r="BB327" s="37" t="s">
        <v>367</v>
      </c>
      <c r="BC327" s="20">
        <v>1.137454981992851E-2</v>
      </c>
      <c r="BD327" s="9">
        <v>32</v>
      </c>
      <c r="BE327" s="9" t="s">
        <v>368</v>
      </c>
      <c r="BF327" s="9">
        <v>0</v>
      </c>
    </row>
    <row r="328" spans="1:58">
      <c r="A328" s="9">
        <v>512</v>
      </c>
      <c r="B328" s="10" t="s">
        <v>76</v>
      </c>
      <c r="C328" s="10" t="s">
        <v>389</v>
      </c>
      <c r="D328" s="20" t="s">
        <v>390</v>
      </c>
      <c r="E328" s="20" t="s">
        <v>447</v>
      </c>
      <c r="F328" s="10" t="s">
        <v>389</v>
      </c>
      <c r="G328" s="20" t="s">
        <v>390</v>
      </c>
      <c r="H328" s="20" t="s">
        <v>447</v>
      </c>
      <c r="I328" s="10" t="s">
        <v>389</v>
      </c>
      <c r="J328" s="20" t="s">
        <v>392</v>
      </c>
      <c r="K328" s="20" t="s">
        <v>447</v>
      </c>
      <c r="L328" s="9" t="s">
        <v>380</v>
      </c>
      <c r="M328" s="9">
        <v>10</v>
      </c>
      <c r="N328" s="9" t="s">
        <v>381</v>
      </c>
      <c r="O328" s="9" t="s">
        <v>382</v>
      </c>
      <c r="P328" s="12">
        <v>40.453290000000003</v>
      </c>
      <c r="Q328" s="12" t="s">
        <v>355</v>
      </c>
      <c r="R328" s="9" t="s">
        <v>356</v>
      </c>
      <c r="S328" s="13">
        <v>5</v>
      </c>
      <c r="T328" s="13">
        <v>5</v>
      </c>
      <c r="U328" s="14">
        <f t="shared" si="45"/>
        <v>0.77815125038364363</v>
      </c>
      <c r="V328" s="15">
        <v>10</v>
      </c>
      <c r="W328" s="12"/>
      <c r="X328" s="12">
        <v>0.7</v>
      </c>
      <c r="Y328" s="13" t="s">
        <v>358</v>
      </c>
      <c r="Z328" s="9" t="s">
        <v>359</v>
      </c>
      <c r="AA328" s="10" t="s">
        <v>436</v>
      </c>
      <c r="AB328" s="9" t="s">
        <v>355</v>
      </c>
      <c r="AC328" s="15">
        <v>213</v>
      </c>
      <c r="AD328" s="14">
        <f t="shared" si="46"/>
        <v>2.3283796034387376</v>
      </c>
      <c r="AE328" s="10" t="s">
        <v>437</v>
      </c>
      <c r="AF328" s="9" t="s">
        <v>420</v>
      </c>
      <c r="AG328" s="18">
        <v>34.683438000000002</v>
      </c>
      <c r="AH328" s="7">
        <f t="shared" si="47"/>
        <v>1</v>
      </c>
      <c r="AI328" s="7">
        <f t="shared" si="48"/>
        <v>1</v>
      </c>
      <c r="AJ328" s="7">
        <f t="shared" si="49"/>
        <v>0</v>
      </c>
      <c r="AK328" s="7">
        <f t="shared" si="50"/>
        <v>0</v>
      </c>
      <c r="AL328" s="7" t="s">
        <v>4157</v>
      </c>
      <c r="AM328" s="18">
        <f t="shared" si="51"/>
        <v>1.5401221404311698</v>
      </c>
      <c r="AN328" s="18">
        <v>34.683438000000002</v>
      </c>
      <c r="AO328" s="18">
        <v>-82.837365000000005</v>
      </c>
      <c r="AP328" s="9" t="s">
        <v>363</v>
      </c>
      <c r="AQ328" s="9" t="s">
        <v>441</v>
      </c>
      <c r="AR328" s="15">
        <v>1980</v>
      </c>
      <c r="AS328" s="19" t="s">
        <v>439</v>
      </c>
      <c r="AT328" s="20" t="s">
        <v>440</v>
      </c>
      <c r="AU328" s="40">
        <v>3240610</v>
      </c>
      <c r="AV328" s="35">
        <f t="shared" si="52"/>
        <v>6.5106267678296579</v>
      </c>
      <c r="AW328" s="41" t="s">
        <v>366</v>
      </c>
      <c r="AX328" s="34" t="s">
        <v>355</v>
      </c>
      <c r="AY328" s="40" t="s">
        <v>355</v>
      </c>
      <c r="AZ328" s="36">
        <v>87</v>
      </c>
      <c r="BA328" s="14">
        <f t="shared" si="53"/>
        <v>1.9395192526186185</v>
      </c>
      <c r="BB328" s="37" t="s">
        <v>367</v>
      </c>
      <c r="BC328" s="20">
        <v>1.137454981992851E-2</v>
      </c>
      <c r="BD328" s="9">
        <v>32</v>
      </c>
      <c r="BE328" s="9" t="s">
        <v>368</v>
      </c>
      <c r="BF328" s="9">
        <v>0</v>
      </c>
    </row>
    <row r="329" spans="1:58">
      <c r="A329" s="9">
        <v>511</v>
      </c>
      <c r="B329" s="10" t="s">
        <v>76</v>
      </c>
      <c r="C329" s="10" t="s">
        <v>389</v>
      </c>
      <c r="D329" s="20" t="s">
        <v>390</v>
      </c>
      <c r="E329" s="20" t="s">
        <v>447</v>
      </c>
      <c r="F329" s="10" t="s">
        <v>389</v>
      </c>
      <c r="G329" s="20" t="s">
        <v>390</v>
      </c>
      <c r="H329" s="20" t="s">
        <v>447</v>
      </c>
      <c r="I329" s="10" t="s">
        <v>389</v>
      </c>
      <c r="J329" s="20" t="s">
        <v>392</v>
      </c>
      <c r="K329" s="20" t="s">
        <v>447</v>
      </c>
      <c r="L329" s="9" t="s">
        <v>380</v>
      </c>
      <c r="M329" s="9">
        <v>10</v>
      </c>
      <c r="N329" s="9" t="s">
        <v>381</v>
      </c>
      <c r="O329" s="9" t="s">
        <v>382</v>
      </c>
      <c r="P329" s="12">
        <v>40.503219999999999</v>
      </c>
      <c r="Q329" s="12" t="s">
        <v>355</v>
      </c>
      <c r="R329" s="9" t="s">
        <v>356</v>
      </c>
      <c r="S329" s="13">
        <v>5</v>
      </c>
      <c r="T329" s="13">
        <v>5</v>
      </c>
      <c r="U329" s="14">
        <f t="shared" si="45"/>
        <v>0.77815125038364363</v>
      </c>
      <c r="V329" s="15">
        <v>10</v>
      </c>
      <c r="W329" s="12"/>
      <c r="X329" s="12">
        <v>0.7</v>
      </c>
      <c r="Y329" s="13" t="s">
        <v>358</v>
      </c>
      <c r="Z329" s="9" t="s">
        <v>359</v>
      </c>
      <c r="AA329" s="10" t="s">
        <v>436</v>
      </c>
      <c r="AB329" s="9" t="s">
        <v>355</v>
      </c>
      <c r="AC329" s="15">
        <v>213</v>
      </c>
      <c r="AD329" s="14">
        <f t="shared" si="46"/>
        <v>2.3283796034387376</v>
      </c>
      <c r="AE329" s="10" t="s">
        <v>437</v>
      </c>
      <c r="AF329" s="9" t="s">
        <v>420</v>
      </c>
      <c r="AG329" s="18">
        <v>34.683438000000002</v>
      </c>
      <c r="AH329" s="7">
        <f t="shared" si="47"/>
        <v>1</v>
      </c>
      <c r="AI329" s="7">
        <f t="shared" si="48"/>
        <v>1</v>
      </c>
      <c r="AJ329" s="7">
        <f t="shared" si="49"/>
        <v>0</v>
      </c>
      <c r="AK329" s="7">
        <f t="shared" si="50"/>
        <v>0</v>
      </c>
      <c r="AL329" s="7" t="s">
        <v>4157</v>
      </c>
      <c r="AM329" s="18">
        <f t="shared" si="51"/>
        <v>1.5401221404311698</v>
      </c>
      <c r="AN329" s="18">
        <v>34.683438000000002</v>
      </c>
      <c r="AO329" s="18">
        <v>-82.837365000000005</v>
      </c>
      <c r="AP329" s="9" t="s">
        <v>363</v>
      </c>
      <c r="AQ329" s="9" t="s">
        <v>443</v>
      </c>
      <c r="AR329" s="15">
        <v>1980</v>
      </c>
      <c r="AS329" s="19" t="s">
        <v>439</v>
      </c>
      <c r="AT329" s="20" t="s">
        <v>440</v>
      </c>
      <c r="AU329" s="40">
        <v>3240610</v>
      </c>
      <c r="AV329" s="35">
        <f t="shared" si="52"/>
        <v>6.5106267678296579</v>
      </c>
      <c r="AW329" s="41" t="s">
        <v>366</v>
      </c>
      <c r="AX329" s="34" t="s">
        <v>355</v>
      </c>
      <c r="AY329" s="40" t="s">
        <v>355</v>
      </c>
      <c r="AZ329" s="36">
        <v>87</v>
      </c>
      <c r="BA329" s="14">
        <f t="shared" si="53"/>
        <v>1.9395192526186185</v>
      </c>
      <c r="BB329" s="37" t="s">
        <v>367</v>
      </c>
      <c r="BC329" s="20">
        <v>1.137454981992851E-2</v>
      </c>
      <c r="BD329" s="9">
        <v>32</v>
      </c>
      <c r="BE329" s="9" t="s">
        <v>368</v>
      </c>
      <c r="BF329" s="9">
        <v>0</v>
      </c>
    </row>
    <row r="330" spans="1:58">
      <c r="A330" s="9">
        <v>508</v>
      </c>
      <c r="B330" s="10" t="s">
        <v>76</v>
      </c>
      <c r="C330" s="10" t="s">
        <v>389</v>
      </c>
      <c r="D330" s="20" t="s">
        <v>390</v>
      </c>
      <c r="E330" s="20" t="s">
        <v>447</v>
      </c>
      <c r="F330" s="10" t="s">
        <v>389</v>
      </c>
      <c r="G330" s="20" t="s">
        <v>390</v>
      </c>
      <c r="H330" s="20" t="s">
        <v>447</v>
      </c>
      <c r="I330" s="10" t="s">
        <v>389</v>
      </c>
      <c r="J330" s="20" t="s">
        <v>392</v>
      </c>
      <c r="K330" s="20" t="s">
        <v>447</v>
      </c>
      <c r="L330" s="9" t="s">
        <v>380</v>
      </c>
      <c r="M330" s="9">
        <v>10</v>
      </c>
      <c r="N330" s="9" t="s">
        <v>381</v>
      </c>
      <c r="O330" s="9" t="s">
        <v>382</v>
      </c>
      <c r="P330" s="12">
        <v>40.627290000000002</v>
      </c>
      <c r="Q330" s="12" t="s">
        <v>355</v>
      </c>
      <c r="R330" s="9" t="s">
        <v>356</v>
      </c>
      <c r="S330" s="13">
        <v>5</v>
      </c>
      <c r="T330" s="13">
        <v>5</v>
      </c>
      <c r="U330" s="14">
        <f t="shared" si="45"/>
        <v>0.77815125038364363</v>
      </c>
      <c r="V330" s="15">
        <v>10</v>
      </c>
      <c r="W330" s="12"/>
      <c r="X330" s="12">
        <v>0.7</v>
      </c>
      <c r="Y330" s="13" t="s">
        <v>358</v>
      </c>
      <c r="Z330" s="9" t="s">
        <v>359</v>
      </c>
      <c r="AA330" s="10" t="s">
        <v>436</v>
      </c>
      <c r="AB330" s="9" t="s">
        <v>355</v>
      </c>
      <c r="AC330" s="15">
        <v>213</v>
      </c>
      <c r="AD330" s="14">
        <f t="shared" si="46"/>
        <v>2.3283796034387376</v>
      </c>
      <c r="AE330" s="10" t="s">
        <v>437</v>
      </c>
      <c r="AF330" s="9" t="s">
        <v>420</v>
      </c>
      <c r="AG330" s="18">
        <v>34.683438000000002</v>
      </c>
      <c r="AH330" s="7">
        <f t="shared" si="47"/>
        <v>1</v>
      </c>
      <c r="AI330" s="7">
        <f t="shared" si="48"/>
        <v>1</v>
      </c>
      <c r="AJ330" s="7">
        <f t="shared" si="49"/>
        <v>0</v>
      </c>
      <c r="AK330" s="7">
        <f t="shared" si="50"/>
        <v>0</v>
      </c>
      <c r="AL330" s="7" t="s">
        <v>4157</v>
      </c>
      <c r="AM330" s="18">
        <f t="shared" si="51"/>
        <v>1.5401221404311698</v>
      </c>
      <c r="AN330" s="18">
        <v>34.683438000000002</v>
      </c>
      <c r="AO330" s="18">
        <v>-82.837365000000005</v>
      </c>
      <c r="AP330" s="9" t="s">
        <v>363</v>
      </c>
      <c r="AQ330" s="9" t="s">
        <v>445</v>
      </c>
      <c r="AR330" s="15">
        <v>1980</v>
      </c>
      <c r="AS330" s="19" t="s">
        <v>439</v>
      </c>
      <c r="AT330" s="20" t="s">
        <v>440</v>
      </c>
      <c r="AU330" s="40">
        <v>3240610</v>
      </c>
      <c r="AV330" s="35">
        <f t="shared" si="52"/>
        <v>6.5106267678296579</v>
      </c>
      <c r="AW330" s="41" t="s">
        <v>366</v>
      </c>
      <c r="AX330" s="34" t="s">
        <v>355</v>
      </c>
      <c r="AY330" s="40" t="s">
        <v>355</v>
      </c>
      <c r="AZ330" s="36">
        <v>87</v>
      </c>
      <c r="BA330" s="14">
        <f t="shared" si="53"/>
        <v>1.9395192526186185</v>
      </c>
      <c r="BB330" s="37" t="s">
        <v>367</v>
      </c>
      <c r="BC330" s="20">
        <v>1.137454981992851E-2</v>
      </c>
      <c r="BD330" s="9">
        <v>32</v>
      </c>
      <c r="BE330" s="9" t="s">
        <v>368</v>
      </c>
      <c r="BF330" s="9">
        <v>0</v>
      </c>
    </row>
    <row r="331" spans="1:58">
      <c r="A331" s="9">
        <v>510</v>
      </c>
      <c r="B331" s="10" t="s">
        <v>76</v>
      </c>
      <c r="C331" s="10" t="s">
        <v>389</v>
      </c>
      <c r="D331" s="20" t="s">
        <v>390</v>
      </c>
      <c r="E331" s="20" t="s">
        <v>447</v>
      </c>
      <c r="F331" s="10" t="s">
        <v>389</v>
      </c>
      <c r="G331" s="20" t="s">
        <v>390</v>
      </c>
      <c r="H331" s="20" t="s">
        <v>447</v>
      </c>
      <c r="I331" s="10" t="s">
        <v>389</v>
      </c>
      <c r="J331" s="20" t="s">
        <v>392</v>
      </c>
      <c r="K331" s="20" t="s">
        <v>447</v>
      </c>
      <c r="L331" s="9" t="s">
        <v>380</v>
      </c>
      <c r="M331" s="9">
        <v>10</v>
      </c>
      <c r="N331" s="9" t="s">
        <v>381</v>
      </c>
      <c r="O331" s="9" t="s">
        <v>382</v>
      </c>
      <c r="P331" s="12">
        <v>40.630859999999998</v>
      </c>
      <c r="Q331" s="12" t="s">
        <v>355</v>
      </c>
      <c r="R331" s="9" t="s">
        <v>356</v>
      </c>
      <c r="S331" s="13">
        <v>5</v>
      </c>
      <c r="T331" s="13">
        <v>5</v>
      </c>
      <c r="U331" s="14">
        <f t="shared" si="45"/>
        <v>0.77815125038364363</v>
      </c>
      <c r="V331" s="15">
        <v>10</v>
      </c>
      <c r="W331" s="12"/>
      <c r="X331" s="12">
        <v>0.7</v>
      </c>
      <c r="Y331" s="13" t="s">
        <v>358</v>
      </c>
      <c r="Z331" s="9" t="s">
        <v>359</v>
      </c>
      <c r="AA331" s="10" t="s">
        <v>436</v>
      </c>
      <c r="AB331" s="9" t="s">
        <v>355</v>
      </c>
      <c r="AC331" s="15">
        <v>213</v>
      </c>
      <c r="AD331" s="14">
        <f t="shared" si="46"/>
        <v>2.3283796034387376</v>
      </c>
      <c r="AE331" s="10" t="s">
        <v>437</v>
      </c>
      <c r="AF331" s="9" t="s">
        <v>420</v>
      </c>
      <c r="AG331" s="18">
        <v>34.683438000000002</v>
      </c>
      <c r="AH331" s="7">
        <f t="shared" si="47"/>
        <v>1</v>
      </c>
      <c r="AI331" s="7">
        <f t="shared" si="48"/>
        <v>1</v>
      </c>
      <c r="AJ331" s="7">
        <f t="shared" si="49"/>
        <v>0</v>
      </c>
      <c r="AK331" s="7">
        <f t="shared" si="50"/>
        <v>0</v>
      </c>
      <c r="AL331" s="7" t="s">
        <v>4157</v>
      </c>
      <c r="AM331" s="18">
        <f t="shared" si="51"/>
        <v>1.5401221404311698</v>
      </c>
      <c r="AN331" s="18">
        <v>34.683438000000002</v>
      </c>
      <c r="AO331" s="18">
        <v>-82.837365000000005</v>
      </c>
      <c r="AP331" s="9" t="s">
        <v>363</v>
      </c>
      <c r="AQ331" s="9" t="s">
        <v>444</v>
      </c>
      <c r="AR331" s="15">
        <v>1980</v>
      </c>
      <c r="AS331" s="19" t="s">
        <v>439</v>
      </c>
      <c r="AT331" s="20" t="s">
        <v>440</v>
      </c>
      <c r="AU331" s="51">
        <v>3240610</v>
      </c>
      <c r="AV331" s="35">
        <f t="shared" si="52"/>
        <v>6.5106267678296579</v>
      </c>
      <c r="AW331" s="52" t="s">
        <v>366</v>
      </c>
      <c r="AX331" s="53" t="s">
        <v>355</v>
      </c>
      <c r="AY331" s="51" t="s">
        <v>355</v>
      </c>
      <c r="AZ331" s="36">
        <v>87</v>
      </c>
      <c r="BA331" s="14">
        <f t="shared" si="53"/>
        <v>1.9395192526186185</v>
      </c>
      <c r="BB331" s="54" t="s">
        <v>367</v>
      </c>
      <c r="BC331" s="20">
        <v>1.137454981992851E-2</v>
      </c>
      <c r="BD331" s="9">
        <v>32</v>
      </c>
      <c r="BE331" s="9" t="s">
        <v>368</v>
      </c>
      <c r="BF331" s="9">
        <v>0</v>
      </c>
    </row>
    <row r="332" spans="1:58">
      <c r="A332" s="9">
        <v>507</v>
      </c>
      <c r="B332" s="10" t="s">
        <v>76</v>
      </c>
      <c r="C332" s="10" t="s">
        <v>389</v>
      </c>
      <c r="D332" s="20" t="s">
        <v>390</v>
      </c>
      <c r="E332" s="20" t="s">
        <v>447</v>
      </c>
      <c r="F332" s="10" t="s">
        <v>389</v>
      </c>
      <c r="G332" s="20" t="s">
        <v>390</v>
      </c>
      <c r="H332" s="20" t="s">
        <v>447</v>
      </c>
      <c r="I332" s="10" t="s">
        <v>389</v>
      </c>
      <c r="J332" s="20" t="s">
        <v>392</v>
      </c>
      <c r="K332" s="20" t="s">
        <v>447</v>
      </c>
      <c r="L332" s="9" t="s">
        <v>380</v>
      </c>
      <c r="M332" s="9">
        <v>10</v>
      </c>
      <c r="N332" s="9" t="s">
        <v>381</v>
      </c>
      <c r="O332" s="9" t="s">
        <v>382</v>
      </c>
      <c r="P332" s="12">
        <v>41.065040000000003</v>
      </c>
      <c r="Q332" s="12" t="s">
        <v>355</v>
      </c>
      <c r="R332" s="9" t="s">
        <v>356</v>
      </c>
      <c r="S332" s="13">
        <v>5</v>
      </c>
      <c r="T332" s="13">
        <v>5</v>
      </c>
      <c r="U332" s="14">
        <f t="shared" si="45"/>
        <v>0.77815125038364363</v>
      </c>
      <c r="V332" s="15">
        <v>10</v>
      </c>
      <c r="W332" s="12"/>
      <c r="X332" s="12">
        <v>0.7</v>
      </c>
      <c r="Y332" s="13" t="s">
        <v>358</v>
      </c>
      <c r="Z332" s="9" t="s">
        <v>359</v>
      </c>
      <c r="AA332" s="10" t="s">
        <v>436</v>
      </c>
      <c r="AB332" s="9" t="s">
        <v>355</v>
      </c>
      <c r="AC332" s="15">
        <v>213</v>
      </c>
      <c r="AD332" s="14">
        <f t="shared" si="46"/>
        <v>2.3283796034387376</v>
      </c>
      <c r="AE332" s="10" t="s">
        <v>437</v>
      </c>
      <c r="AF332" s="9" t="s">
        <v>420</v>
      </c>
      <c r="AG332" s="18">
        <v>34.683438000000002</v>
      </c>
      <c r="AH332" s="7">
        <f t="shared" si="47"/>
        <v>1</v>
      </c>
      <c r="AI332" s="7">
        <f t="shared" si="48"/>
        <v>1</v>
      </c>
      <c r="AJ332" s="7">
        <f t="shared" si="49"/>
        <v>0</v>
      </c>
      <c r="AK332" s="7">
        <f t="shared" si="50"/>
        <v>0</v>
      </c>
      <c r="AL332" s="7" t="s">
        <v>4157</v>
      </c>
      <c r="AM332" s="18">
        <f t="shared" si="51"/>
        <v>1.5401221404311698</v>
      </c>
      <c r="AN332" s="18">
        <v>34.683438000000002</v>
      </c>
      <c r="AO332" s="18">
        <v>-82.837365000000005</v>
      </c>
      <c r="AP332" s="9" t="s">
        <v>363</v>
      </c>
      <c r="AQ332" s="9" t="s">
        <v>449</v>
      </c>
      <c r="AR332" s="15">
        <v>1980</v>
      </c>
      <c r="AS332" s="19" t="s">
        <v>439</v>
      </c>
      <c r="AT332" s="20" t="s">
        <v>440</v>
      </c>
      <c r="AU332" s="40">
        <v>3240610</v>
      </c>
      <c r="AV332" s="35">
        <f t="shared" si="52"/>
        <v>6.5106267678296579</v>
      </c>
      <c r="AW332" s="41" t="s">
        <v>366</v>
      </c>
      <c r="AX332" s="34" t="s">
        <v>355</v>
      </c>
      <c r="AY332" s="40" t="s">
        <v>355</v>
      </c>
      <c r="AZ332" s="36">
        <v>87</v>
      </c>
      <c r="BA332" s="14">
        <f t="shared" si="53"/>
        <v>1.9395192526186185</v>
      </c>
      <c r="BB332" s="37" t="s">
        <v>367</v>
      </c>
      <c r="BC332" s="20">
        <v>1.137454981992851E-2</v>
      </c>
      <c r="BD332" s="9">
        <v>32</v>
      </c>
      <c r="BE332" s="9" t="s">
        <v>368</v>
      </c>
      <c r="BF332" s="9">
        <v>0</v>
      </c>
    </row>
    <row r="333" spans="1:58">
      <c r="A333" s="9">
        <v>509</v>
      </c>
      <c r="B333" s="10" t="s">
        <v>76</v>
      </c>
      <c r="C333" s="10" t="s">
        <v>389</v>
      </c>
      <c r="D333" s="20" t="s">
        <v>390</v>
      </c>
      <c r="E333" s="20" t="s">
        <v>447</v>
      </c>
      <c r="F333" s="10" t="s">
        <v>389</v>
      </c>
      <c r="G333" s="20" t="s">
        <v>390</v>
      </c>
      <c r="H333" s="20" t="s">
        <v>447</v>
      </c>
      <c r="I333" s="10" t="s">
        <v>389</v>
      </c>
      <c r="J333" s="20" t="s">
        <v>392</v>
      </c>
      <c r="K333" s="20" t="s">
        <v>447</v>
      </c>
      <c r="L333" s="9" t="s">
        <v>380</v>
      </c>
      <c r="M333" s="9">
        <v>10</v>
      </c>
      <c r="N333" s="9" t="s">
        <v>381</v>
      </c>
      <c r="O333" s="9" t="s">
        <v>382</v>
      </c>
      <c r="P333" s="12">
        <v>41.094470000000001</v>
      </c>
      <c r="Q333" s="12" t="s">
        <v>355</v>
      </c>
      <c r="R333" s="9" t="s">
        <v>356</v>
      </c>
      <c r="S333" s="13">
        <v>5</v>
      </c>
      <c r="T333" s="13">
        <v>5</v>
      </c>
      <c r="U333" s="14">
        <f t="shared" si="45"/>
        <v>0.77815125038364363</v>
      </c>
      <c r="V333" s="15">
        <v>10</v>
      </c>
      <c r="W333" s="12"/>
      <c r="X333" s="12">
        <v>0.7</v>
      </c>
      <c r="Y333" s="13" t="s">
        <v>358</v>
      </c>
      <c r="Z333" s="9" t="s">
        <v>359</v>
      </c>
      <c r="AA333" s="10" t="s">
        <v>436</v>
      </c>
      <c r="AB333" s="9" t="s">
        <v>355</v>
      </c>
      <c r="AC333" s="15">
        <v>213</v>
      </c>
      <c r="AD333" s="14">
        <f t="shared" si="46"/>
        <v>2.3283796034387376</v>
      </c>
      <c r="AE333" s="10" t="s">
        <v>437</v>
      </c>
      <c r="AF333" s="9" t="s">
        <v>420</v>
      </c>
      <c r="AG333" s="18">
        <v>34.683438000000002</v>
      </c>
      <c r="AH333" s="7">
        <f t="shared" si="47"/>
        <v>1</v>
      </c>
      <c r="AI333" s="7">
        <f t="shared" si="48"/>
        <v>1</v>
      </c>
      <c r="AJ333" s="7">
        <f t="shared" si="49"/>
        <v>0</v>
      </c>
      <c r="AK333" s="7">
        <f t="shared" si="50"/>
        <v>0</v>
      </c>
      <c r="AL333" s="7" t="s">
        <v>4157</v>
      </c>
      <c r="AM333" s="18">
        <f t="shared" si="51"/>
        <v>1.5401221404311698</v>
      </c>
      <c r="AN333" s="18">
        <v>34.683438000000002</v>
      </c>
      <c r="AO333" s="18">
        <v>-82.837365000000005</v>
      </c>
      <c r="AP333" s="9" t="s">
        <v>363</v>
      </c>
      <c r="AQ333" s="9" t="s">
        <v>446</v>
      </c>
      <c r="AR333" s="15">
        <v>1980</v>
      </c>
      <c r="AS333" s="19" t="s">
        <v>439</v>
      </c>
      <c r="AT333" s="20" t="s">
        <v>440</v>
      </c>
      <c r="AU333" s="51">
        <v>3240610</v>
      </c>
      <c r="AV333" s="35">
        <f t="shared" si="52"/>
        <v>6.5106267678296579</v>
      </c>
      <c r="AW333" s="52" t="s">
        <v>366</v>
      </c>
      <c r="AX333" s="55" t="s">
        <v>355</v>
      </c>
      <c r="AY333" s="51" t="s">
        <v>355</v>
      </c>
      <c r="AZ333" s="36">
        <v>87</v>
      </c>
      <c r="BA333" s="14">
        <f t="shared" si="53"/>
        <v>1.9395192526186185</v>
      </c>
      <c r="BB333" s="54" t="s">
        <v>367</v>
      </c>
      <c r="BC333" s="20">
        <v>1.137454981992851E-2</v>
      </c>
      <c r="BD333" s="9">
        <v>32</v>
      </c>
      <c r="BE333" s="9" t="s">
        <v>368</v>
      </c>
      <c r="BF333" s="9">
        <v>0</v>
      </c>
    </row>
    <row r="334" spans="1:58">
      <c r="A334" s="9">
        <v>699</v>
      </c>
      <c r="B334" s="10" t="s">
        <v>348</v>
      </c>
      <c r="C334" s="10" t="s">
        <v>349</v>
      </c>
      <c r="D334" s="20" t="s">
        <v>350</v>
      </c>
      <c r="E334" s="20" t="s">
        <v>351</v>
      </c>
      <c r="F334" s="10" t="s">
        <v>349</v>
      </c>
      <c r="G334" s="20" t="s">
        <v>350</v>
      </c>
      <c r="H334" s="20" t="s">
        <v>351</v>
      </c>
      <c r="I334" s="10" t="s">
        <v>349</v>
      </c>
      <c r="J334" s="20" t="s">
        <v>350</v>
      </c>
      <c r="K334" s="20" t="s">
        <v>351</v>
      </c>
      <c r="L334" s="9" t="s">
        <v>352</v>
      </c>
      <c r="M334" s="9">
        <v>7</v>
      </c>
      <c r="N334" s="9" t="s">
        <v>353</v>
      </c>
      <c r="O334" s="9" t="s">
        <v>354</v>
      </c>
      <c r="P334" s="12">
        <v>34.870919999999998</v>
      </c>
      <c r="Q334" s="12" t="s">
        <v>355</v>
      </c>
      <c r="R334" s="9" t="s">
        <v>356</v>
      </c>
      <c r="S334" s="13" t="s">
        <v>666</v>
      </c>
      <c r="T334" s="13" t="s">
        <v>666</v>
      </c>
      <c r="U334" s="14">
        <f t="shared" si="45"/>
        <v>0.77815125038364363</v>
      </c>
      <c r="V334" s="15">
        <v>25</v>
      </c>
      <c r="W334" s="12">
        <v>5.5459447999999938</v>
      </c>
      <c r="X334" s="12">
        <v>0.75</v>
      </c>
      <c r="Y334" s="13" t="s">
        <v>358</v>
      </c>
      <c r="Z334" s="9" t="s">
        <v>359</v>
      </c>
      <c r="AA334" s="10" t="s">
        <v>360</v>
      </c>
      <c r="AB334" s="9" t="s">
        <v>355</v>
      </c>
      <c r="AC334" s="15">
        <v>336</v>
      </c>
      <c r="AD334" s="14">
        <f t="shared" si="46"/>
        <v>2.5263392773898441</v>
      </c>
      <c r="AE334" s="10" t="s">
        <v>361</v>
      </c>
      <c r="AF334" s="9" t="s">
        <v>362</v>
      </c>
      <c r="AG334" s="18">
        <v>39.777825</v>
      </c>
      <c r="AH334" s="7">
        <f t="shared" si="47"/>
        <v>1</v>
      </c>
      <c r="AI334" s="7">
        <f t="shared" si="48"/>
        <v>1</v>
      </c>
      <c r="AJ334" s="7">
        <f t="shared" si="49"/>
        <v>0</v>
      </c>
      <c r="AK334" s="7">
        <f t="shared" si="50"/>
        <v>0</v>
      </c>
      <c r="AL334" s="7" t="s">
        <v>4157</v>
      </c>
      <c r="AM334" s="18">
        <f t="shared" si="51"/>
        <v>1.5996410327773016</v>
      </c>
      <c r="AN334" s="18">
        <v>39.777825</v>
      </c>
      <c r="AO334" s="18">
        <v>-84.689750000000004</v>
      </c>
      <c r="AP334" s="9" t="s">
        <v>363</v>
      </c>
      <c r="AQ334" s="9" t="s">
        <v>355</v>
      </c>
      <c r="AR334" s="15">
        <v>1982</v>
      </c>
      <c r="AS334" s="19" t="s">
        <v>364</v>
      </c>
      <c r="AT334" s="20" t="s">
        <v>365</v>
      </c>
      <c r="AU334" s="55">
        <v>1524467</v>
      </c>
      <c r="AV334" s="35">
        <f t="shared" si="52"/>
        <v>6.1831180276695727</v>
      </c>
      <c r="AW334" s="56" t="s">
        <v>366</v>
      </c>
      <c r="AX334" s="53" t="s">
        <v>355</v>
      </c>
      <c r="AY334" s="55" t="s">
        <v>355</v>
      </c>
      <c r="AZ334" s="15">
        <v>78</v>
      </c>
      <c r="BA334" s="14">
        <f t="shared" si="53"/>
        <v>1.8920946026904804</v>
      </c>
      <c r="BB334" s="56" t="s">
        <v>367</v>
      </c>
      <c r="BC334" s="20">
        <v>3.4313725490200848E-3</v>
      </c>
      <c r="BD334" s="9">
        <v>29.200000000000003</v>
      </c>
      <c r="BE334" s="9" t="s">
        <v>368</v>
      </c>
      <c r="BF334" s="9">
        <v>0</v>
      </c>
    </row>
    <row r="335" spans="1:58">
      <c r="A335" s="9">
        <v>61</v>
      </c>
      <c r="B335" s="10" t="s">
        <v>348</v>
      </c>
      <c r="C335" s="10" t="s">
        <v>349</v>
      </c>
      <c r="D335" s="20" t="s">
        <v>393</v>
      </c>
      <c r="E335" s="20" t="s">
        <v>394</v>
      </c>
      <c r="F335" s="10" t="s">
        <v>349</v>
      </c>
      <c r="G335" s="20" t="s">
        <v>393</v>
      </c>
      <c r="H335" s="20" t="s">
        <v>394</v>
      </c>
      <c r="I335" s="10" t="s">
        <v>349</v>
      </c>
      <c r="J335" s="20" t="s">
        <v>393</v>
      </c>
      <c r="K335" s="20" t="s">
        <v>394</v>
      </c>
      <c r="L335" s="9" t="s">
        <v>352</v>
      </c>
      <c r="M335" s="9">
        <v>7</v>
      </c>
      <c r="N335" s="9" t="s">
        <v>353</v>
      </c>
      <c r="O335" s="9" t="s">
        <v>354</v>
      </c>
      <c r="P335" s="12">
        <v>35.4</v>
      </c>
      <c r="Q335" s="9" t="s">
        <v>355</v>
      </c>
      <c r="R335" s="9" t="s">
        <v>356</v>
      </c>
      <c r="S335" s="13">
        <v>5</v>
      </c>
      <c r="T335" s="13">
        <v>5</v>
      </c>
      <c r="U335" s="14">
        <f t="shared" si="45"/>
        <v>0.77815125038364363</v>
      </c>
      <c r="V335" s="15">
        <v>25</v>
      </c>
      <c r="W335" s="12">
        <v>6.0750247999999942</v>
      </c>
      <c r="X335" s="12">
        <v>0.75</v>
      </c>
      <c r="Y335" s="13" t="s">
        <v>358</v>
      </c>
      <c r="Z335" s="9" t="s">
        <v>359</v>
      </c>
      <c r="AA335" s="10" t="s">
        <v>372</v>
      </c>
      <c r="AB335" s="9" t="s">
        <v>355</v>
      </c>
      <c r="AC335" s="15">
        <v>336</v>
      </c>
      <c r="AD335" s="14">
        <f t="shared" si="46"/>
        <v>2.5263392773898441</v>
      </c>
      <c r="AE335" s="10" t="s">
        <v>361</v>
      </c>
      <c r="AF335" s="9" t="s">
        <v>362</v>
      </c>
      <c r="AG335" s="18">
        <v>39.777825</v>
      </c>
      <c r="AH335" s="7">
        <f t="shared" si="47"/>
        <v>1</v>
      </c>
      <c r="AI335" s="7">
        <f t="shared" si="48"/>
        <v>1</v>
      </c>
      <c r="AJ335" s="7">
        <f t="shared" si="49"/>
        <v>0</v>
      </c>
      <c r="AK335" s="7">
        <f t="shared" si="50"/>
        <v>0</v>
      </c>
      <c r="AL335" s="7" t="s">
        <v>4157</v>
      </c>
      <c r="AM335" s="18">
        <f t="shared" si="51"/>
        <v>1.5996410327773016</v>
      </c>
      <c r="AN335" s="18">
        <v>39.777825</v>
      </c>
      <c r="AO335" s="18">
        <v>-84.689750000000004</v>
      </c>
      <c r="AP335" s="9" t="s">
        <v>363</v>
      </c>
      <c r="AQ335" s="9" t="s">
        <v>355</v>
      </c>
      <c r="AR335" s="15">
        <v>1982</v>
      </c>
      <c r="AS335" s="19" t="s">
        <v>395</v>
      </c>
      <c r="AT335" s="20" t="s">
        <v>396</v>
      </c>
      <c r="AU335" s="53">
        <v>1195927</v>
      </c>
      <c r="AV335" s="35">
        <f t="shared" si="52"/>
        <v>6.0777046709025946</v>
      </c>
      <c r="AW335" s="57" t="s">
        <v>366</v>
      </c>
      <c r="AX335" s="53" t="s">
        <v>355</v>
      </c>
      <c r="AY335" s="53" t="s">
        <v>355</v>
      </c>
      <c r="AZ335" s="15">
        <v>78</v>
      </c>
      <c r="BA335" s="14">
        <f t="shared" si="53"/>
        <v>1.8920946026904804</v>
      </c>
      <c r="BB335" s="57" t="s">
        <v>367</v>
      </c>
      <c r="BC335" s="20">
        <v>3.4313725490200848E-3</v>
      </c>
      <c r="BD335" s="9">
        <v>29.200000000000003</v>
      </c>
      <c r="BE335" s="9" t="s">
        <v>368</v>
      </c>
      <c r="BF335" s="9">
        <v>0</v>
      </c>
    </row>
    <row r="336" spans="1:58">
      <c r="A336" s="9">
        <v>66</v>
      </c>
      <c r="B336" s="10" t="s">
        <v>348</v>
      </c>
      <c r="C336" s="10" t="s">
        <v>349</v>
      </c>
      <c r="D336" s="20" t="s">
        <v>393</v>
      </c>
      <c r="E336" s="20" t="s">
        <v>394</v>
      </c>
      <c r="F336" s="10" t="s">
        <v>349</v>
      </c>
      <c r="G336" s="20" t="s">
        <v>393</v>
      </c>
      <c r="H336" s="20" t="s">
        <v>394</v>
      </c>
      <c r="I336" s="10" t="s">
        <v>349</v>
      </c>
      <c r="J336" s="20" t="s">
        <v>393</v>
      </c>
      <c r="K336" s="20" t="s">
        <v>394</v>
      </c>
      <c r="L336" s="9" t="s">
        <v>352</v>
      </c>
      <c r="M336" s="9">
        <v>7</v>
      </c>
      <c r="N336" s="9" t="s">
        <v>353</v>
      </c>
      <c r="O336" s="9" t="s">
        <v>354</v>
      </c>
      <c r="P336" s="12">
        <v>35.4</v>
      </c>
      <c r="Q336" s="9" t="s">
        <v>355</v>
      </c>
      <c r="R336" s="9" t="s">
        <v>356</v>
      </c>
      <c r="S336" s="13">
        <v>5</v>
      </c>
      <c r="T336" s="13">
        <v>5</v>
      </c>
      <c r="U336" s="14">
        <f t="shared" si="45"/>
        <v>0.77815125038364363</v>
      </c>
      <c r="V336" s="15">
        <v>25</v>
      </c>
      <c r="W336" s="12">
        <v>6.0750247999999942</v>
      </c>
      <c r="X336" s="12">
        <v>0.75</v>
      </c>
      <c r="Y336" s="13" t="s">
        <v>358</v>
      </c>
      <c r="Z336" s="9" t="s">
        <v>359</v>
      </c>
      <c r="AA336" s="10" t="s">
        <v>372</v>
      </c>
      <c r="AB336" s="9" t="s">
        <v>355</v>
      </c>
      <c r="AC336" s="15">
        <v>336</v>
      </c>
      <c r="AD336" s="14">
        <f t="shared" si="46"/>
        <v>2.5263392773898441</v>
      </c>
      <c r="AE336" s="10" t="s">
        <v>361</v>
      </c>
      <c r="AF336" s="9" t="s">
        <v>362</v>
      </c>
      <c r="AG336" s="18">
        <v>39.777825</v>
      </c>
      <c r="AH336" s="7">
        <f t="shared" si="47"/>
        <v>1</v>
      </c>
      <c r="AI336" s="7">
        <f t="shared" si="48"/>
        <v>1</v>
      </c>
      <c r="AJ336" s="7">
        <f t="shared" si="49"/>
        <v>0</v>
      </c>
      <c r="AK336" s="7">
        <f t="shared" si="50"/>
        <v>0</v>
      </c>
      <c r="AL336" s="7" t="s">
        <v>4157</v>
      </c>
      <c r="AM336" s="18">
        <f t="shared" si="51"/>
        <v>1.5996410327773016</v>
      </c>
      <c r="AN336" s="18">
        <v>39.777825</v>
      </c>
      <c r="AO336" s="18">
        <v>-84.689750000000004</v>
      </c>
      <c r="AP336" s="9" t="s">
        <v>363</v>
      </c>
      <c r="AQ336" s="9" t="s">
        <v>355</v>
      </c>
      <c r="AR336" s="15">
        <v>1982</v>
      </c>
      <c r="AS336" s="19" t="s">
        <v>395</v>
      </c>
      <c r="AT336" s="20" t="s">
        <v>396</v>
      </c>
      <c r="AU336" s="55">
        <v>1195927</v>
      </c>
      <c r="AV336" s="35">
        <f t="shared" si="52"/>
        <v>6.0777046709025946</v>
      </c>
      <c r="AW336" s="56" t="s">
        <v>366</v>
      </c>
      <c r="AX336" s="53" t="s">
        <v>355</v>
      </c>
      <c r="AY336" s="55" t="s">
        <v>355</v>
      </c>
      <c r="AZ336" s="59">
        <v>78</v>
      </c>
      <c r="BA336" s="14">
        <f t="shared" si="53"/>
        <v>1.8920946026904804</v>
      </c>
      <c r="BB336" s="56" t="s">
        <v>367</v>
      </c>
      <c r="BC336" s="20">
        <v>3.4313725490200848E-3</v>
      </c>
      <c r="BD336" s="9">
        <v>29.200000000000003</v>
      </c>
      <c r="BE336" s="9" t="s">
        <v>368</v>
      </c>
      <c r="BF336" s="9">
        <v>0</v>
      </c>
    </row>
    <row r="337" spans="1:58">
      <c r="A337" s="9">
        <v>1025</v>
      </c>
      <c r="B337" s="20" t="s">
        <v>76</v>
      </c>
      <c r="C337" s="20" t="s">
        <v>369</v>
      </c>
      <c r="D337" s="20" t="s">
        <v>370</v>
      </c>
      <c r="E337" s="20" t="s">
        <v>397</v>
      </c>
      <c r="F337" s="20" t="s">
        <v>369</v>
      </c>
      <c r="G337" s="20" t="s">
        <v>370</v>
      </c>
      <c r="H337" s="20" t="s">
        <v>397</v>
      </c>
      <c r="I337" s="20" t="s">
        <v>369</v>
      </c>
      <c r="J337" s="20" t="s">
        <v>398</v>
      </c>
      <c r="K337" s="20" t="s">
        <v>397</v>
      </c>
      <c r="L337" s="9" t="s">
        <v>352</v>
      </c>
      <c r="M337" s="9">
        <v>3</v>
      </c>
      <c r="N337" s="9" t="s">
        <v>353</v>
      </c>
      <c r="O337" s="9" t="s">
        <v>354</v>
      </c>
      <c r="P337" s="12">
        <v>33.603169999999999</v>
      </c>
      <c r="Q337" s="9" t="s">
        <v>355</v>
      </c>
      <c r="R337" s="9" t="s">
        <v>356</v>
      </c>
      <c r="S337" s="9">
        <v>5</v>
      </c>
      <c r="T337" s="9">
        <v>5</v>
      </c>
      <c r="U337" s="14">
        <f t="shared" si="45"/>
        <v>0.77815125038364363</v>
      </c>
      <c r="V337" s="15">
        <v>23</v>
      </c>
      <c r="W337" s="12">
        <v>7.5438662999999977</v>
      </c>
      <c r="X337" s="9" t="s">
        <v>355</v>
      </c>
      <c r="Y337" s="13" t="s">
        <v>358</v>
      </c>
      <c r="Z337" s="9" t="s">
        <v>359</v>
      </c>
      <c r="AA337" s="10" t="s">
        <v>372</v>
      </c>
      <c r="AB337" s="9" t="s">
        <v>355</v>
      </c>
      <c r="AC337" s="15">
        <v>422</v>
      </c>
      <c r="AD337" s="14">
        <f t="shared" si="46"/>
        <v>2.6253124509616739</v>
      </c>
      <c r="AE337" s="10" t="s">
        <v>373</v>
      </c>
      <c r="AF337" s="9" t="s">
        <v>362</v>
      </c>
      <c r="AG337" s="18">
        <v>42</v>
      </c>
      <c r="AH337" s="7">
        <f t="shared" si="47"/>
        <v>1</v>
      </c>
      <c r="AI337" s="7">
        <f t="shared" si="48"/>
        <v>1</v>
      </c>
      <c r="AJ337" s="7">
        <f t="shared" si="49"/>
        <v>0</v>
      </c>
      <c r="AK337" s="7">
        <f t="shared" si="50"/>
        <v>0</v>
      </c>
      <c r="AL337" s="7" t="s">
        <v>4157</v>
      </c>
      <c r="AM337" s="18">
        <f t="shared" si="51"/>
        <v>1.6232492903979006</v>
      </c>
      <c r="AN337" s="18">
        <v>42</v>
      </c>
      <c r="AO337" s="18">
        <v>-73.134960000000007</v>
      </c>
      <c r="AP337" s="9" t="s">
        <v>363</v>
      </c>
      <c r="AQ337" s="9" t="s">
        <v>355</v>
      </c>
      <c r="AR337" s="9">
        <v>1962</v>
      </c>
      <c r="AS337" s="10" t="s">
        <v>374</v>
      </c>
      <c r="AT337" s="20" t="s">
        <v>375</v>
      </c>
      <c r="AU337" s="60">
        <v>6914656</v>
      </c>
      <c r="AV337" s="35">
        <f t="shared" si="52"/>
        <v>6.8397705790920504</v>
      </c>
      <c r="AW337" s="54" t="s">
        <v>338</v>
      </c>
      <c r="AX337" s="55" t="s">
        <v>355</v>
      </c>
      <c r="AY337" s="51" t="s">
        <v>355</v>
      </c>
      <c r="AZ337" s="59">
        <v>146</v>
      </c>
      <c r="BA337" s="14">
        <f t="shared" si="53"/>
        <v>2.1643528557844371</v>
      </c>
      <c r="BB337" s="54" t="s">
        <v>388</v>
      </c>
      <c r="BC337" s="20">
        <v>2.6780712284914233E-2</v>
      </c>
      <c r="BD337" s="9">
        <v>25.700000000000003</v>
      </c>
      <c r="BE337" s="9" t="s">
        <v>368</v>
      </c>
      <c r="BF337" s="9">
        <v>0</v>
      </c>
    </row>
    <row r="338" spans="1:58">
      <c r="A338" s="9">
        <v>779</v>
      </c>
      <c r="B338" s="10" t="s">
        <v>76</v>
      </c>
      <c r="C338" s="10" t="s">
        <v>369</v>
      </c>
      <c r="D338" s="20" t="s">
        <v>370</v>
      </c>
      <c r="E338" s="20" t="s">
        <v>400</v>
      </c>
      <c r="F338" s="10" t="s">
        <v>369</v>
      </c>
      <c r="G338" s="20" t="s">
        <v>370</v>
      </c>
      <c r="H338" s="20" t="s">
        <v>400</v>
      </c>
      <c r="I338" s="10" t="s">
        <v>369</v>
      </c>
      <c r="J338" s="20" t="s">
        <v>398</v>
      </c>
      <c r="K338" s="20" t="s">
        <v>400</v>
      </c>
      <c r="L338" s="9" t="s">
        <v>380</v>
      </c>
      <c r="M338" s="9">
        <v>17</v>
      </c>
      <c r="N338" s="9" t="s">
        <v>381</v>
      </c>
      <c r="O338" s="9" t="s">
        <v>382</v>
      </c>
      <c r="P338" s="12">
        <v>37.492752000000003</v>
      </c>
      <c r="Q338" s="12" t="s">
        <v>355</v>
      </c>
      <c r="R338" s="9" t="s">
        <v>356</v>
      </c>
      <c r="S338" s="13" t="s">
        <v>666</v>
      </c>
      <c r="T338" s="13" t="s">
        <v>666</v>
      </c>
      <c r="U338" s="14">
        <f t="shared" si="45"/>
        <v>0.77815125038364363</v>
      </c>
      <c r="V338" s="15">
        <v>22</v>
      </c>
      <c r="W338" s="12"/>
      <c r="X338" s="12">
        <v>1</v>
      </c>
      <c r="Y338" s="13" t="s">
        <v>384</v>
      </c>
      <c r="Z338" s="9" t="s">
        <v>417</v>
      </c>
      <c r="AA338" s="10" t="s">
        <v>418</v>
      </c>
      <c r="AB338" s="9" t="s">
        <v>355</v>
      </c>
      <c r="AC338" s="15">
        <v>128</v>
      </c>
      <c r="AD338" s="14">
        <f t="shared" si="46"/>
        <v>2.1072099696478683</v>
      </c>
      <c r="AE338" s="10" t="s">
        <v>671</v>
      </c>
      <c r="AF338" s="9" t="s">
        <v>420</v>
      </c>
      <c r="AG338" s="18">
        <v>33.322764999999997</v>
      </c>
      <c r="AH338" s="7">
        <f t="shared" si="47"/>
        <v>1</v>
      </c>
      <c r="AI338" s="7">
        <f t="shared" si="48"/>
        <v>1</v>
      </c>
      <c r="AJ338" s="7">
        <f t="shared" si="49"/>
        <v>0</v>
      </c>
      <c r="AK338" s="7">
        <f t="shared" si="50"/>
        <v>0</v>
      </c>
      <c r="AL338" s="7" t="s">
        <v>4157</v>
      </c>
      <c r="AM338" s="18">
        <f t="shared" si="51"/>
        <v>1.522741030382442</v>
      </c>
      <c r="AN338" s="18">
        <v>33.322764999999997</v>
      </c>
      <c r="AO338" s="18">
        <v>-87.460397</v>
      </c>
      <c r="AP338" s="9" t="s">
        <v>363</v>
      </c>
      <c r="AQ338" s="9" t="s">
        <v>355</v>
      </c>
      <c r="AR338" s="15">
        <v>1981</v>
      </c>
      <c r="AS338" s="19" t="s">
        <v>672</v>
      </c>
      <c r="AT338" s="20" t="s">
        <v>673</v>
      </c>
      <c r="AU338" s="51">
        <v>6011807</v>
      </c>
      <c r="AV338" s="35">
        <f t="shared" si="52"/>
        <v>6.77900502976909</v>
      </c>
      <c r="AW338" s="54" t="s">
        <v>366</v>
      </c>
      <c r="AX338" s="51">
        <v>100</v>
      </c>
      <c r="AY338" s="51">
        <v>600</v>
      </c>
      <c r="AZ338" s="56">
        <v>113</v>
      </c>
      <c r="BA338" s="14">
        <f t="shared" si="53"/>
        <v>2.0530784434834195</v>
      </c>
      <c r="BB338" s="54" t="s">
        <v>367</v>
      </c>
      <c r="BC338" s="20">
        <v>4.4029611844734577E-3</v>
      </c>
      <c r="BD338" s="9">
        <v>32.800000000000004</v>
      </c>
      <c r="BE338" s="9" t="s">
        <v>368</v>
      </c>
      <c r="BF338" s="9">
        <v>0</v>
      </c>
    </row>
    <row r="339" spans="1:58">
      <c r="A339" s="9">
        <v>778</v>
      </c>
      <c r="B339" s="10" t="s">
        <v>76</v>
      </c>
      <c r="C339" s="10" t="s">
        <v>369</v>
      </c>
      <c r="D339" s="20" t="s">
        <v>370</v>
      </c>
      <c r="E339" s="20" t="s">
        <v>400</v>
      </c>
      <c r="F339" s="10" t="s">
        <v>369</v>
      </c>
      <c r="G339" s="20" t="s">
        <v>370</v>
      </c>
      <c r="H339" s="20" t="s">
        <v>400</v>
      </c>
      <c r="I339" s="10" t="s">
        <v>369</v>
      </c>
      <c r="J339" s="20" t="s">
        <v>398</v>
      </c>
      <c r="K339" s="20" t="s">
        <v>400</v>
      </c>
      <c r="L339" s="9" t="s">
        <v>380</v>
      </c>
      <c r="M339" s="9">
        <v>13</v>
      </c>
      <c r="N339" s="9" t="s">
        <v>381</v>
      </c>
      <c r="O339" s="9" t="s">
        <v>382</v>
      </c>
      <c r="P339" s="12">
        <v>37.985508000000003</v>
      </c>
      <c r="Q339" s="12" t="s">
        <v>355</v>
      </c>
      <c r="R339" s="9" t="s">
        <v>356</v>
      </c>
      <c r="S339" s="13" t="s">
        <v>666</v>
      </c>
      <c r="T339" s="13" t="s">
        <v>666</v>
      </c>
      <c r="U339" s="14">
        <f t="shared" si="45"/>
        <v>0.77815125038364363</v>
      </c>
      <c r="V339" s="15">
        <v>22</v>
      </c>
      <c r="W339" s="12"/>
      <c r="X339" s="12">
        <v>1</v>
      </c>
      <c r="Y339" s="13" t="s">
        <v>384</v>
      </c>
      <c r="Z339" s="9" t="s">
        <v>417</v>
      </c>
      <c r="AA339" s="10" t="s">
        <v>418</v>
      </c>
      <c r="AB339" s="9" t="s">
        <v>355</v>
      </c>
      <c r="AC339" s="15">
        <v>128</v>
      </c>
      <c r="AD339" s="14">
        <f t="shared" si="46"/>
        <v>2.1072099696478683</v>
      </c>
      <c r="AE339" s="10" t="s">
        <v>671</v>
      </c>
      <c r="AF339" s="9" t="s">
        <v>420</v>
      </c>
      <c r="AG339" s="18">
        <v>33.322764999999997</v>
      </c>
      <c r="AH339" s="7">
        <f t="shared" si="47"/>
        <v>1</v>
      </c>
      <c r="AI339" s="7">
        <f t="shared" si="48"/>
        <v>1</v>
      </c>
      <c r="AJ339" s="7">
        <f t="shared" si="49"/>
        <v>0</v>
      </c>
      <c r="AK339" s="7">
        <f t="shared" si="50"/>
        <v>0</v>
      </c>
      <c r="AL339" s="7" t="s">
        <v>4157</v>
      </c>
      <c r="AM339" s="18">
        <f t="shared" si="51"/>
        <v>1.522741030382442</v>
      </c>
      <c r="AN339" s="18">
        <v>33.322764999999997</v>
      </c>
      <c r="AO339" s="18">
        <v>-87.460397</v>
      </c>
      <c r="AP339" s="9" t="s">
        <v>363</v>
      </c>
      <c r="AQ339" s="9" t="s">
        <v>355</v>
      </c>
      <c r="AR339" s="15">
        <v>1981</v>
      </c>
      <c r="AS339" s="19" t="s">
        <v>672</v>
      </c>
      <c r="AT339" s="20" t="s">
        <v>673</v>
      </c>
      <c r="AU339" s="61">
        <v>6011807</v>
      </c>
      <c r="AV339" s="35">
        <f t="shared" si="52"/>
        <v>6.77900502976909</v>
      </c>
      <c r="AW339" s="58" t="s">
        <v>366</v>
      </c>
      <c r="AX339" s="61">
        <v>100</v>
      </c>
      <c r="AY339" s="61">
        <v>600</v>
      </c>
      <c r="AZ339" s="56">
        <v>113</v>
      </c>
      <c r="BA339" s="14">
        <f t="shared" si="53"/>
        <v>2.0530784434834195</v>
      </c>
      <c r="BB339" s="58" t="s">
        <v>367</v>
      </c>
      <c r="BC339" s="20">
        <v>4.4029611844734577E-3</v>
      </c>
      <c r="BD339" s="9">
        <v>32.800000000000004</v>
      </c>
      <c r="BE339" s="9" t="s">
        <v>368</v>
      </c>
      <c r="BF339" s="9">
        <v>0</v>
      </c>
    </row>
    <row r="340" spans="1:58">
      <c r="A340" s="9">
        <v>777</v>
      </c>
      <c r="B340" s="10" t="s">
        <v>76</v>
      </c>
      <c r="C340" s="10" t="s">
        <v>369</v>
      </c>
      <c r="D340" s="20" t="s">
        <v>370</v>
      </c>
      <c r="E340" s="20" t="s">
        <v>400</v>
      </c>
      <c r="F340" s="10" t="s">
        <v>369</v>
      </c>
      <c r="G340" s="20" t="s">
        <v>370</v>
      </c>
      <c r="H340" s="20" t="s">
        <v>400</v>
      </c>
      <c r="I340" s="10" t="s">
        <v>369</v>
      </c>
      <c r="J340" s="20" t="s">
        <v>398</v>
      </c>
      <c r="K340" s="20" t="s">
        <v>400</v>
      </c>
      <c r="L340" s="9" t="s">
        <v>380</v>
      </c>
      <c r="M340" s="9">
        <v>13</v>
      </c>
      <c r="N340" s="9" t="s">
        <v>381</v>
      </c>
      <c r="O340" s="9" t="s">
        <v>382</v>
      </c>
      <c r="P340" s="12">
        <v>38.043480000000002</v>
      </c>
      <c r="Q340" s="12" t="s">
        <v>355</v>
      </c>
      <c r="R340" s="9" t="s">
        <v>356</v>
      </c>
      <c r="S340" s="13" t="s">
        <v>666</v>
      </c>
      <c r="T340" s="13" t="s">
        <v>666</v>
      </c>
      <c r="U340" s="14">
        <f t="shared" si="45"/>
        <v>0.77815125038364363</v>
      </c>
      <c r="V340" s="15">
        <v>22</v>
      </c>
      <c r="W340" s="12"/>
      <c r="X340" s="12">
        <v>1</v>
      </c>
      <c r="Y340" s="13" t="s">
        <v>384</v>
      </c>
      <c r="Z340" s="9" t="s">
        <v>417</v>
      </c>
      <c r="AA340" s="10" t="s">
        <v>418</v>
      </c>
      <c r="AB340" s="9" t="s">
        <v>355</v>
      </c>
      <c r="AC340" s="15">
        <v>128</v>
      </c>
      <c r="AD340" s="14">
        <f t="shared" si="46"/>
        <v>2.1072099696478683</v>
      </c>
      <c r="AE340" s="10" t="s">
        <v>671</v>
      </c>
      <c r="AF340" s="9" t="s">
        <v>420</v>
      </c>
      <c r="AG340" s="18">
        <v>33.322764999999997</v>
      </c>
      <c r="AH340" s="7">
        <f t="shared" si="47"/>
        <v>1</v>
      </c>
      <c r="AI340" s="7">
        <f t="shared" si="48"/>
        <v>1</v>
      </c>
      <c r="AJ340" s="7">
        <f t="shared" si="49"/>
        <v>0</v>
      </c>
      <c r="AK340" s="7">
        <f t="shared" si="50"/>
        <v>0</v>
      </c>
      <c r="AL340" s="7" t="s">
        <v>4157</v>
      </c>
      <c r="AM340" s="18">
        <f t="shared" si="51"/>
        <v>1.522741030382442</v>
      </c>
      <c r="AN340" s="18">
        <v>33.322764999999997</v>
      </c>
      <c r="AO340" s="18">
        <v>-87.460397</v>
      </c>
      <c r="AP340" s="9" t="s">
        <v>363</v>
      </c>
      <c r="AQ340" s="9" t="s">
        <v>355</v>
      </c>
      <c r="AR340" s="15">
        <v>1981</v>
      </c>
      <c r="AS340" s="19" t="s">
        <v>672</v>
      </c>
      <c r="AT340" s="20" t="s">
        <v>673</v>
      </c>
      <c r="AU340" s="51">
        <v>6011807</v>
      </c>
      <c r="AV340" s="35">
        <f t="shared" si="52"/>
        <v>6.77900502976909</v>
      </c>
      <c r="AW340" s="54" t="s">
        <v>366</v>
      </c>
      <c r="AX340" s="51">
        <v>100</v>
      </c>
      <c r="AY340" s="51">
        <v>600</v>
      </c>
      <c r="AZ340" s="56">
        <v>113</v>
      </c>
      <c r="BA340" s="14">
        <f t="shared" si="53"/>
        <v>2.0530784434834195</v>
      </c>
      <c r="BB340" s="54" t="s">
        <v>367</v>
      </c>
      <c r="BC340" s="20">
        <v>4.4029611844734577E-3</v>
      </c>
      <c r="BD340" s="9">
        <v>32.800000000000004</v>
      </c>
      <c r="BE340" s="9" t="s">
        <v>368</v>
      </c>
      <c r="BF340" s="9">
        <v>0</v>
      </c>
    </row>
    <row r="341" spans="1:58">
      <c r="A341" s="9">
        <v>776</v>
      </c>
      <c r="B341" s="10" t="s">
        <v>76</v>
      </c>
      <c r="C341" s="10" t="s">
        <v>369</v>
      </c>
      <c r="D341" s="20" t="s">
        <v>370</v>
      </c>
      <c r="E341" s="20" t="s">
        <v>400</v>
      </c>
      <c r="F341" s="10" t="s">
        <v>369</v>
      </c>
      <c r="G341" s="20" t="s">
        <v>370</v>
      </c>
      <c r="H341" s="20" t="s">
        <v>400</v>
      </c>
      <c r="I341" s="10" t="s">
        <v>369</v>
      </c>
      <c r="J341" s="20" t="s">
        <v>398</v>
      </c>
      <c r="K341" s="20" t="s">
        <v>400</v>
      </c>
      <c r="L341" s="9" t="s">
        <v>380</v>
      </c>
      <c r="M341" s="9">
        <v>36</v>
      </c>
      <c r="N341" s="9" t="s">
        <v>381</v>
      </c>
      <c r="O341" s="9" t="s">
        <v>382</v>
      </c>
      <c r="P341" s="12">
        <v>38.521740000000001</v>
      </c>
      <c r="Q341" s="12" t="s">
        <v>355</v>
      </c>
      <c r="R341" s="9" t="s">
        <v>356</v>
      </c>
      <c r="S341" s="13" t="s">
        <v>666</v>
      </c>
      <c r="T341" s="13" t="s">
        <v>666</v>
      </c>
      <c r="U341" s="14">
        <f t="shared" si="45"/>
        <v>0.77815125038364363</v>
      </c>
      <c r="V341" s="15">
        <v>22</v>
      </c>
      <c r="W341" s="12"/>
      <c r="X341" s="12">
        <v>1</v>
      </c>
      <c r="Y341" s="13" t="s">
        <v>384</v>
      </c>
      <c r="Z341" s="9" t="s">
        <v>417</v>
      </c>
      <c r="AA341" s="10" t="s">
        <v>418</v>
      </c>
      <c r="AB341" s="9" t="s">
        <v>355</v>
      </c>
      <c r="AC341" s="15">
        <v>128</v>
      </c>
      <c r="AD341" s="14">
        <f t="shared" si="46"/>
        <v>2.1072099696478683</v>
      </c>
      <c r="AE341" s="10" t="s">
        <v>671</v>
      </c>
      <c r="AF341" s="9" t="s">
        <v>420</v>
      </c>
      <c r="AG341" s="18">
        <v>33.322764999999997</v>
      </c>
      <c r="AH341" s="7">
        <f t="shared" si="47"/>
        <v>1</v>
      </c>
      <c r="AI341" s="7">
        <f t="shared" si="48"/>
        <v>1</v>
      </c>
      <c r="AJ341" s="7">
        <f t="shared" si="49"/>
        <v>0</v>
      </c>
      <c r="AK341" s="7">
        <f t="shared" si="50"/>
        <v>0</v>
      </c>
      <c r="AL341" s="7" t="s">
        <v>4157</v>
      </c>
      <c r="AM341" s="18">
        <f t="shared" si="51"/>
        <v>1.522741030382442</v>
      </c>
      <c r="AN341" s="18">
        <v>33.322764999999997</v>
      </c>
      <c r="AO341" s="18">
        <v>-87.460397</v>
      </c>
      <c r="AP341" s="9" t="s">
        <v>363</v>
      </c>
      <c r="AQ341" s="9" t="s">
        <v>355</v>
      </c>
      <c r="AR341" s="15">
        <v>1981</v>
      </c>
      <c r="AS341" s="19" t="s">
        <v>672</v>
      </c>
      <c r="AT341" s="20" t="s">
        <v>673</v>
      </c>
      <c r="AU341" s="51">
        <v>6011807</v>
      </c>
      <c r="AV341" s="35">
        <f t="shared" si="52"/>
        <v>6.77900502976909</v>
      </c>
      <c r="AW341" s="54" t="s">
        <v>366</v>
      </c>
      <c r="AX341" s="51">
        <v>100</v>
      </c>
      <c r="AY341" s="51">
        <v>600</v>
      </c>
      <c r="AZ341" s="56">
        <v>113</v>
      </c>
      <c r="BA341" s="14">
        <f t="shared" si="53"/>
        <v>2.0530784434834195</v>
      </c>
      <c r="BB341" s="54" t="s">
        <v>367</v>
      </c>
      <c r="BC341" s="20">
        <v>4.4029611844734577E-3</v>
      </c>
      <c r="BD341" s="9">
        <v>32.800000000000004</v>
      </c>
      <c r="BE341" s="9" t="s">
        <v>368</v>
      </c>
      <c r="BF341" s="9">
        <v>0</v>
      </c>
    </row>
    <row r="342" spans="1:58">
      <c r="A342" s="9">
        <v>781</v>
      </c>
      <c r="B342" s="10" t="s">
        <v>76</v>
      </c>
      <c r="C342" s="10" t="s">
        <v>369</v>
      </c>
      <c r="D342" s="20" t="s">
        <v>370</v>
      </c>
      <c r="E342" s="20" t="s">
        <v>400</v>
      </c>
      <c r="F342" s="10" t="s">
        <v>369</v>
      </c>
      <c r="G342" s="20" t="s">
        <v>370</v>
      </c>
      <c r="H342" s="20" t="s">
        <v>400</v>
      </c>
      <c r="I342" s="10" t="s">
        <v>369</v>
      </c>
      <c r="J342" s="20" t="s">
        <v>398</v>
      </c>
      <c r="K342" s="20" t="s">
        <v>400</v>
      </c>
      <c r="L342" s="9" t="s">
        <v>380</v>
      </c>
      <c r="M342" s="9">
        <v>16</v>
      </c>
      <c r="N342" s="9" t="s">
        <v>381</v>
      </c>
      <c r="O342" s="9" t="s">
        <v>382</v>
      </c>
      <c r="P342" s="12">
        <v>38.753624000000002</v>
      </c>
      <c r="Q342" s="12" t="s">
        <v>355</v>
      </c>
      <c r="R342" s="9" t="s">
        <v>356</v>
      </c>
      <c r="S342" s="13" t="s">
        <v>666</v>
      </c>
      <c r="T342" s="13" t="s">
        <v>666</v>
      </c>
      <c r="U342" s="14">
        <f t="shared" si="45"/>
        <v>0.77815125038364363</v>
      </c>
      <c r="V342" s="15">
        <v>27</v>
      </c>
      <c r="W342" s="12"/>
      <c r="X342" s="12">
        <v>1</v>
      </c>
      <c r="Y342" s="13" t="s">
        <v>384</v>
      </c>
      <c r="Z342" s="9" t="s">
        <v>417</v>
      </c>
      <c r="AA342" s="10" t="s">
        <v>418</v>
      </c>
      <c r="AB342" s="9" t="s">
        <v>355</v>
      </c>
      <c r="AC342" s="15">
        <v>128</v>
      </c>
      <c r="AD342" s="14">
        <f t="shared" si="46"/>
        <v>2.1072099696478683</v>
      </c>
      <c r="AE342" s="10" t="s">
        <v>671</v>
      </c>
      <c r="AF342" s="9" t="s">
        <v>420</v>
      </c>
      <c r="AG342" s="18">
        <v>33.322764999999997</v>
      </c>
      <c r="AH342" s="7">
        <f t="shared" si="47"/>
        <v>1</v>
      </c>
      <c r="AI342" s="7">
        <f t="shared" si="48"/>
        <v>1</v>
      </c>
      <c r="AJ342" s="7">
        <f t="shared" si="49"/>
        <v>0</v>
      </c>
      <c r="AK342" s="7">
        <f t="shared" si="50"/>
        <v>0</v>
      </c>
      <c r="AL342" s="7" t="s">
        <v>4157</v>
      </c>
      <c r="AM342" s="18">
        <f t="shared" si="51"/>
        <v>1.522741030382442</v>
      </c>
      <c r="AN342" s="18">
        <v>33.322764999999997</v>
      </c>
      <c r="AO342" s="18">
        <v>-87.460397</v>
      </c>
      <c r="AP342" s="9" t="s">
        <v>363</v>
      </c>
      <c r="AQ342" s="9" t="s">
        <v>355</v>
      </c>
      <c r="AR342" s="15">
        <v>1981</v>
      </c>
      <c r="AS342" s="19" t="s">
        <v>672</v>
      </c>
      <c r="AT342" s="20" t="s">
        <v>673</v>
      </c>
      <c r="AU342" s="40">
        <v>6011807</v>
      </c>
      <c r="AV342" s="35">
        <f t="shared" si="52"/>
        <v>6.77900502976909</v>
      </c>
      <c r="AW342" s="37" t="s">
        <v>366</v>
      </c>
      <c r="AX342" s="40">
        <v>100</v>
      </c>
      <c r="AY342" s="40">
        <v>600</v>
      </c>
      <c r="AZ342" s="36">
        <v>113</v>
      </c>
      <c r="BA342" s="14">
        <f t="shared" si="53"/>
        <v>2.0530784434834195</v>
      </c>
      <c r="BB342" s="37" t="s">
        <v>367</v>
      </c>
      <c r="BC342" s="20">
        <v>4.4029611844734577E-3</v>
      </c>
      <c r="BD342" s="9">
        <v>32.800000000000004</v>
      </c>
      <c r="BE342" s="9" t="s">
        <v>368</v>
      </c>
      <c r="BF342" s="9">
        <v>0</v>
      </c>
    </row>
    <row r="343" spans="1:58">
      <c r="A343" s="9">
        <v>783</v>
      </c>
      <c r="B343" s="10" t="s">
        <v>76</v>
      </c>
      <c r="C343" s="10" t="s">
        <v>369</v>
      </c>
      <c r="D343" s="20" t="s">
        <v>370</v>
      </c>
      <c r="E343" s="20" t="s">
        <v>400</v>
      </c>
      <c r="F343" s="10" t="s">
        <v>369</v>
      </c>
      <c r="G343" s="20" t="s">
        <v>370</v>
      </c>
      <c r="H343" s="20" t="s">
        <v>400</v>
      </c>
      <c r="I343" s="10" t="s">
        <v>369</v>
      </c>
      <c r="J343" s="20" t="s">
        <v>398</v>
      </c>
      <c r="K343" s="20" t="s">
        <v>400</v>
      </c>
      <c r="L343" s="9" t="s">
        <v>380</v>
      </c>
      <c r="M343" s="9">
        <v>13</v>
      </c>
      <c r="N343" s="9" t="s">
        <v>381</v>
      </c>
      <c r="O343" s="9" t="s">
        <v>382</v>
      </c>
      <c r="P343" s="12">
        <v>38.855072</v>
      </c>
      <c r="Q343" s="12" t="s">
        <v>355</v>
      </c>
      <c r="R343" s="9" t="s">
        <v>356</v>
      </c>
      <c r="S343" s="13" t="s">
        <v>666</v>
      </c>
      <c r="T343" s="13" t="s">
        <v>666</v>
      </c>
      <c r="U343" s="14">
        <f t="shared" si="45"/>
        <v>0.77815125038364363</v>
      </c>
      <c r="V343" s="15">
        <v>27</v>
      </c>
      <c r="W343" s="12"/>
      <c r="X343" s="12">
        <v>1</v>
      </c>
      <c r="Y343" s="13" t="s">
        <v>384</v>
      </c>
      <c r="Z343" s="9" t="s">
        <v>417</v>
      </c>
      <c r="AA343" s="10" t="s">
        <v>418</v>
      </c>
      <c r="AB343" s="9" t="s">
        <v>355</v>
      </c>
      <c r="AC343" s="15">
        <v>128</v>
      </c>
      <c r="AD343" s="14">
        <f t="shared" si="46"/>
        <v>2.1072099696478683</v>
      </c>
      <c r="AE343" s="10" t="s">
        <v>671</v>
      </c>
      <c r="AF343" s="9" t="s">
        <v>420</v>
      </c>
      <c r="AG343" s="18">
        <v>33.322764999999997</v>
      </c>
      <c r="AH343" s="7">
        <f t="shared" si="47"/>
        <v>1</v>
      </c>
      <c r="AI343" s="7">
        <f t="shared" si="48"/>
        <v>1</v>
      </c>
      <c r="AJ343" s="7">
        <f t="shared" si="49"/>
        <v>0</v>
      </c>
      <c r="AK343" s="7">
        <f t="shared" si="50"/>
        <v>0</v>
      </c>
      <c r="AL343" s="7" t="s">
        <v>4157</v>
      </c>
      <c r="AM343" s="18">
        <f t="shared" si="51"/>
        <v>1.522741030382442</v>
      </c>
      <c r="AN343" s="18">
        <v>33.322764999999997</v>
      </c>
      <c r="AO343" s="18">
        <v>-87.460397</v>
      </c>
      <c r="AP343" s="9" t="s">
        <v>363</v>
      </c>
      <c r="AQ343" s="9" t="s">
        <v>355</v>
      </c>
      <c r="AR343" s="15">
        <v>1981</v>
      </c>
      <c r="AS343" s="19" t="s">
        <v>672</v>
      </c>
      <c r="AT343" s="20" t="s">
        <v>673</v>
      </c>
      <c r="AU343" s="40">
        <v>6011807</v>
      </c>
      <c r="AV343" s="35">
        <f t="shared" si="52"/>
        <v>6.77900502976909</v>
      </c>
      <c r="AW343" s="37" t="s">
        <v>366</v>
      </c>
      <c r="AX343" s="40">
        <v>100</v>
      </c>
      <c r="AY343" s="40">
        <v>600</v>
      </c>
      <c r="AZ343" s="36">
        <v>113</v>
      </c>
      <c r="BA343" s="14">
        <f t="shared" si="53"/>
        <v>2.0530784434834195</v>
      </c>
      <c r="BB343" s="37" t="s">
        <v>367</v>
      </c>
      <c r="BC343" s="20">
        <v>4.4029611844734577E-3</v>
      </c>
      <c r="BD343" s="9">
        <v>32.800000000000004</v>
      </c>
      <c r="BE343" s="9" t="s">
        <v>368</v>
      </c>
      <c r="BF343" s="9">
        <v>0</v>
      </c>
    </row>
    <row r="344" spans="1:58">
      <c r="A344" s="9">
        <v>782</v>
      </c>
      <c r="B344" s="10" t="s">
        <v>76</v>
      </c>
      <c r="C344" s="10" t="s">
        <v>369</v>
      </c>
      <c r="D344" s="20" t="s">
        <v>370</v>
      </c>
      <c r="E344" s="20" t="s">
        <v>400</v>
      </c>
      <c r="F344" s="10" t="s">
        <v>369</v>
      </c>
      <c r="G344" s="20" t="s">
        <v>370</v>
      </c>
      <c r="H344" s="20" t="s">
        <v>400</v>
      </c>
      <c r="I344" s="10" t="s">
        <v>369</v>
      </c>
      <c r="J344" s="20" t="s">
        <v>398</v>
      </c>
      <c r="K344" s="20" t="s">
        <v>400</v>
      </c>
      <c r="L344" s="9" t="s">
        <v>380</v>
      </c>
      <c r="M344" s="9">
        <v>13</v>
      </c>
      <c r="N344" s="9" t="s">
        <v>381</v>
      </c>
      <c r="O344" s="9" t="s">
        <v>382</v>
      </c>
      <c r="P344" s="12">
        <v>38.884056000000001</v>
      </c>
      <c r="Q344" s="12" t="s">
        <v>355</v>
      </c>
      <c r="R344" s="9" t="s">
        <v>356</v>
      </c>
      <c r="S344" s="13" t="s">
        <v>666</v>
      </c>
      <c r="T344" s="13" t="s">
        <v>666</v>
      </c>
      <c r="U344" s="14">
        <f t="shared" si="45"/>
        <v>0.77815125038364363</v>
      </c>
      <c r="V344" s="15">
        <v>27</v>
      </c>
      <c r="W344" s="12"/>
      <c r="X344" s="12">
        <v>1</v>
      </c>
      <c r="Y344" s="13" t="s">
        <v>384</v>
      </c>
      <c r="Z344" s="9" t="s">
        <v>417</v>
      </c>
      <c r="AA344" s="10" t="s">
        <v>418</v>
      </c>
      <c r="AB344" s="9" t="s">
        <v>355</v>
      </c>
      <c r="AC344" s="15">
        <v>128</v>
      </c>
      <c r="AD344" s="14">
        <f t="shared" si="46"/>
        <v>2.1072099696478683</v>
      </c>
      <c r="AE344" s="10" t="s">
        <v>671</v>
      </c>
      <c r="AF344" s="9" t="s">
        <v>420</v>
      </c>
      <c r="AG344" s="18">
        <v>33.322764999999997</v>
      </c>
      <c r="AH344" s="7">
        <f t="shared" si="47"/>
        <v>1</v>
      </c>
      <c r="AI344" s="7">
        <f t="shared" si="48"/>
        <v>1</v>
      </c>
      <c r="AJ344" s="7">
        <f t="shared" si="49"/>
        <v>0</v>
      </c>
      <c r="AK344" s="7">
        <f t="shared" si="50"/>
        <v>0</v>
      </c>
      <c r="AL344" s="7" t="s">
        <v>4157</v>
      </c>
      <c r="AM344" s="18">
        <f t="shared" si="51"/>
        <v>1.522741030382442</v>
      </c>
      <c r="AN344" s="18">
        <v>33.322764999999997</v>
      </c>
      <c r="AO344" s="18">
        <v>-87.460397</v>
      </c>
      <c r="AP344" s="9" t="s">
        <v>363</v>
      </c>
      <c r="AQ344" s="9" t="s">
        <v>355</v>
      </c>
      <c r="AR344" s="15">
        <v>1981</v>
      </c>
      <c r="AS344" s="19" t="s">
        <v>672</v>
      </c>
      <c r="AT344" s="20" t="s">
        <v>673</v>
      </c>
      <c r="AU344" s="40">
        <v>6011807</v>
      </c>
      <c r="AV344" s="35">
        <f t="shared" si="52"/>
        <v>6.77900502976909</v>
      </c>
      <c r="AW344" s="37" t="s">
        <v>366</v>
      </c>
      <c r="AX344" s="40">
        <v>100</v>
      </c>
      <c r="AY344" s="40">
        <v>600</v>
      </c>
      <c r="AZ344" s="36">
        <v>113</v>
      </c>
      <c r="BA344" s="14">
        <f t="shared" si="53"/>
        <v>2.0530784434834195</v>
      </c>
      <c r="BB344" s="37" t="s">
        <v>367</v>
      </c>
      <c r="BC344" s="20">
        <v>4.4029611844734577E-3</v>
      </c>
      <c r="BD344" s="9">
        <v>32.800000000000004</v>
      </c>
      <c r="BE344" s="9" t="s">
        <v>368</v>
      </c>
      <c r="BF344" s="9">
        <v>0</v>
      </c>
    </row>
    <row r="345" spans="1:58">
      <c r="A345" s="9">
        <v>780</v>
      </c>
      <c r="B345" s="10" t="s">
        <v>76</v>
      </c>
      <c r="C345" s="10" t="s">
        <v>369</v>
      </c>
      <c r="D345" s="20" t="s">
        <v>370</v>
      </c>
      <c r="E345" s="20" t="s">
        <v>400</v>
      </c>
      <c r="F345" s="10" t="s">
        <v>369</v>
      </c>
      <c r="G345" s="20" t="s">
        <v>370</v>
      </c>
      <c r="H345" s="20" t="s">
        <v>400</v>
      </c>
      <c r="I345" s="10" t="s">
        <v>369</v>
      </c>
      <c r="J345" s="20" t="s">
        <v>398</v>
      </c>
      <c r="K345" s="20" t="s">
        <v>400</v>
      </c>
      <c r="L345" s="9" t="s">
        <v>380</v>
      </c>
      <c r="M345" s="9">
        <v>49</v>
      </c>
      <c r="N345" s="9" t="s">
        <v>381</v>
      </c>
      <c r="O345" s="9" t="s">
        <v>382</v>
      </c>
      <c r="P345" s="12">
        <v>38.956519999999998</v>
      </c>
      <c r="Q345" s="12" t="s">
        <v>355</v>
      </c>
      <c r="R345" s="9" t="s">
        <v>356</v>
      </c>
      <c r="S345" s="13" t="s">
        <v>666</v>
      </c>
      <c r="T345" s="13" t="s">
        <v>666</v>
      </c>
      <c r="U345" s="14">
        <f t="shared" si="45"/>
        <v>0.77815125038364363</v>
      </c>
      <c r="V345" s="15">
        <v>27</v>
      </c>
      <c r="W345" s="12"/>
      <c r="X345" s="12">
        <v>1</v>
      </c>
      <c r="Y345" s="13" t="s">
        <v>384</v>
      </c>
      <c r="Z345" s="9" t="s">
        <v>417</v>
      </c>
      <c r="AA345" s="10" t="s">
        <v>418</v>
      </c>
      <c r="AB345" s="9" t="s">
        <v>355</v>
      </c>
      <c r="AC345" s="15">
        <v>128</v>
      </c>
      <c r="AD345" s="14">
        <f t="shared" si="46"/>
        <v>2.1072099696478683</v>
      </c>
      <c r="AE345" s="10" t="s">
        <v>671</v>
      </c>
      <c r="AF345" s="9" t="s">
        <v>420</v>
      </c>
      <c r="AG345" s="18">
        <v>33.322764999999997</v>
      </c>
      <c r="AH345" s="7">
        <f t="shared" si="47"/>
        <v>1</v>
      </c>
      <c r="AI345" s="7">
        <f t="shared" si="48"/>
        <v>1</v>
      </c>
      <c r="AJ345" s="7">
        <f t="shared" si="49"/>
        <v>0</v>
      </c>
      <c r="AK345" s="7">
        <f t="shared" si="50"/>
        <v>0</v>
      </c>
      <c r="AL345" s="7" t="s">
        <v>4157</v>
      </c>
      <c r="AM345" s="18">
        <f t="shared" si="51"/>
        <v>1.522741030382442</v>
      </c>
      <c r="AN345" s="18">
        <v>33.322764999999997</v>
      </c>
      <c r="AO345" s="18">
        <v>-87.460397</v>
      </c>
      <c r="AP345" s="9" t="s">
        <v>363</v>
      </c>
      <c r="AQ345" s="9" t="s">
        <v>355</v>
      </c>
      <c r="AR345" s="15">
        <v>1981</v>
      </c>
      <c r="AS345" s="19" t="s">
        <v>672</v>
      </c>
      <c r="AT345" s="20" t="s">
        <v>673</v>
      </c>
      <c r="AU345" s="40">
        <v>6011807</v>
      </c>
      <c r="AV345" s="35">
        <f t="shared" si="52"/>
        <v>6.77900502976909</v>
      </c>
      <c r="AW345" s="37" t="s">
        <v>366</v>
      </c>
      <c r="AX345" s="40">
        <v>100</v>
      </c>
      <c r="AY345" s="40">
        <v>600</v>
      </c>
      <c r="AZ345" s="36">
        <v>113</v>
      </c>
      <c r="BA345" s="14">
        <f t="shared" si="53"/>
        <v>2.0530784434834195</v>
      </c>
      <c r="BB345" s="37" t="s">
        <v>367</v>
      </c>
      <c r="BC345" s="20">
        <v>4.4029611844734577E-3</v>
      </c>
      <c r="BD345" s="9">
        <v>32.800000000000004</v>
      </c>
      <c r="BE345" s="9" t="s">
        <v>368</v>
      </c>
      <c r="BF345" s="9">
        <v>0</v>
      </c>
    </row>
    <row r="346" spans="1:58">
      <c r="A346" s="9">
        <v>787</v>
      </c>
      <c r="B346" s="10" t="s">
        <v>76</v>
      </c>
      <c r="C346" s="10" t="s">
        <v>369</v>
      </c>
      <c r="D346" s="20" t="s">
        <v>370</v>
      </c>
      <c r="E346" s="20" t="s">
        <v>400</v>
      </c>
      <c r="F346" s="10" t="s">
        <v>369</v>
      </c>
      <c r="G346" s="20" t="s">
        <v>370</v>
      </c>
      <c r="H346" s="20" t="s">
        <v>400</v>
      </c>
      <c r="I346" s="10" t="s">
        <v>369</v>
      </c>
      <c r="J346" s="20" t="s">
        <v>398</v>
      </c>
      <c r="K346" s="20" t="s">
        <v>400</v>
      </c>
      <c r="L346" s="9" t="s">
        <v>380</v>
      </c>
      <c r="M346" s="9">
        <v>16</v>
      </c>
      <c r="N346" s="9" t="s">
        <v>381</v>
      </c>
      <c r="O346" s="9" t="s">
        <v>382</v>
      </c>
      <c r="P346" s="12">
        <v>38.985508000000003</v>
      </c>
      <c r="Q346" s="12" t="s">
        <v>355</v>
      </c>
      <c r="R346" s="9" t="s">
        <v>356</v>
      </c>
      <c r="S346" s="13" t="s">
        <v>666</v>
      </c>
      <c r="T346" s="13" t="s">
        <v>666</v>
      </c>
      <c r="U346" s="14">
        <f t="shared" si="45"/>
        <v>0.77815125038364363</v>
      </c>
      <c r="V346" s="15">
        <v>32</v>
      </c>
      <c r="W346" s="12"/>
      <c r="X346" s="12">
        <v>1</v>
      </c>
      <c r="Y346" s="13" t="s">
        <v>384</v>
      </c>
      <c r="Z346" s="9" t="s">
        <v>417</v>
      </c>
      <c r="AA346" s="10" t="s">
        <v>418</v>
      </c>
      <c r="AB346" s="9" t="s">
        <v>355</v>
      </c>
      <c r="AC346" s="15">
        <v>128</v>
      </c>
      <c r="AD346" s="14">
        <f t="shared" si="46"/>
        <v>2.1072099696478683</v>
      </c>
      <c r="AE346" s="10" t="s">
        <v>671</v>
      </c>
      <c r="AF346" s="9" t="s">
        <v>420</v>
      </c>
      <c r="AG346" s="18">
        <v>33.322764999999997</v>
      </c>
      <c r="AH346" s="7">
        <f t="shared" si="47"/>
        <v>1</v>
      </c>
      <c r="AI346" s="7">
        <f t="shared" si="48"/>
        <v>1</v>
      </c>
      <c r="AJ346" s="7">
        <f t="shared" si="49"/>
        <v>0</v>
      </c>
      <c r="AK346" s="7">
        <f t="shared" si="50"/>
        <v>0</v>
      </c>
      <c r="AL346" s="7" t="s">
        <v>4157</v>
      </c>
      <c r="AM346" s="18">
        <f t="shared" si="51"/>
        <v>1.522741030382442</v>
      </c>
      <c r="AN346" s="18">
        <v>33.322764999999997</v>
      </c>
      <c r="AO346" s="18">
        <v>-87.460397</v>
      </c>
      <c r="AP346" s="9" t="s">
        <v>363</v>
      </c>
      <c r="AQ346" s="9" t="s">
        <v>355</v>
      </c>
      <c r="AR346" s="15">
        <v>1981</v>
      </c>
      <c r="AS346" s="19" t="s">
        <v>672</v>
      </c>
      <c r="AT346" s="20" t="s">
        <v>673</v>
      </c>
      <c r="AU346" s="40">
        <v>6011807</v>
      </c>
      <c r="AV346" s="35">
        <f t="shared" si="52"/>
        <v>6.77900502976909</v>
      </c>
      <c r="AW346" s="37" t="s">
        <v>366</v>
      </c>
      <c r="AX346" s="40">
        <v>100</v>
      </c>
      <c r="AY346" s="40">
        <v>600</v>
      </c>
      <c r="AZ346" s="36">
        <v>113</v>
      </c>
      <c r="BA346" s="14">
        <f t="shared" si="53"/>
        <v>2.0530784434834195</v>
      </c>
      <c r="BB346" s="37" t="s">
        <v>367</v>
      </c>
      <c r="BC346" s="20">
        <v>4.4029611844734577E-3</v>
      </c>
      <c r="BD346" s="9">
        <v>32.800000000000004</v>
      </c>
      <c r="BE346" s="9" t="s">
        <v>368</v>
      </c>
      <c r="BF346" s="9">
        <v>0</v>
      </c>
    </row>
    <row r="347" spans="1:58">
      <c r="A347" s="9">
        <v>786</v>
      </c>
      <c r="B347" s="10" t="s">
        <v>76</v>
      </c>
      <c r="C347" s="10" t="s">
        <v>369</v>
      </c>
      <c r="D347" s="20" t="s">
        <v>370</v>
      </c>
      <c r="E347" s="20" t="s">
        <v>400</v>
      </c>
      <c r="F347" s="10" t="s">
        <v>369</v>
      </c>
      <c r="G347" s="20" t="s">
        <v>370</v>
      </c>
      <c r="H347" s="20" t="s">
        <v>400</v>
      </c>
      <c r="I347" s="10" t="s">
        <v>369</v>
      </c>
      <c r="J347" s="20" t="s">
        <v>398</v>
      </c>
      <c r="K347" s="20" t="s">
        <v>400</v>
      </c>
      <c r="L347" s="9" t="s">
        <v>380</v>
      </c>
      <c r="M347" s="9">
        <v>20</v>
      </c>
      <c r="N347" s="9" t="s">
        <v>381</v>
      </c>
      <c r="O347" s="9" t="s">
        <v>382</v>
      </c>
      <c r="P347" s="12">
        <v>39.101447999999998</v>
      </c>
      <c r="Q347" s="12" t="s">
        <v>355</v>
      </c>
      <c r="R347" s="9" t="s">
        <v>356</v>
      </c>
      <c r="S347" s="13" t="s">
        <v>666</v>
      </c>
      <c r="T347" s="13" t="s">
        <v>666</v>
      </c>
      <c r="U347" s="14">
        <f t="shared" si="45"/>
        <v>0.77815125038364363</v>
      </c>
      <c r="V347" s="15">
        <v>32</v>
      </c>
      <c r="W347" s="12"/>
      <c r="X347" s="12">
        <v>1</v>
      </c>
      <c r="Y347" s="13" t="s">
        <v>384</v>
      </c>
      <c r="Z347" s="9" t="s">
        <v>417</v>
      </c>
      <c r="AA347" s="10" t="s">
        <v>418</v>
      </c>
      <c r="AB347" s="9" t="s">
        <v>355</v>
      </c>
      <c r="AC347" s="15">
        <v>128</v>
      </c>
      <c r="AD347" s="14">
        <f t="shared" si="46"/>
        <v>2.1072099696478683</v>
      </c>
      <c r="AE347" s="10" t="s">
        <v>671</v>
      </c>
      <c r="AF347" s="9" t="s">
        <v>420</v>
      </c>
      <c r="AG347" s="18">
        <v>33.322764999999997</v>
      </c>
      <c r="AH347" s="7">
        <f t="shared" si="47"/>
        <v>1</v>
      </c>
      <c r="AI347" s="7">
        <f t="shared" si="48"/>
        <v>1</v>
      </c>
      <c r="AJ347" s="7">
        <f t="shared" si="49"/>
        <v>0</v>
      </c>
      <c r="AK347" s="7">
        <f t="shared" si="50"/>
        <v>0</v>
      </c>
      <c r="AL347" s="7" t="s">
        <v>4157</v>
      </c>
      <c r="AM347" s="18">
        <f t="shared" si="51"/>
        <v>1.522741030382442</v>
      </c>
      <c r="AN347" s="18">
        <v>33.322764999999997</v>
      </c>
      <c r="AO347" s="18">
        <v>-87.460397</v>
      </c>
      <c r="AP347" s="9" t="s">
        <v>363</v>
      </c>
      <c r="AQ347" s="9" t="s">
        <v>355</v>
      </c>
      <c r="AR347" s="15">
        <v>1981</v>
      </c>
      <c r="AS347" s="19" t="s">
        <v>672</v>
      </c>
      <c r="AT347" s="20" t="s">
        <v>673</v>
      </c>
      <c r="AU347" s="40">
        <v>6011807</v>
      </c>
      <c r="AV347" s="35">
        <f t="shared" si="52"/>
        <v>6.77900502976909</v>
      </c>
      <c r="AW347" s="37" t="s">
        <v>366</v>
      </c>
      <c r="AX347" s="40">
        <v>100</v>
      </c>
      <c r="AY347" s="40">
        <v>600</v>
      </c>
      <c r="AZ347" s="36">
        <v>113</v>
      </c>
      <c r="BA347" s="14">
        <f t="shared" si="53"/>
        <v>2.0530784434834195</v>
      </c>
      <c r="BB347" s="37" t="s">
        <v>367</v>
      </c>
      <c r="BC347" s="20">
        <v>4.4029611844734577E-3</v>
      </c>
      <c r="BD347" s="9">
        <v>32.800000000000004</v>
      </c>
      <c r="BE347" s="9" t="s">
        <v>368</v>
      </c>
      <c r="BF347" s="9">
        <v>0</v>
      </c>
    </row>
    <row r="348" spans="1:58">
      <c r="A348" s="9">
        <v>785</v>
      </c>
      <c r="B348" s="10" t="s">
        <v>76</v>
      </c>
      <c r="C348" s="10" t="s">
        <v>369</v>
      </c>
      <c r="D348" s="20" t="s">
        <v>370</v>
      </c>
      <c r="E348" s="20" t="s">
        <v>400</v>
      </c>
      <c r="F348" s="10" t="s">
        <v>369</v>
      </c>
      <c r="G348" s="20" t="s">
        <v>370</v>
      </c>
      <c r="H348" s="20" t="s">
        <v>400</v>
      </c>
      <c r="I348" s="10" t="s">
        <v>369</v>
      </c>
      <c r="J348" s="20" t="s">
        <v>398</v>
      </c>
      <c r="K348" s="20" t="s">
        <v>400</v>
      </c>
      <c r="L348" s="9" t="s">
        <v>380</v>
      </c>
      <c r="M348" s="9">
        <v>25</v>
      </c>
      <c r="N348" s="9" t="s">
        <v>381</v>
      </c>
      <c r="O348" s="9" t="s">
        <v>382</v>
      </c>
      <c r="P348" s="12">
        <v>39.289856</v>
      </c>
      <c r="Q348" s="12" t="s">
        <v>355</v>
      </c>
      <c r="R348" s="9" t="s">
        <v>356</v>
      </c>
      <c r="S348" s="13" t="s">
        <v>666</v>
      </c>
      <c r="T348" s="13" t="s">
        <v>666</v>
      </c>
      <c r="U348" s="14">
        <f t="shared" si="45"/>
        <v>0.77815125038364363</v>
      </c>
      <c r="V348" s="15">
        <v>32</v>
      </c>
      <c r="W348" s="12"/>
      <c r="X348" s="12">
        <v>1</v>
      </c>
      <c r="Y348" s="13" t="s">
        <v>384</v>
      </c>
      <c r="Z348" s="9" t="s">
        <v>417</v>
      </c>
      <c r="AA348" s="10" t="s">
        <v>418</v>
      </c>
      <c r="AB348" s="9" t="s">
        <v>355</v>
      </c>
      <c r="AC348" s="15">
        <v>128</v>
      </c>
      <c r="AD348" s="14">
        <f t="shared" si="46"/>
        <v>2.1072099696478683</v>
      </c>
      <c r="AE348" s="10" t="s">
        <v>671</v>
      </c>
      <c r="AF348" s="9" t="s">
        <v>420</v>
      </c>
      <c r="AG348" s="18">
        <v>33.322764999999997</v>
      </c>
      <c r="AH348" s="7">
        <f t="shared" si="47"/>
        <v>1</v>
      </c>
      <c r="AI348" s="7">
        <f t="shared" si="48"/>
        <v>1</v>
      </c>
      <c r="AJ348" s="7">
        <f t="shared" si="49"/>
        <v>0</v>
      </c>
      <c r="AK348" s="7">
        <f t="shared" si="50"/>
        <v>0</v>
      </c>
      <c r="AL348" s="7" t="s">
        <v>4157</v>
      </c>
      <c r="AM348" s="18">
        <f t="shared" si="51"/>
        <v>1.522741030382442</v>
      </c>
      <c r="AN348" s="18">
        <v>33.322764999999997</v>
      </c>
      <c r="AO348" s="18">
        <v>-87.460397</v>
      </c>
      <c r="AP348" s="9" t="s">
        <v>363</v>
      </c>
      <c r="AQ348" s="9" t="s">
        <v>355</v>
      </c>
      <c r="AR348" s="15">
        <v>1981</v>
      </c>
      <c r="AS348" s="19" t="s">
        <v>672</v>
      </c>
      <c r="AT348" s="20" t="s">
        <v>673</v>
      </c>
      <c r="AU348" s="40">
        <v>6011807</v>
      </c>
      <c r="AV348" s="35">
        <f t="shared" si="52"/>
        <v>6.77900502976909</v>
      </c>
      <c r="AW348" s="37" t="s">
        <v>366</v>
      </c>
      <c r="AX348" s="40">
        <v>100</v>
      </c>
      <c r="AY348" s="40">
        <v>600</v>
      </c>
      <c r="AZ348" s="36">
        <v>113</v>
      </c>
      <c r="BA348" s="14">
        <f t="shared" si="53"/>
        <v>2.0530784434834195</v>
      </c>
      <c r="BB348" s="37" t="s">
        <v>367</v>
      </c>
      <c r="BC348" s="20">
        <v>4.4029611844734577E-3</v>
      </c>
      <c r="BD348" s="9">
        <v>32.800000000000004</v>
      </c>
      <c r="BE348" s="9" t="s">
        <v>368</v>
      </c>
      <c r="BF348" s="9">
        <v>0</v>
      </c>
    </row>
    <row r="349" spans="1:58">
      <c r="A349" s="9">
        <v>784</v>
      </c>
      <c r="B349" s="10" t="s">
        <v>76</v>
      </c>
      <c r="C349" s="10" t="s">
        <v>369</v>
      </c>
      <c r="D349" s="20" t="s">
        <v>370</v>
      </c>
      <c r="E349" s="20" t="s">
        <v>400</v>
      </c>
      <c r="F349" s="10" t="s">
        <v>369</v>
      </c>
      <c r="G349" s="20" t="s">
        <v>370</v>
      </c>
      <c r="H349" s="20" t="s">
        <v>400</v>
      </c>
      <c r="I349" s="10" t="s">
        <v>369</v>
      </c>
      <c r="J349" s="20" t="s">
        <v>398</v>
      </c>
      <c r="K349" s="20" t="s">
        <v>400</v>
      </c>
      <c r="L349" s="9" t="s">
        <v>380</v>
      </c>
      <c r="M349" s="9">
        <v>37</v>
      </c>
      <c r="N349" s="9" t="s">
        <v>381</v>
      </c>
      <c r="O349" s="9" t="s">
        <v>382</v>
      </c>
      <c r="P349" s="12">
        <v>39.985508000000003</v>
      </c>
      <c r="Q349" s="12" t="s">
        <v>355</v>
      </c>
      <c r="R349" s="9" t="s">
        <v>356</v>
      </c>
      <c r="S349" s="13" t="s">
        <v>666</v>
      </c>
      <c r="T349" s="13" t="s">
        <v>666</v>
      </c>
      <c r="U349" s="14">
        <f t="shared" si="45"/>
        <v>0.77815125038364363</v>
      </c>
      <c r="V349" s="15">
        <v>32</v>
      </c>
      <c r="W349" s="12"/>
      <c r="X349" s="12">
        <v>1</v>
      </c>
      <c r="Y349" s="13" t="s">
        <v>384</v>
      </c>
      <c r="Z349" s="9" t="s">
        <v>417</v>
      </c>
      <c r="AA349" s="10" t="s">
        <v>418</v>
      </c>
      <c r="AB349" s="9" t="s">
        <v>355</v>
      </c>
      <c r="AC349" s="15">
        <v>128</v>
      </c>
      <c r="AD349" s="14">
        <f t="shared" si="46"/>
        <v>2.1072099696478683</v>
      </c>
      <c r="AE349" s="10" t="s">
        <v>671</v>
      </c>
      <c r="AF349" s="9" t="s">
        <v>420</v>
      </c>
      <c r="AG349" s="18">
        <v>33.322764999999997</v>
      </c>
      <c r="AH349" s="7">
        <f t="shared" si="47"/>
        <v>1</v>
      </c>
      <c r="AI349" s="7">
        <f t="shared" si="48"/>
        <v>1</v>
      </c>
      <c r="AJ349" s="7">
        <f t="shared" si="49"/>
        <v>0</v>
      </c>
      <c r="AK349" s="7">
        <f t="shared" si="50"/>
        <v>0</v>
      </c>
      <c r="AL349" s="7" t="s">
        <v>4157</v>
      </c>
      <c r="AM349" s="18">
        <f t="shared" si="51"/>
        <v>1.522741030382442</v>
      </c>
      <c r="AN349" s="18">
        <v>33.322764999999997</v>
      </c>
      <c r="AO349" s="18">
        <v>-87.460397</v>
      </c>
      <c r="AP349" s="9" t="s">
        <v>363</v>
      </c>
      <c r="AQ349" s="9" t="s">
        <v>355</v>
      </c>
      <c r="AR349" s="15">
        <v>1981</v>
      </c>
      <c r="AS349" s="19" t="s">
        <v>672</v>
      </c>
      <c r="AT349" s="20" t="s">
        <v>673</v>
      </c>
      <c r="AU349" s="40">
        <v>6011807</v>
      </c>
      <c r="AV349" s="35">
        <f t="shared" si="52"/>
        <v>6.77900502976909</v>
      </c>
      <c r="AW349" s="37" t="s">
        <v>366</v>
      </c>
      <c r="AX349" s="40">
        <v>100</v>
      </c>
      <c r="AY349" s="40">
        <v>600</v>
      </c>
      <c r="AZ349" s="36">
        <v>113</v>
      </c>
      <c r="BA349" s="14">
        <f t="shared" si="53"/>
        <v>2.0530784434834195</v>
      </c>
      <c r="BB349" s="37" t="s">
        <v>367</v>
      </c>
      <c r="BC349" s="20">
        <v>4.4029611844734577E-3</v>
      </c>
      <c r="BD349" s="9">
        <v>32.800000000000004</v>
      </c>
      <c r="BE349" s="9" t="s">
        <v>368</v>
      </c>
      <c r="BF349" s="9">
        <v>0</v>
      </c>
    </row>
    <row r="350" spans="1:58">
      <c r="A350" s="9">
        <v>438</v>
      </c>
      <c r="B350" s="10" t="s">
        <v>76</v>
      </c>
      <c r="C350" s="10" t="s">
        <v>369</v>
      </c>
      <c r="D350" s="20" t="s">
        <v>370</v>
      </c>
      <c r="E350" s="20" t="s">
        <v>485</v>
      </c>
      <c r="F350" s="10" t="s">
        <v>369</v>
      </c>
      <c r="G350" s="20" t="s">
        <v>370</v>
      </c>
      <c r="H350" s="20" t="s">
        <v>485</v>
      </c>
      <c r="I350" s="10" t="s">
        <v>369</v>
      </c>
      <c r="J350" s="20" t="s">
        <v>398</v>
      </c>
      <c r="K350" s="20" t="s">
        <v>486</v>
      </c>
      <c r="L350" s="9" t="s">
        <v>380</v>
      </c>
      <c r="M350" s="9">
        <v>7</v>
      </c>
      <c r="N350" s="9" t="s">
        <v>353</v>
      </c>
      <c r="O350" s="9" t="s">
        <v>382</v>
      </c>
      <c r="P350" s="12">
        <v>36.23283</v>
      </c>
      <c r="Q350" s="12" t="s">
        <v>355</v>
      </c>
      <c r="R350" s="9" t="s">
        <v>356</v>
      </c>
      <c r="S350" s="13">
        <v>5</v>
      </c>
      <c r="T350" s="13">
        <v>5</v>
      </c>
      <c r="U350" s="14">
        <f t="shared" si="45"/>
        <v>0.77815125038364363</v>
      </c>
      <c r="V350" s="15">
        <v>10</v>
      </c>
      <c r="W350" s="12"/>
      <c r="X350" s="12">
        <v>0.7</v>
      </c>
      <c r="Y350" s="13" t="s">
        <v>358</v>
      </c>
      <c r="Z350" s="9" t="s">
        <v>359</v>
      </c>
      <c r="AA350" s="10" t="s">
        <v>436</v>
      </c>
      <c r="AB350" s="9" t="s">
        <v>355</v>
      </c>
      <c r="AC350" s="15">
        <v>1181</v>
      </c>
      <c r="AD350" s="14">
        <f t="shared" si="46"/>
        <v>3.0722498976135149</v>
      </c>
      <c r="AE350" s="10" t="s">
        <v>487</v>
      </c>
      <c r="AF350" s="9" t="s">
        <v>420</v>
      </c>
      <c r="AG350" s="18">
        <v>35.052591</v>
      </c>
      <c r="AH350" s="7">
        <f t="shared" si="47"/>
        <v>1</v>
      </c>
      <c r="AI350" s="7">
        <f t="shared" si="48"/>
        <v>1</v>
      </c>
      <c r="AJ350" s="7">
        <f t="shared" si="49"/>
        <v>0</v>
      </c>
      <c r="AK350" s="7">
        <f t="shared" si="50"/>
        <v>0</v>
      </c>
      <c r="AL350" s="7" t="s">
        <v>4157</v>
      </c>
      <c r="AM350" s="18">
        <f t="shared" si="51"/>
        <v>1.5447201254528484</v>
      </c>
      <c r="AN350" s="18">
        <v>35.052591</v>
      </c>
      <c r="AO350" s="18">
        <v>-83.196816999999996</v>
      </c>
      <c r="AP350" s="9" t="s">
        <v>363</v>
      </c>
      <c r="AQ350" s="9" t="s">
        <v>438</v>
      </c>
      <c r="AR350" s="15">
        <v>1980</v>
      </c>
      <c r="AS350" s="19" t="s">
        <v>439</v>
      </c>
      <c r="AT350" s="20" t="s">
        <v>440</v>
      </c>
      <c r="AU350" s="40">
        <v>9096515</v>
      </c>
      <c r="AV350" s="35">
        <f t="shared" si="52"/>
        <v>6.9588750399961636</v>
      </c>
      <c r="AW350" s="37" t="s">
        <v>366</v>
      </c>
      <c r="AX350" s="34" t="s">
        <v>355</v>
      </c>
      <c r="AY350" s="40" t="s">
        <v>355</v>
      </c>
      <c r="AZ350" s="36">
        <v>55</v>
      </c>
      <c r="BA350" s="14">
        <f t="shared" si="53"/>
        <v>1.7403626894942439</v>
      </c>
      <c r="BB350" s="37" t="s">
        <v>388</v>
      </c>
      <c r="BC350" s="20">
        <v>3.2953181272512384E-3</v>
      </c>
      <c r="BD350" s="9">
        <v>25.5</v>
      </c>
      <c r="BE350" s="9" t="s">
        <v>368</v>
      </c>
      <c r="BF350" s="9">
        <v>0</v>
      </c>
    </row>
    <row r="351" spans="1:58">
      <c r="A351" s="9">
        <v>437</v>
      </c>
      <c r="B351" s="10" t="s">
        <v>76</v>
      </c>
      <c r="C351" s="10" t="s">
        <v>369</v>
      </c>
      <c r="D351" s="20" t="s">
        <v>370</v>
      </c>
      <c r="E351" s="20" t="s">
        <v>485</v>
      </c>
      <c r="F351" s="10" t="s">
        <v>369</v>
      </c>
      <c r="G351" s="20" t="s">
        <v>370</v>
      </c>
      <c r="H351" s="20" t="s">
        <v>485</v>
      </c>
      <c r="I351" s="10" t="s">
        <v>369</v>
      </c>
      <c r="J351" s="20" t="s">
        <v>398</v>
      </c>
      <c r="K351" s="20" t="s">
        <v>486</v>
      </c>
      <c r="L351" s="9" t="s">
        <v>380</v>
      </c>
      <c r="M351" s="9">
        <v>10</v>
      </c>
      <c r="N351" s="9" t="s">
        <v>381</v>
      </c>
      <c r="O351" s="9" t="s">
        <v>382</v>
      </c>
      <c r="P351" s="12">
        <v>36.31756</v>
      </c>
      <c r="Q351" s="12" t="s">
        <v>355</v>
      </c>
      <c r="R351" s="9" t="s">
        <v>356</v>
      </c>
      <c r="S351" s="13">
        <v>5</v>
      </c>
      <c r="T351" s="13">
        <v>5</v>
      </c>
      <c r="U351" s="14">
        <f t="shared" si="45"/>
        <v>0.77815125038364363</v>
      </c>
      <c r="V351" s="15">
        <v>10</v>
      </c>
      <c r="W351" s="12"/>
      <c r="X351" s="12">
        <v>0.7</v>
      </c>
      <c r="Y351" s="13" t="s">
        <v>358</v>
      </c>
      <c r="Z351" s="9" t="s">
        <v>359</v>
      </c>
      <c r="AA351" s="10" t="s">
        <v>436</v>
      </c>
      <c r="AB351" s="9" t="s">
        <v>355</v>
      </c>
      <c r="AC351" s="15">
        <v>1181</v>
      </c>
      <c r="AD351" s="14">
        <f t="shared" si="46"/>
        <v>3.0722498976135149</v>
      </c>
      <c r="AE351" s="10" t="s">
        <v>487</v>
      </c>
      <c r="AF351" s="9" t="s">
        <v>420</v>
      </c>
      <c r="AG351" s="18">
        <v>35.052591</v>
      </c>
      <c r="AH351" s="7">
        <f t="shared" si="47"/>
        <v>1</v>
      </c>
      <c r="AI351" s="7">
        <f t="shared" si="48"/>
        <v>1</v>
      </c>
      <c r="AJ351" s="7">
        <f t="shared" si="49"/>
        <v>0</v>
      </c>
      <c r="AK351" s="7">
        <f t="shared" si="50"/>
        <v>0</v>
      </c>
      <c r="AL351" s="7" t="s">
        <v>4157</v>
      </c>
      <c r="AM351" s="18">
        <f t="shared" si="51"/>
        <v>1.5447201254528484</v>
      </c>
      <c r="AN351" s="18">
        <v>35.052591</v>
      </c>
      <c r="AO351" s="18">
        <v>-83.196816999999996</v>
      </c>
      <c r="AP351" s="9" t="s">
        <v>363</v>
      </c>
      <c r="AQ351" s="9" t="s">
        <v>441</v>
      </c>
      <c r="AR351" s="15">
        <v>1980</v>
      </c>
      <c r="AS351" s="19" t="s">
        <v>439</v>
      </c>
      <c r="AT351" s="20" t="s">
        <v>440</v>
      </c>
      <c r="AU351" s="40">
        <v>9096515</v>
      </c>
      <c r="AV351" s="35">
        <f t="shared" si="52"/>
        <v>6.9588750399961636</v>
      </c>
      <c r="AW351" s="37" t="s">
        <v>366</v>
      </c>
      <c r="AX351" s="34" t="s">
        <v>355</v>
      </c>
      <c r="AY351" s="40" t="s">
        <v>355</v>
      </c>
      <c r="AZ351" s="36">
        <v>55</v>
      </c>
      <c r="BA351" s="14">
        <f t="shared" si="53"/>
        <v>1.7403626894942439</v>
      </c>
      <c r="BB351" s="37" t="s">
        <v>388</v>
      </c>
      <c r="BC351" s="20">
        <v>3.2953181272512384E-3</v>
      </c>
      <c r="BD351" s="9">
        <v>25.5</v>
      </c>
      <c r="BE351" s="9" t="s">
        <v>368</v>
      </c>
      <c r="BF351" s="9">
        <v>0</v>
      </c>
    </row>
    <row r="352" spans="1:58">
      <c r="A352" s="9">
        <v>430</v>
      </c>
      <c r="B352" s="10" t="s">
        <v>76</v>
      </c>
      <c r="C352" s="10" t="s">
        <v>369</v>
      </c>
      <c r="D352" s="20" t="s">
        <v>370</v>
      </c>
      <c r="E352" s="20" t="s">
        <v>485</v>
      </c>
      <c r="F352" s="10" t="s">
        <v>369</v>
      </c>
      <c r="G352" s="20" t="s">
        <v>370</v>
      </c>
      <c r="H352" s="20" t="s">
        <v>485</v>
      </c>
      <c r="I352" s="10" t="s">
        <v>369</v>
      </c>
      <c r="J352" s="20" t="s">
        <v>398</v>
      </c>
      <c r="K352" s="20" t="s">
        <v>486</v>
      </c>
      <c r="L352" s="9" t="s">
        <v>380</v>
      </c>
      <c r="M352" s="9">
        <v>10</v>
      </c>
      <c r="N352" s="9" t="s">
        <v>381</v>
      </c>
      <c r="O352" s="9" t="s">
        <v>382</v>
      </c>
      <c r="P352" s="12">
        <v>37.160159999999998</v>
      </c>
      <c r="Q352" s="12" t="s">
        <v>355</v>
      </c>
      <c r="R352" s="9" t="s">
        <v>356</v>
      </c>
      <c r="S352" s="13">
        <v>5</v>
      </c>
      <c r="T352" s="13">
        <v>5</v>
      </c>
      <c r="U352" s="14">
        <f t="shared" si="45"/>
        <v>0.77815125038364363</v>
      </c>
      <c r="V352" s="15">
        <v>10</v>
      </c>
      <c r="W352" s="12"/>
      <c r="X352" s="12">
        <v>0.7</v>
      </c>
      <c r="Y352" s="13" t="s">
        <v>358</v>
      </c>
      <c r="Z352" s="9" t="s">
        <v>359</v>
      </c>
      <c r="AA352" s="10" t="s">
        <v>436</v>
      </c>
      <c r="AB352" s="9" t="s">
        <v>355</v>
      </c>
      <c r="AC352" s="15">
        <v>1181</v>
      </c>
      <c r="AD352" s="14">
        <f t="shared" si="46"/>
        <v>3.0722498976135149</v>
      </c>
      <c r="AE352" s="10" t="s">
        <v>487</v>
      </c>
      <c r="AF352" s="9" t="s">
        <v>420</v>
      </c>
      <c r="AG352" s="18">
        <v>35.052591</v>
      </c>
      <c r="AH352" s="7">
        <f t="shared" si="47"/>
        <v>1</v>
      </c>
      <c r="AI352" s="7">
        <f t="shared" si="48"/>
        <v>1</v>
      </c>
      <c r="AJ352" s="7">
        <f t="shared" si="49"/>
        <v>0</v>
      </c>
      <c r="AK352" s="7">
        <f t="shared" si="50"/>
        <v>0</v>
      </c>
      <c r="AL352" s="7" t="s">
        <v>4157</v>
      </c>
      <c r="AM352" s="18">
        <f t="shared" si="51"/>
        <v>1.5447201254528484</v>
      </c>
      <c r="AN352" s="18">
        <v>35.052591</v>
      </c>
      <c r="AO352" s="18">
        <v>-83.196816999999996</v>
      </c>
      <c r="AP352" s="9" t="s">
        <v>363</v>
      </c>
      <c r="AQ352" s="9" t="s">
        <v>448</v>
      </c>
      <c r="AR352" s="15">
        <v>1980</v>
      </c>
      <c r="AS352" s="19" t="s">
        <v>439</v>
      </c>
      <c r="AT352" s="20" t="s">
        <v>440</v>
      </c>
      <c r="AU352" s="40">
        <v>9096515</v>
      </c>
      <c r="AV352" s="35">
        <f t="shared" si="52"/>
        <v>6.9588750399961636</v>
      </c>
      <c r="AW352" s="37" t="s">
        <v>366</v>
      </c>
      <c r="AX352" s="34" t="s">
        <v>355</v>
      </c>
      <c r="AY352" s="40" t="s">
        <v>355</v>
      </c>
      <c r="AZ352" s="36">
        <v>55</v>
      </c>
      <c r="BA352" s="14">
        <f t="shared" si="53"/>
        <v>1.7403626894942439</v>
      </c>
      <c r="BB352" s="37" t="s">
        <v>388</v>
      </c>
      <c r="BC352" s="20">
        <v>3.2953181272512384E-3</v>
      </c>
      <c r="BD352" s="9">
        <v>25.5</v>
      </c>
      <c r="BE352" s="9" t="s">
        <v>368</v>
      </c>
      <c r="BF352" s="9">
        <v>0</v>
      </c>
    </row>
    <row r="353" spans="1:58">
      <c r="A353" s="9">
        <v>436</v>
      </c>
      <c r="B353" s="10" t="s">
        <v>76</v>
      </c>
      <c r="C353" s="10" t="s">
        <v>369</v>
      </c>
      <c r="D353" s="20" t="s">
        <v>370</v>
      </c>
      <c r="E353" s="20" t="s">
        <v>485</v>
      </c>
      <c r="F353" s="10" t="s">
        <v>369</v>
      </c>
      <c r="G353" s="20" t="s">
        <v>370</v>
      </c>
      <c r="H353" s="20" t="s">
        <v>485</v>
      </c>
      <c r="I353" s="10" t="s">
        <v>369</v>
      </c>
      <c r="J353" s="20" t="s">
        <v>398</v>
      </c>
      <c r="K353" s="20" t="s">
        <v>486</v>
      </c>
      <c r="L353" s="9" t="s">
        <v>380</v>
      </c>
      <c r="M353" s="9">
        <v>10</v>
      </c>
      <c r="N353" s="9" t="s">
        <v>381</v>
      </c>
      <c r="O353" s="9" t="s">
        <v>382</v>
      </c>
      <c r="P353" s="12">
        <v>37.287190000000002</v>
      </c>
      <c r="Q353" s="12" t="s">
        <v>355</v>
      </c>
      <c r="R353" s="9" t="s">
        <v>356</v>
      </c>
      <c r="S353" s="13">
        <v>5</v>
      </c>
      <c r="T353" s="13">
        <v>5</v>
      </c>
      <c r="U353" s="14">
        <f t="shared" si="45"/>
        <v>0.77815125038364363</v>
      </c>
      <c r="V353" s="15">
        <v>10</v>
      </c>
      <c r="W353" s="12"/>
      <c r="X353" s="12">
        <v>0.7</v>
      </c>
      <c r="Y353" s="13" t="s">
        <v>358</v>
      </c>
      <c r="Z353" s="9" t="s">
        <v>359</v>
      </c>
      <c r="AA353" s="10" t="s">
        <v>436</v>
      </c>
      <c r="AB353" s="9" t="s">
        <v>355</v>
      </c>
      <c r="AC353" s="15">
        <v>1181</v>
      </c>
      <c r="AD353" s="14">
        <f t="shared" si="46"/>
        <v>3.0722498976135149</v>
      </c>
      <c r="AE353" s="10" t="s">
        <v>487</v>
      </c>
      <c r="AF353" s="9" t="s">
        <v>420</v>
      </c>
      <c r="AG353" s="18">
        <v>35.052591</v>
      </c>
      <c r="AH353" s="7">
        <f t="shared" si="47"/>
        <v>1</v>
      </c>
      <c r="AI353" s="7">
        <f t="shared" si="48"/>
        <v>1</v>
      </c>
      <c r="AJ353" s="7">
        <f t="shared" si="49"/>
        <v>0</v>
      </c>
      <c r="AK353" s="7">
        <f t="shared" si="50"/>
        <v>0</v>
      </c>
      <c r="AL353" s="7" t="s">
        <v>4157</v>
      </c>
      <c r="AM353" s="18">
        <f t="shared" si="51"/>
        <v>1.5447201254528484</v>
      </c>
      <c r="AN353" s="18">
        <v>35.052591</v>
      </c>
      <c r="AO353" s="18">
        <v>-83.196816999999996</v>
      </c>
      <c r="AP353" s="9" t="s">
        <v>363</v>
      </c>
      <c r="AQ353" s="9" t="s">
        <v>443</v>
      </c>
      <c r="AR353" s="15">
        <v>1980</v>
      </c>
      <c r="AS353" s="19" t="s">
        <v>439</v>
      </c>
      <c r="AT353" s="20" t="s">
        <v>440</v>
      </c>
      <c r="AU353" s="40">
        <v>9096515</v>
      </c>
      <c r="AV353" s="35">
        <f t="shared" si="52"/>
        <v>6.9588750399961636</v>
      </c>
      <c r="AW353" s="37" t="s">
        <v>366</v>
      </c>
      <c r="AX353" s="34" t="s">
        <v>355</v>
      </c>
      <c r="AY353" s="40" t="s">
        <v>355</v>
      </c>
      <c r="AZ353" s="36">
        <v>55</v>
      </c>
      <c r="BA353" s="14">
        <f t="shared" si="53"/>
        <v>1.7403626894942439</v>
      </c>
      <c r="BB353" s="37" t="s">
        <v>388</v>
      </c>
      <c r="BC353" s="20">
        <v>3.2953181272512384E-3</v>
      </c>
      <c r="BD353" s="9">
        <v>25.5</v>
      </c>
      <c r="BE353" s="9" t="s">
        <v>368</v>
      </c>
      <c r="BF353" s="9">
        <v>0</v>
      </c>
    </row>
    <row r="354" spans="1:58">
      <c r="A354" s="9">
        <v>431</v>
      </c>
      <c r="B354" s="10" t="s">
        <v>76</v>
      </c>
      <c r="C354" s="10" t="s">
        <v>369</v>
      </c>
      <c r="D354" s="20" t="s">
        <v>370</v>
      </c>
      <c r="E354" s="20" t="s">
        <v>485</v>
      </c>
      <c r="F354" s="10" t="s">
        <v>369</v>
      </c>
      <c r="G354" s="20" t="s">
        <v>370</v>
      </c>
      <c r="H354" s="20" t="s">
        <v>485</v>
      </c>
      <c r="I354" s="10" t="s">
        <v>369</v>
      </c>
      <c r="J354" s="20" t="s">
        <v>398</v>
      </c>
      <c r="K354" s="20" t="s">
        <v>486</v>
      </c>
      <c r="L354" s="9" t="s">
        <v>380</v>
      </c>
      <c r="M354" s="9">
        <v>10</v>
      </c>
      <c r="N354" s="9" t="s">
        <v>381</v>
      </c>
      <c r="O354" s="9" t="s">
        <v>382</v>
      </c>
      <c r="P354" s="12">
        <v>37.324019999999997</v>
      </c>
      <c r="Q354" s="12" t="s">
        <v>355</v>
      </c>
      <c r="R354" s="9" t="s">
        <v>356</v>
      </c>
      <c r="S354" s="13">
        <v>5</v>
      </c>
      <c r="T354" s="13">
        <v>5</v>
      </c>
      <c r="U354" s="14">
        <f t="shared" si="45"/>
        <v>0.77815125038364363</v>
      </c>
      <c r="V354" s="15">
        <v>10</v>
      </c>
      <c r="W354" s="12"/>
      <c r="X354" s="12">
        <v>0.7</v>
      </c>
      <c r="Y354" s="13" t="s">
        <v>358</v>
      </c>
      <c r="Z354" s="9" t="s">
        <v>359</v>
      </c>
      <c r="AA354" s="10" t="s">
        <v>436</v>
      </c>
      <c r="AB354" s="9" t="s">
        <v>355</v>
      </c>
      <c r="AC354" s="15">
        <v>1181</v>
      </c>
      <c r="AD354" s="14">
        <f t="shared" si="46"/>
        <v>3.0722498976135149</v>
      </c>
      <c r="AE354" s="10" t="s">
        <v>487</v>
      </c>
      <c r="AF354" s="9" t="s">
        <v>420</v>
      </c>
      <c r="AG354" s="18">
        <v>35.052591</v>
      </c>
      <c r="AH354" s="7">
        <f t="shared" si="47"/>
        <v>1</v>
      </c>
      <c r="AI354" s="7">
        <f t="shared" si="48"/>
        <v>1</v>
      </c>
      <c r="AJ354" s="7">
        <f t="shared" si="49"/>
        <v>0</v>
      </c>
      <c r="AK354" s="7">
        <f t="shared" si="50"/>
        <v>0</v>
      </c>
      <c r="AL354" s="7" t="s">
        <v>4157</v>
      </c>
      <c r="AM354" s="18">
        <f t="shared" si="51"/>
        <v>1.5447201254528484</v>
      </c>
      <c r="AN354" s="18">
        <v>35.052591</v>
      </c>
      <c r="AO354" s="18">
        <v>-83.196816999999996</v>
      </c>
      <c r="AP354" s="9" t="s">
        <v>363</v>
      </c>
      <c r="AQ354" s="9" t="s">
        <v>442</v>
      </c>
      <c r="AR354" s="15">
        <v>1980</v>
      </c>
      <c r="AS354" s="19" t="s">
        <v>439</v>
      </c>
      <c r="AT354" s="20" t="s">
        <v>440</v>
      </c>
      <c r="AU354" s="40">
        <v>9096515</v>
      </c>
      <c r="AV354" s="35">
        <f t="shared" si="52"/>
        <v>6.9588750399961636</v>
      </c>
      <c r="AW354" s="37" t="s">
        <v>366</v>
      </c>
      <c r="AX354" s="34" t="s">
        <v>355</v>
      </c>
      <c r="AY354" s="40" t="s">
        <v>355</v>
      </c>
      <c r="AZ354" s="36">
        <v>55</v>
      </c>
      <c r="BA354" s="14">
        <f t="shared" si="53"/>
        <v>1.7403626894942439</v>
      </c>
      <c r="BB354" s="37" t="s">
        <v>388</v>
      </c>
      <c r="BC354" s="20">
        <v>3.2953181272512384E-3</v>
      </c>
      <c r="BD354" s="9">
        <v>25.5</v>
      </c>
      <c r="BE354" s="9" t="s">
        <v>368</v>
      </c>
      <c r="BF354" s="9">
        <v>0</v>
      </c>
    </row>
    <row r="355" spans="1:58">
      <c r="A355" s="9">
        <v>435</v>
      </c>
      <c r="B355" s="10" t="s">
        <v>76</v>
      </c>
      <c r="C355" s="10" t="s">
        <v>369</v>
      </c>
      <c r="D355" s="20" t="s">
        <v>370</v>
      </c>
      <c r="E355" s="20" t="s">
        <v>485</v>
      </c>
      <c r="F355" s="10" t="s">
        <v>369</v>
      </c>
      <c r="G355" s="20" t="s">
        <v>370</v>
      </c>
      <c r="H355" s="20" t="s">
        <v>485</v>
      </c>
      <c r="I355" s="10" t="s">
        <v>369</v>
      </c>
      <c r="J355" s="20" t="s">
        <v>398</v>
      </c>
      <c r="K355" s="20" t="s">
        <v>486</v>
      </c>
      <c r="L355" s="9" t="s">
        <v>380</v>
      </c>
      <c r="M355" s="9">
        <v>10</v>
      </c>
      <c r="N355" s="9" t="s">
        <v>381</v>
      </c>
      <c r="O355" s="9" t="s">
        <v>382</v>
      </c>
      <c r="P355" s="12">
        <v>37.565469999999998</v>
      </c>
      <c r="Q355" s="12" t="s">
        <v>355</v>
      </c>
      <c r="R355" s="9" t="s">
        <v>356</v>
      </c>
      <c r="S355" s="13">
        <v>5</v>
      </c>
      <c r="T355" s="13">
        <v>5</v>
      </c>
      <c r="U355" s="14">
        <f t="shared" si="45"/>
        <v>0.77815125038364363</v>
      </c>
      <c r="V355" s="15">
        <v>10</v>
      </c>
      <c r="W355" s="12"/>
      <c r="X355" s="12">
        <v>0.7</v>
      </c>
      <c r="Y355" s="13" t="s">
        <v>358</v>
      </c>
      <c r="Z355" s="9" t="s">
        <v>359</v>
      </c>
      <c r="AA355" s="10" t="s">
        <v>436</v>
      </c>
      <c r="AB355" s="9" t="s">
        <v>355</v>
      </c>
      <c r="AC355" s="15">
        <v>1181</v>
      </c>
      <c r="AD355" s="14">
        <f t="shared" si="46"/>
        <v>3.0722498976135149</v>
      </c>
      <c r="AE355" s="10" t="s">
        <v>487</v>
      </c>
      <c r="AF355" s="9" t="s">
        <v>420</v>
      </c>
      <c r="AG355" s="18">
        <v>35.052591</v>
      </c>
      <c r="AH355" s="7">
        <f t="shared" si="47"/>
        <v>1</v>
      </c>
      <c r="AI355" s="7">
        <f t="shared" si="48"/>
        <v>1</v>
      </c>
      <c r="AJ355" s="7">
        <f t="shared" si="49"/>
        <v>0</v>
      </c>
      <c r="AK355" s="7">
        <f t="shared" si="50"/>
        <v>0</v>
      </c>
      <c r="AL355" s="7" t="s">
        <v>4157</v>
      </c>
      <c r="AM355" s="18">
        <f t="shared" si="51"/>
        <v>1.5447201254528484</v>
      </c>
      <c r="AN355" s="18">
        <v>35.052591</v>
      </c>
      <c r="AO355" s="18">
        <v>-83.196816999999996</v>
      </c>
      <c r="AP355" s="9" t="s">
        <v>363</v>
      </c>
      <c r="AQ355" s="9" t="s">
        <v>444</v>
      </c>
      <c r="AR355" s="15">
        <v>1980</v>
      </c>
      <c r="AS355" s="19" t="s">
        <v>439</v>
      </c>
      <c r="AT355" s="20" t="s">
        <v>440</v>
      </c>
      <c r="AU355" s="40">
        <v>9096515</v>
      </c>
      <c r="AV355" s="35">
        <f t="shared" si="52"/>
        <v>6.9588750399961636</v>
      </c>
      <c r="AW355" s="37" t="s">
        <v>366</v>
      </c>
      <c r="AX355" s="34" t="s">
        <v>355</v>
      </c>
      <c r="AY355" s="40" t="s">
        <v>355</v>
      </c>
      <c r="AZ355" s="36">
        <v>55</v>
      </c>
      <c r="BA355" s="14">
        <f t="shared" si="53"/>
        <v>1.7403626894942439</v>
      </c>
      <c r="BB355" s="37" t="s">
        <v>388</v>
      </c>
      <c r="BC355" s="20">
        <v>3.2953181272512384E-3</v>
      </c>
      <c r="BD355" s="9">
        <v>25.5</v>
      </c>
      <c r="BE355" s="9" t="s">
        <v>368</v>
      </c>
      <c r="BF355" s="9">
        <v>0</v>
      </c>
    </row>
    <row r="356" spans="1:58">
      <c r="A356" s="9">
        <v>433</v>
      </c>
      <c r="B356" s="10" t="s">
        <v>76</v>
      </c>
      <c r="C356" s="10" t="s">
        <v>369</v>
      </c>
      <c r="D356" s="20" t="s">
        <v>370</v>
      </c>
      <c r="E356" s="20" t="s">
        <v>485</v>
      </c>
      <c r="F356" s="10" t="s">
        <v>369</v>
      </c>
      <c r="G356" s="20" t="s">
        <v>370</v>
      </c>
      <c r="H356" s="20" t="s">
        <v>485</v>
      </c>
      <c r="I356" s="10" t="s">
        <v>369</v>
      </c>
      <c r="J356" s="20" t="s">
        <v>398</v>
      </c>
      <c r="K356" s="20" t="s">
        <v>486</v>
      </c>
      <c r="L356" s="9" t="s">
        <v>380</v>
      </c>
      <c r="M356" s="9">
        <v>10</v>
      </c>
      <c r="N356" s="9" t="s">
        <v>381</v>
      </c>
      <c r="O356" s="9" t="s">
        <v>382</v>
      </c>
      <c r="P356" s="12">
        <v>38.067100000000003</v>
      </c>
      <c r="Q356" s="12" t="s">
        <v>355</v>
      </c>
      <c r="R356" s="9" t="s">
        <v>356</v>
      </c>
      <c r="S356" s="13">
        <v>5</v>
      </c>
      <c r="T356" s="13">
        <v>5</v>
      </c>
      <c r="U356" s="14">
        <f t="shared" si="45"/>
        <v>0.77815125038364363</v>
      </c>
      <c r="V356" s="15">
        <v>10</v>
      </c>
      <c r="W356" s="12"/>
      <c r="X356" s="12">
        <v>0.7</v>
      </c>
      <c r="Y356" s="13" t="s">
        <v>358</v>
      </c>
      <c r="Z356" s="9" t="s">
        <v>359</v>
      </c>
      <c r="AA356" s="10" t="s">
        <v>436</v>
      </c>
      <c r="AB356" s="9" t="s">
        <v>355</v>
      </c>
      <c r="AC356" s="15">
        <v>1181</v>
      </c>
      <c r="AD356" s="14">
        <f t="shared" si="46"/>
        <v>3.0722498976135149</v>
      </c>
      <c r="AE356" s="10" t="s">
        <v>487</v>
      </c>
      <c r="AF356" s="9" t="s">
        <v>420</v>
      </c>
      <c r="AG356" s="18">
        <v>35.052591</v>
      </c>
      <c r="AH356" s="7">
        <f t="shared" si="47"/>
        <v>1</v>
      </c>
      <c r="AI356" s="7">
        <f t="shared" si="48"/>
        <v>1</v>
      </c>
      <c r="AJ356" s="7">
        <f t="shared" si="49"/>
        <v>0</v>
      </c>
      <c r="AK356" s="7">
        <f t="shared" si="50"/>
        <v>0</v>
      </c>
      <c r="AL356" s="7" t="s">
        <v>4157</v>
      </c>
      <c r="AM356" s="18">
        <f t="shared" si="51"/>
        <v>1.5447201254528484</v>
      </c>
      <c r="AN356" s="18">
        <v>35.052591</v>
      </c>
      <c r="AO356" s="18">
        <v>-83.196816999999996</v>
      </c>
      <c r="AP356" s="9" t="s">
        <v>363</v>
      </c>
      <c r="AQ356" s="9" t="s">
        <v>445</v>
      </c>
      <c r="AR356" s="15">
        <v>1980</v>
      </c>
      <c r="AS356" s="19" t="s">
        <v>439</v>
      </c>
      <c r="AT356" s="20" t="s">
        <v>440</v>
      </c>
      <c r="AU356" s="40">
        <v>9096515</v>
      </c>
      <c r="AV356" s="35">
        <f t="shared" si="52"/>
        <v>6.9588750399961636</v>
      </c>
      <c r="AW356" s="37" t="s">
        <v>366</v>
      </c>
      <c r="AX356" s="34" t="s">
        <v>355</v>
      </c>
      <c r="AY356" s="40" t="s">
        <v>355</v>
      </c>
      <c r="AZ356" s="36">
        <v>55</v>
      </c>
      <c r="BA356" s="14">
        <f t="shared" si="53"/>
        <v>1.7403626894942439</v>
      </c>
      <c r="BB356" s="37" t="s">
        <v>388</v>
      </c>
      <c r="BC356" s="20">
        <v>3.2953181272512384E-3</v>
      </c>
      <c r="BD356" s="9">
        <v>25.5</v>
      </c>
      <c r="BE356" s="9" t="s">
        <v>368</v>
      </c>
      <c r="BF356" s="9">
        <v>0</v>
      </c>
    </row>
    <row r="357" spans="1:58">
      <c r="A357" s="9">
        <v>434</v>
      </c>
      <c r="B357" s="10" t="s">
        <v>76</v>
      </c>
      <c r="C357" s="10" t="s">
        <v>369</v>
      </c>
      <c r="D357" s="20" t="s">
        <v>370</v>
      </c>
      <c r="E357" s="20" t="s">
        <v>485</v>
      </c>
      <c r="F357" s="10" t="s">
        <v>369</v>
      </c>
      <c r="G357" s="20" t="s">
        <v>370</v>
      </c>
      <c r="H357" s="20" t="s">
        <v>485</v>
      </c>
      <c r="I357" s="10" t="s">
        <v>369</v>
      </c>
      <c r="J357" s="20" t="s">
        <v>398</v>
      </c>
      <c r="K357" s="20" t="s">
        <v>486</v>
      </c>
      <c r="L357" s="9" t="s">
        <v>380</v>
      </c>
      <c r="M357" s="9">
        <v>10</v>
      </c>
      <c r="N357" s="9" t="s">
        <v>381</v>
      </c>
      <c r="O357" s="9" t="s">
        <v>382</v>
      </c>
      <c r="P357" s="12">
        <v>38.147889999999997</v>
      </c>
      <c r="Q357" s="12" t="s">
        <v>355</v>
      </c>
      <c r="R357" s="9" t="s">
        <v>356</v>
      </c>
      <c r="S357" s="13">
        <v>5</v>
      </c>
      <c r="T357" s="13">
        <v>5</v>
      </c>
      <c r="U357" s="14">
        <f t="shared" si="45"/>
        <v>0.77815125038364363</v>
      </c>
      <c r="V357" s="15">
        <v>10</v>
      </c>
      <c r="W357" s="12"/>
      <c r="X357" s="12">
        <v>0.7</v>
      </c>
      <c r="Y357" s="13" t="s">
        <v>358</v>
      </c>
      <c r="Z357" s="9" t="s">
        <v>359</v>
      </c>
      <c r="AA357" s="10" t="s">
        <v>436</v>
      </c>
      <c r="AB357" s="9" t="s">
        <v>355</v>
      </c>
      <c r="AC357" s="15">
        <v>1181</v>
      </c>
      <c r="AD357" s="14">
        <f t="shared" si="46"/>
        <v>3.0722498976135149</v>
      </c>
      <c r="AE357" s="10" t="s">
        <v>487</v>
      </c>
      <c r="AF357" s="9" t="s">
        <v>420</v>
      </c>
      <c r="AG357" s="18">
        <v>35.052591</v>
      </c>
      <c r="AH357" s="7">
        <f t="shared" si="47"/>
        <v>1</v>
      </c>
      <c r="AI357" s="7">
        <f t="shared" si="48"/>
        <v>1</v>
      </c>
      <c r="AJ357" s="7">
        <f t="shared" si="49"/>
        <v>0</v>
      </c>
      <c r="AK357" s="7">
        <f t="shared" si="50"/>
        <v>0</v>
      </c>
      <c r="AL357" s="7" t="s">
        <v>4157</v>
      </c>
      <c r="AM357" s="18">
        <f t="shared" si="51"/>
        <v>1.5447201254528484</v>
      </c>
      <c r="AN357" s="18">
        <v>35.052591</v>
      </c>
      <c r="AO357" s="18">
        <v>-83.196816999999996</v>
      </c>
      <c r="AP357" s="9" t="s">
        <v>363</v>
      </c>
      <c r="AQ357" s="9" t="s">
        <v>446</v>
      </c>
      <c r="AR357" s="15">
        <v>1980</v>
      </c>
      <c r="AS357" s="19" t="s">
        <v>439</v>
      </c>
      <c r="AT357" s="20" t="s">
        <v>440</v>
      </c>
      <c r="AU357" s="40">
        <v>9096515</v>
      </c>
      <c r="AV357" s="35">
        <f t="shared" si="52"/>
        <v>6.9588750399961636</v>
      </c>
      <c r="AW357" s="37" t="s">
        <v>366</v>
      </c>
      <c r="AX357" s="34" t="s">
        <v>355</v>
      </c>
      <c r="AY357" s="40" t="s">
        <v>355</v>
      </c>
      <c r="AZ357" s="36">
        <v>55</v>
      </c>
      <c r="BA357" s="14">
        <f t="shared" si="53"/>
        <v>1.7403626894942439</v>
      </c>
      <c r="BB357" s="37" t="s">
        <v>388</v>
      </c>
      <c r="BC357" s="20">
        <v>3.2953181272512384E-3</v>
      </c>
      <c r="BD357" s="9">
        <v>25.5</v>
      </c>
      <c r="BE357" s="9" t="s">
        <v>368</v>
      </c>
      <c r="BF357" s="9">
        <v>0</v>
      </c>
    </row>
    <row r="358" spans="1:58">
      <c r="A358" s="9">
        <v>432</v>
      </c>
      <c r="B358" s="10" t="s">
        <v>76</v>
      </c>
      <c r="C358" s="10" t="s">
        <v>369</v>
      </c>
      <c r="D358" s="20" t="s">
        <v>370</v>
      </c>
      <c r="E358" s="20" t="s">
        <v>485</v>
      </c>
      <c r="F358" s="10" t="s">
        <v>369</v>
      </c>
      <c r="G358" s="20" t="s">
        <v>370</v>
      </c>
      <c r="H358" s="20" t="s">
        <v>485</v>
      </c>
      <c r="I358" s="10" t="s">
        <v>369</v>
      </c>
      <c r="J358" s="20" t="s">
        <v>398</v>
      </c>
      <c r="K358" s="20" t="s">
        <v>486</v>
      </c>
      <c r="L358" s="9" t="s">
        <v>380</v>
      </c>
      <c r="M358" s="9">
        <v>4</v>
      </c>
      <c r="N358" s="9" t="s">
        <v>353</v>
      </c>
      <c r="O358" s="9" t="s">
        <v>382</v>
      </c>
      <c r="P358" s="12">
        <v>38.179490000000001</v>
      </c>
      <c r="Q358" s="12" t="s">
        <v>355</v>
      </c>
      <c r="R358" s="9" t="s">
        <v>356</v>
      </c>
      <c r="S358" s="13">
        <v>5</v>
      </c>
      <c r="T358" s="13">
        <v>5</v>
      </c>
      <c r="U358" s="14">
        <f t="shared" si="45"/>
        <v>0.77815125038364363</v>
      </c>
      <c r="V358" s="15">
        <v>10</v>
      </c>
      <c r="W358" s="12"/>
      <c r="X358" s="12">
        <v>0.7</v>
      </c>
      <c r="Y358" s="13" t="s">
        <v>358</v>
      </c>
      <c r="Z358" s="9" t="s">
        <v>359</v>
      </c>
      <c r="AA358" s="10" t="s">
        <v>436</v>
      </c>
      <c r="AB358" s="9" t="s">
        <v>355</v>
      </c>
      <c r="AC358" s="15">
        <v>1181</v>
      </c>
      <c r="AD358" s="14">
        <f t="shared" si="46"/>
        <v>3.0722498976135149</v>
      </c>
      <c r="AE358" s="10" t="s">
        <v>487</v>
      </c>
      <c r="AF358" s="9" t="s">
        <v>420</v>
      </c>
      <c r="AG358" s="18">
        <v>35.052591</v>
      </c>
      <c r="AH358" s="7">
        <f t="shared" si="47"/>
        <v>1</v>
      </c>
      <c r="AI358" s="7">
        <f t="shared" si="48"/>
        <v>1</v>
      </c>
      <c r="AJ358" s="7">
        <f t="shared" si="49"/>
        <v>0</v>
      </c>
      <c r="AK358" s="7">
        <f t="shared" si="50"/>
        <v>0</v>
      </c>
      <c r="AL358" s="7" t="s">
        <v>4157</v>
      </c>
      <c r="AM358" s="18">
        <f t="shared" si="51"/>
        <v>1.5447201254528484</v>
      </c>
      <c r="AN358" s="18">
        <v>35.052591</v>
      </c>
      <c r="AO358" s="18">
        <v>-83.196816999999996</v>
      </c>
      <c r="AP358" s="9" t="s">
        <v>363</v>
      </c>
      <c r="AQ358" s="9" t="s">
        <v>449</v>
      </c>
      <c r="AR358" s="15">
        <v>1980</v>
      </c>
      <c r="AS358" s="19" t="s">
        <v>439</v>
      </c>
      <c r="AT358" s="20" t="s">
        <v>440</v>
      </c>
      <c r="AU358" s="40">
        <v>9096515</v>
      </c>
      <c r="AV358" s="35">
        <f t="shared" si="52"/>
        <v>6.9588750399961636</v>
      </c>
      <c r="AW358" s="37" t="s">
        <v>366</v>
      </c>
      <c r="AX358" s="34" t="s">
        <v>355</v>
      </c>
      <c r="AY358" s="40" t="s">
        <v>355</v>
      </c>
      <c r="AZ358" s="36">
        <v>55</v>
      </c>
      <c r="BA358" s="14">
        <f t="shared" si="53"/>
        <v>1.7403626894942439</v>
      </c>
      <c r="BB358" s="37" t="s">
        <v>388</v>
      </c>
      <c r="BC358" s="20">
        <v>3.2953181272512384E-3</v>
      </c>
      <c r="BD358" s="9">
        <v>25.5</v>
      </c>
      <c r="BE358" s="9" t="s">
        <v>368</v>
      </c>
      <c r="BF358" s="9">
        <v>0</v>
      </c>
    </row>
    <row r="359" spans="1:58">
      <c r="A359" s="9">
        <v>459</v>
      </c>
      <c r="B359" s="10" t="s">
        <v>76</v>
      </c>
      <c r="C359" s="10" t="s">
        <v>77</v>
      </c>
      <c r="D359" s="20" t="s">
        <v>503</v>
      </c>
      <c r="E359" s="20" t="s">
        <v>507</v>
      </c>
      <c r="F359" s="10" t="s">
        <v>77</v>
      </c>
      <c r="G359" s="20" t="s">
        <v>503</v>
      </c>
      <c r="H359" s="20" t="s">
        <v>507</v>
      </c>
      <c r="I359" s="10" t="s">
        <v>77</v>
      </c>
      <c r="J359" s="20" t="s">
        <v>503</v>
      </c>
      <c r="K359" s="20" t="s">
        <v>507</v>
      </c>
      <c r="L359" s="9" t="s">
        <v>380</v>
      </c>
      <c r="M359" s="9">
        <v>10</v>
      </c>
      <c r="N359" s="9" t="s">
        <v>381</v>
      </c>
      <c r="O359" s="9" t="s">
        <v>382</v>
      </c>
      <c r="P359" s="12">
        <v>36.101320000000001</v>
      </c>
      <c r="Q359" s="12" t="s">
        <v>355</v>
      </c>
      <c r="R359" s="9" t="s">
        <v>356</v>
      </c>
      <c r="S359" s="13">
        <v>5</v>
      </c>
      <c r="T359" s="13">
        <v>5</v>
      </c>
      <c r="U359" s="14">
        <f t="shared" si="45"/>
        <v>0.77815125038364363</v>
      </c>
      <c r="V359" s="15">
        <v>10</v>
      </c>
      <c r="W359" s="12"/>
      <c r="X359" s="12">
        <v>0.7</v>
      </c>
      <c r="Y359" s="13" t="s">
        <v>358</v>
      </c>
      <c r="Z359" s="9" t="s">
        <v>359</v>
      </c>
      <c r="AA359" s="10" t="s">
        <v>436</v>
      </c>
      <c r="AB359" s="9" t="s">
        <v>355</v>
      </c>
      <c r="AC359" s="15">
        <v>213</v>
      </c>
      <c r="AD359" s="14">
        <f t="shared" si="46"/>
        <v>2.3283796034387376</v>
      </c>
      <c r="AE359" s="10" t="s">
        <v>437</v>
      </c>
      <c r="AF359" s="9" t="s">
        <v>420</v>
      </c>
      <c r="AG359" s="18">
        <v>34.683438000000002</v>
      </c>
      <c r="AH359" s="7">
        <f t="shared" si="47"/>
        <v>1</v>
      </c>
      <c r="AI359" s="7">
        <f t="shared" si="48"/>
        <v>1</v>
      </c>
      <c r="AJ359" s="7">
        <f t="shared" si="49"/>
        <v>0</v>
      </c>
      <c r="AK359" s="7">
        <f t="shared" si="50"/>
        <v>0</v>
      </c>
      <c r="AL359" s="7" t="s">
        <v>4157</v>
      </c>
      <c r="AM359" s="18">
        <f t="shared" si="51"/>
        <v>1.5401221404311698</v>
      </c>
      <c r="AN359" s="18">
        <v>34.683438000000002</v>
      </c>
      <c r="AO359" s="18">
        <v>-82.837365000000005</v>
      </c>
      <c r="AP359" s="9" t="s">
        <v>363</v>
      </c>
      <c r="AQ359" s="12" t="s">
        <v>448</v>
      </c>
      <c r="AR359" s="15">
        <v>1980</v>
      </c>
      <c r="AS359" s="19" t="s">
        <v>439</v>
      </c>
      <c r="AT359" s="20" t="s">
        <v>440</v>
      </c>
      <c r="AU359" s="40">
        <v>3425336</v>
      </c>
      <c r="AV359" s="35">
        <f t="shared" si="52"/>
        <v>6.5347031789784316</v>
      </c>
      <c r="AW359" s="37" t="s">
        <v>366</v>
      </c>
      <c r="AX359" s="34" t="s">
        <v>355</v>
      </c>
      <c r="AY359" s="40" t="s">
        <v>355</v>
      </c>
      <c r="AZ359" s="36">
        <v>33</v>
      </c>
      <c r="BA359" s="14">
        <f t="shared" si="53"/>
        <v>1.5185139398778875</v>
      </c>
      <c r="BB359" s="37" t="s">
        <v>367</v>
      </c>
      <c r="BC359" s="20">
        <v>1.137454981992851E-2</v>
      </c>
      <c r="BD359" s="9">
        <v>32</v>
      </c>
      <c r="BE359" s="9" t="s">
        <v>368</v>
      </c>
      <c r="BF359" s="9">
        <v>0</v>
      </c>
    </row>
    <row r="360" spans="1:58">
      <c r="A360" s="9">
        <v>465</v>
      </c>
      <c r="B360" s="10" t="s">
        <v>76</v>
      </c>
      <c r="C360" s="10" t="s">
        <v>77</v>
      </c>
      <c r="D360" s="20" t="s">
        <v>503</v>
      </c>
      <c r="E360" s="20" t="s">
        <v>507</v>
      </c>
      <c r="F360" s="10" t="s">
        <v>77</v>
      </c>
      <c r="G360" s="20" t="s">
        <v>503</v>
      </c>
      <c r="H360" s="20" t="s">
        <v>507</v>
      </c>
      <c r="I360" s="10" t="s">
        <v>77</v>
      </c>
      <c r="J360" s="20" t="s">
        <v>503</v>
      </c>
      <c r="K360" s="20" t="s">
        <v>507</v>
      </c>
      <c r="L360" s="9" t="s">
        <v>380</v>
      </c>
      <c r="M360" s="9">
        <v>10</v>
      </c>
      <c r="N360" s="9" t="s">
        <v>381</v>
      </c>
      <c r="O360" s="9" t="s">
        <v>382</v>
      </c>
      <c r="P360" s="12">
        <v>36.484900000000003</v>
      </c>
      <c r="Q360" s="12" t="s">
        <v>355</v>
      </c>
      <c r="R360" s="9" t="s">
        <v>356</v>
      </c>
      <c r="S360" s="13">
        <v>5</v>
      </c>
      <c r="T360" s="13">
        <v>5</v>
      </c>
      <c r="U360" s="14">
        <f t="shared" si="45"/>
        <v>0.77815125038364363</v>
      </c>
      <c r="V360" s="15">
        <v>10</v>
      </c>
      <c r="W360" s="12"/>
      <c r="X360" s="12">
        <v>0.7</v>
      </c>
      <c r="Y360" s="13" t="s">
        <v>358</v>
      </c>
      <c r="Z360" s="9" t="s">
        <v>359</v>
      </c>
      <c r="AA360" s="10" t="s">
        <v>436</v>
      </c>
      <c r="AB360" s="9" t="s">
        <v>355</v>
      </c>
      <c r="AC360" s="15">
        <v>213</v>
      </c>
      <c r="AD360" s="14">
        <f t="shared" si="46"/>
        <v>2.3283796034387376</v>
      </c>
      <c r="AE360" s="10" t="s">
        <v>437</v>
      </c>
      <c r="AF360" s="9" t="s">
        <v>420</v>
      </c>
      <c r="AG360" s="18">
        <v>34.683438000000002</v>
      </c>
      <c r="AH360" s="7">
        <f t="shared" si="47"/>
        <v>1</v>
      </c>
      <c r="AI360" s="7">
        <f t="shared" si="48"/>
        <v>1</v>
      </c>
      <c r="AJ360" s="7">
        <f t="shared" si="49"/>
        <v>0</v>
      </c>
      <c r="AK360" s="7">
        <f t="shared" si="50"/>
        <v>0</v>
      </c>
      <c r="AL360" s="7" t="s">
        <v>4157</v>
      </c>
      <c r="AM360" s="18">
        <f t="shared" si="51"/>
        <v>1.5401221404311698</v>
      </c>
      <c r="AN360" s="18">
        <v>34.683438000000002</v>
      </c>
      <c r="AO360" s="18">
        <v>-82.837365000000005</v>
      </c>
      <c r="AP360" s="9" t="s">
        <v>363</v>
      </c>
      <c r="AQ360" s="12" t="s">
        <v>441</v>
      </c>
      <c r="AR360" s="15">
        <v>1980</v>
      </c>
      <c r="AS360" s="19" t="s">
        <v>439</v>
      </c>
      <c r="AT360" s="20" t="s">
        <v>440</v>
      </c>
      <c r="AU360" s="40">
        <v>3425336</v>
      </c>
      <c r="AV360" s="35">
        <f t="shared" si="52"/>
        <v>6.5347031789784316</v>
      </c>
      <c r="AW360" s="37" t="s">
        <v>366</v>
      </c>
      <c r="AX360" s="34" t="s">
        <v>355</v>
      </c>
      <c r="AY360" s="40" t="s">
        <v>355</v>
      </c>
      <c r="AZ360" s="36">
        <v>33</v>
      </c>
      <c r="BA360" s="14">
        <f t="shared" si="53"/>
        <v>1.5185139398778875</v>
      </c>
      <c r="BB360" s="37" t="s">
        <v>367</v>
      </c>
      <c r="BC360" s="20">
        <v>1.137454981992851E-2</v>
      </c>
      <c r="BD360" s="9">
        <v>32</v>
      </c>
      <c r="BE360" s="9" t="s">
        <v>368</v>
      </c>
      <c r="BF360" s="9">
        <v>0</v>
      </c>
    </row>
    <row r="361" spans="1:58">
      <c r="A361" s="9">
        <v>464</v>
      </c>
      <c r="B361" s="10" t="s">
        <v>76</v>
      </c>
      <c r="C361" s="10" t="s">
        <v>77</v>
      </c>
      <c r="D361" s="20" t="s">
        <v>503</v>
      </c>
      <c r="E361" s="20" t="s">
        <v>507</v>
      </c>
      <c r="F361" s="10" t="s">
        <v>77</v>
      </c>
      <c r="G361" s="20" t="s">
        <v>503</v>
      </c>
      <c r="H361" s="20" t="s">
        <v>507</v>
      </c>
      <c r="I361" s="10" t="s">
        <v>77</v>
      </c>
      <c r="J361" s="20" t="s">
        <v>503</v>
      </c>
      <c r="K361" s="20" t="s">
        <v>507</v>
      </c>
      <c r="L361" s="9" t="s">
        <v>380</v>
      </c>
      <c r="M361" s="9">
        <v>10</v>
      </c>
      <c r="N361" s="9" t="s">
        <v>381</v>
      </c>
      <c r="O361" s="9" t="s">
        <v>382</v>
      </c>
      <c r="P361" s="12">
        <v>37.74418</v>
      </c>
      <c r="Q361" s="12" t="s">
        <v>355</v>
      </c>
      <c r="R361" s="9" t="s">
        <v>356</v>
      </c>
      <c r="S361" s="13">
        <v>5</v>
      </c>
      <c r="T361" s="13">
        <v>5</v>
      </c>
      <c r="U361" s="14">
        <f t="shared" si="45"/>
        <v>0.77815125038364363</v>
      </c>
      <c r="V361" s="15">
        <v>10</v>
      </c>
      <c r="W361" s="12"/>
      <c r="X361" s="12">
        <v>0.7</v>
      </c>
      <c r="Y361" s="13" t="s">
        <v>358</v>
      </c>
      <c r="Z361" s="9" t="s">
        <v>359</v>
      </c>
      <c r="AA361" s="10" t="s">
        <v>436</v>
      </c>
      <c r="AB361" s="9" t="s">
        <v>355</v>
      </c>
      <c r="AC361" s="15">
        <v>213</v>
      </c>
      <c r="AD361" s="14">
        <f t="shared" si="46"/>
        <v>2.3283796034387376</v>
      </c>
      <c r="AE361" s="10" t="s">
        <v>437</v>
      </c>
      <c r="AF361" s="9" t="s">
        <v>420</v>
      </c>
      <c r="AG361" s="18">
        <v>34.683438000000002</v>
      </c>
      <c r="AH361" s="7">
        <f t="shared" si="47"/>
        <v>1</v>
      </c>
      <c r="AI361" s="7">
        <f t="shared" si="48"/>
        <v>1</v>
      </c>
      <c r="AJ361" s="7">
        <f t="shared" si="49"/>
        <v>0</v>
      </c>
      <c r="AK361" s="7">
        <f t="shared" si="50"/>
        <v>0</v>
      </c>
      <c r="AL361" s="7" t="s">
        <v>4157</v>
      </c>
      <c r="AM361" s="18">
        <f t="shared" si="51"/>
        <v>1.5401221404311698</v>
      </c>
      <c r="AN361" s="18">
        <v>34.683438000000002</v>
      </c>
      <c r="AO361" s="18">
        <v>-82.837365000000005</v>
      </c>
      <c r="AP361" s="9" t="s">
        <v>363</v>
      </c>
      <c r="AQ361" s="12" t="s">
        <v>443</v>
      </c>
      <c r="AR361" s="15">
        <v>1980</v>
      </c>
      <c r="AS361" s="19" t="s">
        <v>439</v>
      </c>
      <c r="AT361" s="20" t="s">
        <v>440</v>
      </c>
      <c r="AU361" s="40">
        <v>3425336</v>
      </c>
      <c r="AV361" s="35">
        <f t="shared" si="52"/>
        <v>6.5347031789784316</v>
      </c>
      <c r="AW361" s="37" t="s">
        <v>366</v>
      </c>
      <c r="AX361" s="34" t="s">
        <v>355</v>
      </c>
      <c r="AY361" s="40" t="s">
        <v>355</v>
      </c>
      <c r="AZ361" s="36">
        <v>33</v>
      </c>
      <c r="BA361" s="14">
        <f t="shared" si="53"/>
        <v>1.5185139398778875</v>
      </c>
      <c r="BB361" s="37" t="s">
        <v>367</v>
      </c>
      <c r="BC361" s="20">
        <v>1.137454981992851E-2</v>
      </c>
      <c r="BD361" s="9">
        <v>32</v>
      </c>
      <c r="BE361" s="9" t="s">
        <v>368</v>
      </c>
      <c r="BF361" s="9">
        <v>0</v>
      </c>
    </row>
    <row r="362" spans="1:58">
      <c r="A362" s="9">
        <v>466</v>
      </c>
      <c r="B362" s="10" t="s">
        <v>76</v>
      </c>
      <c r="C362" s="10" t="s">
        <v>77</v>
      </c>
      <c r="D362" s="20" t="s">
        <v>503</v>
      </c>
      <c r="E362" s="20" t="s">
        <v>507</v>
      </c>
      <c r="F362" s="10" t="s">
        <v>77</v>
      </c>
      <c r="G362" s="20" t="s">
        <v>503</v>
      </c>
      <c r="H362" s="20" t="s">
        <v>507</v>
      </c>
      <c r="I362" s="10" t="s">
        <v>77</v>
      </c>
      <c r="J362" s="20" t="s">
        <v>503</v>
      </c>
      <c r="K362" s="20" t="s">
        <v>507</v>
      </c>
      <c r="L362" s="9" t="s">
        <v>380</v>
      </c>
      <c r="M362" s="9">
        <v>10</v>
      </c>
      <c r="N362" s="9" t="s">
        <v>381</v>
      </c>
      <c r="O362" s="9" t="s">
        <v>382</v>
      </c>
      <c r="P362" s="12">
        <v>38.033470000000001</v>
      </c>
      <c r="Q362" s="12" t="s">
        <v>355</v>
      </c>
      <c r="R362" s="9" t="s">
        <v>356</v>
      </c>
      <c r="S362" s="13">
        <v>5</v>
      </c>
      <c r="T362" s="13">
        <v>5</v>
      </c>
      <c r="U362" s="14">
        <f t="shared" si="45"/>
        <v>0.77815125038364363</v>
      </c>
      <c r="V362" s="15">
        <v>10</v>
      </c>
      <c r="W362" s="12"/>
      <c r="X362" s="12">
        <v>0.7</v>
      </c>
      <c r="Y362" s="13" t="s">
        <v>358</v>
      </c>
      <c r="Z362" s="9" t="s">
        <v>359</v>
      </c>
      <c r="AA362" s="10" t="s">
        <v>436</v>
      </c>
      <c r="AB362" s="9" t="s">
        <v>355</v>
      </c>
      <c r="AC362" s="15">
        <v>213</v>
      </c>
      <c r="AD362" s="14">
        <f t="shared" si="46"/>
        <v>2.3283796034387376</v>
      </c>
      <c r="AE362" s="10" t="s">
        <v>437</v>
      </c>
      <c r="AF362" s="9" t="s">
        <v>420</v>
      </c>
      <c r="AG362" s="18">
        <v>34.683438000000002</v>
      </c>
      <c r="AH362" s="7">
        <f t="shared" si="47"/>
        <v>1</v>
      </c>
      <c r="AI362" s="7">
        <f t="shared" si="48"/>
        <v>1</v>
      </c>
      <c r="AJ362" s="7">
        <f t="shared" si="49"/>
        <v>0</v>
      </c>
      <c r="AK362" s="7">
        <f t="shared" si="50"/>
        <v>0</v>
      </c>
      <c r="AL362" s="7" t="s">
        <v>4157</v>
      </c>
      <c r="AM362" s="18">
        <f t="shared" si="51"/>
        <v>1.5401221404311698</v>
      </c>
      <c r="AN362" s="18">
        <v>34.683438000000002</v>
      </c>
      <c r="AO362" s="18">
        <v>-82.837365000000005</v>
      </c>
      <c r="AP362" s="9" t="s">
        <v>363</v>
      </c>
      <c r="AQ362" s="12" t="s">
        <v>438</v>
      </c>
      <c r="AR362" s="15">
        <v>1980</v>
      </c>
      <c r="AS362" s="19" t="s">
        <v>439</v>
      </c>
      <c r="AT362" s="20" t="s">
        <v>440</v>
      </c>
      <c r="AU362" s="40">
        <v>3425336</v>
      </c>
      <c r="AV362" s="35">
        <f t="shared" si="52"/>
        <v>6.5347031789784316</v>
      </c>
      <c r="AW362" s="37" t="s">
        <v>366</v>
      </c>
      <c r="AX362" s="34" t="s">
        <v>355</v>
      </c>
      <c r="AY362" s="40" t="s">
        <v>355</v>
      </c>
      <c r="AZ362" s="36">
        <v>33</v>
      </c>
      <c r="BA362" s="14">
        <f t="shared" si="53"/>
        <v>1.5185139398778875</v>
      </c>
      <c r="BB362" s="37" t="s">
        <v>367</v>
      </c>
      <c r="BC362" s="20">
        <v>1.137454981992851E-2</v>
      </c>
      <c r="BD362" s="9">
        <v>32</v>
      </c>
      <c r="BE362" s="9" t="s">
        <v>368</v>
      </c>
      <c r="BF362" s="9">
        <v>0</v>
      </c>
    </row>
    <row r="363" spans="1:58">
      <c r="A363" s="9">
        <v>463</v>
      </c>
      <c r="B363" s="10" t="s">
        <v>76</v>
      </c>
      <c r="C363" s="10" t="s">
        <v>77</v>
      </c>
      <c r="D363" s="20" t="s">
        <v>503</v>
      </c>
      <c r="E363" s="20" t="s">
        <v>507</v>
      </c>
      <c r="F363" s="10" t="s">
        <v>77</v>
      </c>
      <c r="G363" s="20" t="s">
        <v>503</v>
      </c>
      <c r="H363" s="20" t="s">
        <v>507</v>
      </c>
      <c r="I363" s="10" t="s">
        <v>77</v>
      </c>
      <c r="J363" s="20" t="s">
        <v>503</v>
      </c>
      <c r="K363" s="20" t="s">
        <v>507</v>
      </c>
      <c r="L363" s="9" t="s">
        <v>380</v>
      </c>
      <c r="M363" s="9">
        <v>10</v>
      </c>
      <c r="N363" s="9" t="s">
        <v>381</v>
      </c>
      <c r="O363" s="9" t="s">
        <v>382</v>
      </c>
      <c r="P363" s="12">
        <v>38.038899999999998</v>
      </c>
      <c r="Q363" s="12" t="s">
        <v>355</v>
      </c>
      <c r="R363" s="9" t="s">
        <v>356</v>
      </c>
      <c r="S363" s="13">
        <v>5</v>
      </c>
      <c r="T363" s="13">
        <v>5</v>
      </c>
      <c r="U363" s="14">
        <f t="shared" si="45"/>
        <v>0.77815125038364363</v>
      </c>
      <c r="V363" s="15">
        <v>10</v>
      </c>
      <c r="W363" s="12"/>
      <c r="X363" s="12">
        <v>0.7</v>
      </c>
      <c r="Y363" s="13" t="s">
        <v>358</v>
      </c>
      <c r="Z363" s="9" t="s">
        <v>359</v>
      </c>
      <c r="AA363" s="10" t="s">
        <v>436</v>
      </c>
      <c r="AB363" s="9" t="s">
        <v>355</v>
      </c>
      <c r="AC363" s="15">
        <v>213</v>
      </c>
      <c r="AD363" s="14">
        <f t="shared" si="46"/>
        <v>2.3283796034387376</v>
      </c>
      <c r="AE363" s="10" t="s">
        <v>437</v>
      </c>
      <c r="AF363" s="9" t="s">
        <v>420</v>
      </c>
      <c r="AG363" s="18">
        <v>34.683438000000002</v>
      </c>
      <c r="AH363" s="7">
        <f t="shared" si="47"/>
        <v>1</v>
      </c>
      <c r="AI363" s="7">
        <f t="shared" si="48"/>
        <v>1</v>
      </c>
      <c r="AJ363" s="7">
        <f t="shared" si="49"/>
        <v>0</v>
      </c>
      <c r="AK363" s="7">
        <f t="shared" si="50"/>
        <v>0</v>
      </c>
      <c r="AL363" s="7" t="s">
        <v>4157</v>
      </c>
      <c r="AM363" s="18">
        <f t="shared" si="51"/>
        <v>1.5401221404311698</v>
      </c>
      <c r="AN363" s="18">
        <v>34.683438000000002</v>
      </c>
      <c r="AO363" s="18">
        <v>-82.837365000000005</v>
      </c>
      <c r="AP363" s="9" t="s">
        <v>363</v>
      </c>
      <c r="AQ363" s="12" t="s">
        <v>444</v>
      </c>
      <c r="AR363" s="15">
        <v>1980</v>
      </c>
      <c r="AS363" s="19" t="s">
        <v>439</v>
      </c>
      <c r="AT363" s="20" t="s">
        <v>440</v>
      </c>
      <c r="AU363" s="40">
        <v>3425336</v>
      </c>
      <c r="AV363" s="35">
        <f t="shared" si="52"/>
        <v>6.5347031789784316</v>
      </c>
      <c r="AW363" s="37" t="s">
        <v>366</v>
      </c>
      <c r="AX363" s="34" t="s">
        <v>355</v>
      </c>
      <c r="AY363" s="40" t="s">
        <v>355</v>
      </c>
      <c r="AZ363" s="36">
        <v>33</v>
      </c>
      <c r="BA363" s="14">
        <f t="shared" si="53"/>
        <v>1.5185139398778875</v>
      </c>
      <c r="BB363" s="37" t="s">
        <v>367</v>
      </c>
      <c r="BC363" s="20">
        <v>1.137454981992851E-2</v>
      </c>
      <c r="BD363" s="9">
        <v>32</v>
      </c>
      <c r="BE363" s="9" t="s">
        <v>368</v>
      </c>
      <c r="BF363" s="9">
        <v>0</v>
      </c>
    </row>
    <row r="364" spans="1:58">
      <c r="A364" s="9">
        <v>462</v>
      </c>
      <c r="B364" s="10" t="s">
        <v>76</v>
      </c>
      <c r="C364" s="10" t="s">
        <v>77</v>
      </c>
      <c r="D364" s="20" t="s">
        <v>503</v>
      </c>
      <c r="E364" s="20" t="s">
        <v>507</v>
      </c>
      <c r="F364" s="10" t="s">
        <v>77</v>
      </c>
      <c r="G364" s="20" t="s">
        <v>503</v>
      </c>
      <c r="H364" s="20" t="s">
        <v>507</v>
      </c>
      <c r="I364" s="10" t="s">
        <v>77</v>
      </c>
      <c r="J364" s="20" t="s">
        <v>503</v>
      </c>
      <c r="K364" s="20" t="s">
        <v>507</v>
      </c>
      <c r="L364" s="9" t="s">
        <v>380</v>
      </c>
      <c r="M364" s="9">
        <v>10</v>
      </c>
      <c r="N364" s="9" t="s">
        <v>381</v>
      </c>
      <c r="O364" s="9" t="s">
        <v>382</v>
      </c>
      <c r="P364" s="12">
        <v>38.10604</v>
      </c>
      <c r="Q364" s="12" t="s">
        <v>355</v>
      </c>
      <c r="R364" s="9" t="s">
        <v>356</v>
      </c>
      <c r="S364" s="13">
        <v>5</v>
      </c>
      <c r="T364" s="13">
        <v>5</v>
      </c>
      <c r="U364" s="14">
        <f t="shared" si="45"/>
        <v>0.77815125038364363</v>
      </c>
      <c r="V364" s="15">
        <v>10</v>
      </c>
      <c r="W364" s="12"/>
      <c r="X364" s="12">
        <v>0.7</v>
      </c>
      <c r="Y364" s="13" t="s">
        <v>358</v>
      </c>
      <c r="Z364" s="9" t="s">
        <v>359</v>
      </c>
      <c r="AA364" s="10" t="s">
        <v>436</v>
      </c>
      <c r="AB364" s="9" t="s">
        <v>355</v>
      </c>
      <c r="AC364" s="15">
        <v>213</v>
      </c>
      <c r="AD364" s="14">
        <f t="shared" si="46"/>
        <v>2.3283796034387376</v>
      </c>
      <c r="AE364" s="10" t="s">
        <v>437</v>
      </c>
      <c r="AF364" s="9" t="s">
        <v>420</v>
      </c>
      <c r="AG364" s="18">
        <v>34.683438000000002</v>
      </c>
      <c r="AH364" s="7">
        <f t="shared" si="47"/>
        <v>1</v>
      </c>
      <c r="AI364" s="7">
        <f t="shared" si="48"/>
        <v>1</v>
      </c>
      <c r="AJ364" s="7">
        <f t="shared" si="49"/>
        <v>0</v>
      </c>
      <c r="AK364" s="7">
        <f t="shared" si="50"/>
        <v>0</v>
      </c>
      <c r="AL364" s="7" t="s">
        <v>4157</v>
      </c>
      <c r="AM364" s="18">
        <f t="shared" si="51"/>
        <v>1.5401221404311698</v>
      </c>
      <c r="AN364" s="18">
        <v>34.683438000000002</v>
      </c>
      <c r="AO364" s="18">
        <v>-82.837365000000005</v>
      </c>
      <c r="AP364" s="9" t="s">
        <v>363</v>
      </c>
      <c r="AQ364" s="12" t="s">
        <v>446</v>
      </c>
      <c r="AR364" s="15">
        <v>1980</v>
      </c>
      <c r="AS364" s="19" t="s">
        <v>439</v>
      </c>
      <c r="AT364" s="20" t="s">
        <v>440</v>
      </c>
      <c r="AU364" s="40">
        <v>3425336</v>
      </c>
      <c r="AV364" s="35">
        <f t="shared" si="52"/>
        <v>6.5347031789784316</v>
      </c>
      <c r="AW364" s="37" t="s">
        <v>366</v>
      </c>
      <c r="AX364" s="34" t="s">
        <v>355</v>
      </c>
      <c r="AY364" s="40" t="s">
        <v>355</v>
      </c>
      <c r="AZ364" s="36">
        <v>33</v>
      </c>
      <c r="BA364" s="14">
        <f t="shared" si="53"/>
        <v>1.5185139398778875</v>
      </c>
      <c r="BB364" s="37" t="s">
        <v>367</v>
      </c>
      <c r="BC364" s="20">
        <v>1.137454981992851E-2</v>
      </c>
      <c r="BD364" s="9">
        <v>32</v>
      </c>
      <c r="BE364" s="9" t="s">
        <v>368</v>
      </c>
      <c r="BF364" s="9">
        <v>0</v>
      </c>
    </row>
    <row r="365" spans="1:58">
      <c r="A365" s="9">
        <v>461</v>
      </c>
      <c r="B365" s="10" t="s">
        <v>76</v>
      </c>
      <c r="C365" s="10" t="s">
        <v>77</v>
      </c>
      <c r="D365" s="20" t="s">
        <v>503</v>
      </c>
      <c r="E365" s="20" t="s">
        <v>507</v>
      </c>
      <c r="F365" s="10" t="s">
        <v>77</v>
      </c>
      <c r="G365" s="20" t="s">
        <v>503</v>
      </c>
      <c r="H365" s="20" t="s">
        <v>507</v>
      </c>
      <c r="I365" s="10" t="s">
        <v>77</v>
      </c>
      <c r="J365" s="20" t="s">
        <v>503</v>
      </c>
      <c r="K365" s="20" t="s">
        <v>507</v>
      </c>
      <c r="L365" s="9" t="s">
        <v>380</v>
      </c>
      <c r="M365" s="9">
        <v>10</v>
      </c>
      <c r="N365" s="9" t="s">
        <v>381</v>
      </c>
      <c r="O365" s="9" t="s">
        <v>382</v>
      </c>
      <c r="P365" s="12">
        <v>38.118110000000001</v>
      </c>
      <c r="Q365" s="12" t="s">
        <v>355</v>
      </c>
      <c r="R365" s="9" t="s">
        <v>356</v>
      </c>
      <c r="S365" s="13">
        <v>5</v>
      </c>
      <c r="T365" s="13">
        <v>5</v>
      </c>
      <c r="U365" s="14">
        <f t="shared" si="45"/>
        <v>0.77815125038364363</v>
      </c>
      <c r="V365" s="15">
        <v>10</v>
      </c>
      <c r="W365" s="12"/>
      <c r="X365" s="12">
        <v>0.7</v>
      </c>
      <c r="Y365" s="13" t="s">
        <v>358</v>
      </c>
      <c r="Z365" s="9" t="s">
        <v>359</v>
      </c>
      <c r="AA365" s="10" t="s">
        <v>436</v>
      </c>
      <c r="AB365" s="9" t="s">
        <v>355</v>
      </c>
      <c r="AC365" s="15">
        <v>213</v>
      </c>
      <c r="AD365" s="14">
        <f t="shared" si="46"/>
        <v>2.3283796034387376</v>
      </c>
      <c r="AE365" s="10" t="s">
        <v>437</v>
      </c>
      <c r="AF365" s="9" t="s">
        <v>420</v>
      </c>
      <c r="AG365" s="18">
        <v>34.683438000000002</v>
      </c>
      <c r="AH365" s="7">
        <f t="shared" si="47"/>
        <v>1</v>
      </c>
      <c r="AI365" s="7">
        <f t="shared" si="48"/>
        <v>1</v>
      </c>
      <c r="AJ365" s="7">
        <f t="shared" si="49"/>
        <v>0</v>
      </c>
      <c r="AK365" s="7">
        <f t="shared" si="50"/>
        <v>0</v>
      </c>
      <c r="AL365" s="7" t="s">
        <v>4157</v>
      </c>
      <c r="AM365" s="18">
        <f t="shared" si="51"/>
        <v>1.5401221404311698</v>
      </c>
      <c r="AN365" s="18">
        <v>34.683438000000002</v>
      </c>
      <c r="AO365" s="18">
        <v>-82.837365000000005</v>
      </c>
      <c r="AP365" s="9" t="s">
        <v>363</v>
      </c>
      <c r="AQ365" s="12" t="s">
        <v>445</v>
      </c>
      <c r="AR365" s="15">
        <v>1980</v>
      </c>
      <c r="AS365" s="19" t="s">
        <v>439</v>
      </c>
      <c r="AT365" s="20" t="s">
        <v>440</v>
      </c>
      <c r="AU365" s="40">
        <v>3425336</v>
      </c>
      <c r="AV365" s="35">
        <f t="shared" si="52"/>
        <v>6.5347031789784316</v>
      </c>
      <c r="AW365" s="37" t="s">
        <v>366</v>
      </c>
      <c r="AX365" s="34" t="s">
        <v>355</v>
      </c>
      <c r="AY365" s="40" t="s">
        <v>355</v>
      </c>
      <c r="AZ365" s="36">
        <v>33</v>
      </c>
      <c r="BA365" s="14">
        <f t="shared" si="53"/>
        <v>1.5185139398778875</v>
      </c>
      <c r="BB365" s="37" t="s">
        <v>367</v>
      </c>
      <c r="BC365" s="20">
        <v>1.137454981992851E-2</v>
      </c>
      <c r="BD365" s="9">
        <v>32</v>
      </c>
      <c r="BE365" s="9" t="s">
        <v>368</v>
      </c>
      <c r="BF365" s="9">
        <v>0</v>
      </c>
    </row>
    <row r="366" spans="1:58">
      <c r="A366" s="9">
        <v>460</v>
      </c>
      <c r="B366" s="10" t="s">
        <v>76</v>
      </c>
      <c r="C366" s="10" t="s">
        <v>77</v>
      </c>
      <c r="D366" s="20" t="s">
        <v>503</v>
      </c>
      <c r="E366" s="20" t="s">
        <v>507</v>
      </c>
      <c r="F366" s="10" t="s">
        <v>77</v>
      </c>
      <c r="G366" s="20" t="s">
        <v>503</v>
      </c>
      <c r="H366" s="20" t="s">
        <v>507</v>
      </c>
      <c r="I366" s="10" t="s">
        <v>77</v>
      </c>
      <c r="J366" s="20" t="s">
        <v>503</v>
      </c>
      <c r="K366" s="20" t="s">
        <v>507</v>
      </c>
      <c r="L366" s="9" t="s">
        <v>380</v>
      </c>
      <c r="M366" s="9">
        <v>10</v>
      </c>
      <c r="N366" s="9" t="s">
        <v>381</v>
      </c>
      <c r="O366" s="9" t="s">
        <v>382</v>
      </c>
      <c r="P366" s="12">
        <v>38.186860000000003</v>
      </c>
      <c r="Q366" s="12" t="s">
        <v>355</v>
      </c>
      <c r="R366" s="9" t="s">
        <v>356</v>
      </c>
      <c r="S366" s="13">
        <v>5</v>
      </c>
      <c r="T366" s="13">
        <v>5</v>
      </c>
      <c r="U366" s="14">
        <f t="shared" si="45"/>
        <v>0.77815125038364363</v>
      </c>
      <c r="V366" s="15">
        <v>10</v>
      </c>
      <c r="W366" s="12"/>
      <c r="X366" s="12">
        <v>0.7</v>
      </c>
      <c r="Y366" s="13" t="s">
        <v>358</v>
      </c>
      <c r="Z366" s="9" t="s">
        <v>359</v>
      </c>
      <c r="AA366" s="10" t="s">
        <v>436</v>
      </c>
      <c r="AB366" s="9" t="s">
        <v>355</v>
      </c>
      <c r="AC366" s="15">
        <v>213</v>
      </c>
      <c r="AD366" s="14">
        <f t="shared" si="46"/>
        <v>2.3283796034387376</v>
      </c>
      <c r="AE366" s="10" t="s">
        <v>437</v>
      </c>
      <c r="AF366" s="9" t="s">
        <v>420</v>
      </c>
      <c r="AG366" s="18">
        <v>34.683438000000002</v>
      </c>
      <c r="AH366" s="7">
        <f t="shared" si="47"/>
        <v>1</v>
      </c>
      <c r="AI366" s="7">
        <f t="shared" si="48"/>
        <v>1</v>
      </c>
      <c r="AJ366" s="7">
        <f t="shared" si="49"/>
        <v>0</v>
      </c>
      <c r="AK366" s="7">
        <f t="shared" si="50"/>
        <v>0</v>
      </c>
      <c r="AL366" s="7" t="s">
        <v>4157</v>
      </c>
      <c r="AM366" s="18">
        <f t="shared" si="51"/>
        <v>1.5401221404311698</v>
      </c>
      <c r="AN366" s="18">
        <v>34.683438000000002</v>
      </c>
      <c r="AO366" s="18">
        <v>-82.837365000000005</v>
      </c>
      <c r="AP366" s="9" t="s">
        <v>363</v>
      </c>
      <c r="AQ366" s="12" t="s">
        <v>449</v>
      </c>
      <c r="AR366" s="15">
        <v>1980</v>
      </c>
      <c r="AS366" s="19" t="s">
        <v>439</v>
      </c>
      <c r="AT366" s="20" t="s">
        <v>440</v>
      </c>
      <c r="AU366" s="40">
        <v>3425336</v>
      </c>
      <c r="AV366" s="35">
        <f t="shared" si="52"/>
        <v>6.5347031789784316</v>
      </c>
      <c r="AW366" s="37" t="s">
        <v>366</v>
      </c>
      <c r="AX366" s="34" t="s">
        <v>355</v>
      </c>
      <c r="AY366" s="40" t="s">
        <v>355</v>
      </c>
      <c r="AZ366" s="36">
        <v>33</v>
      </c>
      <c r="BA366" s="14">
        <f t="shared" si="53"/>
        <v>1.5185139398778875</v>
      </c>
      <c r="BB366" s="37" t="s">
        <v>367</v>
      </c>
      <c r="BC366" s="20">
        <v>1.137454981992851E-2</v>
      </c>
      <c r="BD366" s="9">
        <v>32</v>
      </c>
      <c r="BE366" s="9" t="s">
        <v>368</v>
      </c>
      <c r="BF366" s="9">
        <v>0</v>
      </c>
    </row>
    <row r="367" spans="1:58">
      <c r="A367" s="9">
        <v>106</v>
      </c>
      <c r="B367" s="10" t="s">
        <v>76</v>
      </c>
      <c r="C367" s="10" t="s">
        <v>77</v>
      </c>
      <c r="D367" s="20" t="s">
        <v>503</v>
      </c>
      <c r="E367" s="20" t="s">
        <v>507</v>
      </c>
      <c r="F367" s="10" t="s">
        <v>77</v>
      </c>
      <c r="G367" s="20" t="s">
        <v>503</v>
      </c>
      <c r="H367" s="20" t="s">
        <v>507</v>
      </c>
      <c r="I367" s="10" t="s">
        <v>77</v>
      </c>
      <c r="J367" s="20" t="s">
        <v>503</v>
      </c>
      <c r="K367" s="20" t="s">
        <v>507</v>
      </c>
      <c r="L367" s="9" t="s">
        <v>352</v>
      </c>
      <c r="M367" s="9">
        <v>25</v>
      </c>
      <c r="N367" s="9" t="s">
        <v>381</v>
      </c>
      <c r="O367" s="9" t="s">
        <v>354</v>
      </c>
      <c r="P367" s="12">
        <v>38.42</v>
      </c>
      <c r="Q367" s="12" t="s">
        <v>355</v>
      </c>
      <c r="R367" s="50" t="s">
        <v>356</v>
      </c>
      <c r="S367" s="13" t="s">
        <v>666</v>
      </c>
      <c r="T367" s="13" t="s">
        <v>666</v>
      </c>
      <c r="U367" s="14">
        <f t="shared" si="45"/>
        <v>0.77815125038364363</v>
      </c>
      <c r="V367" s="15">
        <v>4</v>
      </c>
      <c r="W367" s="12">
        <v>11.025574200000005</v>
      </c>
      <c r="X367" s="12">
        <v>0.6</v>
      </c>
      <c r="Y367" s="13" t="s">
        <v>401</v>
      </c>
      <c r="Z367" s="9" t="s">
        <v>359</v>
      </c>
      <c r="AA367" s="10" t="s">
        <v>629</v>
      </c>
      <c r="AB367" s="9" t="s">
        <v>355</v>
      </c>
      <c r="AC367" s="15">
        <v>372</v>
      </c>
      <c r="AD367" s="14">
        <f t="shared" si="46"/>
        <v>2.5705429398818973</v>
      </c>
      <c r="AE367" s="10" t="s">
        <v>667</v>
      </c>
      <c r="AF367" s="9" t="s">
        <v>362</v>
      </c>
      <c r="AG367" s="18">
        <v>42.779442000000003</v>
      </c>
      <c r="AH367" s="7">
        <f t="shared" si="47"/>
        <v>1</v>
      </c>
      <c r="AI367" s="7">
        <f t="shared" si="48"/>
        <v>1</v>
      </c>
      <c r="AJ367" s="7">
        <f t="shared" si="49"/>
        <v>0</v>
      </c>
      <c r="AK367" s="7">
        <f t="shared" si="50"/>
        <v>0</v>
      </c>
      <c r="AL367" s="7" t="s">
        <v>4157</v>
      </c>
      <c r="AM367" s="18">
        <f t="shared" si="51"/>
        <v>1.6312351154879317</v>
      </c>
      <c r="AN367" s="18">
        <v>42.779442000000003</v>
      </c>
      <c r="AO367" s="18">
        <v>-96.929209999999998</v>
      </c>
      <c r="AP367" s="9" t="s">
        <v>363</v>
      </c>
      <c r="AQ367" s="9" t="s">
        <v>355</v>
      </c>
      <c r="AR367" s="15">
        <v>1968</v>
      </c>
      <c r="AS367" s="19" t="s">
        <v>668</v>
      </c>
      <c r="AT367" s="20" t="s">
        <v>669</v>
      </c>
      <c r="AU367" s="40">
        <v>3425336</v>
      </c>
      <c r="AV367" s="35">
        <f t="shared" si="52"/>
        <v>6.5347031789784316</v>
      </c>
      <c r="AW367" s="37" t="s">
        <v>366</v>
      </c>
      <c r="AX367" s="34" t="s">
        <v>355</v>
      </c>
      <c r="AY367" s="40" t="s">
        <v>355</v>
      </c>
      <c r="AZ367" s="15">
        <v>33</v>
      </c>
      <c r="BA367" s="14">
        <f t="shared" si="53"/>
        <v>1.5185139398778875</v>
      </c>
      <c r="BB367" s="37" t="s">
        <v>367</v>
      </c>
      <c r="BC367" s="20">
        <v>1.3273309323729485E-2</v>
      </c>
      <c r="BD367" s="9">
        <v>30.8</v>
      </c>
      <c r="BE367" s="9" t="s">
        <v>368</v>
      </c>
      <c r="BF367" s="9">
        <v>0</v>
      </c>
    </row>
    <row r="368" spans="1:58">
      <c r="A368" s="9">
        <v>107</v>
      </c>
      <c r="B368" s="10" t="s">
        <v>76</v>
      </c>
      <c r="C368" s="10" t="s">
        <v>77</v>
      </c>
      <c r="D368" s="20" t="s">
        <v>503</v>
      </c>
      <c r="E368" s="20" t="s">
        <v>507</v>
      </c>
      <c r="F368" s="10" t="s">
        <v>77</v>
      </c>
      <c r="G368" s="20" t="s">
        <v>503</v>
      </c>
      <c r="H368" s="20" t="s">
        <v>507</v>
      </c>
      <c r="I368" s="10" t="s">
        <v>77</v>
      </c>
      <c r="J368" s="20" t="s">
        <v>503</v>
      </c>
      <c r="K368" s="20" t="s">
        <v>507</v>
      </c>
      <c r="L368" s="9" t="s">
        <v>352</v>
      </c>
      <c r="M368" s="9">
        <v>11</v>
      </c>
      <c r="N368" s="9" t="s">
        <v>381</v>
      </c>
      <c r="O368" s="9" t="s">
        <v>354</v>
      </c>
      <c r="P368" s="12">
        <v>38.590000000000003</v>
      </c>
      <c r="Q368" s="12" t="s">
        <v>355</v>
      </c>
      <c r="R368" s="50" t="s">
        <v>356</v>
      </c>
      <c r="S368" s="13" t="s">
        <v>666</v>
      </c>
      <c r="T368" s="13" t="s">
        <v>666</v>
      </c>
      <c r="U368" s="14">
        <f t="shared" si="45"/>
        <v>0.77815125038364363</v>
      </c>
      <c r="V368" s="15">
        <v>14</v>
      </c>
      <c r="W368" s="12">
        <v>9.6333842000000054</v>
      </c>
      <c r="X368" s="12">
        <v>0.6</v>
      </c>
      <c r="Y368" s="13" t="s">
        <v>401</v>
      </c>
      <c r="Z368" s="9" t="s">
        <v>359</v>
      </c>
      <c r="AA368" s="10" t="s">
        <v>629</v>
      </c>
      <c r="AB368" s="9" t="s">
        <v>355</v>
      </c>
      <c r="AC368" s="15">
        <v>372</v>
      </c>
      <c r="AD368" s="14">
        <f t="shared" si="46"/>
        <v>2.5705429398818973</v>
      </c>
      <c r="AE368" s="10" t="s">
        <v>667</v>
      </c>
      <c r="AF368" s="9" t="s">
        <v>362</v>
      </c>
      <c r="AG368" s="18">
        <v>42.779442000000003</v>
      </c>
      <c r="AH368" s="7">
        <f t="shared" si="47"/>
        <v>1</v>
      </c>
      <c r="AI368" s="7">
        <f t="shared" si="48"/>
        <v>1</v>
      </c>
      <c r="AJ368" s="7">
        <f t="shared" si="49"/>
        <v>0</v>
      </c>
      <c r="AK368" s="7">
        <f t="shared" si="50"/>
        <v>0</v>
      </c>
      <c r="AL368" s="7" t="s">
        <v>4157</v>
      </c>
      <c r="AM368" s="18">
        <f t="shared" si="51"/>
        <v>1.6312351154879317</v>
      </c>
      <c r="AN368" s="18">
        <v>42.779442000000003</v>
      </c>
      <c r="AO368" s="18">
        <v>-96.929209999999998</v>
      </c>
      <c r="AP368" s="9" t="s">
        <v>363</v>
      </c>
      <c r="AQ368" s="9" t="s">
        <v>355</v>
      </c>
      <c r="AR368" s="15">
        <v>1968</v>
      </c>
      <c r="AS368" s="19" t="s">
        <v>668</v>
      </c>
      <c r="AT368" s="20" t="s">
        <v>669</v>
      </c>
      <c r="AU368" s="40">
        <v>3425336</v>
      </c>
      <c r="AV368" s="35">
        <f t="shared" si="52"/>
        <v>6.5347031789784316</v>
      </c>
      <c r="AW368" s="37" t="s">
        <v>366</v>
      </c>
      <c r="AX368" s="34" t="s">
        <v>355</v>
      </c>
      <c r="AY368" s="40" t="s">
        <v>355</v>
      </c>
      <c r="AZ368" s="15">
        <v>33</v>
      </c>
      <c r="BA368" s="14">
        <f t="shared" si="53"/>
        <v>1.5185139398778875</v>
      </c>
      <c r="BB368" s="37" t="s">
        <v>367</v>
      </c>
      <c r="BC368" s="20">
        <v>1.3273309323729485E-2</v>
      </c>
      <c r="BD368" s="9">
        <v>30.8</v>
      </c>
      <c r="BE368" s="9" t="s">
        <v>368</v>
      </c>
      <c r="BF368" s="9">
        <v>0</v>
      </c>
    </row>
    <row r="369" spans="1:58">
      <c r="A369" s="9">
        <v>108</v>
      </c>
      <c r="B369" s="10" t="s">
        <v>76</v>
      </c>
      <c r="C369" s="10" t="s">
        <v>77</v>
      </c>
      <c r="D369" s="20" t="s">
        <v>503</v>
      </c>
      <c r="E369" s="20" t="s">
        <v>507</v>
      </c>
      <c r="F369" s="10" t="s">
        <v>77</v>
      </c>
      <c r="G369" s="20" t="s">
        <v>503</v>
      </c>
      <c r="H369" s="20" t="s">
        <v>507</v>
      </c>
      <c r="I369" s="10" t="s">
        <v>77</v>
      </c>
      <c r="J369" s="20" t="s">
        <v>503</v>
      </c>
      <c r="K369" s="20" t="s">
        <v>507</v>
      </c>
      <c r="L369" s="9" t="s">
        <v>352</v>
      </c>
      <c r="M369" s="9">
        <v>11</v>
      </c>
      <c r="N369" s="9" t="s">
        <v>381</v>
      </c>
      <c r="O369" s="9" t="s">
        <v>354</v>
      </c>
      <c r="P369" s="12">
        <v>39.64</v>
      </c>
      <c r="Q369" s="12" t="s">
        <v>355</v>
      </c>
      <c r="R369" s="50" t="s">
        <v>356</v>
      </c>
      <c r="S369" s="13" t="s">
        <v>666</v>
      </c>
      <c r="T369" s="13" t="s">
        <v>666</v>
      </c>
      <c r="U369" s="14">
        <f t="shared" si="45"/>
        <v>0.77815125038364363</v>
      </c>
      <c r="V369" s="15">
        <v>25</v>
      </c>
      <c r="W369" s="12">
        <v>8.9649752000000014</v>
      </c>
      <c r="X369" s="12">
        <v>0.6</v>
      </c>
      <c r="Y369" s="13" t="s">
        <v>401</v>
      </c>
      <c r="Z369" s="9" t="s">
        <v>359</v>
      </c>
      <c r="AA369" s="10" t="s">
        <v>629</v>
      </c>
      <c r="AB369" s="9" t="s">
        <v>355</v>
      </c>
      <c r="AC369" s="15">
        <v>372</v>
      </c>
      <c r="AD369" s="14">
        <f t="shared" si="46"/>
        <v>2.5705429398818973</v>
      </c>
      <c r="AE369" s="10" t="s">
        <v>667</v>
      </c>
      <c r="AF369" s="9" t="s">
        <v>362</v>
      </c>
      <c r="AG369" s="18">
        <v>42.779442000000003</v>
      </c>
      <c r="AH369" s="7">
        <f t="shared" si="47"/>
        <v>1</v>
      </c>
      <c r="AI369" s="7">
        <f t="shared" si="48"/>
        <v>1</v>
      </c>
      <c r="AJ369" s="7">
        <f t="shared" si="49"/>
        <v>0</v>
      </c>
      <c r="AK369" s="7">
        <f t="shared" si="50"/>
        <v>0</v>
      </c>
      <c r="AL369" s="7" t="s">
        <v>4157</v>
      </c>
      <c r="AM369" s="18">
        <f t="shared" si="51"/>
        <v>1.6312351154879317</v>
      </c>
      <c r="AN369" s="18">
        <v>42.779442000000003</v>
      </c>
      <c r="AO369" s="18">
        <v>-96.929209999999998</v>
      </c>
      <c r="AP369" s="9" t="s">
        <v>363</v>
      </c>
      <c r="AQ369" s="9" t="s">
        <v>355</v>
      </c>
      <c r="AR369" s="15">
        <v>1968</v>
      </c>
      <c r="AS369" s="19" t="s">
        <v>668</v>
      </c>
      <c r="AT369" s="20" t="s">
        <v>669</v>
      </c>
      <c r="AU369" s="40">
        <v>3425336</v>
      </c>
      <c r="AV369" s="35">
        <f t="shared" si="52"/>
        <v>6.5347031789784316</v>
      </c>
      <c r="AW369" s="37" t="s">
        <v>366</v>
      </c>
      <c r="AX369" s="34" t="s">
        <v>355</v>
      </c>
      <c r="AY369" s="40" t="s">
        <v>355</v>
      </c>
      <c r="AZ369" s="15">
        <v>33</v>
      </c>
      <c r="BA369" s="14">
        <f t="shared" si="53"/>
        <v>1.5185139398778875</v>
      </c>
      <c r="BB369" s="37" t="s">
        <v>367</v>
      </c>
      <c r="BC369" s="20">
        <v>1.3273309323729485E-2</v>
      </c>
      <c r="BD369" s="9">
        <v>30.8</v>
      </c>
      <c r="BE369" s="9" t="s">
        <v>368</v>
      </c>
      <c r="BF369" s="9">
        <v>0</v>
      </c>
    </row>
    <row r="370" spans="1:58">
      <c r="A370" s="9">
        <v>109</v>
      </c>
      <c r="B370" s="10" t="s">
        <v>76</v>
      </c>
      <c r="C370" s="10" t="s">
        <v>77</v>
      </c>
      <c r="D370" s="20" t="s">
        <v>503</v>
      </c>
      <c r="E370" s="20" t="s">
        <v>507</v>
      </c>
      <c r="F370" s="10" t="s">
        <v>77</v>
      </c>
      <c r="G370" s="20" t="s">
        <v>503</v>
      </c>
      <c r="H370" s="20" t="s">
        <v>507</v>
      </c>
      <c r="I370" s="10" t="s">
        <v>77</v>
      </c>
      <c r="J370" s="20" t="s">
        <v>503</v>
      </c>
      <c r="K370" s="20" t="s">
        <v>507</v>
      </c>
      <c r="L370" s="9" t="s">
        <v>352</v>
      </c>
      <c r="M370" s="9">
        <v>8</v>
      </c>
      <c r="N370" s="9" t="s">
        <v>353</v>
      </c>
      <c r="O370" s="9" t="s">
        <v>354</v>
      </c>
      <c r="P370" s="12">
        <v>40.409999999999997</v>
      </c>
      <c r="Q370" s="12" t="s">
        <v>355</v>
      </c>
      <c r="R370" s="50" t="s">
        <v>356</v>
      </c>
      <c r="S370" s="13" t="s">
        <v>666</v>
      </c>
      <c r="T370" s="13" t="s">
        <v>666</v>
      </c>
      <c r="U370" s="14">
        <f t="shared" si="45"/>
        <v>0.77815125038364363</v>
      </c>
      <c r="V370" s="15">
        <v>35</v>
      </c>
      <c r="W370" s="12">
        <v>8.1727851999999963</v>
      </c>
      <c r="X370" s="12">
        <v>0.6</v>
      </c>
      <c r="Y370" s="13" t="s">
        <v>401</v>
      </c>
      <c r="Z370" s="9" t="s">
        <v>359</v>
      </c>
      <c r="AA370" s="10" t="s">
        <v>629</v>
      </c>
      <c r="AB370" s="9" t="s">
        <v>355</v>
      </c>
      <c r="AC370" s="15">
        <v>372</v>
      </c>
      <c r="AD370" s="14">
        <f t="shared" si="46"/>
        <v>2.5705429398818973</v>
      </c>
      <c r="AE370" s="10" t="s">
        <v>667</v>
      </c>
      <c r="AF370" s="9" t="s">
        <v>362</v>
      </c>
      <c r="AG370" s="18">
        <v>42.779442000000003</v>
      </c>
      <c r="AH370" s="7">
        <f t="shared" si="47"/>
        <v>1</v>
      </c>
      <c r="AI370" s="7">
        <f t="shared" si="48"/>
        <v>1</v>
      </c>
      <c r="AJ370" s="7">
        <f t="shared" si="49"/>
        <v>0</v>
      </c>
      <c r="AK370" s="7">
        <f t="shared" si="50"/>
        <v>0</v>
      </c>
      <c r="AL370" s="7" t="s">
        <v>4157</v>
      </c>
      <c r="AM370" s="18">
        <f t="shared" si="51"/>
        <v>1.6312351154879317</v>
      </c>
      <c r="AN370" s="18">
        <v>42.779442000000003</v>
      </c>
      <c r="AO370" s="18">
        <v>-96.929209999999998</v>
      </c>
      <c r="AP370" s="9" t="s">
        <v>363</v>
      </c>
      <c r="AQ370" s="9" t="s">
        <v>355</v>
      </c>
      <c r="AR370" s="15">
        <v>1968</v>
      </c>
      <c r="AS370" s="19" t="s">
        <v>668</v>
      </c>
      <c r="AT370" s="20" t="s">
        <v>669</v>
      </c>
      <c r="AU370" s="40">
        <v>3425336</v>
      </c>
      <c r="AV370" s="35">
        <f t="shared" si="52"/>
        <v>6.5347031789784316</v>
      </c>
      <c r="AW370" s="37" t="s">
        <v>366</v>
      </c>
      <c r="AX370" s="34" t="s">
        <v>355</v>
      </c>
      <c r="AY370" s="40" t="s">
        <v>355</v>
      </c>
      <c r="AZ370" s="15">
        <v>33</v>
      </c>
      <c r="BA370" s="14">
        <f t="shared" si="53"/>
        <v>1.5185139398778875</v>
      </c>
      <c r="BB370" s="37" t="s">
        <v>367</v>
      </c>
      <c r="BC370" s="20">
        <v>1.3273309323729485E-2</v>
      </c>
      <c r="BD370" s="9">
        <v>30.8</v>
      </c>
      <c r="BE370" s="9" t="s">
        <v>368</v>
      </c>
      <c r="BF370" s="9">
        <v>0</v>
      </c>
    </row>
    <row r="371" spans="1:58">
      <c r="A371" s="9">
        <v>86</v>
      </c>
      <c r="B371" s="10" t="s">
        <v>348</v>
      </c>
      <c r="C371" s="10" t="s">
        <v>349</v>
      </c>
      <c r="D371" s="20" t="s">
        <v>350</v>
      </c>
      <c r="E371" s="20" t="s">
        <v>351</v>
      </c>
      <c r="F371" s="10" t="s">
        <v>349</v>
      </c>
      <c r="G371" s="20" t="s">
        <v>350</v>
      </c>
      <c r="H371" s="20" t="s">
        <v>351</v>
      </c>
      <c r="I371" s="10" t="s">
        <v>349</v>
      </c>
      <c r="J371" s="20" t="s">
        <v>350</v>
      </c>
      <c r="K371" s="20" t="s">
        <v>351</v>
      </c>
      <c r="L371" s="9" t="s">
        <v>352</v>
      </c>
      <c r="M371" s="9">
        <v>9</v>
      </c>
      <c r="N371" s="9" t="s">
        <v>353</v>
      </c>
      <c r="O371" s="9" t="s">
        <v>354</v>
      </c>
      <c r="P371" s="12">
        <v>31</v>
      </c>
      <c r="Q371" s="12" t="s">
        <v>355</v>
      </c>
      <c r="R371" s="9" t="s">
        <v>356</v>
      </c>
      <c r="S371" s="13" t="s">
        <v>674</v>
      </c>
      <c r="T371" s="13" t="s">
        <v>674</v>
      </c>
      <c r="U371" s="14">
        <f t="shared" si="45"/>
        <v>0.84509804001425681</v>
      </c>
      <c r="V371" s="15">
        <v>5</v>
      </c>
      <c r="W371" s="12">
        <v>8.4276631000000002</v>
      </c>
      <c r="X371" s="12" t="s">
        <v>355</v>
      </c>
      <c r="Y371" s="13" t="s">
        <v>355</v>
      </c>
      <c r="Z371" s="9" t="s">
        <v>359</v>
      </c>
      <c r="AA371" s="10" t="s">
        <v>675</v>
      </c>
      <c r="AB371" s="9" t="s">
        <v>355</v>
      </c>
      <c r="AC371" s="15">
        <v>1158</v>
      </c>
      <c r="AD371" s="14">
        <f t="shared" si="46"/>
        <v>3.0637085593914173</v>
      </c>
      <c r="AE371" s="10" t="s">
        <v>676</v>
      </c>
      <c r="AF371" s="9" t="s">
        <v>420</v>
      </c>
      <c r="AG371" s="18">
        <v>37.375135999999998</v>
      </c>
      <c r="AH371" s="7">
        <f t="shared" si="47"/>
        <v>1</v>
      </c>
      <c r="AI371" s="7">
        <f t="shared" si="48"/>
        <v>1</v>
      </c>
      <c r="AJ371" s="7">
        <f t="shared" si="49"/>
        <v>0</v>
      </c>
      <c r="AK371" s="7">
        <f t="shared" si="50"/>
        <v>0</v>
      </c>
      <c r="AL371" s="7" t="s">
        <v>4157</v>
      </c>
      <c r="AM371" s="18">
        <f t="shared" si="51"/>
        <v>1.5725827816386286</v>
      </c>
      <c r="AN371" s="18">
        <v>37.375135999999998</v>
      </c>
      <c r="AO371" s="18">
        <v>-80.522746999999995</v>
      </c>
      <c r="AP371" s="9" t="s">
        <v>363</v>
      </c>
      <c r="AQ371" s="9" t="s">
        <v>355</v>
      </c>
      <c r="AR371" s="15">
        <v>1957</v>
      </c>
      <c r="AS371" s="19" t="s">
        <v>677</v>
      </c>
      <c r="AT371" s="20" t="s">
        <v>678</v>
      </c>
      <c r="AU371" s="34">
        <v>1524467</v>
      </c>
      <c r="AV371" s="35">
        <f t="shared" si="52"/>
        <v>6.1831180276695727</v>
      </c>
      <c r="AW371" s="36" t="s">
        <v>366</v>
      </c>
      <c r="AX371" s="34" t="s">
        <v>355</v>
      </c>
      <c r="AY371" s="34" t="s">
        <v>355</v>
      </c>
      <c r="AZ371" s="15">
        <v>78</v>
      </c>
      <c r="BA371" s="14">
        <f t="shared" si="53"/>
        <v>1.8920946026904804</v>
      </c>
      <c r="BB371" s="36" t="s">
        <v>367</v>
      </c>
      <c r="BC371" s="20">
        <v>1.7852340936374687E-2</v>
      </c>
      <c r="BD371" s="9">
        <v>24.900000000000002</v>
      </c>
      <c r="BE371" s="9" t="s">
        <v>368</v>
      </c>
      <c r="BF371" s="9">
        <v>0</v>
      </c>
    </row>
    <row r="372" spans="1:58">
      <c r="A372" s="9">
        <v>89</v>
      </c>
      <c r="B372" s="10" t="s">
        <v>348</v>
      </c>
      <c r="C372" s="10" t="s">
        <v>349</v>
      </c>
      <c r="D372" s="20" t="s">
        <v>350</v>
      </c>
      <c r="E372" s="20" t="s">
        <v>351</v>
      </c>
      <c r="F372" s="10" t="s">
        <v>349</v>
      </c>
      <c r="G372" s="20" t="s">
        <v>350</v>
      </c>
      <c r="H372" s="20" t="s">
        <v>351</v>
      </c>
      <c r="I372" s="10" t="s">
        <v>349</v>
      </c>
      <c r="J372" s="20" t="s">
        <v>350</v>
      </c>
      <c r="K372" s="20" t="s">
        <v>351</v>
      </c>
      <c r="L372" s="9" t="s">
        <v>352</v>
      </c>
      <c r="M372" s="9">
        <v>10</v>
      </c>
      <c r="N372" s="9" t="s">
        <v>381</v>
      </c>
      <c r="O372" s="9" t="s">
        <v>354</v>
      </c>
      <c r="P372" s="12">
        <v>32.200000000000003</v>
      </c>
      <c r="Q372" s="12" t="s">
        <v>355</v>
      </c>
      <c r="R372" s="9" t="s">
        <v>356</v>
      </c>
      <c r="S372" s="13">
        <v>6</v>
      </c>
      <c r="T372" s="13">
        <v>6</v>
      </c>
      <c r="U372" s="14">
        <f t="shared" si="45"/>
        <v>0.84509804001425681</v>
      </c>
      <c r="V372" s="15">
        <v>15</v>
      </c>
      <c r="W372" s="12">
        <v>8.0654731000000019</v>
      </c>
      <c r="X372" s="12" t="s">
        <v>355</v>
      </c>
      <c r="Y372" s="13" t="s">
        <v>355</v>
      </c>
      <c r="Z372" s="9" t="s">
        <v>359</v>
      </c>
      <c r="AA372" s="10" t="s">
        <v>675</v>
      </c>
      <c r="AB372" s="9" t="s">
        <v>355</v>
      </c>
      <c r="AC372" s="15">
        <v>1158</v>
      </c>
      <c r="AD372" s="14">
        <f t="shared" si="46"/>
        <v>3.0637085593914173</v>
      </c>
      <c r="AE372" s="10" t="s">
        <v>676</v>
      </c>
      <c r="AF372" s="9" t="s">
        <v>420</v>
      </c>
      <c r="AG372" s="18">
        <v>37.375135999999998</v>
      </c>
      <c r="AH372" s="7">
        <f t="shared" si="47"/>
        <v>1</v>
      </c>
      <c r="AI372" s="7">
        <f t="shared" si="48"/>
        <v>1</v>
      </c>
      <c r="AJ372" s="7">
        <f t="shared" si="49"/>
        <v>0</v>
      </c>
      <c r="AK372" s="7">
        <f t="shared" si="50"/>
        <v>0</v>
      </c>
      <c r="AL372" s="7" t="s">
        <v>4157</v>
      </c>
      <c r="AM372" s="18">
        <f t="shared" si="51"/>
        <v>1.5725827816386286</v>
      </c>
      <c r="AN372" s="18">
        <v>37.375135999999998</v>
      </c>
      <c r="AO372" s="18">
        <v>-80.522746999999995</v>
      </c>
      <c r="AP372" s="9" t="s">
        <v>363</v>
      </c>
      <c r="AQ372" s="9" t="s">
        <v>355</v>
      </c>
      <c r="AR372" s="15">
        <v>1957</v>
      </c>
      <c r="AS372" s="19" t="s">
        <v>677</v>
      </c>
      <c r="AT372" s="20" t="s">
        <v>678</v>
      </c>
      <c r="AU372" s="34">
        <v>1524467</v>
      </c>
      <c r="AV372" s="35">
        <f t="shared" si="52"/>
        <v>6.1831180276695727</v>
      </c>
      <c r="AW372" s="36" t="s">
        <v>366</v>
      </c>
      <c r="AX372" s="34" t="s">
        <v>355</v>
      </c>
      <c r="AY372" s="34" t="s">
        <v>355</v>
      </c>
      <c r="AZ372" s="15">
        <v>78</v>
      </c>
      <c r="BA372" s="14">
        <f t="shared" si="53"/>
        <v>1.8920946026904804</v>
      </c>
      <c r="BB372" s="36" t="s">
        <v>367</v>
      </c>
      <c r="BC372" s="20">
        <v>1.7852340936374687E-2</v>
      </c>
      <c r="BD372" s="9">
        <v>24.900000000000002</v>
      </c>
      <c r="BE372" s="9" t="s">
        <v>368</v>
      </c>
      <c r="BF372" s="9">
        <v>0</v>
      </c>
    </row>
    <row r="373" spans="1:58">
      <c r="A373" s="9">
        <v>85</v>
      </c>
      <c r="B373" s="10" t="s">
        <v>348</v>
      </c>
      <c r="C373" s="10" t="s">
        <v>349</v>
      </c>
      <c r="D373" s="20" t="s">
        <v>350</v>
      </c>
      <c r="E373" s="20" t="s">
        <v>679</v>
      </c>
      <c r="F373" s="10" t="s">
        <v>349</v>
      </c>
      <c r="G373" s="20" t="s">
        <v>350</v>
      </c>
      <c r="H373" s="20" t="s">
        <v>679</v>
      </c>
      <c r="I373" s="10" t="s">
        <v>349</v>
      </c>
      <c r="J373" s="20" t="s">
        <v>350</v>
      </c>
      <c r="K373" s="20" t="s">
        <v>680</v>
      </c>
      <c r="L373" s="9" t="s">
        <v>352</v>
      </c>
      <c r="M373" s="9">
        <v>10</v>
      </c>
      <c r="N373" s="9" t="s">
        <v>381</v>
      </c>
      <c r="O373" s="9" t="s">
        <v>354</v>
      </c>
      <c r="P373" s="12">
        <v>30.1</v>
      </c>
      <c r="Q373" s="12" t="s">
        <v>355</v>
      </c>
      <c r="R373" s="9" t="s">
        <v>356</v>
      </c>
      <c r="S373" s="13" t="s">
        <v>674</v>
      </c>
      <c r="T373" s="13" t="s">
        <v>674</v>
      </c>
      <c r="U373" s="14">
        <f t="shared" si="45"/>
        <v>0.84509804001425681</v>
      </c>
      <c r="V373" s="15">
        <v>5</v>
      </c>
      <c r="W373" s="12">
        <v>7.5276631000000016</v>
      </c>
      <c r="X373" s="12" t="s">
        <v>355</v>
      </c>
      <c r="Y373" s="13" t="s">
        <v>355</v>
      </c>
      <c r="Z373" s="9" t="s">
        <v>359</v>
      </c>
      <c r="AA373" s="10" t="s">
        <v>675</v>
      </c>
      <c r="AB373" s="9" t="s">
        <v>355</v>
      </c>
      <c r="AC373" s="15">
        <v>1158</v>
      </c>
      <c r="AD373" s="14">
        <f t="shared" si="46"/>
        <v>3.0637085593914173</v>
      </c>
      <c r="AE373" s="10" t="s">
        <v>676</v>
      </c>
      <c r="AF373" s="9" t="s">
        <v>420</v>
      </c>
      <c r="AG373" s="18">
        <v>37.375135999999998</v>
      </c>
      <c r="AH373" s="7">
        <f t="shared" si="47"/>
        <v>1</v>
      </c>
      <c r="AI373" s="7">
        <f t="shared" si="48"/>
        <v>1</v>
      </c>
      <c r="AJ373" s="7">
        <f t="shared" si="49"/>
        <v>0</v>
      </c>
      <c r="AK373" s="7">
        <f t="shared" si="50"/>
        <v>0</v>
      </c>
      <c r="AL373" s="7" t="s">
        <v>4157</v>
      </c>
      <c r="AM373" s="18">
        <f t="shared" si="51"/>
        <v>1.5725827816386286</v>
      </c>
      <c r="AN373" s="18">
        <v>37.375135999999998</v>
      </c>
      <c r="AO373" s="18">
        <v>-80.522746999999995</v>
      </c>
      <c r="AP373" s="9" t="s">
        <v>363</v>
      </c>
      <c r="AQ373" s="9" t="s">
        <v>355</v>
      </c>
      <c r="AR373" s="15">
        <v>1957</v>
      </c>
      <c r="AS373" s="19" t="s">
        <v>677</v>
      </c>
      <c r="AT373" s="20" t="s">
        <v>678</v>
      </c>
      <c r="AU373" s="34">
        <v>84401</v>
      </c>
      <c r="AV373" s="35">
        <f t="shared" si="52"/>
        <v>4.9263475922643885</v>
      </c>
      <c r="AW373" s="36" t="s">
        <v>366</v>
      </c>
      <c r="AX373" s="34" t="s">
        <v>355</v>
      </c>
      <c r="AY373" s="34">
        <v>1646</v>
      </c>
      <c r="AZ373" s="15">
        <v>78</v>
      </c>
      <c r="BA373" s="14">
        <f t="shared" si="53"/>
        <v>1.8920946026904804</v>
      </c>
      <c r="BB373" s="36" t="s">
        <v>367</v>
      </c>
      <c r="BC373" s="20">
        <v>1.7852340936374687E-2</v>
      </c>
      <c r="BD373" s="9">
        <v>24.900000000000002</v>
      </c>
      <c r="BE373" s="9" t="s">
        <v>368</v>
      </c>
      <c r="BF373" s="9">
        <v>0</v>
      </c>
    </row>
    <row r="374" spans="1:58">
      <c r="A374" s="9">
        <v>88</v>
      </c>
      <c r="B374" s="10" t="s">
        <v>348</v>
      </c>
      <c r="C374" s="10" t="s">
        <v>349</v>
      </c>
      <c r="D374" s="20" t="s">
        <v>350</v>
      </c>
      <c r="E374" s="20" t="s">
        <v>679</v>
      </c>
      <c r="F374" s="10" t="s">
        <v>349</v>
      </c>
      <c r="G374" s="20" t="s">
        <v>350</v>
      </c>
      <c r="H374" s="20" t="s">
        <v>679</v>
      </c>
      <c r="I374" s="10" t="s">
        <v>349</v>
      </c>
      <c r="J374" s="20" t="s">
        <v>350</v>
      </c>
      <c r="K374" s="20" t="s">
        <v>680</v>
      </c>
      <c r="L374" s="9" t="s">
        <v>352</v>
      </c>
      <c r="M374" s="9">
        <v>8</v>
      </c>
      <c r="N374" s="9" t="s">
        <v>353</v>
      </c>
      <c r="O374" s="9" t="s">
        <v>354</v>
      </c>
      <c r="P374" s="12">
        <v>31.4</v>
      </c>
      <c r="Q374" s="12" t="s">
        <v>355</v>
      </c>
      <c r="R374" s="9" t="s">
        <v>356</v>
      </c>
      <c r="S374" s="13">
        <v>6</v>
      </c>
      <c r="T374" s="13">
        <v>6</v>
      </c>
      <c r="U374" s="14">
        <f t="shared" si="45"/>
        <v>0.84509804001425681</v>
      </c>
      <c r="V374" s="15">
        <v>15</v>
      </c>
      <c r="W374" s="12">
        <v>7.2654730999999977</v>
      </c>
      <c r="X374" s="12" t="s">
        <v>355</v>
      </c>
      <c r="Y374" s="13" t="s">
        <v>355</v>
      </c>
      <c r="Z374" s="9" t="s">
        <v>359</v>
      </c>
      <c r="AA374" s="10" t="s">
        <v>675</v>
      </c>
      <c r="AB374" s="9" t="s">
        <v>355</v>
      </c>
      <c r="AC374" s="15">
        <v>1158</v>
      </c>
      <c r="AD374" s="14">
        <f t="shared" si="46"/>
        <v>3.0637085593914173</v>
      </c>
      <c r="AE374" s="10" t="s">
        <v>676</v>
      </c>
      <c r="AF374" s="9" t="s">
        <v>420</v>
      </c>
      <c r="AG374" s="18">
        <v>37.375135999999998</v>
      </c>
      <c r="AH374" s="7">
        <f t="shared" si="47"/>
        <v>1</v>
      </c>
      <c r="AI374" s="7">
        <f t="shared" si="48"/>
        <v>1</v>
      </c>
      <c r="AJ374" s="7">
        <f t="shared" si="49"/>
        <v>0</v>
      </c>
      <c r="AK374" s="7">
        <f t="shared" si="50"/>
        <v>0</v>
      </c>
      <c r="AL374" s="7" t="s">
        <v>4157</v>
      </c>
      <c r="AM374" s="18">
        <f t="shared" si="51"/>
        <v>1.5725827816386286</v>
      </c>
      <c r="AN374" s="18">
        <v>37.375135999999998</v>
      </c>
      <c r="AO374" s="18">
        <v>-80.522746999999995</v>
      </c>
      <c r="AP374" s="9" t="s">
        <v>363</v>
      </c>
      <c r="AQ374" s="9" t="s">
        <v>355</v>
      </c>
      <c r="AR374" s="15">
        <v>1957</v>
      </c>
      <c r="AS374" s="19" t="s">
        <v>677</v>
      </c>
      <c r="AT374" s="20" t="s">
        <v>678</v>
      </c>
      <c r="AU374" s="34">
        <v>84401</v>
      </c>
      <c r="AV374" s="35">
        <f t="shared" si="52"/>
        <v>4.9263475922643885</v>
      </c>
      <c r="AW374" s="36" t="s">
        <v>366</v>
      </c>
      <c r="AX374" s="34" t="s">
        <v>355</v>
      </c>
      <c r="AY374" s="34">
        <v>1646</v>
      </c>
      <c r="AZ374" s="15">
        <v>78</v>
      </c>
      <c r="BA374" s="14">
        <f t="shared" si="53"/>
        <v>1.8920946026904804</v>
      </c>
      <c r="BB374" s="36" t="s">
        <v>367</v>
      </c>
      <c r="BC374" s="20">
        <v>1.7852340936374687E-2</v>
      </c>
      <c r="BD374" s="9">
        <v>24.900000000000002</v>
      </c>
      <c r="BE374" s="9" t="s">
        <v>368</v>
      </c>
      <c r="BF374" s="9">
        <v>0</v>
      </c>
    </row>
    <row r="375" spans="1:58">
      <c r="A375" s="9">
        <v>87</v>
      </c>
      <c r="B375" s="10" t="s">
        <v>348</v>
      </c>
      <c r="C375" s="10" t="s">
        <v>622</v>
      </c>
      <c r="D375" s="20" t="s">
        <v>681</v>
      </c>
      <c r="E375" s="20" t="s">
        <v>682</v>
      </c>
      <c r="F375" s="10" t="s">
        <v>622</v>
      </c>
      <c r="G375" s="20" t="s">
        <v>683</v>
      </c>
      <c r="H375" s="20" t="s">
        <v>682</v>
      </c>
      <c r="I375" s="10" t="s">
        <v>622</v>
      </c>
      <c r="J375" s="20" t="s">
        <v>683</v>
      </c>
      <c r="K375" s="20" t="s">
        <v>682</v>
      </c>
      <c r="L375" s="9" t="s">
        <v>352</v>
      </c>
      <c r="M375" s="9">
        <v>1</v>
      </c>
      <c r="N375" s="9" t="s">
        <v>353</v>
      </c>
      <c r="O375" s="9" t="s">
        <v>354</v>
      </c>
      <c r="P375" s="12">
        <v>34.5</v>
      </c>
      <c r="Q375" s="12" t="s">
        <v>355</v>
      </c>
      <c r="R375" s="9" t="s">
        <v>356</v>
      </c>
      <c r="S375" s="13" t="s">
        <v>674</v>
      </c>
      <c r="T375" s="13" t="s">
        <v>674</v>
      </c>
      <c r="U375" s="14">
        <f t="shared" si="45"/>
        <v>0.84509804001425681</v>
      </c>
      <c r="V375" s="15">
        <v>5</v>
      </c>
      <c r="W375" s="12">
        <v>11.9276631</v>
      </c>
      <c r="X375" s="12" t="s">
        <v>355</v>
      </c>
      <c r="Y375" s="13" t="s">
        <v>355</v>
      </c>
      <c r="Z375" s="9" t="s">
        <v>359</v>
      </c>
      <c r="AA375" s="10" t="s">
        <v>675</v>
      </c>
      <c r="AB375" s="9" t="s">
        <v>355</v>
      </c>
      <c r="AC375" s="15">
        <v>1158</v>
      </c>
      <c r="AD375" s="14">
        <f t="shared" si="46"/>
        <v>3.0637085593914173</v>
      </c>
      <c r="AE375" s="10" t="s">
        <v>676</v>
      </c>
      <c r="AF375" s="9" t="s">
        <v>420</v>
      </c>
      <c r="AG375" s="18">
        <v>37.375135999999998</v>
      </c>
      <c r="AH375" s="7">
        <f t="shared" si="47"/>
        <v>1</v>
      </c>
      <c r="AI375" s="7">
        <f t="shared" si="48"/>
        <v>1</v>
      </c>
      <c r="AJ375" s="7">
        <f t="shared" si="49"/>
        <v>0</v>
      </c>
      <c r="AK375" s="7">
        <f t="shared" si="50"/>
        <v>0</v>
      </c>
      <c r="AL375" s="7" t="s">
        <v>4157</v>
      </c>
      <c r="AM375" s="18">
        <f t="shared" si="51"/>
        <v>1.5725827816386286</v>
      </c>
      <c r="AN375" s="18">
        <v>37.375135999999998</v>
      </c>
      <c r="AO375" s="18">
        <v>-80.522746999999995</v>
      </c>
      <c r="AP375" s="9" t="s">
        <v>363</v>
      </c>
      <c r="AQ375" s="9" t="s">
        <v>355</v>
      </c>
      <c r="AR375" s="15">
        <v>1957</v>
      </c>
      <c r="AS375" s="19" t="s">
        <v>677</v>
      </c>
      <c r="AT375" s="20" t="s">
        <v>678</v>
      </c>
      <c r="AU375" s="34">
        <v>3437299</v>
      </c>
      <c r="AV375" s="35">
        <f t="shared" si="52"/>
        <v>6.5362173117130542</v>
      </c>
      <c r="AW375" s="36" t="s">
        <v>366</v>
      </c>
      <c r="AX375" s="34" t="s">
        <v>355</v>
      </c>
      <c r="AY375" s="34" t="s">
        <v>355</v>
      </c>
      <c r="AZ375" s="15">
        <v>78</v>
      </c>
      <c r="BA375" s="14">
        <f t="shared" si="53"/>
        <v>1.8920946026904804</v>
      </c>
      <c r="BB375" s="36" t="s">
        <v>388</v>
      </c>
      <c r="BC375" s="20">
        <v>1.7852340936374687E-2</v>
      </c>
      <c r="BD375" s="9">
        <v>24.900000000000002</v>
      </c>
      <c r="BE375" s="9" t="s">
        <v>368</v>
      </c>
      <c r="BF375" s="9">
        <v>0</v>
      </c>
    </row>
    <row r="376" spans="1:58">
      <c r="A376" s="9">
        <v>951</v>
      </c>
      <c r="B376" s="10" t="s">
        <v>76</v>
      </c>
      <c r="C376" s="10" t="s">
        <v>77</v>
      </c>
      <c r="D376" s="20" t="s">
        <v>664</v>
      </c>
      <c r="E376" s="20" t="s">
        <v>665</v>
      </c>
      <c r="F376" s="10" t="s">
        <v>77</v>
      </c>
      <c r="G376" s="20" t="s">
        <v>664</v>
      </c>
      <c r="H376" s="20" t="s">
        <v>665</v>
      </c>
      <c r="I376" s="10" t="s">
        <v>77</v>
      </c>
      <c r="J376" s="20" t="s">
        <v>664</v>
      </c>
      <c r="K376" s="20" t="s">
        <v>665</v>
      </c>
      <c r="L376" s="9" t="s">
        <v>352</v>
      </c>
      <c r="M376" s="9">
        <v>10</v>
      </c>
      <c r="N376" s="9" t="s">
        <v>353</v>
      </c>
      <c r="O376" s="9" t="s">
        <v>354</v>
      </c>
      <c r="P376" s="12">
        <v>39</v>
      </c>
      <c r="Q376" s="12" t="s">
        <v>355</v>
      </c>
      <c r="R376" s="9" t="s">
        <v>356</v>
      </c>
      <c r="S376" s="13" t="s">
        <v>684</v>
      </c>
      <c r="T376" s="13" t="s">
        <v>684</v>
      </c>
      <c r="U376" s="14">
        <f t="shared" si="45"/>
        <v>0.90308998699194354</v>
      </c>
      <c r="V376" s="15">
        <v>22.5</v>
      </c>
      <c r="W376" s="12">
        <v>7.7029854999999969</v>
      </c>
      <c r="X376" s="12">
        <v>1</v>
      </c>
      <c r="Y376" s="13" t="s">
        <v>355</v>
      </c>
      <c r="Z376" s="9" t="s">
        <v>417</v>
      </c>
      <c r="AA376" s="10" t="s">
        <v>418</v>
      </c>
      <c r="AB376" s="9" t="s">
        <v>355</v>
      </c>
      <c r="AC376" s="15">
        <v>117</v>
      </c>
      <c r="AD376" s="14">
        <f t="shared" si="46"/>
        <v>2.0681858617461617</v>
      </c>
      <c r="AE376" s="10" t="s">
        <v>685</v>
      </c>
      <c r="AF376" s="9" t="s">
        <v>420</v>
      </c>
      <c r="AG376" s="18">
        <v>37.626438999999998</v>
      </c>
      <c r="AH376" s="7">
        <f t="shared" si="47"/>
        <v>1</v>
      </c>
      <c r="AI376" s="7">
        <f t="shared" si="48"/>
        <v>1</v>
      </c>
      <c r="AJ376" s="7">
        <f t="shared" si="49"/>
        <v>0</v>
      </c>
      <c r="AK376" s="7">
        <f t="shared" si="50"/>
        <v>0</v>
      </c>
      <c r="AL376" s="7" t="s">
        <v>4157</v>
      </c>
      <c r="AM376" s="18">
        <f t="shared" si="51"/>
        <v>1.5754931182446612</v>
      </c>
      <c r="AN376" s="18">
        <v>37.626438999999998</v>
      </c>
      <c r="AO376" s="18">
        <v>-89.497873999999996</v>
      </c>
      <c r="AP376" s="9" t="s">
        <v>363</v>
      </c>
      <c r="AQ376" s="9" t="s">
        <v>686</v>
      </c>
      <c r="AR376" s="15">
        <v>1978</v>
      </c>
      <c r="AS376" s="19" t="s">
        <v>687</v>
      </c>
      <c r="AT376" s="20" t="s">
        <v>688</v>
      </c>
      <c r="AU376" s="40">
        <v>3208862</v>
      </c>
      <c r="AV376" s="35">
        <f t="shared" si="52"/>
        <v>6.5063510402718165</v>
      </c>
      <c r="AW376" s="37" t="s">
        <v>366</v>
      </c>
      <c r="AX376" s="34" t="s">
        <v>355</v>
      </c>
      <c r="AY376" s="40" t="s">
        <v>355</v>
      </c>
      <c r="AZ376" s="15">
        <v>33</v>
      </c>
      <c r="BA376" s="14">
        <f t="shared" si="53"/>
        <v>1.5185139398778875</v>
      </c>
      <c r="BB376" s="37" t="s">
        <v>388</v>
      </c>
      <c r="BC376" s="20">
        <v>2.500320128051205E-2</v>
      </c>
      <c r="BD376" s="9">
        <v>32</v>
      </c>
      <c r="BE376" s="9" t="s">
        <v>368</v>
      </c>
      <c r="BF376" s="9">
        <v>0</v>
      </c>
    </row>
    <row r="377" spans="1:58">
      <c r="A377" s="9">
        <v>952</v>
      </c>
      <c r="B377" s="10" t="s">
        <v>76</v>
      </c>
      <c r="C377" s="10" t="s">
        <v>77</v>
      </c>
      <c r="D377" s="20" t="s">
        <v>664</v>
      </c>
      <c r="E377" s="20" t="s">
        <v>665</v>
      </c>
      <c r="F377" s="10" t="s">
        <v>77</v>
      </c>
      <c r="G377" s="20" t="s">
        <v>664</v>
      </c>
      <c r="H377" s="20" t="s">
        <v>665</v>
      </c>
      <c r="I377" s="10" t="s">
        <v>77</v>
      </c>
      <c r="J377" s="20" t="s">
        <v>664</v>
      </c>
      <c r="K377" s="20" t="s">
        <v>665</v>
      </c>
      <c r="L377" s="9" t="s">
        <v>352</v>
      </c>
      <c r="M377" s="9">
        <v>10</v>
      </c>
      <c r="N377" s="9" t="s">
        <v>353</v>
      </c>
      <c r="O377" s="9" t="s">
        <v>354</v>
      </c>
      <c r="P377" s="12">
        <v>39</v>
      </c>
      <c r="Q377" s="12" t="s">
        <v>355</v>
      </c>
      <c r="R377" s="9" t="s">
        <v>356</v>
      </c>
      <c r="S377" s="13" t="s">
        <v>684</v>
      </c>
      <c r="T377" s="13" t="s">
        <v>684</v>
      </c>
      <c r="U377" s="14">
        <f t="shared" si="45"/>
        <v>0.90308998699194354</v>
      </c>
      <c r="V377" s="15">
        <v>22.5</v>
      </c>
      <c r="W377" s="12">
        <v>7.7029854999999969</v>
      </c>
      <c r="X377" s="12">
        <v>1</v>
      </c>
      <c r="Y377" s="13" t="s">
        <v>355</v>
      </c>
      <c r="Z377" s="9" t="s">
        <v>417</v>
      </c>
      <c r="AA377" s="10" t="s">
        <v>418</v>
      </c>
      <c r="AB377" s="9" t="s">
        <v>355</v>
      </c>
      <c r="AC377" s="15">
        <v>117</v>
      </c>
      <c r="AD377" s="14">
        <f t="shared" si="46"/>
        <v>2.0681858617461617</v>
      </c>
      <c r="AE377" s="10" t="s">
        <v>685</v>
      </c>
      <c r="AF377" s="9" t="s">
        <v>420</v>
      </c>
      <c r="AG377" s="18">
        <v>37.626438999999998</v>
      </c>
      <c r="AH377" s="7">
        <f t="shared" si="47"/>
        <v>1</v>
      </c>
      <c r="AI377" s="7">
        <f t="shared" si="48"/>
        <v>1</v>
      </c>
      <c r="AJ377" s="7">
        <f t="shared" si="49"/>
        <v>0</v>
      </c>
      <c r="AK377" s="7">
        <f t="shared" si="50"/>
        <v>0</v>
      </c>
      <c r="AL377" s="7" t="s">
        <v>4157</v>
      </c>
      <c r="AM377" s="18">
        <f t="shared" si="51"/>
        <v>1.5754931182446612</v>
      </c>
      <c r="AN377" s="18">
        <v>37.626438999999998</v>
      </c>
      <c r="AO377" s="18">
        <v>-89.497873999999996</v>
      </c>
      <c r="AP377" s="9" t="s">
        <v>363</v>
      </c>
      <c r="AQ377" s="9" t="s">
        <v>689</v>
      </c>
      <c r="AR377" s="15">
        <v>1978</v>
      </c>
      <c r="AS377" s="19" t="s">
        <v>687</v>
      </c>
      <c r="AT377" s="20" t="s">
        <v>688</v>
      </c>
      <c r="AU377" s="40">
        <v>3208862</v>
      </c>
      <c r="AV377" s="35">
        <f t="shared" si="52"/>
        <v>6.5063510402718165</v>
      </c>
      <c r="AW377" s="37" t="s">
        <v>366</v>
      </c>
      <c r="AX377" s="34" t="s">
        <v>355</v>
      </c>
      <c r="AY377" s="40" t="s">
        <v>355</v>
      </c>
      <c r="AZ377" s="15">
        <v>33</v>
      </c>
      <c r="BA377" s="14">
        <f t="shared" si="53"/>
        <v>1.5185139398778875</v>
      </c>
      <c r="BB377" s="37" t="s">
        <v>388</v>
      </c>
      <c r="BC377" s="20">
        <v>2.500320128051205E-2</v>
      </c>
      <c r="BD377" s="9">
        <v>32</v>
      </c>
      <c r="BE377" s="9" t="s">
        <v>368</v>
      </c>
      <c r="BF377" s="9">
        <v>0</v>
      </c>
    </row>
    <row r="378" spans="1:58">
      <c r="A378" s="9">
        <v>953</v>
      </c>
      <c r="B378" s="10" t="s">
        <v>76</v>
      </c>
      <c r="C378" s="10" t="s">
        <v>77</v>
      </c>
      <c r="D378" s="20" t="s">
        <v>664</v>
      </c>
      <c r="E378" s="20" t="s">
        <v>665</v>
      </c>
      <c r="F378" s="10" t="s">
        <v>77</v>
      </c>
      <c r="G378" s="20" t="s">
        <v>664</v>
      </c>
      <c r="H378" s="20" t="s">
        <v>665</v>
      </c>
      <c r="I378" s="10" t="s">
        <v>77</v>
      </c>
      <c r="J378" s="20" t="s">
        <v>664</v>
      </c>
      <c r="K378" s="20" t="s">
        <v>665</v>
      </c>
      <c r="L378" s="9" t="s">
        <v>352</v>
      </c>
      <c r="M378" s="9">
        <v>10</v>
      </c>
      <c r="N378" s="9" t="s">
        <v>353</v>
      </c>
      <c r="O378" s="9" t="s">
        <v>354</v>
      </c>
      <c r="P378" s="12">
        <v>39.1</v>
      </c>
      <c r="Q378" s="12" t="s">
        <v>355</v>
      </c>
      <c r="R378" s="9" t="s">
        <v>356</v>
      </c>
      <c r="S378" s="13" t="s">
        <v>684</v>
      </c>
      <c r="T378" s="13" t="s">
        <v>684</v>
      </c>
      <c r="U378" s="14">
        <f t="shared" si="45"/>
        <v>0.90308998699194354</v>
      </c>
      <c r="V378" s="15">
        <v>22.5</v>
      </c>
      <c r="W378" s="12">
        <v>7.8029854999999984</v>
      </c>
      <c r="X378" s="12">
        <v>1</v>
      </c>
      <c r="Y378" s="13" t="s">
        <v>355</v>
      </c>
      <c r="Z378" s="9" t="s">
        <v>417</v>
      </c>
      <c r="AA378" s="10" t="s">
        <v>418</v>
      </c>
      <c r="AB378" s="9" t="s">
        <v>355</v>
      </c>
      <c r="AC378" s="15">
        <v>117</v>
      </c>
      <c r="AD378" s="14">
        <f t="shared" si="46"/>
        <v>2.0681858617461617</v>
      </c>
      <c r="AE378" s="10" t="s">
        <v>685</v>
      </c>
      <c r="AF378" s="9" t="s">
        <v>420</v>
      </c>
      <c r="AG378" s="18">
        <v>37.626438999999998</v>
      </c>
      <c r="AH378" s="7">
        <f t="shared" si="47"/>
        <v>1</v>
      </c>
      <c r="AI378" s="7">
        <f t="shared" si="48"/>
        <v>1</v>
      </c>
      <c r="AJ378" s="7">
        <f t="shared" si="49"/>
        <v>0</v>
      </c>
      <c r="AK378" s="7">
        <f t="shared" si="50"/>
        <v>0</v>
      </c>
      <c r="AL378" s="7" t="s">
        <v>4157</v>
      </c>
      <c r="AM378" s="18">
        <f t="shared" si="51"/>
        <v>1.5754931182446612</v>
      </c>
      <c r="AN378" s="18">
        <v>37.626438999999998</v>
      </c>
      <c r="AO378" s="18">
        <v>-89.497873999999996</v>
      </c>
      <c r="AP378" s="9" t="s">
        <v>363</v>
      </c>
      <c r="AQ378" s="9" t="s">
        <v>690</v>
      </c>
      <c r="AR378" s="15">
        <v>1978</v>
      </c>
      <c r="AS378" s="19" t="s">
        <v>687</v>
      </c>
      <c r="AT378" s="20" t="s">
        <v>688</v>
      </c>
      <c r="AU378" s="40">
        <v>3208862</v>
      </c>
      <c r="AV378" s="35">
        <f t="shared" si="52"/>
        <v>6.5063510402718165</v>
      </c>
      <c r="AW378" s="37" t="s">
        <v>366</v>
      </c>
      <c r="AX378" s="34" t="s">
        <v>355</v>
      </c>
      <c r="AY378" s="40" t="s">
        <v>355</v>
      </c>
      <c r="AZ378" s="15">
        <v>33</v>
      </c>
      <c r="BA378" s="14">
        <f t="shared" si="53"/>
        <v>1.5185139398778875</v>
      </c>
      <c r="BB378" s="37" t="s">
        <v>388</v>
      </c>
      <c r="BC378" s="20">
        <v>2.500320128051205E-2</v>
      </c>
      <c r="BD378" s="9">
        <v>32</v>
      </c>
      <c r="BE378" s="9" t="s">
        <v>368</v>
      </c>
      <c r="BF378" s="9">
        <v>0</v>
      </c>
    </row>
    <row r="379" spans="1:58">
      <c r="A379" s="9">
        <v>948</v>
      </c>
      <c r="B379" s="10" t="s">
        <v>76</v>
      </c>
      <c r="C379" s="10" t="s">
        <v>77</v>
      </c>
      <c r="D379" s="20" t="s">
        <v>664</v>
      </c>
      <c r="E379" s="20" t="s">
        <v>665</v>
      </c>
      <c r="F379" s="10" t="s">
        <v>77</v>
      </c>
      <c r="G379" s="20" t="s">
        <v>664</v>
      </c>
      <c r="H379" s="20" t="s">
        <v>665</v>
      </c>
      <c r="I379" s="10" t="s">
        <v>77</v>
      </c>
      <c r="J379" s="20" t="s">
        <v>664</v>
      </c>
      <c r="K379" s="20" t="s">
        <v>665</v>
      </c>
      <c r="L379" s="9" t="s">
        <v>352</v>
      </c>
      <c r="M379" s="9">
        <v>20</v>
      </c>
      <c r="N379" s="9" t="s">
        <v>381</v>
      </c>
      <c r="O379" s="9" t="s">
        <v>354</v>
      </c>
      <c r="P379" s="12">
        <v>38.799999999999997</v>
      </c>
      <c r="Q379" s="12" t="s">
        <v>355</v>
      </c>
      <c r="R379" s="9" t="s">
        <v>356</v>
      </c>
      <c r="S379" s="13" t="s">
        <v>684</v>
      </c>
      <c r="T379" s="13" t="s">
        <v>684</v>
      </c>
      <c r="U379" s="14">
        <f t="shared" si="45"/>
        <v>0.90308998699194354</v>
      </c>
      <c r="V379" s="15">
        <v>22.5</v>
      </c>
      <c r="W379" s="12">
        <v>9.0217912999999967</v>
      </c>
      <c r="X379" s="12">
        <v>1</v>
      </c>
      <c r="Y379" s="13" t="s">
        <v>355</v>
      </c>
      <c r="Z379" s="9" t="s">
        <v>417</v>
      </c>
      <c r="AA379" s="10" t="s">
        <v>418</v>
      </c>
      <c r="AB379" s="9" t="s">
        <v>355</v>
      </c>
      <c r="AC379" s="15">
        <v>253</v>
      </c>
      <c r="AD379" s="14">
        <f t="shared" si="46"/>
        <v>2.403120521175818</v>
      </c>
      <c r="AE379" s="10" t="s">
        <v>691</v>
      </c>
      <c r="AF379" s="9" t="s">
        <v>362</v>
      </c>
      <c r="AG379" s="18">
        <v>40.514203000000002</v>
      </c>
      <c r="AH379" s="7">
        <f t="shared" si="47"/>
        <v>1</v>
      </c>
      <c r="AI379" s="7">
        <f t="shared" si="48"/>
        <v>1</v>
      </c>
      <c r="AJ379" s="7">
        <f t="shared" si="49"/>
        <v>0</v>
      </c>
      <c r="AK379" s="7">
        <f t="shared" si="50"/>
        <v>0</v>
      </c>
      <c r="AL379" s="7" t="s">
        <v>4157</v>
      </c>
      <c r="AM379" s="18">
        <f t="shared" si="51"/>
        <v>1.6076072998368225</v>
      </c>
      <c r="AN379" s="18">
        <v>40.514203000000002</v>
      </c>
      <c r="AO379" s="18">
        <v>-88.990630999999993</v>
      </c>
      <c r="AP379" s="9" t="s">
        <v>363</v>
      </c>
      <c r="AQ379" s="9" t="s">
        <v>686</v>
      </c>
      <c r="AR379" s="15">
        <v>1978</v>
      </c>
      <c r="AS379" s="19" t="s">
        <v>687</v>
      </c>
      <c r="AT379" s="20" t="s">
        <v>688</v>
      </c>
      <c r="AU379" s="40">
        <v>3208862</v>
      </c>
      <c r="AV379" s="35">
        <f t="shared" si="52"/>
        <v>6.5063510402718165</v>
      </c>
      <c r="AW379" s="37" t="s">
        <v>366</v>
      </c>
      <c r="AX379" s="34" t="s">
        <v>355</v>
      </c>
      <c r="AY379" s="40" t="s">
        <v>355</v>
      </c>
      <c r="AZ379" s="15">
        <v>33</v>
      </c>
      <c r="BA379" s="14">
        <f t="shared" si="53"/>
        <v>1.5185139398778875</v>
      </c>
      <c r="BB379" s="37" t="s">
        <v>388</v>
      </c>
      <c r="BC379" s="20">
        <v>8.6186474589832491E-3</v>
      </c>
      <c r="BD379" s="9">
        <v>30.200000000000003</v>
      </c>
      <c r="BE379" s="9" t="s">
        <v>368</v>
      </c>
      <c r="BF379" s="9">
        <v>0</v>
      </c>
    </row>
    <row r="380" spans="1:58">
      <c r="A380" s="9">
        <v>949</v>
      </c>
      <c r="B380" s="10" t="s">
        <v>76</v>
      </c>
      <c r="C380" s="10" t="s">
        <v>77</v>
      </c>
      <c r="D380" s="20" t="s">
        <v>664</v>
      </c>
      <c r="E380" s="20" t="s">
        <v>665</v>
      </c>
      <c r="F380" s="10" t="s">
        <v>77</v>
      </c>
      <c r="G380" s="20" t="s">
        <v>664</v>
      </c>
      <c r="H380" s="20" t="s">
        <v>665</v>
      </c>
      <c r="I380" s="10" t="s">
        <v>77</v>
      </c>
      <c r="J380" s="20" t="s">
        <v>664</v>
      </c>
      <c r="K380" s="20" t="s">
        <v>665</v>
      </c>
      <c r="L380" s="9" t="s">
        <v>352</v>
      </c>
      <c r="M380" s="9">
        <v>20</v>
      </c>
      <c r="N380" s="9" t="s">
        <v>381</v>
      </c>
      <c r="O380" s="9" t="s">
        <v>354</v>
      </c>
      <c r="P380" s="12">
        <v>38.799999999999997</v>
      </c>
      <c r="Q380" s="12" t="s">
        <v>355</v>
      </c>
      <c r="R380" s="9" t="s">
        <v>356</v>
      </c>
      <c r="S380" s="13" t="s">
        <v>684</v>
      </c>
      <c r="T380" s="13" t="s">
        <v>684</v>
      </c>
      <c r="U380" s="14">
        <f t="shared" si="45"/>
        <v>0.90308998699194354</v>
      </c>
      <c r="V380" s="15">
        <v>22.5</v>
      </c>
      <c r="W380" s="12">
        <v>9.0217912999999967</v>
      </c>
      <c r="X380" s="12">
        <v>1</v>
      </c>
      <c r="Y380" s="13" t="s">
        <v>355</v>
      </c>
      <c r="Z380" s="9" t="s">
        <v>417</v>
      </c>
      <c r="AA380" s="10" t="s">
        <v>418</v>
      </c>
      <c r="AB380" s="9" t="s">
        <v>355</v>
      </c>
      <c r="AC380" s="15">
        <v>253</v>
      </c>
      <c r="AD380" s="14">
        <f t="shared" si="46"/>
        <v>2.403120521175818</v>
      </c>
      <c r="AE380" s="10" t="s">
        <v>691</v>
      </c>
      <c r="AF380" s="9" t="s">
        <v>362</v>
      </c>
      <c r="AG380" s="18">
        <v>40.514203000000002</v>
      </c>
      <c r="AH380" s="7">
        <f t="shared" si="47"/>
        <v>1</v>
      </c>
      <c r="AI380" s="7">
        <f t="shared" si="48"/>
        <v>1</v>
      </c>
      <c r="AJ380" s="7">
        <f t="shared" si="49"/>
        <v>0</v>
      </c>
      <c r="AK380" s="7">
        <f t="shared" si="50"/>
        <v>0</v>
      </c>
      <c r="AL380" s="7" t="s">
        <v>4157</v>
      </c>
      <c r="AM380" s="18">
        <f t="shared" si="51"/>
        <v>1.6076072998368225</v>
      </c>
      <c r="AN380" s="18">
        <v>40.514203000000002</v>
      </c>
      <c r="AO380" s="18">
        <v>-88.990630999999993</v>
      </c>
      <c r="AP380" s="9" t="s">
        <v>363</v>
      </c>
      <c r="AQ380" s="9" t="s">
        <v>689</v>
      </c>
      <c r="AR380" s="15">
        <v>1978</v>
      </c>
      <c r="AS380" s="19" t="s">
        <v>687</v>
      </c>
      <c r="AT380" s="20" t="s">
        <v>688</v>
      </c>
      <c r="AU380" s="40">
        <v>3208862</v>
      </c>
      <c r="AV380" s="35">
        <f t="shared" si="52"/>
        <v>6.5063510402718165</v>
      </c>
      <c r="AW380" s="37" t="s">
        <v>366</v>
      </c>
      <c r="AX380" s="34" t="s">
        <v>355</v>
      </c>
      <c r="AY380" s="40" t="s">
        <v>355</v>
      </c>
      <c r="AZ380" s="15">
        <v>33</v>
      </c>
      <c r="BA380" s="14">
        <f t="shared" si="53"/>
        <v>1.5185139398778875</v>
      </c>
      <c r="BB380" s="37" t="s">
        <v>388</v>
      </c>
      <c r="BC380" s="20">
        <v>8.6186474589832491E-3</v>
      </c>
      <c r="BD380" s="9">
        <v>30.200000000000003</v>
      </c>
      <c r="BE380" s="9" t="s">
        <v>368</v>
      </c>
      <c r="BF380" s="9">
        <v>0</v>
      </c>
    </row>
    <row r="381" spans="1:58">
      <c r="A381" s="9">
        <v>950</v>
      </c>
      <c r="B381" s="10" t="s">
        <v>76</v>
      </c>
      <c r="C381" s="10" t="s">
        <v>77</v>
      </c>
      <c r="D381" s="20" t="s">
        <v>664</v>
      </c>
      <c r="E381" s="20" t="s">
        <v>665</v>
      </c>
      <c r="F381" s="10" t="s">
        <v>77</v>
      </c>
      <c r="G381" s="20" t="s">
        <v>664</v>
      </c>
      <c r="H381" s="20" t="s">
        <v>665</v>
      </c>
      <c r="I381" s="10" t="s">
        <v>77</v>
      </c>
      <c r="J381" s="20" t="s">
        <v>664</v>
      </c>
      <c r="K381" s="20" t="s">
        <v>665</v>
      </c>
      <c r="L381" s="9" t="s">
        <v>352</v>
      </c>
      <c r="M381" s="9">
        <v>10</v>
      </c>
      <c r="N381" s="9" t="s">
        <v>353</v>
      </c>
      <c r="O381" s="9" t="s">
        <v>354</v>
      </c>
      <c r="P381" s="12">
        <v>39.5</v>
      </c>
      <c r="Q381" s="12" t="s">
        <v>355</v>
      </c>
      <c r="R381" s="9" t="s">
        <v>356</v>
      </c>
      <c r="S381" s="13" t="s">
        <v>684</v>
      </c>
      <c r="T381" s="13" t="s">
        <v>684</v>
      </c>
      <c r="U381" s="14">
        <f t="shared" si="45"/>
        <v>0.90308998699194354</v>
      </c>
      <c r="V381" s="15">
        <v>22.5</v>
      </c>
      <c r="W381" s="12">
        <v>9.7217912999999996</v>
      </c>
      <c r="X381" s="12">
        <v>1</v>
      </c>
      <c r="Y381" s="13" t="s">
        <v>355</v>
      </c>
      <c r="Z381" s="9" t="s">
        <v>417</v>
      </c>
      <c r="AA381" s="10" t="s">
        <v>418</v>
      </c>
      <c r="AB381" s="9" t="s">
        <v>355</v>
      </c>
      <c r="AC381" s="15">
        <v>253</v>
      </c>
      <c r="AD381" s="14">
        <f t="shared" si="46"/>
        <v>2.403120521175818</v>
      </c>
      <c r="AE381" s="10" t="s">
        <v>691</v>
      </c>
      <c r="AF381" s="9" t="s">
        <v>362</v>
      </c>
      <c r="AG381" s="18">
        <v>40.514203000000002</v>
      </c>
      <c r="AH381" s="7">
        <f t="shared" si="47"/>
        <v>1</v>
      </c>
      <c r="AI381" s="7">
        <f t="shared" si="48"/>
        <v>1</v>
      </c>
      <c r="AJ381" s="7">
        <f t="shared" si="49"/>
        <v>0</v>
      </c>
      <c r="AK381" s="7">
        <f t="shared" si="50"/>
        <v>0</v>
      </c>
      <c r="AL381" s="7" t="s">
        <v>4157</v>
      </c>
      <c r="AM381" s="18">
        <f t="shared" si="51"/>
        <v>1.6076072998368225</v>
      </c>
      <c r="AN381" s="18">
        <v>40.514203000000002</v>
      </c>
      <c r="AO381" s="18">
        <v>-88.990630999999993</v>
      </c>
      <c r="AP381" s="9" t="s">
        <v>363</v>
      </c>
      <c r="AQ381" s="9" t="s">
        <v>690</v>
      </c>
      <c r="AR381" s="15">
        <v>1978</v>
      </c>
      <c r="AS381" s="19" t="s">
        <v>687</v>
      </c>
      <c r="AT381" s="20" t="s">
        <v>688</v>
      </c>
      <c r="AU381" s="40">
        <v>3208862</v>
      </c>
      <c r="AV381" s="35">
        <f t="shared" si="52"/>
        <v>6.5063510402718165</v>
      </c>
      <c r="AW381" s="37" t="s">
        <v>366</v>
      </c>
      <c r="AX381" s="34" t="s">
        <v>355</v>
      </c>
      <c r="AY381" s="40" t="s">
        <v>355</v>
      </c>
      <c r="AZ381" s="15">
        <v>33</v>
      </c>
      <c r="BA381" s="14">
        <f t="shared" si="53"/>
        <v>1.5185139398778875</v>
      </c>
      <c r="BB381" s="37" t="s">
        <v>388</v>
      </c>
      <c r="BC381" s="20">
        <v>8.6186474589832491E-3</v>
      </c>
      <c r="BD381" s="9">
        <v>30.200000000000003</v>
      </c>
      <c r="BE381" s="9" t="s">
        <v>368</v>
      </c>
      <c r="BF381" s="9">
        <v>0</v>
      </c>
    </row>
    <row r="382" spans="1:58">
      <c r="A382" s="9">
        <v>647</v>
      </c>
      <c r="B382" s="10" t="s">
        <v>76</v>
      </c>
      <c r="C382" s="10" t="s">
        <v>77</v>
      </c>
      <c r="D382" s="20" t="s">
        <v>664</v>
      </c>
      <c r="E382" s="20" t="s">
        <v>692</v>
      </c>
      <c r="F382" s="10" t="s">
        <v>77</v>
      </c>
      <c r="G382" s="20" t="s">
        <v>664</v>
      </c>
      <c r="H382" s="20" t="s">
        <v>692</v>
      </c>
      <c r="I382" s="10" t="s">
        <v>77</v>
      </c>
      <c r="J382" s="20" t="s">
        <v>664</v>
      </c>
      <c r="K382" s="20" t="s">
        <v>692</v>
      </c>
      <c r="L382" s="9" t="s">
        <v>352</v>
      </c>
      <c r="M382" s="9">
        <v>5</v>
      </c>
      <c r="N382" s="9" t="s">
        <v>353</v>
      </c>
      <c r="O382" s="9" t="s">
        <v>354</v>
      </c>
      <c r="P382" s="12">
        <v>37.799999999999997</v>
      </c>
      <c r="Q382" s="12" t="s">
        <v>355</v>
      </c>
      <c r="R382" s="9" t="s">
        <v>356</v>
      </c>
      <c r="S382" s="13" t="s">
        <v>684</v>
      </c>
      <c r="T382" s="13" t="s">
        <v>684</v>
      </c>
      <c r="U382" s="14">
        <f t="shared" si="45"/>
        <v>0.90308998699194354</v>
      </c>
      <c r="V382" s="15">
        <v>21.5</v>
      </c>
      <c r="W382" s="12">
        <v>5.8998015999999964</v>
      </c>
      <c r="X382" s="12">
        <v>1</v>
      </c>
      <c r="Y382" s="13" t="s">
        <v>355</v>
      </c>
      <c r="Z382" s="9" t="s">
        <v>359</v>
      </c>
      <c r="AA382" s="10" t="s">
        <v>372</v>
      </c>
      <c r="AB382" s="9" t="s">
        <v>355</v>
      </c>
      <c r="AC382" s="15">
        <v>35</v>
      </c>
      <c r="AD382" s="14">
        <f t="shared" si="46"/>
        <v>1.5440680443502757</v>
      </c>
      <c r="AE382" s="10" t="s">
        <v>693</v>
      </c>
      <c r="AF382" s="9" t="s">
        <v>420</v>
      </c>
      <c r="AG382" s="18">
        <v>28.538335</v>
      </c>
      <c r="AH382" s="7">
        <f t="shared" si="47"/>
        <v>1</v>
      </c>
      <c r="AI382" s="7">
        <f t="shared" si="48"/>
        <v>0</v>
      </c>
      <c r="AJ382" s="7">
        <f t="shared" si="49"/>
        <v>0</v>
      </c>
      <c r="AK382" s="7">
        <f t="shared" si="50"/>
        <v>0</v>
      </c>
      <c r="AL382" s="7" t="s">
        <v>4159</v>
      </c>
      <c r="AM382" s="18">
        <f t="shared" si="51"/>
        <v>1.4554286316585956</v>
      </c>
      <c r="AN382" s="18">
        <v>28.538335</v>
      </c>
      <c r="AO382" s="18">
        <v>-81.379236000000006</v>
      </c>
      <c r="AP382" s="9" t="s">
        <v>363</v>
      </c>
      <c r="AQ382" s="9" t="s">
        <v>355</v>
      </c>
      <c r="AR382" s="15">
        <v>1988</v>
      </c>
      <c r="AS382" s="19" t="s">
        <v>694</v>
      </c>
      <c r="AT382" s="20" t="s">
        <v>695</v>
      </c>
      <c r="AU382" s="40">
        <v>667002</v>
      </c>
      <c r="AV382" s="35">
        <f t="shared" si="52"/>
        <v>5.8241271361469265</v>
      </c>
      <c r="AW382" s="37" t="s">
        <v>366</v>
      </c>
      <c r="AX382" s="34" t="s">
        <v>355</v>
      </c>
      <c r="AY382" s="40" t="s">
        <v>355</v>
      </c>
      <c r="AZ382" s="15">
        <v>33</v>
      </c>
      <c r="BA382" s="14">
        <f t="shared" si="53"/>
        <v>1.5185139398778875</v>
      </c>
      <c r="BB382" s="37" t="s">
        <v>388</v>
      </c>
      <c r="BC382" s="20">
        <v>1.7347739095638484E-2</v>
      </c>
      <c r="BD382" s="9">
        <v>32.9</v>
      </c>
      <c r="BE382" s="9" t="s">
        <v>368</v>
      </c>
      <c r="BF382" s="9">
        <v>0</v>
      </c>
    </row>
    <row r="383" spans="1:58">
      <c r="A383" s="9">
        <v>612</v>
      </c>
      <c r="B383" s="10" t="s">
        <v>348</v>
      </c>
      <c r="C383" s="10" t="s">
        <v>377</v>
      </c>
      <c r="D383" s="20" t="s">
        <v>378</v>
      </c>
      <c r="E383" s="20" t="s">
        <v>696</v>
      </c>
      <c r="F383" s="10" t="s">
        <v>377</v>
      </c>
      <c r="G383" s="20" t="s">
        <v>378</v>
      </c>
      <c r="H383" s="20" t="s">
        <v>696</v>
      </c>
      <c r="I383" s="10" t="s">
        <v>377</v>
      </c>
      <c r="J383" s="20" t="s">
        <v>378</v>
      </c>
      <c r="K383" s="20" t="s">
        <v>696</v>
      </c>
      <c r="L383" s="9" t="s">
        <v>352</v>
      </c>
      <c r="M383" s="9">
        <v>16</v>
      </c>
      <c r="N383" s="9" t="s">
        <v>381</v>
      </c>
      <c r="O383" s="9" t="s">
        <v>354</v>
      </c>
      <c r="P383" s="12">
        <v>34.85</v>
      </c>
      <c r="Q383" s="12" t="s">
        <v>355</v>
      </c>
      <c r="R383" s="9" t="s">
        <v>356</v>
      </c>
      <c r="S383" s="13">
        <v>7</v>
      </c>
      <c r="T383" s="13">
        <v>7</v>
      </c>
      <c r="U383" s="14">
        <f t="shared" si="45"/>
        <v>0.90308998699194354</v>
      </c>
      <c r="V383" s="15">
        <v>10</v>
      </c>
      <c r="W383" s="12">
        <v>7.3620412000000037</v>
      </c>
      <c r="X383" s="12">
        <v>1</v>
      </c>
      <c r="Y383" s="13" t="s">
        <v>401</v>
      </c>
      <c r="Z383" s="9" t="s">
        <v>417</v>
      </c>
      <c r="AA383" s="10" t="s">
        <v>418</v>
      </c>
      <c r="AB383" s="9" t="s">
        <v>355</v>
      </c>
      <c r="AC383" s="15">
        <v>422</v>
      </c>
      <c r="AD383" s="14">
        <f t="shared" si="46"/>
        <v>2.6253124509616739</v>
      </c>
      <c r="AE383" s="10" t="s">
        <v>697</v>
      </c>
      <c r="AF383" s="9" t="s">
        <v>362</v>
      </c>
      <c r="AG383" s="18">
        <v>40.202500000000001</v>
      </c>
      <c r="AH383" s="7">
        <f t="shared" si="47"/>
        <v>1</v>
      </c>
      <c r="AI383" s="7">
        <f t="shared" si="48"/>
        <v>1</v>
      </c>
      <c r="AJ383" s="7">
        <f t="shared" si="49"/>
        <v>0</v>
      </c>
      <c r="AK383" s="7">
        <f t="shared" si="50"/>
        <v>0</v>
      </c>
      <c r="AL383" s="7" t="s">
        <v>4157</v>
      </c>
      <c r="AM383" s="18">
        <f t="shared" si="51"/>
        <v>1.604253060607995</v>
      </c>
      <c r="AN383" s="18">
        <v>40.202500000000001</v>
      </c>
      <c r="AO383" s="18">
        <v>-77.194999999999993</v>
      </c>
      <c r="AP383" s="9" t="s">
        <v>363</v>
      </c>
      <c r="AQ383" s="9" t="s">
        <v>355</v>
      </c>
      <c r="AR383" s="15">
        <v>1971</v>
      </c>
      <c r="AS383" s="19" t="s">
        <v>698</v>
      </c>
      <c r="AT383" s="20" t="s">
        <v>699</v>
      </c>
      <c r="AU383" s="34">
        <v>470127</v>
      </c>
      <c r="AV383" s="35">
        <f t="shared" si="52"/>
        <v>5.6722151939967755</v>
      </c>
      <c r="AW383" s="36" t="s">
        <v>366</v>
      </c>
      <c r="AX383" s="34" t="s">
        <v>355</v>
      </c>
      <c r="AY383" s="34" t="s">
        <v>355</v>
      </c>
      <c r="AZ383" s="15">
        <v>154</v>
      </c>
      <c r="BA383" s="14">
        <f t="shared" si="53"/>
        <v>2.1875207208364631</v>
      </c>
      <c r="BB383" s="36" t="s">
        <v>388</v>
      </c>
      <c r="BC383" s="20">
        <v>3.5482192877152883E-3</v>
      </c>
      <c r="BD383" s="9">
        <v>29.8</v>
      </c>
      <c r="BE383" s="9" t="s">
        <v>368</v>
      </c>
      <c r="BF383" s="9">
        <v>0</v>
      </c>
    </row>
    <row r="384" spans="1:58">
      <c r="A384" s="9">
        <v>611</v>
      </c>
      <c r="B384" s="10" t="s">
        <v>348</v>
      </c>
      <c r="C384" s="10" t="s">
        <v>377</v>
      </c>
      <c r="D384" s="20" t="s">
        <v>378</v>
      </c>
      <c r="E384" s="20" t="s">
        <v>700</v>
      </c>
      <c r="F384" s="10" t="s">
        <v>377</v>
      </c>
      <c r="G384" s="20" t="s">
        <v>378</v>
      </c>
      <c r="H384" s="20" t="s">
        <v>700</v>
      </c>
      <c r="I384" s="10" t="s">
        <v>377</v>
      </c>
      <c r="J384" s="20" t="s">
        <v>378</v>
      </c>
      <c r="K384" s="20" t="s">
        <v>700</v>
      </c>
      <c r="L384" s="9" t="s">
        <v>352</v>
      </c>
      <c r="M384" s="9">
        <v>12</v>
      </c>
      <c r="N384" s="9" t="s">
        <v>381</v>
      </c>
      <c r="O384" s="9" t="s">
        <v>354</v>
      </c>
      <c r="P384" s="12">
        <v>34.04</v>
      </c>
      <c r="Q384" s="12" t="s">
        <v>355</v>
      </c>
      <c r="R384" s="9" t="s">
        <v>356</v>
      </c>
      <c r="S384" s="13">
        <v>7</v>
      </c>
      <c r="T384" s="13">
        <v>7</v>
      </c>
      <c r="U384" s="14">
        <f t="shared" si="45"/>
        <v>0.90308998699194354</v>
      </c>
      <c r="V384" s="15">
        <v>10</v>
      </c>
      <c r="W384" s="12">
        <v>6.5520412000000015</v>
      </c>
      <c r="X384" s="12">
        <v>1</v>
      </c>
      <c r="Y384" s="13" t="s">
        <v>401</v>
      </c>
      <c r="Z384" s="9" t="s">
        <v>417</v>
      </c>
      <c r="AA384" s="10" t="s">
        <v>418</v>
      </c>
      <c r="AB384" s="9" t="s">
        <v>355</v>
      </c>
      <c r="AC384" s="15">
        <v>422</v>
      </c>
      <c r="AD384" s="14">
        <f t="shared" si="46"/>
        <v>2.6253124509616739</v>
      </c>
      <c r="AE384" s="10" t="s">
        <v>697</v>
      </c>
      <c r="AF384" s="9" t="s">
        <v>362</v>
      </c>
      <c r="AG384" s="18">
        <v>40.202500000000001</v>
      </c>
      <c r="AH384" s="7">
        <f t="shared" si="47"/>
        <v>1</v>
      </c>
      <c r="AI384" s="7">
        <f t="shared" si="48"/>
        <v>1</v>
      </c>
      <c r="AJ384" s="7">
        <f t="shared" si="49"/>
        <v>0</v>
      </c>
      <c r="AK384" s="7">
        <f t="shared" si="50"/>
        <v>0</v>
      </c>
      <c r="AL384" s="7" t="s">
        <v>4157</v>
      </c>
      <c r="AM384" s="18">
        <f t="shared" si="51"/>
        <v>1.604253060607995</v>
      </c>
      <c r="AN384" s="18">
        <v>40.202500000000001</v>
      </c>
      <c r="AO384" s="18">
        <v>-77.194999999999993</v>
      </c>
      <c r="AP384" s="9" t="s">
        <v>363</v>
      </c>
      <c r="AQ384" s="9" t="s">
        <v>355</v>
      </c>
      <c r="AR384" s="15">
        <v>1971</v>
      </c>
      <c r="AS384" s="19" t="s">
        <v>698</v>
      </c>
      <c r="AT384" s="20" t="s">
        <v>699</v>
      </c>
      <c r="AU384" s="34">
        <v>2989256</v>
      </c>
      <c r="AV384" s="35">
        <f t="shared" si="52"/>
        <v>6.4755631096282826</v>
      </c>
      <c r="AW384" s="36" t="s">
        <v>366</v>
      </c>
      <c r="AX384" s="34" t="s">
        <v>355</v>
      </c>
      <c r="AY384" s="34" t="s">
        <v>355</v>
      </c>
      <c r="AZ384" s="15">
        <v>154</v>
      </c>
      <c r="BA384" s="14">
        <f t="shared" si="53"/>
        <v>2.1875207208364631</v>
      </c>
      <c r="BB384" s="36" t="s">
        <v>388</v>
      </c>
      <c r="BC384" s="20">
        <v>3.5482192877152883E-3</v>
      </c>
      <c r="BD384" s="9">
        <v>29.8</v>
      </c>
      <c r="BE384" s="9" t="s">
        <v>368</v>
      </c>
      <c r="BF384" s="9">
        <v>0</v>
      </c>
    </row>
    <row r="385" spans="1:58">
      <c r="A385" s="9">
        <v>568</v>
      </c>
      <c r="B385" s="10" t="s">
        <v>348</v>
      </c>
      <c r="C385" s="10" t="s">
        <v>377</v>
      </c>
      <c r="D385" s="20" t="s">
        <v>378</v>
      </c>
      <c r="E385" s="20" t="s">
        <v>379</v>
      </c>
      <c r="F385" s="10" t="s">
        <v>377</v>
      </c>
      <c r="G385" s="20" t="s">
        <v>378</v>
      </c>
      <c r="H385" s="20" t="s">
        <v>379</v>
      </c>
      <c r="I385" s="10" t="s">
        <v>377</v>
      </c>
      <c r="J385" s="20" t="s">
        <v>378</v>
      </c>
      <c r="K385" s="20" t="s">
        <v>379</v>
      </c>
      <c r="L385" s="9" t="s">
        <v>380</v>
      </c>
      <c r="M385" s="9">
        <v>10</v>
      </c>
      <c r="N385" s="9" t="s">
        <v>381</v>
      </c>
      <c r="O385" s="9" t="s">
        <v>382</v>
      </c>
      <c r="P385" s="12">
        <v>36.961440000000003</v>
      </c>
      <c r="Q385" s="12" t="s">
        <v>355</v>
      </c>
      <c r="R385" s="9" t="s">
        <v>356</v>
      </c>
      <c r="S385" s="13">
        <v>7</v>
      </c>
      <c r="T385" s="13">
        <v>7</v>
      </c>
      <c r="U385" s="14">
        <f t="shared" si="45"/>
        <v>0.90308998699194354</v>
      </c>
      <c r="V385" s="15">
        <v>10</v>
      </c>
      <c r="W385" s="12"/>
      <c r="X385" s="12">
        <v>0.5</v>
      </c>
      <c r="Y385" s="13" t="s">
        <v>358</v>
      </c>
      <c r="Z385" s="9" t="s">
        <v>417</v>
      </c>
      <c r="AA385" s="10" t="s">
        <v>701</v>
      </c>
      <c r="AB385" s="9" t="s">
        <v>355</v>
      </c>
      <c r="AC385" s="15">
        <v>1036</v>
      </c>
      <c r="AD385" s="14">
        <f t="shared" si="46"/>
        <v>3.0153597554092144</v>
      </c>
      <c r="AE385" s="10" t="s">
        <v>702</v>
      </c>
      <c r="AF385" s="9" t="s">
        <v>420</v>
      </c>
      <c r="AG385" s="18">
        <v>32.319940000000003</v>
      </c>
      <c r="AH385" s="7">
        <f t="shared" si="47"/>
        <v>1</v>
      </c>
      <c r="AI385" s="7">
        <f t="shared" si="48"/>
        <v>1</v>
      </c>
      <c r="AJ385" s="7">
        <f t="shared" si="49"/>
        <v>0</v>
      </c>
      <c r="AK385" s="7">
        <f t="shared" si="50"/>
        <v>0</v>
      </c>
      <c r="AL385" s="7" t="s">
        <v>4157</v>
      </c>
      <c r="AM385" s="18">
        <f t="shared" si="51"/>
        <v>1.5094705458620441</v>
      </c>
      <c r="AN385" s="18">
        <v>32.319940000000003</v>
      </c>
      <c r="AO385" s="18">
        <v>-106.763654</v>
      </c>
      <c r="AP385" s="9" t="s">
        <v>363</v>
      </c>
      <c r="AQ385" s="9" t="s">
        <v>355</v>
      </c>
      <c r="AR385" s="15">
        <v>1973</v>
      </c>
      <c r="AS385" s="19" t="s">
        <v>703</v>
      </c>
      <c r="AT385" s="20" t="s">
        <v>704</v>
      </c>
      <c r="AU385" s="34">
        <v>4317635</v>
      </c>
      <c r="AV385" s="35">
        <f t="shared" si="52"/>
        <v>6.6352459255882987</v>
      </c>
      <c r="AW385" s="36" t="s">
        <v>366</v>
      </c>
      <c r="AX385" s="34">
        <v>0</v>
      </c>
      <c r="AY385" s="34">
        <v>3660</v>
      </c>
      <c r="AZ385" s="36">
        <v>265</v>
      </c>
      <c r="BA385" s="14">
        <f t="shared" si="53"/>
        <v>2.4232458739368079</v>
      </c>
      <c r="BB385" s="36" t="s">
        <v>388</v>
      </c>
      <c r="BC385" s="20">
        <v>1.9757102841136624E-2</v>
      </c>
      <c r="BD385" s="9">
        <v>34.9</v>
      </c>
      <c r="BE385" s="9" t="s">
        <v>368</v>
      </c>
      <c r="BF385" s="9">
        <v>0</v>
      </c>
    </row>
    <row r="386" spans="1:58">
      <c r="A386" s="9">
        <v>569</v>
      </c>
      <c r="B386" s="10" t="s">
        <v>348</v>
      </c>
      <c r="C386" s="10" t="s">
        <v>377</v>
      </c>
      <c r="D386" s="20" t="s">
        <v>378</v>
      </c>
      <c r="E386" s="20" t="s">
        <v>379</v>
      </c>
      <c r="F386" s="10" t="s">
        <v>377</v>
      </c>
      <c r="G386" s="20" t="s">
        <v>378</v>
      </c>
      <c r="H386" s="20" t="s">
        <v>379</v>
      </c>
      <c r="I386" s="10" t="s">
        <v>377</v>
      </c>
      <c r="J386" s="20" t="s">
        <v>378</v>
      </c>
      <c r="K386" s="20" t="s">
        <v>379</v>
      </c>
      <c r="L386" s="9" t="s">
        <v>380</v>
      </c>
      <c r="M386" s="9">
        <v>10</v>
      </c>
      <c r="N386" s="9" t="s">
        <v>381</v>
      </c>
      <c r="O386" s="9" t="s">
        <v>382</v>
      </c>
      <c r="P386" s="12">
        <v>38.074869999999997</v>
      </c>
      <c r="Q386" s="12" t="s">
        <v>355</v>
      </c>
      <c r="R386" s="9" t="s">
        <v>356</v>
      </c>
      <c r="S386" s="13">
        <v>7</v>
      </c>
      <c r="T386" s="13">
        <v>7</v>
      </c>
      <c r="U386" s="14">
        <f t="shared" si="45"/>
        <v>0.90308998699194354</v>
      </c>
      <c r="V386" s="15">
        <v>20</v>
      </c>
      <c r="W386" s="12"/>
      <c r="X386" s="12">
        <v>0.5</v>
      </c>
      <c r="Y386" s="13" t="s">
        <v>358</v>
      </c>
      <c r="Z386" s="9" t="s">
        <v>417</v>
      </c>
      <c r="AA386" s="10" t="s">
        <v>701</v>
      </c>
      <c r="AB386" s="9" t="s">
        <v>355</v>
      </c>
      <c r="AC386" s="15">
        <v>1036</v>
      </c>
      <c r="AD386" s="14">
        <f t="shared" si="46"/>
        <v>3.0153597554092144</v>
      </c>
      <c r="AE386" s="10" t="s">
        <v>702</v>
      </c>
      <c r="AF386" s="9" t="s">
        <v>420</v>
      </c>
      <c r="AG386" s="18">
        <v>32.319940000000003</v>
      </c>
      <c r="AH386" s="7">
        <f t="shared" si="47"/>
        <v>1</v>
      </c>
      <c r="AI386" s="7">
        <f t="shared" si="48"/>
        <v>1</v>
      </c>
      <c r="AJ386" s="7">
        <f t="shared" si="49"/>
        <v>0</v>
      </c>
      <c r="AK386" s="7">
        <f t="shared" si="50"/>
        <v>0</v>
      </c>
      <c r="AL386" s="7" t="s">
        <v>4157</v>
      </c>
      <c r="AM386" s="18">
        <f t="shared" si="51"/>
        <v>1.5094705458620441</v>
      </c>
      <c r="AN386" s="18">
        <v>32.319940000000003</v>
      </c>
      <c r="AO386" s="18">
        <v>-106.763654</v>
      </c>
      <c r="AP386" s="9" t="s">
        <v>363</v>
      </c>
      <c r="AQ386" s="9" t="s">
        <v>355</v>
      </c>
      <c r="AR386" s="15">
        <v>1973</v>
      </c>
      <c r="AS386" s="19" t="s">
        <v>703</v>
      </c>
      <c r="AT386" s="20" t="s">
        <v>704</v>
      </c>
      <c r="AU386" s="34">
        <v>4317635</v>
      </c>
      <c r="AV386" s="35">
        <f t="shared" si="52"/>
        <v>6.6352459255882987</v>
      </c>
      <c r="AW386" s="36" t="s">
        <v>366</v>
      </c>
      <c r="AX386" s="34">
        <v>0</v>
      </c>
      <c r="AY386" s="34">
        <v>3660</v>
      </c>
      <c r="AZ386" s="36">
        <v>265</v>
      </c>
      <c r="BA386" s="14">
        <f t="shared" si="53"/>
        <v>2.4232458739368079</v>
      </c>
      <c r="BB386" s="36" t="s">
        <v>388</v>
      </c>
      <c r="BC386" s="20">
        <v>1.9757102841136624E-2</v>
      </c>
      <c r="BD386" s="9">
        <v>34.9</v>
      </c>
      <c r="BE386" s="9" t="s">
        <v>368</v>
      </c>
      <c r="BF386" s="9">
        <v>0</v>
      </c>
    </row>
    <row r="387" spans="1:58">
      <c r="A387" s="9">
        <v>571</v>
      </c>
      <c r="B387" s="10" t="s">
        <v>348</v>
      </c>
      <c r="C387" s="10" t="s">
        <v>377</v>
      </c>
      <c r="D387" s="20" t="s">
        <v>378</v>
      </c>
      <c r="E387" s="20" t="s">
        <v>379</v>
      </c>
      <c r="F387" s="10" t="s">
        <v>377</v>
      </c>
      <c r="G387" s="20" t="s">
        <v>378</v>
      </c>
      <c r="H387" s="20" t="s">
        <v>379</v>
      </c>
      <c r="I387" s="10" t="s">
        <v>377</v>
      </c>
      <c r="J387" s="20" t="s">
        <v>378</v>
      </c>
      <c r="K387" s="20" t="s">
        <v>379</v>
      </c>
      <c r="L387" s="9" t="s">
        <v>380</v>
      </c>
      <c r="M387" s="9">
        <v>8</v>
      </c>
      <c r="N387" s="9" t="s">
        <v>353</v>
      </c>
      <c r="O387" s="9" t="s">
        <v>382</v>
      </c>
      <c r="P387" s="12">
        <v>38.365169999999999</v>
      </c>
      <c r="Q387" s="12" t="s">
        <v>355</v>
      </c>
      <c r="R387" s="9" t="s">
        <v>356</v>
      </c>
      <c r="S387" s="13">
        <v>7</v>
      </c>
      <c r="T387" s="13">
        <v>7</v>
      </c>
      <c r="U387" s="14">
        <f t="shared" si="45"/>
        <v>0.90308998699194354</v>
      </c>
      <c r="V387" s="15">
        <v>20</v>
      </c>
      <c r="W387" s="12"/>
      <c r="X387" s="12">
        <v>0.5</v>
      </c>
      <c r="Y387" s="13" t="s">
        <v>358</v>
      </c>
      <c r="Z387" s="9" t="s">
        <v>417</v>
      </c>
      <c r="AA387" s="10" t="s">
        <v>701</v>
      </c>
      <c r="AB387" s="9" t="s">
        <v>355</v>
      </c>
      <c r="AC387" s="15">
        <v>1036</v>
      </c>
      <c r="AD387" s="14">
        <f t="shared" si="46"/>
        <v>3.0153597554092144</v>
      </c>
      <c r="AE387" s="10" t="s">
        <v>702</v>
      </c>
      <c r="AF387" s="9" t="s">
        <v>420</v>
      </c>
      <c r="AG387" s="18">
        <v>32.319940000000003</v>
      </c>
      <c r="AH387" s="7">
        <f t="shared" si="47"/>
        <v>1</v>
      </c>
      <c r="AI387" s="7">
        <f t="shared" si="48"/>
        <v>1</v>
      </c>
      <c r="AJ387" s="7">
        <f t="shared" si="49"/>
        <v>0</v>
      </c>
      <c r="AK387" s="7">
        <f t="shared" si="50"/>
        <v>0</v>
      </c>
      <c r="AL387" s="7" t="s">
        <v>4157</v>
      </c>
      <c r="AM387" s="18">
        <f t="shared" si="51"/>
        <v>1.5094705458620441</v>
      </c>
      <c r="AN387" s="18">
        <v>32.319940000000003</v>
      </c>
      <c r="AO387" s="18">
        <v>-106.763654</v>
      </c>
      <c r="AP387" s="9" t="s">
        <v>363</v>
      </c>
      <c r="AQ387" s="9" t="s">
        <v>355</v>
      </c>
      <c r="AR387" s="15">
        <v>1973</v>
      </c>
      <c r="AS387" s="19" t="s">
        <v>703</v>
      </c>
      <c r="AT387" s="20" t="s">
        <v>704</v>
      </c>
      <c r="AU387" s="34">
        <v>4317635</v>
      </c>
      <c r="AV387" s="35">
        <f t="shared" si="52"/>
        <v>6.6352459255882987</v>
      </c>
      <c r="AW387" s="36" t="s">
        <v>366</v>
      </c>
      <c r="AX387" s="34">
        <v>0</v>
      </c>
      <c r="AY387" s="34">
        <v>3660</v>
      </c>
      <c r="AZ387" s="36">
        <v>265</v>
      </c>
      <c r="BA387" s="14">
        <f t="shared" si="53"/>
        <v>2.4232458739368079</v>
      </c>
      <c r="BB387" s="36" t="s">
        <v>388</v>
      </c>
      <c r="BC387" s="20">
        <v>1.9757102841136624E-2</v>
      </c>
      <c r="BD387" s="9">
        <v>34.9</v>
      </c>
      <c r="BE387" s="9" t="s">
        <v>368</v>
      </c>
      <c r="BF387" s="9">
        <v>0</v>
      </c>
    </row>
    <row r="388" spans="1:58">
      <c r="A388" s="9">
        <v>566</v>
      </c>
      <c r="B388" s="10" t="s">
        <v>348</v>
      </c>
      <c r="C388" s="10" t="s">
        <v>377</v>
      </c>
      <c r="D388" s="20" t="s">
        <v>378</v>
      </c>
      <c r="E388" s="20" t="s">
        <v>379</v>
      </c>
      <c r="F388" s="10" t="s">
        <v>377</v>
      </c>
      <c r="G388" s="20" t="s">
        <v>378</v>
      </c>
      <c r="H388" s="20" t="s">
        <v>379</v>
      </c>
      <c r="I388" s="10" t="s">
        <v>377</v>
      </c>
      <c r="J388" s="20" t="s">
        <v>378</v>
      </c>
      <c r="K388" s="20" t="s">
        <v>379</v>
      </c>
      <c r="L388" s="9" t="s">
        <v>380</v>
      </c>
      <c r="M388" s="9">
        <v>10</v>
      </c>
      <c r="N388" s="9" t="s">
        <v>381</v>
      </c>
      <c r="O388" s="9" t="s">
        <v>382</v>
      </c>
      <c r="P388" s="12">
        <v>36.616050000000001</v>
      </c>
      <c r="Q388" s="12" t="s">
        <v>355</v>
      </c>
      <c r="R388" s="9" t="s">
        <v>356</v>
      </c>
      <c r="S388" s="13">
        <v>7</v>
      </c>
      <c r="T388" s="13">
        <v>7</v>
      </c>
      <c r="U388" s="14">
        <f t="shared" si="45"/>
        <v>0.90308998699194354</v>
      </c>
      <c r="V388" s="15">
        <v>10</v>
      </c>
      <c r="W388" s="12"/>
      <c r="X388" s="12">
        <v>0.5</v>
      </c>
      <c r="Y388" s="13" t="s">
        <v>358</v>
      </c>
      <c r="Z388" s="9" t="s">
        <v>417</v>
      </c>
      <c r="AA388" s="10" t="s">
        <v>701</v>
      </c>
      <c r="AB388" s="9" t="s">
        <v>355</v>
      </c>
      <c r="AC388" s="15">
        <v>2500</v>
      </c>
      <c r="AD388" s="14">
        <f t="shared" si="46"/>
        <v>3.3979400086720375</v>
      </c>
      <c r="AE388" s="10" t="s">
        <v>705</v>
      </c>
      <c r="AF388" s="9" t="s">
        <v>420</v>
      </c>
      <c r="AG388" s="18">
        <v>33.126475999999997</v>
      </c>
      <c r="AH388" s="7">
        <f t="shared" si="47"/>
        <v>1</v>
      </c>
      <c r="AI388" s="7">
        <f t="shared" si="48"/>
        <v>1</v>
      </c>
      <c r="AJ388" s="7">
        <f t="shared" si="49"/>
        <v>0</v>
      </c>
      <c r="AK388" s="7">
        <f t="shared" si="50"/>
        <v>0</v>
      </c>
      <c r="AL388" s="7" t="s">
        <v>4157</v>
      </c>
      <c r="AM388" s="18">
        <f t="shared" si="51"/>
        <v>1.5201752380203148</v>
      </c>
      <c r="AN388" s="18">
        <v>33.126475999999997</v>
      </c>
      <c r="AO388" s="18">
        <v>-105.751932</v>
      </c>
      <c r="AP388" s="9" t="s">
        <v>363</v>
      </c>
      <c r="AQ388" s="9" t="s">
        <v>355</v>
      </c>
      <c r="AR388" s="15">
        <v>1973</v>
      </c>
      <c r="AS388" s="19" t="s">
        <v>703</v>
      </c>
      <c r="AT388" s="20" t="s">
        <v>704</v>
      </c>
      <c r="AU388" s="34">
        <v>4317635</v>
      </c>
      <c r="AV388" s="35">
        <f t="shared" si="52"/>
        <v>6.6352459255882987</v>
      </c>
      <c r="AW388" s="36" t="s">
        <v>366</v>
      </c>
      <c r="AX388" s="34">
        <v>0</v>
      </c>
      <c r="AY388" s="34">
        <v>3660</v>
      </c>
      <c r="AZ388" s="36">
        <v>265</v>
      </c>
      <c r="BA388" s="14">
        <f t="shared" si="53"/>
        <v>2.4232458739368079</v>
      </c>
      <c r="BB388" s="36" t="s">
        <v>388</v>
      </c>
      <c r="BC388" s="20">
        <v>1.9455382152861241E-2</v>
      </c>
      <c r="BD388" s="9">
        <v>26.3</v>
      </c>
      <c r="BE388" s="9" t="s">
        <v>368</v>
      </c>
      <c r="BF388" s="9">
        <v>0</v>
      </c>
    </row>
    <row r="389" spans="1:58">
      <c r="A389" s="9">
        <v>567</v>
      </c>
      <c r="B389" s="10" t="s">
        <v>348</v>
      </c>
      <c r="C389" s="10" t="s">
        <v>377</v>
      </c>
      <c r="D389" s="20" t="s">
        <v>378</v>
      </c>
      <c r="E389" s="20" t="s">
        <v>379</v>
      </c>
      <c r="F389" s="10" t="s">
        <v>377</v>
      </c>
      <c r="G389" s="20" t="s">
        <v>378</v>
      </c>
      <c r="H389" s="20" t="s">
        <v>379</v>
      </c>
      <c r="I389" s="10" t="s">
        <v>377</v>
      </c>
      <c r="J389" s="20" t="s">
        <v>378</v>
      </c>
      <c r="K389" s="20" t="s">
        <v>379</v>
      </c>
      <c r="L389" s="9" t="s">
        <v>380</v>
      </c>
      <c r="M389" s="9">
        <v>9</v>
      </c>
      <c r="N389" s="9" t="s">
        <v>353</v>
      </c>
      <c r="O389" s="9" t="s">
        <v>382</v>
      </c>
      <c r="P389" s="12">
        <v>38.52993</v>
      </c>
      <c r="Q389" s="12" t="s">
        <v>355</v>
      </c>
      <c r="R389" s="9" t="s">
        <v>356</v>
      </c>
      <c r="S389" s="13">
        <v>7</v>
      </c>
      <c r="T389" s="13">
        <v>7</v>
      </c>
      <c r="U389" s="14">
        <f t="shared" ref="U389:U452" si="54">LOG(T389+1)</f>
        <v>0.90308998699194354</v>
      </c>
      <c r="V389" s="15">
        <v>20</v>
      </c>
      <c r="W389" s="12"/>
      <c r="X389" s="12">
        <v>0.5</v>
      </c>
      <c r="Y389" s="13" t="s">
        <v>358</v>
      </c>
      <c r="Z389" s="9" t="s">
        <v>417</v>
      </c>
      <c r="AA389" s="10" t="s">
        <v>701</v>
      </c>
      <c r="AB389" s="9" t="s">
        <v>355</v>
      </c>
      <c r="AC389" s="15">
        <v>2500</v>
      </c>
      <c r="AD389" s="14">
        <f t="shared" ref="AD389:AD452" si="55">LOG(AC389)</f>
        <v>3.3979400086720375</v>
      </c>
      <c r="AE389" s="10" t="s">
        <v>705</v>
      </c>
      <c r="AF389" s="9" t="s">
        <v>420</v>
      </c>
      <c r="AG389" s="18">
        <v>33.126475999999997</v>
      </c>
      <c r="AH389" s="7">
        <f t="shared" ref="AH389:AH452" si="56">IF(AG389&gt;15,1,0)</f>
        <v>1</v>
      </c>
      <c r="AI389" s="7">
        <f t="shared" ref="AI389:AI452" si="57">IF(AG389&gt;30,1,0)</f>
        <v>1</v>
      </c>
      <c r="AJ389" s="7">
        <f t="shared" ref="AJ389:AJ452" si="58">IF(AG389&gt;45,1,0)</f>
        <v>0</v>
      </c>
      <c r="AK389" s="7">
        <f t="shared" ref="AK389:AK452" si="59">IF(AG389&gt;60,1,0)</f>
        <v>0</v>
      </c>
      <c r="AL389" s="7" t="s">
        <v>4157</v>
      </c>
      <c r="AM389" s="18">
        <f t="shared" ref="AM389:AM452" si="60">LOG(AG389)</f>
        <v>1.5201752380203148</v>
      </c>
      <c r="AN389" s="18">
        <v>33.126475999999997</v>
      </c>
      <c r="AO389" s="18">
        <v>-105.751932</v>
      </c>
      <c r="AP389" s="9" t="s">
        <v>363</v>
      </c>
      <c r="AQ389" s="9" t="s">
        <v>355</v>
      </c>
      <c r="AR389" s="15">
        <v>1973</v>
      </c>
      <c r="AS389" s="19" t="s">
        <v>703</v>
      </c>
      <c r="AT389" s="20" t="s">
        <v>704</v>
      </c>
      <c r="AU389" s="34">
        <v>4317635</v>
      </c>
      <c r="AV389" s="35">
        <f t="shared" ref="AV389:AV452" si="61">LOG(AU389)</f>
        <v>6.6352459255882987</v>
      </c>
      <c r="AW389" s="36" t="s">
        <v>366</v>
      </c>
      <c r="AX389" s="34">
        <v>0</v>
      </c>
      <c r="AY389" s="34">
        <v>3660</v>
      </c>
      <c r="AZ389" s="36">
        <v>265</v>
      </c>
      <c r="BA389" s="14">
        <f t="shared" ref="BA389:BA452" si="62">LOG(AZ389)</f>
        <v>2.4232458739368079</v>
      </c>
      <c r="BB389" s="36" t="s">
        <v>388</v>
      </c>
      <c r="BC389" s="20">
        <v>1.9455382152861241E-2</v>
      </c>
      <c r="BD389" s="9">
        <v>26.3</v>
      </c>
      <c r="BE389" s="9" t="s">
        <v>368</v>
      </c>
      <c r="BF389" s="9">
        <v>0</v>
      </c>
    </row>
    <row r="390" spans="1:58">
      <c r="A390" s="9">
        <v>562</v>
      </c>
      <c r="B390" s="10" t="s">
        <v>348</v>
      </c>
      <c r="C390" s="10" t="s">
        <v>377</v>
      </c>
      <c r="D390" s="20" t="s">
        <v>378</v>
      </c>
      <c r="E390" s="20" t="s">
        <v>379</v>
      </c>
      <c r="F390" s="10" t="s">
        <v>377</v>
      </c>
      <c r="G390" s="20" t="s">
        <v>378</v>
      </c>
      <c r="H390" s="20" t="s">
        <v>379</v>
      </c>
      <c r="I390" s="10" t="s">
        <v>377</v>
      </c>
      <c r="J390" s="20" t="s">
        <v>378</v>
      </c>
      <c r="K390" s="20" t="s">
        <v>379</v>
      </c>
      <c r="L390" s="9" t="s">
        <v>352</v>
      </c>
      <c r="M390" s="9">
        <v>8</v>
      </c>
      <c r="N390" s="9" t="s">
        <v>353</v>
      </c>
      <c r="O390" s="9" t="s">
        <v>354</v>
      </c>
      <c r="P390" s="12">
        <v>36.603740000000002</v>
      </c>
      <c r="Q390" s="12" t="s">
        <v>355</v>
      </c>
      <c r="R390" s="9" t="s">
        <v>356</v>
      </c>
      <c r="S390" s="13">
        <v>7</v>
      </c>
      <c r="T390" s="13">
        <v>7</v>
      </c>
      <c r="U390" s="14">
        <f t="shared" si="54"/>
        <v>0.90308998699194354</v>
      </c>
      <c r="V390" s="15">
        <v>20</v>
      </c>
      <c r="W390" s="12">
        <v>3.2503081000000051</v>
      </c>
      <c r="X390" s="12">
        <v>0.5</v>
      </c>
      <c r="Y390" s="13" t="s">
        <v>358</v>
      </c>
      <c r="Z390" s="9" t="s">
        <v>417</v>
      </c>
      <c r="AA390" s="10" t="s">
        <v>701</v>
      </c>
      <c r="AB390" s="9" t="s">
        <v>355</v>
      </c>
      <c r="AC390" s="15">
        <v>1036</v>
      </c>
      <c r="AD390" s="14">
        <f t="shared" si="55"/>
        <v>3.0153597554092144</v>
      </c>
      <c r="AE390" s="10" t="s">
        <v>702</v>
      </c>
      <c r="AF390" s="9" t="s">
        <v>420</v>
      </c>
      <c r="AG390" s="18">
        <v>32.319940000000003</v>
      </c>
      <c r="AH390" s="7">
        <f t="shared" si="56"/>
        <v>1</v>
      </c>
      <c r="AI390" s="7">
        <f t="shared" si="57"/>
        <v>1</v>
      </c>
      <c r="AJ390" s="7">
        <f t="shared" si="58"/>
        <v>0</v>
      </c>
      <c r="AK390" s="7">
        <f t="shared" si="59"/>
        <v>0</v>
      </c>
      <c r="AL390" s="7" t="s">
        <v>4157</v>
      </c>
      <c r="AM390" s="18">
        <f t="shared" si="60"/>
        <v>1.5094705458620441</v>
      </c>
      <c r="AN390" s="18">
        <v>32.319940000000003</v>
      </c>
      <c r="AO390" s="18">
        <v>-106.763654</v>
      </c>
      <c r="AP390" s="9" t="s">
        <v>363</v>
      </c>
      <c r="AQ390" s="9" t="s">
        <v>355</v>
      </c>
      <c r="AR390" s="15">
        <v>1973</v>
      </c>
      <c r="AS390" s="19" t="s">
        <v>703</v>
      </c>
      <c r="AT390" s="20" t="s">
        <v>704</v>
      </c>
      <c r="AU390" s="34">
        <v>4317635</v>
      </c>
      <c r="AV390" s="35">
        <f t="shared" si="61"/>
        <v>6.6352459255882987</v>
      </c>
      <c r="AW390" s="36" t="s">
        <v>366</v>
      </c>
      <c r="AX390" s="34">
        <v>0</v>
      </c>
      <c r="AY390" s="34">
        <v>3660</v>
      </c>
      <c r="AZ390" s="15">
        <v>265</v>
      </c>
      <c r="BA390" s="14">
        <f t="shared" si="62"/>
        <v>2.4232458739368079</v>
      </c>
      <c r="BB390" s="36" t="s">
        <v>388</v>
      </c>
      <c r="BC390" s="20">
        <v>1.9757102841136624E-2</v>
      </c>
      <c r="BD390" s="9">
        <v>34.9</v>
      </c>
      <c r="BE390" s="9" t="s">
        <v>368</v>
      </c>
      <c r="BF390" s="9">
        <v>0</v>
      </c>
    </row>
    <row r="391" spans="1:58">
      <c r="A391" s="9">
        <v>570</v>
      </c>
      <c r="B391" s="10" t="s">
        <v>348</v>
      </c>
      <c r="C391" s="10" t="s">
        <v>377</v>
      </c>
      <c r="D391" s="20" t="s">
        <v>378</v>
      </c>
      <c r="E391" s="20" t="s">
        <v>379</v>
      </c>
      <c r="F391" s="10" t="s">
        <v>377</v>
      </c>
      <c r="G391" s="20" t="s">
        <v>378</v>
      </c>
      <c r="H391" s="20" t="s">
        <v>379</v>
      </c>
      <c r="I391" s="10" t="s">
        <v>377</v>
      </c>
      <c r="J391" s="20" t="s">
        <v>378</v>
      </c>
      <c r="K391" s="20" t="s">
        <v>379</v>
      </c>
      <c r="L391" s="9" t="s">
        <v>352</v>
      </c>
      <c r="M391" s="9">
        <v>8</v>
      </c>
      <c r="N391" s="9" t="s">
        <v>353</v>
      </c>
      <c r="O391" s="9" t="s">
        <v>354</v>
      </c>
      <c r="P391" s="12">
        <v>36.762920000000001</v>
      </c>
      <c r="Q391" s="12" t="s">
        <v>355</v>
      </c>
      <c r="R391" s="9" t="s">
        <v>356</v>
      </c>
      <c r="S391" s="13">
        <v>7</v>
      </c>
      <c r="T391" s="13">
        <v>7</v>
      </c>
      <c r="U391" s="14">
        <f t="shared" si="54"/>
        <v>0.90308998699194354</v>
      </c>
      <c r="V391" s="15">
        <v>20</v>
      </c>
      <c r="W391" s="12">
        <v>3.4094881000000044</v>
      </c>
      <c r="X391" s="12">
        <v>0.5</v>
      </c>
      <c r="Y391" s="13" t="s">
        <v>358</v>
      </c>
      <c r="Z391" s="9" t="s">
        <v>417</v>
      </c>
      <c r="AA391" s="10" t="s">
        <v>701</v>
      </c>
      <c r="AB391" s="9" t="s">
        <v>355</v>
      </c>
      <c r="AC391" s="15">
        <v>1036</v>
      </c>
      <c r="AD391" s="14">
        <f t="shared" si="55"/>
        <v>3.0153597554092144</v>
      </c>
      <c r="AE391" s="10" t="s">
        <v>702</v>
      </c>
      <c r="AF391" s="9" t="s">
        <v>420</v>
      </c>
      <c r="AG391" s="18">
        <v>32.319940000000003</v>
      </c>
      <c r="AH391" s="7">
        <f t="shared" si="56"/>
        <v>1</v>
      </c>
      <c r="AI391" s="7">
        <f t="shared" si="57"/>
        <v>1</v>
      </c>
      <c r="AJ391" s="7">
        <f t="shared" si="58"/>
        <v>0</v>
      </c>
      <c r="AK391" s="7">
        <f t="shared" si="59"/>
        <v>0</v>
      </c>
      <c r="AL391" s="7" t="s">
        <v>4157</v>
      </c>
      <c r="AM391" s="18">
        <f t="shared" si="60"/>
        <v>1.5094705458620441</v>
      </c>
      <c r="AN391" s="18">
        <v>32.319940000000003</v>
      </c>
      <c r="AO391" s="18">
        <v>-106.763654</v>
      </c>
      <c r="AP391" s="9" t="s">
        <v>363</v>
      </c>
      <c r="AQ391" s="9" t="s">
        <v>355</v>
      </c>
      <c r="AR391" s="15">
        <v>1973</v>
      </c>
      <c r="AS391" s="19" t="s">
        <v>703</v>
      </c>
      <c r="AT391" s="20" t="s">
        <v>704</v>
      </c>
      <c r="AU391" s="34">
        <v>4317635</v>
      </c>
      <c r="AV391" s="35">
        <f t="shared" si="61"/>
        <v>6.6352459255882987</v>
      </c>
      <c r="AW391" s="36" t="s">
        <v>366</v>
      </c>
      <c r="AX391" s="34">
        <v>0</v>
      </c>
      <c r="AY391" s="34">
        <v>3660</v>
      </c>
      <c r="AZ391" s="15">
        <v>265</v>
      </c>
      <c r="BA391" s="14">
        <f t="shared" si="62"/>
        <v>2.4232458739368079</v>
      </c>
      <c r="BB391" s="36" t="s">
        <v>388</v>
      </c>
      <c r="BC391" s="20">
        <v>1.9757102841136624E-2</v>
      </c>
      <c r="BD391" s="9">
        <v>34.9</v>
      </c>
      <c r="BE391" s="9" t="s">
        <v>368</v>
      </c>
      <c r="BF391" s="9">
        <v>0</v>
      </c>
    </row>
    <row r="392" spans="1:58">
      <c r="A392" s="9">
        <v>565</v>
      </c>
      <c r="B392" s="10" t="s">
        <v>348</v>
      </c>
      <c r="C392" s="10" t="s">
        <v>377</v>
      </c>
      <c r="D392" s="20" t="s">
        <v>378</v>
      </c>
      <c r="E392" s="20" t="s">
        <v>379</v>
      </c>
      <c r="F392" s="10" t="s">
        <v>377</v>
      </c>
      <c r="G392" s="20" t="s">
        <v>378</v>
      </c>
      <c r="H392" s="20" t="s">
        <v>379</v>
      </c>
      <c r="I392" s="10" t="s">
        <v>377</v>
      </c>
      <c r="J392" s="20" t="s">
        <v>378</v>
      </c>
      <c r="K392" s="20" t="s">
        <v>379</v>
      </c>
      <c r="L392" s="9" t="s">
        <v>352</v>
      </c>
      <c r="M392" s="9">
        <v>10</v>
      </c>
      <c r="N392" s="9" t="s">
        <v>381</v>
      </c>
      <c r="O392" s="9" t="s">
        <v>354</v>
      </c>
      <c r="P392" s="12">
        <v>37.262120000000003</v>
      </c>
      <c r="Q392" s="12" t="s">
        <v>355</v>
      </c>
      <c r="R392" s="9" t="s">
        <v>356</v>
      </c>
      <c r="S392" s="13">
        <v>7</v>
      </c>
      <c r="T392" s="13">
        <v>7</v>
      </c>
      <c r="U392" s="14">
        <f t="shared" si="54"/>
        <v>0.90308998699194354</v>
      </c>
      <c r="V392" s="15">
        <v>20</v>
      </c>
      <c r="W392" s="12">
        <v>3.9086881000000062</v>
      </c>
      <c r="X392" s="12">
        <v>0.5</v>
      </c>
      <c r="Y392" s="13" t="s">
        <v>358</v>
      </c>
      <c r="Z392" s="9" t="s">
        <v>417</v>
      </c>
      <c r="AA392" s="10" t="s">
        <v>701</v>
      </c>
      <c r="AB392" s="9" t="s">
        <v>355</v>
      </c>
      <c r="AC392" s="15">
        <v>1036</v>
      </c>
      <c r="AD392" s="14">
        <f t="shared" si="55"/>
        <v>3.0153597554092144</v>
      </c>
      <c r="AE392" s="10" t="s">
        <v>702</v>
      </c>
      <c r="AF392" s="9" t="s">
        <v>420</v>
      </c>
      <c r="AG392" s="18">
        <v>32.319940000000003</v>
      </c>
      <c r="AH392" s="7">
        <f t="shared" si="56"/>
        <v>1</v>
      </c>
      <c r="AI392" s="7">
        <f t="shared" si="57"/>
        <v>1</v>
      </c>
      <c r="AJ392" s="7">
        <f t="shared" si="58"/>
        <v>0</v>
      </c>
      <c r="AK392" s="7">
        <f t="shared" si="59"/>
        <v>0</v>
      </c>
      <c r="AL392" s="7" t="s">
        <v>4157</v>
      </c>
      <c r="AM392" s="18">
        <f t="shared" si="60"/>
        <v>1.5094705458620441</v>
      </c>
      <c r="AN392" s="18">
        <v>32.319940000000003</v>
      </c>
      <c r="AO392" s="18">
        <v>-106.763654</v>
      </c>
      <c r="AP392" s="9" t="s">
        <v>363</v>
      </c>
      <c r="AQ392" s="9" t="s">
        <v>355</v>
      </c>
      <c r="AR392" s="15">
        <v>1973</v>
      </c>
      <c r="AS392" s="19" t="s">
        <v>703</v>
      </c>
      <c r="AT392" s="20" t="s">
        <v>704</v>
      </c>
      <c r="AU392" s="34">
        <v>4317635</v>
      </c>
      <c r="AV392" s="35">
        <f t="shared" si="61"/>
        <v>6.6352459255882987</v>
      </c>
      <c r="AW392" s="36" t="s">
        <v>366</v>
      </c>
      <c r="AX392" s="34">
        <v>0</v>
      </c>
      <c r="AY392" s="34">
        <v>3660</v>
      </c>
      <c r="AZ392" s="15">
        <v>265</v>
      </c>
      <c r="BA392" s="14">
        <f t="shared" si="62"/>
        <v>2.4232458739368079</v>
      </c>
      <c r="BB392" s="36" t="s">
        <v>388</v>
      </c>
      <c r="BC392" s="20">
        <v>1.9757102841136624E-2</v>
      </c>
      <c r="BD392" s="9">
        <v>34.9</v>
      </c>
      <c r="BE392" s="9" t="s">
        <v>368</v>
      </c>
      <c r="BF392" s="9">
        <v>0</v>
      </c>
    </row>
    <row r="393" spans="1:58">
      <c r="A393" s="9">
        <v>564</v>
      </c>
      <c r="B393" s="10" t="s">
        <v>348</v>
      </c>
      <c r="C393" s="10" t="s">
        <v>377</v>
      </c>
      <c r="D393" s="20" t="s">
        <v>378</v>
      </c>
      <c r="E393" s="20" t="s">
        <v>379</v>
      </c>
      <c r="F393" s="10" t="s">
        <v>377</v>
      </c>
      <c r="G393" s="20" t="s">
        <v>378</v>
      </c>
      <c r="H393" s="20" t="s">
        <v>379</v>
      </c>
      <c r="I393" s="10" t="s">
        <v>377</v>
      </c>
      <c r="J393" s="20" t="s">
        <v>378</v>
      </c>
      <c r="K393" s="20" t="s">
        <v>379</v>
      </c>
      <c r="L393" s="9" t="s">
        <v>352</v>
      </c>
      <c r="M393" s="9">
        <v>10</v>
      </c>
      <c r="N393" s="9" t="s">
        <v>381</v>
      </c>
      <c r="O393" s="9" t="s">
        <v>354</v>
      </c>
      <c r="P393" s="12">
        <v>37.517119999999998</v>
      </c>
      <c r="Q393" s="12" t="s">
        <v>355</v>
      </c>
      <c r="R393" s="9" t="s">
        <v>356</v>
      </c>
      <c r="S393" s="13">
        <v>7</v>
      </c>
      <c r="T393" s="13">
        <v>7</v>
      </c>
      <c r="U393" s="14">
        <f t="shared" si="54"/>
        <v>0.90308998699194354</v>
      </c>
      <c r="V393" s="15">
        <v>10</v>
      </c>
      <c r="W393" s="12">
        <v>5.7258781000000027</v>
      </c>
      <c r="X393" s="12">
        <v>0.5</v>
      </c>
      <c r="Y393" s="13" t="s">
        <v>358</v>
      </c>
      <c r="Z393" s="9" t="s">
        <v>417</v>
      </c>
      <c r="AA393" s="10" t="s">
        <v>701</v>
      </c>
      <c r="AB393" s="9" t="s">
        <v>355</v>
      </c>
      <c r="AC393" s="15">
        <v>1036</v>
      </c>
      <c r="AD393" s="14">
        <f t="shared" si="55"/>
        <v>3.0153597554092144</v>
      </c>
      <c r="AE393" s="10" t="s">
        <v>702</v>
      </c>
      <c r="AF393" s="9" t="s">
        <v>420</v>
      </c>
      <c r="AG393" s="18">
        <v>32.319940000000003</v>
      </c>
      <c r="AH393" s="7">
        <f t="shared" si="56"/>
        <v>1</v>
      </c>
      <c r="AI393" s="7">
        <f t="shared" si="57"/>
        <v>1</v>
      </c>
      <c r="AJ393" s="7">
        <f t="shared" si="58"/>
        <v>0</v>
      </c>
      <c r="AK393" s="7">
        <f t="shared" si="59"/>
        <v>0</v>
      </c>
      <c r="AL393" s="7" t="s">
        <v>4157</v>
      </c>
      <c r="AM393" s="18">
        <f t="shared" si="60"/>
        <v>1.5094705458620441</v>
      </c>
      <c r="AN393" s="18">
        <v>32.319940000000003</v>
      </c>
      <c r="AO393" s="18">
        <v>-106.763654</v>
      </c>
      <c r="AP393" s="9" t="s">
        <v>363</v>
      </c>
      <c r="AQ393" s="9" t="s">
        <v>706</v>
      </c>
      <c r="AR393" s="15">
        <v>1973</v>
      </c>
      <c r="AS393" s="19" t="s">
        <v>703</v>
      </c>
      <c r="AT393" s="20" t="s">
        <v>704</v>
      </c>
      <c r="AU393" s="34">
        <v>4317635</v>
      </c>
      <c r="AV393" s="35">
        <f t="shared" si="61"/>
        <v>6.6352459255882987</v>
      </c>
      <c r="AW393" s="36" t="s">
        <v>366</v>
      </c>
      <c r="AX393" s="34">
        <v>0</v>
      </c>
      <c r="AY393" s="34">
        <v>3660</v>
      </c>
      <c r="AZ393" s="15">
        <v>265</v>
      </c>
      <c r="BA393" s="14">
        <f t="shared" si="62"/>
        <v>2.4232458739368079</v>
      </c>
      <c r="BB393" s="36" t="s">
        <v>388</v>
      </c>
      <c r="BC393" s="20">
        <v>1.9757102841136624E-2</v>
      </c>
      <c r="BD393" s="9">
        <v>34.9</v>
      </c>
      <c r="BE393" s="9" t="s">
        <v>368</v>
      </c>
      <c r="BF393" s="9">
        <v>0</v>
      </c>
    </row>
    <row r="394" spans="1:58">
      <c r="A394" s="9">
        <v>563</v>
      </c>
      <c r="B394" s="10" t="s">
        <v>348</v>
      </c>
      <c r="C394" s="10" t="s">
        <v>377</v>
      </c>
      <c r="D394" s="20" t="s">
        <v>378</v>
      </c>
      <c r="E394" s="20" t="s">
        <v>379</v>
      </c>
      <c r="F394" s="10" t="s">
        <v>377</v>
      </c>
      <c r="G394" s="20" t="s">
        <v>378</v>
      </c>
      <c r="H394" s="20" t="s">
        <v>379</v>
      </c>
      <c r="I394" s="10" t="s">
        <v>377</v>
      </c>
      <c r="J394" s="20" t="s">
        <v>378</v>
      </c>
      <c r="K394" s="20" t="s">
        <v>379</v>
      </c>
      <c r="L394" s="9" t="s">
        <v>352</v>
      </c>
      <c r="M394" s="9">
        <v>6</v>
      </c>
      <c r="N394" s="9" t="s">
        <v>353</v>
      </c>
      <c r="O394" s="9" t="s">
        <v>354</v>
      </c>
      <c r="P394" s="12">
        <v>38.364809999999999</v>
      </c>
      <c r="Q394" s="12" t="s">
        <v>355</v>
      </c>
      <c r="R394" s="9" t="s">
        <v>356</v>
      </c>
      <c r="S394" s="13">
        <v>7</v>
      </c>
      <c r="T394" s="13">
        <v>7</v>
      </c>
      <c r="U394" s="14">
        <f t="shared" si="54"/>
        <v>0.90308998699194354</v>
      </c>
      <c r="V394" s="15">
        <v>20</v>
      </c>
      <c r="W394" s="12">
        <v>5.0113781000000017</v>
      </c>
      <c r="X394" s="12">
        <v>0.5</v>
      </c>
      <c r="Y394" s="13" t="s">
        <v>358</v>
      </c>
      <c r="Z394" s="9" t="s">
        <v>417</v>
      </c>
      <c r="AA394" s="10" t="s">
        <v>701</v>
      </c>
      <c r="AB394" s="9" t="s">
        <v>355</v>
      </c>
      <c r="AC394" s="15">
        <v>1036</v>
      </c>
      <c r="AD394" s="14">
        <f t="shared" si="55"/>
        <v>3.0153597554092144</v>
      </c>
      <c r="AE394" s="10" t="s">
        <v>702</v>
      </c>
      <c r="AF394" s="9" t="s">
        <v>420</v>
      </c>
      <c r="AG394" s="18">
        <v>32.319940000000003</v>
      </c>
      <c r="AH394" s="7">
        <f t="shared" si="56"/>
        <v>1</v>
      </c>
      <c r="AI394" s="7">
        <f t="shared" si="57"/>
        <v>1</v>
      </c>
      <c r="AJ394" s="7">
        <f t="shared" si="58"/>
        <v>0</v>
      </c>
      <c r="AK394" s="7">
        <f t="shared" si="59"/>
        <v>0</v>
      </c>
      <c r="AL394" s="7" t="s">
        <v>4157</v>
      </c>
      <c r="AM394" s="18">
        <f t="shared" si="60"/>
        <v>1.5094705458620441</v>
      </c>
      <c r="AN394" s="18">
        <v>32.319940000000003</v>
      </c>
      <c r="AO394" s="18">
        <v>-106.763654</v>
      </c>
      <c r="AP394" s="9" t="s">
        <v>363</v>
      </c>
      <c r="AQ394" s="9" t="s">
        <v>706</v>
      </c>
      <c r="AR394" s="15">
        <v>1973</v>
      </c>
      <c r="AS394" s="19" t="s">
        <v>703</v>
      </c>
      <c r="AT394" s="20" t="s">
        <v>704</v>
      </c>
      <c r="AU394" s="34">
        <v>4317635</v>
      </c>
      <c r="AV394" s="35">
        <f t="shared" si="61"/>
        <v>6.6352459255882987</v>
      </c>
      <c r="AW394" s="36" t="s">
        <v>366</v>
      </c>
      <c r="AX394" s="34">
        <v>0</v>
      </c>
      <c r="AY394" s="34">
        <v>3660</v>
      </c>
      <c r="AZ394" s="15">
        <v>265</v>
      </c>
      <c r="BA394" s="14">
        <f t="shared" si="62"/>
        <v>2.4232458739368079</v>
      </c>
      <c r="BB394" s="36" t="s">
        <v>388</v>
      </c>
      <c r="BC394" s="20">
        <v>1.9757102841136624E-2</v>
      </c>
      <c r="BD394" s="9">
        <v>34.9</v>
      </c>
      <c r="BE394" s="9" t="s">
        <v>368</v>
      </c>
      <c r="BF394" s="9">
        <v>0</v>
      </c>
    </row>
    <row r="395" spans="1:58">
      <c r="A395" s="9">
        <v>572</v>
      </c>
      <c r="B395" s="10" t="s">
        <v>348</v>
      </c>
      <c r="C395" s="10" t="s">
        <v>377</v>
      </c>
      <c r="D395" s="20" t="s">
        <v>378</v>
      </c>
      <c r="E395" s="20" t="s">
        <v>379</v>
      </c>
      <c r="F395" s="10" t="s">
        <v>377</v>
      </c>
      <c r="G395" s="20" t="s">
        <v>378</v>
      </c>
      <c r="H395" s="20" t="s">
        <v>379</v>
      </c>
      <c r="I395" s="10" t="s">
        <v>377</v>
      </c>
      <c r="J395" s="20" t="s">
        <v>378</v>
      </c>
      <c r="K395" s="20" t="s">
        <v>379</v>
      </c>
      <c r="L395" s="9" t="s">
        <v>352</v>
      </c>
      <c r="M395" s="9">
        <v>5</v>
      </c>
      <c r="N395" s="9" t="s">
        <v>353</v>
      </c>
      <c r="O395" s="9" t="s">
        <v>354</v>
      </c>
      <c r="P395" s="12">
        <v>36.47287</v>
      </c>
      <c r="Q395" s="12" t="s">
        <v>355</v>
      </c>
      <c r="R395" s="9" t="s">
        <v>356</v>
      </c>
      <c r="S395" s="13">
        <v>7</v>
      </c>
      <c r="T395" s="13">
        <v>7</v>
      </c>
      <c r="U395" s="14">
        <f t="shared" si="54"/>
        <v>0.90308998699194354</v>
      </c>
      <c r="V395" s="15">
        <v>10</v>
      </c>
      <c r="W395" s="12">
        <v>11.938144699999999</v>
      </c>
      <c r="X395" s="12">
        <v>0.5</v>
      </c>
      <c r="Y395" s="13" t="s">
        <v>358</v>
      </c>
      <c r="Z395" s="9" t="s">
        <v>417</v>
      </c>
      <c r="AA395" s="10" t="s">
        <v>701</v>
      </c>
      <c r="AB395" s="9" t="s">
        <v>355</v>
      </c>
      <c r="AC395" s="15">
        <v>2500</v>
      </c>
      <c r="AD395" s="14">
        <f t="shared" si="55"/>
        <v>3.3979400086720375</v>
      </c>
      <c r="AE395" s="10" t="s">
        <v>705</v>
      </c>
      <c r="AF395" s="9" t="s">
        <v>420</v>
      </c>
      <c r="AG395" s="18">
        <v>33.126475999999997</v>
      </c>
      <c r="AH395" s="7">
        <f t="shared" si="56"/>
        <v>1</v>
      </c>
      <c r="AI395" s="7">
        <f t="shared" si="57"/>
        <v>1</v>
      </c>
      <c r="AJ395" s="7">
        <f t="shared" si="58"/>
        <v>0</v>
      </c>
      <c r="AK395" s="7">
        <f t="shared" si="59"/>
        <v>0</v>
      </c>
      <c r="AL395" s="7" t="s">
        <v>4157</v>
      </c>
      <c r="AM395" s="18">
        <f t="shared" si="60"/>
        <v>1.5201752380203148</v>
      </c>
      <c r="AN395" s="18">
        <v>33.126475999999997</v>
      </c>
      <c r="AO395" s="18">
        <v>-105.751932</v>
      </c>
      <c r="AP395" s="9" t="s">
        <v>363</v>
      </c>
      <c r="AQ395" s="9" t="s">
        <v>706</v>
      </c>
      <c r="AR395" s="15">
        <v>1973</v>
      </c>
      <c r="AS395" s="19" t="s">
        <v>703</v>
      </c>
      <c r="AT395" s="20" t="s">
        <v>704</v>
      </c>
      <c r="AU395" s="34">
        <v>4317635</v>
      </c>
      <c r="AV395" s="35">
        <f t="shared" si="61"/>
        <v>6.6352459255882987</v>
      </c>
      <c r="AW395" s="36" t="s">
        <v>366</v>
      </c>
      <c r="AX395" s="34">
        <v>0</v>
      </c>
      <c r="AY395" s="34">
        <v>3660</v>
      </c>
      <c r="AZ395" s="15">
        <v>265</v>
      </c>
      <c r="BA395" s="14">
        <f t="shared" si="62"/>
        <v>2.4232458739368079</v>
      </c>
      <c r="BB395" s="36" t="s">
        <v>388</v>
      </c>
      <c r="BC395" s="20">
        <v>1.9455382152861241E-2</v>
      </c>
      <c r="BD395" s="9">
        <v>26.3</v>
      </c>
      <c r="BE395" s="9" t="s">
        <v>368</v>
      </c>
      <c r="BF395" s="9">
        <v>0</v>
      </c>
    </row>
    <row r="396" spans="1:58">
      <c r="A396" s="9">
        <v>573</v>
      </c>
      <c r="B396" s="10" t="s">
        <v>348</v>
      </c>
      <c r="C396" s="10" t="s">
        <v>377</v>
      </c>
      <c r="D396" s="20" t="s">
        <v>378</v>
      </c>
      <c r="E396" s="20" t="s">
        <v>379</v>
      </c>
      <c r="F396" s="10" t="s">
        <v>377</v>
      </c>
      <c r="G396" s="20" t="s">
        <v>378</v>
      </c>
      <c r="H396" s="20" t="s">
        <v>379</v>
      </c>
      <c r="I396" s="10" t="s">
        <v>377</v>
      </c>
      <c r="J396" s="20" t="s">
        <v>378</v>
      </c>
      <c r="K396" s="20" t="s">
        <v>379</v>
      </c>
      <c r="L396" s="9" t="s">
        <v>352</v>
      </c>
      <c r="M396" s="9">
        <v>8</v>
      </c>
      <c r="N396" s="9" t="s">
        <v>353</v>
      </c>
      <c r="O396" s="9" t="s">
        <v>354</v>
      </c>
      <c r="P396" s="12">
        <v>37.476390000000002</v>
      </c>
      <c r="Q396" s="12" t="s">
        <v>355</v>
      </c>
      <c r="R396" s="9" t="s">
        <v>356</v>
      </c>
      <c r="S396" s="13">
        <v>7</v>
      </c>
      <c r="T396" s="13">
        <v>7</v>
      </c>
      <c r="U396" s="14">
        <f t="shared" si="54"/>
        <v>0.90308998699194354</v>
      </c>
      <c r="V396" s="15">
        <v>20</v>
      </c>
      <c r="W396" s="12">
        <v>11.379474699999999</v>
      </c>
      <c r="X396" s="12">
        <v>0.5</v>
      </c>
      <c r="Y396" s="13" t="s">
        <v>358</v>
      </c>
      <c r="Z396" s="9" t="s">
        <v>417</v>
      </c>
      <c r="AA396" s="10" t="s">
        <v>701</v>
      </c>
      <c r="AB396" s="9" t="s">
        <v>355</v>
      </c>
      <c r="AC396" s="15">
        <v>2500</v>
      </c>
      <c r="AD396" s="14">
        <f t="shared" si="55"/>
        <v>3.3979400086720375</v>
      </c>
      <c r="AE396" s="10" t="s">
        <v>705</v>
      </c>
      <c r="AF396" s="9" t="s">
        <v>420</v>
      </c>
      <c r="AG396" s="18">
        <v>33.126475999999997</v>
      </c>
      <c r="AH396" s="7">
        <f t="shared" si="56"/>
        <v>1</v>
      </c>
      <c r="AI396" s="7">
        <f t="shared" si="57"/>
        <v>1</v>
      </c>
      <c r="AJ396" s="7">
        <f t="shared" si="58"/>
        <v>0</v>
      </c>
      <c r="AK396" s="7">
        <f t="shared" si="59"/>
        <v>0</v>
      </c>
      <c r="AL396" s="7" t="s">
        <v>4157</v>
      </c>
      <c r="AM396" s="18">
        <f t="shared" si="60"/>
        <v>1.5201752380203148</v>
      </c>
      <c r="AN396" s="18">
        <v>33.126475999999997</v>
      </c>
      <c r="AO396" s="18">
        <v>-105.751932</v>
      </c>
      <c r="AP396" s="9" t="s">
        <v>363</v>
      </c>
      <c r="AQ396" s="9" t="s">
        <v>706</v>
      </c>
      <c r="AR396" s="15">
        <v>1973</v>
      </c>
      <c r="AS396" s="19" t="s">
        <v>703</v>
      </c>
      <c r="AT396" s="20" t="s">
        <v>704</v>
      </c>
      <c r="AU396" s="34">
        <v>4317635</v>
      </c>
      <c r="AV396" s="35">
        <f t="shared" si="61"/>
        <v>6.6352459255882987</v>
      </c>
      <c r="AW396" s="36" t="s">
        <v>366</v>
      </c>
      <c r="AX396" s="34">
        <v>0</v>
      </c>
      <c r="AY396" s="34">
        <v>3660</v>
      </c>
      <c r="AZ396" s="15">
        <v>265</v>
      </c>
      <c r="BA396" s="14">
        <f t="shared" si="62"/>
        <v>2.4232458739368079</v>
      </c>
      <c r="BB396" s="36" t="s">
        <v>388</v>
      </c>
      <c r="BC396" s="20">
        <v>1.9455382152861241E-2</v>
      </c>
      <c r="BD396" s="9">
        <v>26.3</v>
      </c>
      <c r="BE396" s="9" t="s">
        <v>368</v>
      </c>
      <c r="BF396" s="9">
        <v>0</v>
      </c>
    </row>
    <row r="397" spans="1:58">
      <c r="A397" s="9">
        <v>499</v>
      </c>
      <c r="B397" s="10" t="s">
        <v>76</v>
      </c>
      <c r="C397" s="10" t="s">
        <v>389</v>
      </c>
      <c r="D397" s="20" t="s">
        <v>390</v>
      </c>
      <c r="E397" s="20" t="s">
        <v>435</v>
      </c>
      <c r="F397" s="10" t="s">
        <v>389</v>
      </c>
      <c r="G397" s="20" t="s">
        <v>390</v>
      </c>
      <c r="H397" s="20" t="s">
        <v>435</v>
      </c>
      <c r="I397" s="10" t="s">
        <v>389</v>
      </c>
      <c r="J397" s="20" t="s">
        <v>392</v>
      </c>
      <c r="K397" s="20" t="s">
        <v>435</v>
      </c>
      <c r="L397" s="9" t="s">
        <v>352</v>
      </c>
      <c r="M397" s="9">
        <v>10</v>
      </c>
      <c r="N397" s="9" t="s">
        <v>381</v>
      </c>
      <c r="O397" s="9" t="s">
        <v>354</v>
      </c>
      <c r="P397" s="12">
        <v>39.998930000000001</v>
      </c>
      <c r="Q397" s="12" t="s">
        <v>355</v>
      </c>
      <c r="R397" s="9" t="s">
        <v>356</v>
      </c>
      <c r="S397" s="13">
        <v>7</v>
      </c>
      <c r="T397" s="13">
        <v>7</v>
      </c>
      <c r="U397" s="14">
        <f t="shared" si="54"/>
        <v>0.90308998699194354</v>
      </c>
      <c r="V397" s="15">
        <v>20</v>
      </c>
      <c r="W397" s="12">
        <v>9.0924630000000022</v>
      </c>
      <c r="X397" s="12">
        <v>0.7</v>
      </c>
      <c r="Y397" s="13" t="s">
        <v>358</v>
      </c>
      <c r="Z397" s="9" t="s">
        <v>417</v>
      </c>
      <c r="AA397" s="10" t="s">
        <v>418</v>
      </c>
      <c r="AB397" s="9" t="s">
        <v>355</v>
      </c>
      <c r="AC397" s="15">
        <v>213</v>
      </c>
      <c r="AD397" s="14">
        <f t="shared" si="55"/>
        <v>2.3283796034387376</v>
      </c>
      <c r="AE397" s="10" t="s">
        <v>437</v>
      </c>
      <c r="AF397" s="9" t="s">
        <v>420</v>
      </c>
      <c r="AG397" s="18">
        <v>34.683438000000002</v>
      </c>
      <c r="AH397" s="7">
        <f t="shared" si="56"/>
        <v>1</v>
      </c>
      <c r="AI397" s="7">
        <f t="shared" si="57"/>
        <v>1</v>
      </c>
      <c r="AJ397" s="7">
        <f t="shared" si="58"/>
        <v>0</v>
      </c>
      <c r="AK397" s="7">
        <f t="shared" si="59"/>
        <v>0</v>
      </c>
      <c r="AL397" s="7" t="s">
        <v>4157</v>
      </c>
      <c r="AM397" s="18">
        <f t="shared" si="60"/>
        <v>1.5401221404311698</v>
      </c>
      <c r="AN397" s="18">
        <v>34.683438000000002</v>
      </c>
      <c r="AO397" s="18">
        <v>-82.837365000000005</v>
      </c>
      <c r="AP397" s="9" t="s">
        <v>363</v>
      </c>
      <c r="AQ397" s="9" t="s">
        <v>355</v>
      </c>
      <c r="AR397" s="15">
        <v>1980</v>
      </c>
      <c r="AS397" s="19" t="s">
        <v>439</v>
      </c>
      <c r="AT397" s="20" t="s">
        <v>440</v>
      </c>
      <c r="AU397" s="40">
        <v>5638611</v>
      </c>
      <c r="AV397" s="35">
        <f t="shared" si="61"/>
        <v>6.7511721342441762</v>
      </c>
      <c r="AW397" s="37" t="s">
        <v>366</v>
      </c>
      <c r="AX397" s="34" t="s">
        <v>355</v>
      </c>
      <c r="AY397" s="40" t="s">
        <v>355</v>
      </c>
      <c r="AZ397" s="15">
        <v>113</v>
      </c>
      <c r="BA397" s="14">
        <f t="shared" si="62"/>
        <v>2.0530784434834195</v>
      </c>
      <c r="BB397" s="37" t="s">
        <v>367</v>
      </c>
      <c r="BC397" s="20">
        <v>1.137454981992851E-2</v>
      </c>
      <c r="BD397" s="9">
        <v>32</v>
      </c>
      <c r="BE397" s="9" t="s">
        <v>368</v>
      </c>
      <c r="BF397" s="9">
        <v>0</v>
      </c>
    </row>
    <row r="398" spans="1:58">
      <c r="A398" s="9">
        <v>514</v>
      </c>
      <c r="B398" s="10" t="s">
        <v>76</v>
      </c>
      <c r="C398" s="10" t="s">
        <v>389</v>
      </c>
      <c r="D398" s="20" t="s">
        <v>390</v>
      </c>
      <c r="E398" s="20" t="s">
        <v>447</v>
      </c>
      <c r="F398" s="10" t="s">
        <v>389</v>
      </c>
      <c r="G398" s="20" t="s">
        <v>390</v>
      </c>
      <c r="H398" s="20" t="s">
        <v>447</v>
      </c>
      <c r="I398" s="10" t="s">
        <v>389</v>
      </c>
      <c r="J398" s="20" t="s">
        <v>392</v>
      </c>
      <c r="K398" s="20" t="s">
        <v>447</v>
      </c>
      <c r="L398" s="9" t="s">
        <v>352</v>
      </c>
      <c r="M398" s="9">
        <v>10</v>
      </c>
      <c r="N398" s="9" t="s">
        <v>381</v>
      </c>
      <c r="O398" s="9" t="s">
        <v>354</v>
      </c>
      <c r="P398" s="12">
        <v>40.120539999999998</v>
      </c>
      <c r="Q398" s="12" t="s">
        <v>355</v>
      </c>
      <c r="R398" s="9" t="s">
        <v>356</v>
      </c>
      <c r="S398" s="13">
        <v>7</v>
      </c>
      <c r="T398" s="13">
        <v>7</v>
      </c>
      <c r="U398" s="14">
        <f t="shared" si="54"/>
        <v>0.90308998699194354</v>
      </c>
      <c r="V398" s="15">
        <v>10</v>
      </c>
      <c r="W398" s="12">
        <v>10.776263</v>
      </c>
      <c r="X398" s="12">
        <v>0.7</v>
      </c>
      <c r="Y398" s="13" t="s">
        <v>358</v>
      </c>
      <c r="Z398" s="9" t="s">
        <v>417</v>
      </c>
      <c r="AA398" s="10" t="s">
        <v>418</v>
      </c>
      <c r="AB398" s="9" t="s">
        <v>355</v>
      </c>
      <c r="AC398" s="15">
        <v>213</v>
      </c>
      <c r="AD398" s="14">
        <f t="shared" si="55"/>
        <v>2.3283796034387376</v>
      </c>
      <c r="AE398" s="10" t="s">
        <v>437</v>
      </c>
      <c r="AF398" s="9" t="s">
        <v>420</v>
      </c>
      <c r="AG398" s="18">
        <v>34.683438000000002</v>
      </c>
      <c r="AH398" s="7">
        <f t="shared" si="56"/>
        <v>1</v>
      </c>
      <c r="AI398" s="7">
        <f t="shared" si="57"/>
        <v>1</v>
      </c>
      <c r="AJ398" s="7">
        <f t="shared" si="58"/>
        <v>0</v>
      </c>
      <c r="AK398" s="7">
        <f t="shared" si="59"/>
        <v>0</v>
      </c>
      <c r="AL398" s="7" t="s">
        <v>4157</v>
      </c>
      <c r="AM398" s="18">
        <f t="shared" si="60"/>
        <v>1.5401221404311698</v>
      </c>
      <c r="AN398" s="18">
        <v>34.683438000000002</v>
      </c>
      <c r="AO398" s="18">
        <v>-82.837365000000005</v>
      </c>
      <c r="AP398" s="9" t="s">
        <v>363</v>
      </c>
      <c r="AQ398" s="9" t="s">
        <v>355</v>
      </c>
      <c r="AR398" s="15">
        <v>1980</v>
      </c>
      <c r="AS398" s="19" t="s">
        <v>439</v>
      </c>
      <c r="AT398" s="20" t="s">
        <v>440</v>
      </c>
      <c r="AU398" s="40">
        <v>3240610</v>
      </c>
      <c r="AV398" s="35">
        <f t="shared" si="61"/>
        <v>6.5106267678296579</v>
      </c>
      <c r="AW398" s="41" t="s">
        <v>366</v>
      </c>
      <c r="AX398" s="34" t="s">
        <v>355</v>
      </c>
      <c r="AY398" s="40" t="s">
        <v>355</v>
      </c>
      <c r="AZ398" s="15">
        <v>87</v>
      </c>
      <c r="BA398" s="14">
        <f t="shared" si="62"/>
        <v>1.9395192526186185</v>
      </c>
      <c r="BB398" s="37" t="s">
        <v>367</v>
      </c>
      <c r="BC398" s="20">
        <v>1.137454981992851E-2</v>
      </c>
      <c r="BD398" s="9">
        <v>32</v>
      </c>
      <c r="BE398" s="9" t="s">
        <v>368</v>
      </c>
      <c r="BF398" s="9">
        <v>0</v>
      </c>
    </row>
    <row r="399" spans="1:58">
      <c r="A399" s="9">
        <v>528</v>
      </c>
      <c r="B399" s="10" t="s">
        <v>76</v>
      </c>
      <c r="C399" s="10" t="s">
        <v>389</v>
      </c>
      <c r="D399" s="20" t="s">
        <v>390</v>
      </c>
      <c r="E399" s="20" t="s">
        <v>447</v>
      </c>
      <c r="F399" s="10" t="s">
        <v>389</v>
      </c>
      <c r="G399" s="20" t="s">
        <v>390</v>
      </c>
      <c r="H399" s="20" t="s">
        <v>447</v>
      </c>
      <c r="I399" s="10" t="s">
        <v>389</v>
      </c>
      <c r="J399" s="20" t="s">
        <v>392</v>
      </c>
      <c r="K399" s="20" t="s">
        <v>447</v>
      </c>
      <c r="L399" s="9" t="s">
        <v>352</v>
      </c>
      <c r="M399" s="9">
        <v>10</v>
      </c>
      <c r="N399" s="9" t="s">
        <v>381</v>
      </c>
      <c r="O399" s="9" t="s">
        <v>354</v>
      </c>
      <c r="P399" s="12">
        <v>40.566090000000003</v>
      </c>
      <c r="Q399" s="12" t="s">
        <v>355</v>
      </c>
      <c r="R399" s="9" t="s">
        <v>356</v>
      </c>
      <c r="S399" s="13">
        <v>7</v>
      </c>
      <c r="T399" s="13">
        <v>7</v>
      </c>
      <c r="U399" s="14">
        <f t="shared" si="54"/>
        <v>0.90308998699194354</v>
      </c>
      <c r="V399" s="15">
        <v>20</v>
      </c>
      <c r="W399" s="12">
        <v>9.6596230000000034</v>
      </c>
      <c r="X399" s="12">
        <v>0.7</v>
      </c>
      <c r="Y399" s="13" t="s">
        <v>358</v>
      </c>
      <c r="Z399" s="9" t="s">
        <v>417</v>
      </c>
      <c r="AA399" s="10" t="s">
        <v>418</v>
      </c>
      <c r="AB399" s="9" t="s">
        <v>355</v>
      </c>
      <c r="AC399" s="15">
        <v>213</v>
      </c>
      <c r="AD399" s="14">
        <f t="shared" si="55"/>
        <v>2.3283796034387376</v>
      </c>
      <c r="AE399" s="10" t="s">
        <v>437</v>
      </c>
      <c r="AF399" s="9" t="s">
        <v>420</v>
      </c>
      <c r="AG399" s="18">
        <v>34.683438000000002</v>
      </c>
      <c r="AH399" s="7">
        <f t="shared" si="56"/>
        <v>1</v>
      </c>
      <c r="AI399" s="7">
        <f t="shared" si="57"/>
        <v>1</v>
      </c>
      <c r="AJ399" s="7">
        <f t="shared" si="58"/>
        <v>0</v>
      </c>
      <c r="AK399" s="7">
        <f t="shared" si="59"/>
        <v>0</v>
      </c>
      <c r="AL399" s="7" t="s">
        <v>4157</v>
      </c>
      <c r="AM399" s="18">
        <f t="shared" si="60"/>
        <v>1.5401221404311698</v>
      </c>
      <c r="AN399" s="18">
        <v>34.683438000000002</v>
      </c>
      <c r="AO399" s="18">
        <v>-82.837365000000005</v>
      </c>
      <c r="AP399" s="9" t="s">
        <v>363</v>
      </c>
      <c r="AQ399" s="9" t="s">
        <v>355</v>
      </c>
      <c r="AR399" s="15">
        <v>1980</v>
      </c>
      <c r="AS399" s="19" t="s">
        <v>439</v>
      </c>
      <c r="AT399" s="20" t="s">
        <v>440</v>
      </c>
      <c r="AU399" s="40">
        <v>3240610</v>
      </c>
      <c r="AV399" s="35">
        <f t="shared" si="61"/>
        <v>6.5106267678296579</v>
      </c>
      <c r="AW399" s="41" t="s">
        <v>366</v>
      </c>
      <c r="AX399" s="34" t="s">
        <v>355</v>
      </c>
      <c r="AY399" s="40" t="s">
        <v>355</v>
      </c>
      <c r="AZ399" s="15">
        <v>87</v>
      </c>
      <c r="BA399" s="14">
        <f t="shared" si="62"/>
        <v>1.9395192526186185</v>
      </c>
      <c r="BB399" s="37" t="s">
        <v>367</v>
      </c>
      <c r="BC399" s="20">
        <v>1.137454981992851E-2</v>
      </c>
      <c r="BD399" s="9">
        <v>32</v>
      </c>
      <c r="BE399" s="9" t="s">
        <v>368</v>
      </c>
      <c r="BF399" s="9">
        <v>0</v>
      </c>
    </row>
    <row r="400" spans="1:58">
      <c r="A400" s="9">
        <v>179</v>
      </c>
      <c r="B400" s="10" t="s">
        <v>348</v>
      </c>
      <c r="C400" s="10" t="s">
        <v>349</v>
      </c>
      <c r="D400" s="20" t="s">
        <v>707</v>
      </c>
      <c r="E400" s="20" t="s">
        <v>708</v>
      </c>
      <c r="F400" s="10" t="s">
        <v>349</v>
      </c>
      <c r="G400" s="20" t="s">
        <v>707</v>
      </c>
      <c r="H400" s="20" t="s">
        <v>708</v>
      </c>
      <c r="I400" s="10" t="s">
        <v>349</v>
      </c>
      <c r="J400" s="20" t="s">
        <v>707</v>
      </c>
      <c r="K400" s="20" t="s">
        <v>708</v>
      </c>
      <c r="L400" s="9" t="s">
        <v>352</v>
      </c>
      <c r="M400" s="9">
        <v>6</v>
      </c>
      <c r="N400" s="9" t="s">
        <v>353</v>
      </c>
      <c r="O400" s="9" t="s">
        <v>354</v>
      </c>
      <c r="P400" s="12">
        <v>31.4</v>
      </c>
      <c r="Q400" s="12" t="s">
        <v>355</v>
      </c>
      <c r="R400" s="9" t="s">
        <v>356</v>
      </c>
      <c r="S400" s="13">
        <v>7</v>
      </c>
      <c r="T400" s="13">
        <v>7</v>
      </c>
      <c r="U400" s="14">
        <f t="shared" si="54"/>
        <v>0.90308998699194354</v>
      </c>
      <c r="V400" s="15">
        <v>13.5</v>
      </c>
      <c r="W400" s="12">
        <v>7.0779110999999979</v>
      </c>
      <c r="X400" s="12" t="s">
        <v>355</v>
      </c>
      <c r="Y400" s="13" t="s">
        <v>355</v>
      </c>
      <c r="Z400" s="9" t="s">
        <v>359</v>
      </c>
      <c r="AA400" s="10" t="s">
        <v>372</v>
      </c>
      <c r="AB400" s="9" t="s">
        <v>355</v>
      </c>
      <c r="AC400" s="43">
        <v>1411</v>
      </c>
      <c r="AD400" s="14">
        <f t="shared" si="55"/>
        <v>3.1495270137543478</v>
      </c>
      <c r="AE400" s="10" t="s">
        <v>355</v>
      </c>
      <c r="AF400" s="44" t="s">
        <v>362</v>
      </c>
      <c r="AG400" s="18">
        <v>41.966419000000002</v>
      </c>
      <c r="AH400" s="7">
        <f t="shared" si="56"/>
        <v>1</v>
      </c>
      <c r="AI400" s="7">
        <f t="shared" si="57"/>
        <v>1</v>
      </c>
      <c r="AJ400" s="7">
        <f t="shared" si="58"/>
        <v>0</v>
      </c>
      <c r="AK400" s="7">
        <f t="shared" si="59"/>
        <v>0</v>
      </c>
      <c r="AL400" s="7" t="s">
        <v>4157</v>
      </c>
      <c r="AM400" s="18">
        <f t="shared" si="60"/>
        <v>1.6229019123877855</v>
      </c>
      <c r="AN400" s="45">
        <v>41.966419000000002</v>
      </c>
      <c r="AO400" s="45">
        <v>-123.00018299999999</v>
      </c>
      <c r="AP400" s="9" t="s">
        <v>363</v>
      </c>
      <c r="AQ400" s="9" t="s">
        <v>403</v>
      </c>
      <c r="AR400" s="15">
        <v>1963</v>
      </c>
      <c r="AS400" s="19" t="s">
        <v>709</v>
      </c>
      <c r="AT400" s="20" t="s">
        <v>710</v>
      </c>
      <c r="AU400" s="34">
        <v>120118</v>
      </c>
      <c r="AV400" s="35">
        <f t="shared" si="61"/>
        <v>5.0796080924563896</v>
      </c>
      <c r="AW400" s="36" t="s">
        <v>366</v>
      </c>
      <c r="AX400" s="34" t="s">
        <v>355</v>
      </c>
      <c r="AY400" s="34">
        <v>1650</v>
      </c>
      <c r="AZ400" s="15">
        <v>78</v>
      </c>
      <c r="BA400" s="14">
        <f t="shared" si="62"/>
        <v>1.8920946026904804</v>
      </c>
      <c r="BB400" s="36" t="s">
        <v>367</v>
      </c>
      <c r="BC400" s="20">
        <v>2.942376950780365E-3</v>
      </c>
      <c r="BD400" s="9">
        <v>25.400000000000002</v>
      </c>
      <c r="BE400" s="9" t="s">
        <v>459</v>
      </c>
      <c r="BF400" s="9">
        <v>1</v>
      </c>
    </row>
    <row r="401" spans="1:58">
      <c r="A401" s="9">
        <v>125</v>
      </c>
      <c r="B401" s="10" t="s">
        <v>76</v>
      </c>
      <c r="C401" s="10" t="s">
        <v>711</v>
      </c>
      <c r="D401" s="20" t="s">
        <v>712</v>
      </c>
      <c r="E401" s="20" t="s">
        <v>713</v>
      </c>
      <c r="F401" s="10" t="s">
        <v>711</v>
      </c>
      <c r="G401" s="20" t="s">
        <v>712</v>
      </c>
      <c r="H401" s="20" t="s">
        <v>713</v>
      </c>
      <c r="I401" s="10" t="s">
        <v>711</v>
      </c>
      <c r="J401" s="20" t="s">
        <v>712</v>
      </c>
      <c r="K401" s="20" t="s">
        <v>713</v>
      </c>
      <c r="L401" s="9" t="s">
        <v>352</v>
      </c>
      <c r="M401" s="9">
        <v>8</v>
      </c>
      <c r="N401" s="9" t="s">
        <v>353</v>
      </c>
      <c r="O401" s="9" t="s">
        <v>354</v>
      </c>
      <c r="P401" s="12">
        <v>27.5</v>
      </c>
      <c r="Q401" s="12" t="s">
        <v>355</v>
      </c>
      <c r="R401" s="9" t="s">
        <v>356</v>
      </c>
      <c r="S401" s="13" t="s">
        <v>684</v>
      </c>
      <c r="T401" s="13" t="s">
        <v>684</v>
      </c>
      <c r="U401" s="14">
        <f t="shared" si="54"/>
        <v>0.90308998699194354</v>
      </c>
      <c r="V401" s="15">
        <v>0</v>
      </c>
      <c r="W401" s="12">
        <v>4.2743304000000002</v>
      </c>
      <c r="X401" s="12">
        <v>1</v>
      </c>
      <c r="Y401" s="13" t="s">
        <v>355</v>
      </c>
      <c r="Z401" s="9" t="s">
        <v>359</v>
      </c>
      <c r="AA401" s="10" t="s">
        <v>372</v>
      </c>
      <c r="AB401" s="9" t="s">
        <v>355</v>
      </c>
      <c r="AC401" s="15">
        <v>1524</v>
      </c>
      <c r="AD401" s="14">
        <f t="shared" si="55"/>
        <v>3.1829849670035819</v>
      </c>
      <c r="AE401" s="10" t="s">
        <v>714</v>
      </c>
      <c r="AF401" s="9" t="s">
        <v>362</v>
      </c>
      <c r="AG401" s="18">
        <v>46.989271000000002</v>
      </c>
      <c r="AH401" s="7">
        <f t="shared" si="56"/>
        <v>1</v>
      </c>
      <c r="AI401" s="7">
        <f t="shared" si="57"/>
        <v>1</v>
      </c>
      <c r="AJ401" s="7">
        <f t="shared" si="58"/>
        <v>1</v>
      </c>
      <c r="AK401" s="7">
        <f t="shared" si="59"/>
        <v>0</v>
      </c>
      <c r="AL401" s="7" t="s">
        <v>4158</v>
      </c>
      <c r="AM401" s="18">
        <f t="shared" si="60"/>
        <v>1.6719987073525284</v>
      </c>
      <c r="AN401" s="18">
        <v>46.989271000000002</v>
      </c>
      <c r="AO401" s="18">
        <v>-114.014557</v>
      </c>
      <c r="AP401" s="9" t="s">
        <v>363</v>
      </c>
      <c r="AQ401" s="9" t="s">
        <v>355</v>
      </c>
      <c r="AR401" s="15">
        <v>1973</v>
      </c>
      <c r="AS401" s="19" t="s">
        <v>505</v>
      </c>
      <c r="AT401" s="20" t="s">
        <v>506</v>
      </c>
      <c r="AU401" s="40">
        <v>303453</v>
      </c>
      <c r="AV401" s="35">
        <f t="shared" si="61"/>
        <v>5.4820914353740404</v>
      </c>
      <c r="AW401" s="37" t="s">
        <v>366</v>
      </c>
      <c r="AX401" s="40">
        <v>0</v>
      </c>
      <c r="AY401" s="40">
        <v>2500</v>
      </c>
      <c r="AZ401" s="15">
        <v>33</v>
      </c>
      <c r="BA401" s="14">
        <f t="shared" si="62"/>
        <v>1.5185139398778875</v>
      </c>
      <c r="BB401" s="37" t="s">
        <v>388</v>
      </c>
      <c r="BC401" s="20">
        <v>2.3495798319327809E-2</v>
      </c>
      <c r="BD401" s="9">
        <v>26.6</v>
      </c>
      <c r="BE401" s="9" t="s">
        <v>368</v>
      </c>
      <c r="BF401" s="9">
        <v>0</v>
      </c>
    </row>
    <row r="402" spans="1:58">
      <c r="A402" s="9">
        <v>127</v>
      </c>
      <c r="B402" s="10" t="s">
        <v>76</v>
      </c>
      <c r="C402" s="10" t="s">
        <v>711</v>
      </c>
      <c r="D402" s="20" t="s">
        <v>712</v>
      </c>
      <c r="E402" s="20" t="s">
        <v>713</v>
      </c>
      <c r="F402" s="10" t="s">
        <v>711</v>
      </c>
      <c r="G402" s="20" t="s">
        <v>712</v>
      </c>
      <c r="H402" s="20" t="s">
        <v>713</v>
      </c>
      <c r="I402" s="10" t="s">
        <v>711</v>
      </c>
      <c r="J402" s="20" t="s">
        <v>712</v>
      </c>
      <c r="K402" s="20" t="s">
        <v>713</v>
      </c>
      <c r="L402" s="9" t="s">
        <v>352</v>
      </c>
      <c r="M402" s="9">
        <v>6</v>
      </c>
      <c r="N402" s="9" t="s">
        <v>353</v>
      </c>
      <c r="O402" s="9" t="s">
        <v>354</v>
      </c>
      <c r="P402" s="12">
        <v>29.5</v>
      </c>
      <c r="Q402" s="12" t="s">
        <v>355</v>
      </c>
      <c r="R402" s="9" t="s">
        <v>356</v>
      </c>
      <c r="S402" s="13" t="s">
        <v>684</v>
      </c>
      <c r="T402" s="13" t="s">
        <v>684</v>
      </c>
      <c r="U402" s="14">
        <f t="shared" si="54"/>
        <v>0.90308998699194354</v>
      </c>
      <c r="V402" s="15">
        <v>20</v>
      </c>
      <c r="W402" s="12">
        <v>3.149950399999998</v>
      </c>
      <c r="X402" s="12">
        <v>1</v>
      </c>
      <c r="Y402" s="13" t="s">
        <v>355</v>
      </c>
      <c r="Z402" s="9" t="s">
        <v>359</v>
      </c>
      <c r="AA402" s="10" t="s">
        <v>372</v>
      </c>
      <c r="AB402" s="9" t="s">
        <v>355</v>
      </c>
      <c r="AC402" s="15">
        <v>1524</v>
      </c>
      <c r="AD402" s="14">
        <f t="shared" si="55"/>
        <v>3.1829849670035819</v>
      </c>
      <c r="AE402" s="10" t="s">
        <v>714</v>
      </c>
      <c r="AF402" s="9" t="s">
        <v>362</v>
      </c>
      <c r="AG402" s="18">
        <v>46.989271000000002</v>
      </c>
      <c r="AH402" s="7">
        <f t="shared" si="56"/>
        <v>1</v>
      </c>
      <c r="AI402" s="7">
        <f t="shared" si="57"/>
        <v>1</v>
      </c>
      <c r="AJ402" s="7">
        <f t="shared" si="58"/>
        <v>1</v>
      </c>
      <c r="AK402" s="7">
        <f t="shared" si="59"/>
        <v>0</v>
      </c>
      <c r="AL402" s="7" t="s">
        <v>4158</v>
      </c>
      <c r="AM402" s="18">
        <f t="shared" si="60"/>
        <v>1.6719987073525284</v>
      </c>
      <c r="AN402" s="18">
        <v>46.989271000000002</v>
      </c>
      <c r="AO402" s="18">
        <v>-114.014557</v>
      </c>
      <c r="AP402" s="9" t="s">
        <v>363</v>
      </c>
      <c r="AQ402" s="9" t="s">
        <v>355</v>
      </c>
      <c r="AR402" s="15">
        <v>1973</v>
      </c>
      <c r="AS402" s="19" t="s">
        <v>505</v>
      </c>
      <c r="AT402" s="20" t="s">
        <v>506</v>
      </c>
      <c r="AU402" s="40">
        <v>303453</v>
      </c>
      <c r="AV402" s="35">
        <f t="shared" si="61"/>
        <v>5.4820914353740404</v>
      </c>
      <c r="AW402" s="37" t="s">
        <v>366</v>
      </c>
      <c r="AX402" s="40">
        <v>0</v>
      </c>
      <c r="AY402" s="40">
        <v>2500</v>
      </c>
      <c r="AZ402" s="15">
        <v>33</v>
      </c>
      <c r="BA402" s="14">
        <f t="shared" si="62"/>
        <v>1.5185139398778875</v>
      </c>
      <c r="BB402" s="37" t="s">
        <v>388</v>
      </c>
      <c r="BC402" s="20">
        <v>2.3495798319327809E-2</v>
      </c>
      <c r="BD402" s="9">
        <v>26.6</v>
      </c>
      <c r="BE402" s="9" t="s">
        <v>368</v>
      </c>
      <c r="BF402" s="9">
        <v>0</v>
      </c>
    </row>
    <row r="403" spans="1:58">
      <c r="A403" s="9">
        <v>126</v>
      </c>
      <c r="B403" s="10" t="s">
        <v>76</v>
      </c>
      <c r="C403" s="10" t="s">
        <v>711</v>
      </c>
      <c r="D403" s="20" t="s">
        <v>712</v>
      </c>
      <c r="E403" s="20" t="s">
        <v>713</v>
      </c>
      <c r="F403" s="10" t="s">
        <v>711</v>
      </c>
      <c r="G403" s="20" t="s">
        <v>712</v>
      </c>
      <c r="H403" s="20" t="s">
        <v>713</v>
      </c>
      <c r="I403" s="10" t="s">
        <v>711</v>
      </c>
      <c r="J403" s="20" t="s">
        <v>712</v>
      </c>
      <c r="K403" s="20" t="s">
        <v>713</v>
      </c>
      <c r="L403" s="9" t="s">
        <v>352</v>
      </c>
      <c r="M403" s="9">
        <v>8</v>
      </c>
      <c r="N403" s="9" t="s">
        <v>353</v>
      </c>
      <c r="O403" s="9" t="s">
        <v>354</v>
      </c>
      <c r="P403" s="12">
        <v>29.6</v>
      </c>
      <c r="Q403" s="12" t="s">
        <v>355</v>
      </c>
      <c r="R403" s="9" t="s">
        <v>356</v>
      </c>
      <c r="S403" s="13" t="s">
        <v>684</v>
      </c>
      <c r="T403" s="13" t="s">
        <v>684</v>
      </c>
      <c r="U403" s="14">
        <f t="shared" si="54"/>
        <v>0.90308998699194354</v>
      </c>
      <c r="V403" s="15">
        <v>10</v>
      </c>
      <c r="W403" s="12">
        <v>4.8121404000000005</v>
      </c>
      <c r="X403" s="12">
        <v>1</v>
      </c>
      <c r="Y403" s="13" t="s">
        <v>355</v>
      </c>
      <c r="Z403" s="9" t="s">
        <v>359</v>
      </c>
      <c r="AA403" s="10" t="s">
        <v>372</v>
      </c>
      <c r="AB403" s="9" t="s">
        <v>355</v>
      </c>
      <c r="AC403" s="15">
        <v>1524</v>
      </c>
      <c r="AD403" s="14">
        <f t="shared" si="55"/>
        <v>3.1829849670035819</v>
      </c>
      <c r="AE403" s="10" t="s">
        <v>714</v>
      </c>
      <c r="AF403" s="9" t="s">
        <v>362</v>
      </c>
      <c r="AG403" s="18">
        <v>46.989271000000002</v>
      </c>
      <c r="AH403" s="7">
        <f t="shared" si="56"/>
        <v>1</v>
      </c>
      <c r="AI403" s="7">
        <f t="shared" si="57"/>
        <v>1</v>
      </c>
      <c r="AJ403" s="7">
        <f t="shared" si="58"/>
        <v>1</v>
      </c>
      <c r="AK403" s="7">
        <f t="shared" si="59"/>
        <v>0</v>
      </c>
      <c r="AL403" s="7" t="s">
        <v>4158</v>
      </c>
      <c r="AM403" s="18">
        <f t="shared" si="60"/>
        <v>1.6719987073525284</v>
      </c>
      <c r="AN403" s="18">
        <v>46.989271000000002</v>
      </c>
      <c r="AO403" s="18">
        <v>-114.014557</v>
      </c>
      <c r="AP403" s="9" t="s">
        <v>363</v>
      </c>
      <c r="AQ403" s="9" t="s">
        <v>355</v>
      </c>
      <c r="AR403" s="15">
        <v>1973</v>
      </c>
      <c r="AS403" s="19" t="s">
        <v>505</v>
      </c>
      <c r="AT403" s="20" t="s">
        <v>506</v>
      </c>
      <c r="AU403" s="40">
        <v>303453</v>
      </c>
      <c r="AV403" s="35">
        <f t="shared" si="61"/>
        <v>5.4820914353740404</v>
      </c>
      <c r="AW403" s="37" t="s">
        <v>366</v>
      </c>
      <c r="AX403" s="40">
        <v>0</v>
      </c>
      <c r="AY403" s="40">
        <v>2500</v>
      </c>
      <c r="AZ403" s="15">
        <v>33</v>
      </c>
      <c r="BA403" s="14">
        <f t="shared" si="62"/>
        <v>1.5185139398778875</v>
      </c>
      <c r="BB403" s="37" t="s">
        <v>388</v>
      </c>
      <c r="BC403" s="20">
        <v>2.3495798319327809E-2</v>
      </c>
      <c r="BD403" s="9">
        <v>26.6</v>
      </c>
      <c r="BE403" s="9" t="s">
        <v>368</v>
      </c>
      <c r="BF403" s="9">
        <v>0</v>
      </c>
    </row>
    <row r="404" spans="1:58">
      <c r="A404" s="9">
        <v>422</v>
      </c>
      <c r="B404" s="10" t="s">
        <v>76</v>
      </c>
      <c r="C404" s="10" t="s">
        <v>606</v>
      </c>
      <c r="D404" s="20" t="s">
        <v>715</v>
      </c>
      <c r="E404" s="20" t="s">
        <v>716</v>
      </c>
      <c r="F404" s="10" t="s">
        <v>606</v>
      </c>
      <c r="G404" s="20" t="s">
        <v>715</v>
      </c>
      <c r="H404" s="20" t="s">
        <v>716</v>
      </c>
      <c r="I404" s="10" t="s">
        <v>606</v>
      </c>
      <c r="J404" s="20" t="s">
        <v>715</v>
      </c>
      <c r="K404" s="20" t="s">
        <v>716</v>
      </c>
      <c r="L404" s="9" t="s">
        <v>380</v>
      </c>
      <c r="M404" s="9">
        <v>12</v>
      </c>
      <c r="N404" s="9" t="s">
        <v>381</v>
      </c>
      <c r="O404" s="9" t="s">
        <v>382</v>
      </c>
      <c r="P404" s="12">
        <v>42.424720000000001</v>
      </c>
      <c r="Q404" s="12" t="s">
        <v>355</v>
      </c>
      <c r="R404" s="9" t="s">
        <v>356</v>
      </c>
      <c r="S404" s="13">
        <v>7</v>
      </c>
      <c r="T404" s="13">
        <v>7</v>
      </c>
      <c r="U404" s="14">
        <f t="shared" si="54"/>
        <v>0.90308998699194354</v>
      </c>
      <c r="V404" s="15">
        <v>22</v>
      </c>
      <c r="W404" s="12"/>
      <c r="X404" s="12">
        <v>0.31</v>
      </c>
      <c r="Y404" s="13" t="s">
        <v>358</v>
      </c>
      <c r="Z404" s="9" t="s">
        <v>359</v>
      </c>
      <c r="AA404" s="10" t="s">
        <v>372</v>
      </c>
      <c r="AB404" s="9" t="s">
        <v>355</v>
      </c>
      <c r="AC404" s="15">
        <v>450</v>
      </c>
      <c r="AD404" s="14">
        <f t="shared" si="55"/>
        <v>2.6532125137753435</v>
      </c>
      <c r="AE404" s="10" t="s">
        <v>717</v>
      </c>
      <c r="AF404" s="9" t="s">
        <v>420</v>
      </c>
      <c r="AG404" s="18">
        <v>23.455556000000001</v>
      </c>
      <c r="AH404" s="7">
        <f t="shared" si="56"/>
        <v>1</v>
      </c>
      <c r="AI404" s="7">
        <f t="shared" si="57"/>
        <v>0</v>
      </c>
      <c r="AJ404" s="7">
        <f t="shared" si="58"/>
        <v>0</v>
      </c>
      <c r="AK404" s="7">
        <f t="shared" si="59"/>
        <v>0</v>
      </c>
      <c r="AL404" s="7" t="s">
        <v>4159</v>
      </c>
      <c r="AM404" s="18">
        <f t="shared" si="60"/>
        <v>1.3702457320975021</v>
      </c>
      <c r="AN404" s="18">
        <v>23.455556000000001</v>
      </c>
      <c r="AO404" s="18">
        <v>120.605</v>
      </c>
      <c r="AP404" s="9" t="s">
        <v>363</v>
      </c>
      <c r="AQ404" s="9" t="s">
        <v>355</v>
      </c>
      <c r="AR404" s="15">
        <v>2001</v>
      </c>
      <c r="AS404" s="19" t="s">
        <v>718</v>
      </c>
      <c r="AT404" s="20" t="s">
        <v>719</v>
      </c>
      <c r="AU404" s="40">
        <v>27786</v>
      </c>
      <c r="AV404" s="35">
        <f t="shared" si="61"/>
        <v>4.4438260313775366</v>
      </c>
      <c r="AW404" s="37" t="s">
        <v>366</v>
      </c>
      <c r="AX404" s="40">
        <v>0</v>
      </c>
      <c r="AY404" s="40">
        <v>1800</v>
      </c>
      <c r="AZ404" s="36">
        <v>33</v>
      </c>
      <c r="BA404" s="14">
        <f t="shared" si="62"/>
        <v>1.5185139398778875</v>
      </c>
      <c r="BB404" s="37" t="s">
        <v>388</v>
      </c>
      <c r="BC404" s="20">
        <v>2.0763505402161229E-2</v>
      </c>
      <c r="BD404" s="9">
        <v>29.400000000000002</v>
      </c>
      <c r="BE404" s="9" t="s">
        <v>368</v>
      </c>
      <c r="BF404" s="9">
        <v>0</v>
      </c>
    </row>
    <row r="405" spans="1:58">
      <c r="A405" s="9">
        <v>423</v>
      </c>
      <c r="B405" s="10" t="s">
        <v>76</v>
      </c>
      <c r="C405" s="10" t="s">
        <v>606</v>
      </c>
      <c r="D405" s="20" t="s">
        <v>715</v>
      </c>
      <c r="E405" s="20" t="s">
        <v>716</v>
      </c>
      <c r="F405" s="10" t="s">
        <v>606</v>
      </c>
      <c r="G405" s="20" t="s">
        <v>715</v>
      </c>
      <c r="H405" s="20" t="s">
        <v>716</v>
      </c>
      <c r="I405" s="10" t="s">
        <v>606</v>
      </c>
      <c r="J405" s="20" t="s">
        <v>715</v>
      </c>
      <c r="K405" s="20" t="s">
        <v>716</v>
      </c>
      <c r="L405" s="9" t="s">
        <v>380</v>
      </c>
      <c r="M405" s="9">
        <v>12</v>
      </c>
      <c r="N405" s="9" t="s">
        <v>381</v>
      </c>
      <c r="O405" s="9" t="s">
        <v>382</v>
      </c>
      <c r="P405" s="12">
        <v>43.954050000000002</v>
      </c>
      <c r="Q405" s="12" t="s">
        <v>355</v>
      </c>
      <c r="R405" s="9" t="s">
        <v>356</v>
      </c>
      <c r="S405" s="13">
        <v>7</v>
      </c>
      <c r="T405" s="13">
        <v>7</v>
      </c>
      <c r="U405" s="14">
        <f t="shared" si="54"/>
        <v>0.90308998699194354</v>
      </c>
      <c r="V405" s="15">
        <v>32</v>
      </c>
      <c r="W405" s="12"/>
      <c r="X405" s="12">
        <v>0.31</v>
      </c>
      <c r="Y405" s="13" t="s">
        <v>358</v>
      </c>
      <c r="Z405" s="9" t="s">
        <v>359</v>
      </c>
      <c r="AA405" s="10" t="s">
        <v>372</v>
      </c>
      <c r="AB405" s="9" t="s">
        <v>355</v>
      </c>
      <c r="AC405" s="15">
        <v>450</v>
      </c>
      <c r="AD405" s="14">
        <f t="shared" si="55"/>
        <v>2.6532125137753435</v>
      </c>
      <c r="AE405" s="10" t="s">
        <v>717</v>
      </c>
      <c r="AF405" s="9" t="s">
        <v>420</v>
      </c>
      <c r="AG405" s="18">
        <v>23.455556000000001</v>
      </c>
      <c r="AH405" s="7">
        <f t="shared" si="56"/>
        <v>1</v>
      </c>
      <c r="AI405" s="7">
        <f t="shared" si="57"/>
        <v>0</v>
      </c>
      <c r="AJ405" s="7">
        <f t="shared" si="58"/>
        <v>0</v>
      </c>
      <c r="AK405" s="7">
        <f t="shared" si="59"/>
        <v>0</v>
      </c>
      <c r="AL405" s="7" t="s">
        <v>4159</v>
      </c>
      <c r="AM405" s="18">
        <f t="shared" si="60"/>
        <v>1.3702457320975021</v>
      </c>
      <c r="AN405" s="18">
        <v>23.455556000000001</v>
      </c>
      <c r="AO405" s="18">
        <v>120.605</v>
      </c>
      <c r="AP405" s="9" t="s">
        <v>363</v>
      </c>
      <c r="AQ405" s="9" t="s">
        <v>355</v>
      </c>
      <c r="AR405" s="15">
        <v>2001</v>
      </c>
      <c r="AS405" s="19" t="s">
        <v>718</v>
      </c>
      <c r="AT405" s="20" t="s">
        <v>719</v>
      </c>
      <c r="AU405" s="40">
        <v>27786</v>
      </c>
      <c r="AV405" s="35">
        <f t="shared" si="61"/>
        <v>4.4438260313775366</v>
      </c>
      <c r="AW405" s="37" t="s">
        <v>366</v>
      </c>
      <c r="AX405" s="40">
        <v>0</v>
      </c>
      <c r="AY405" s="40">
        <v>1800</v>
      </c>
      <c r="AZ405" s="36">
        <v>33</v>
      </c>
      <c r="BA405" s="14">
        <f t="shared" si="62"/>
        <v>1.5185139398778875</v>
      </c>
      <c r="BB405" s="37" t="s">
        <v>388</v>
      </c>
      <c r="BC405" s="20">
        <v>2.0763505402161229E-2</v>
      </c>
      <c r="BD405" s="9">
        <v>29.400000000000002</v>
      </c>
      <c r="BE405" s="9" t="s">
        <v>368</v>
      </c>
      <c r="BF405" s="9">
        <v>0</v>
      </c>
    </row>
    <row r="406" spans="1:58">
      <c r="A406" s="9">
        <v>425</v>
      </c>
      <c r="B406" s="10" t="s">
        <v>76</v>
      </c>
      <c r="C406" s="10" t="s">
        <v>606</v>
      </c>
      <c r="D406" s="20" t="s">
        <v>715</v>
      </c>
      <c r="E406" s="20" t="s">
        <v>716</v>
      </c>
      <c r="F406" s="10" t="s">
        <v>606</v>
      </c>
      <c r="G406" s="20" t="s">
        <v>715</v>
      </c>
      <c r="H406" s="20" t="s">
        <v>716</v>
      </c>
      <c r="I406" s="10" t="s">
        <v>606</v>
      </c>
      <c r="J406" s="20" t="s">
        <v>715</v>
      </c>
      <c r="K406" s="20" t="s">
        <v>716</v>
      </c>
      <c r="L406" s="9" t="s">
        <v>380</v>
      </c>
      <c r="M406" s="9">
        <v>12</v>
      </c>
      <c r="N406" s="9" t="s">
        <v>381</v>
      </c>
      <c r="O406" s="9" t="s">
        <v>382</v>
      </c>
      <c r="P406" s="12">
        <v>43.954050000000002</v>
      </c>
      <c r="Q406" s="12" t="s">
        <v>355</v>
      </c>
      <c r="R406" s="9" t="s">
        <v>356</v>
      </c>
      <c r="S406" s="13">
        <v>7</v>
      </c>
      <c r="T406" s="13">
        <v>7</v>
      </c>
      <c r="U406" s="14">
        <f t="shared" si="54"/>
        <v>0.90308998699194354</v>
      </c>
      <c r="V406" s="15">
        <v>32</v>
      </c>
      <c r="W406" s="12"/>
      <c r="X406" s="12">
        <v>0.31</v>
      </c>
      <c r="Y406" s="13" t="s">
        <v>358</v>
      </c>
      <c r="Z406" s="9" t="s">
        <v>359</v>
      </c>
      <c r="AA406" s="10" t="s">
        <v>372</v>
      </c>
      <c r="AB406" s="9" t="s">
        <v>355</v>
      </c>
      <c r="AC406" s="15">
        <v>510</v>
      </c>
      <c r="AD406" s="14">
        <f t="shared" si="55"/>
        <v>2.7075701760979363</v>
      </c>
      <c r="AE406" s="10" t="s">
        <v>720</v>
      </c>
      <c r="AF406" s="9" t="s">
        <v>420</v>
      </c>
      <c r="AG406" s="18">
        <v>24.552778</v>
      </c>
      <c r="AH406" s="7">
        <f t="shared" si="56"/>
        <v>1</v>
      </c>
      <c r="AI406" s="7">
        <f t="shared" si="57"/>
        <v>0</v>
      </c>
      <c r="AJ406" s="7">
        <f t="shared" si="58"/>
        <v>0</v>
      </c>
      <c r="AK406" s="7">
        <f t="shared" si="59"/>
        <v>0</v>
      </c>
      <c r="AL406" s="7" t="s">
        <v>4159</v>
      </c>
      <c r="AM406" s="18">
        <f t="shared" si="60"/>
        <v>1.3901006370624787</v>
      </c>
      <c r="AN406" s="18">
        <v>24.552778</v>
      </c>
      <c r="AO406" s="18">
        <v>121.50027799999999</v>
      </c>
      <c r="AP406" s="9" t="s">
        <v>363</v>
      </c>
      <c r="AQ406" s="9" t="s">
        <v>355</v>
      </c>
      <c r="AR406" s="15">
        <v>2001</v>
      </c>
      <c r="AS406" s="19" t="s">
        <v>718</v>
      </c>
      <c r="AT406" s="20" t="s">
        <v>719</v>
      </c>
      <c r="AU406" s="40">
        <v>27786</v>
      </c>
      <c r="AV406" s="35">
        <f t="shared" si="61"/>
        <v>4.4438260313775366</v>
      </c>
      <c r="AW406" s="37" t="s">
        <v>366</v>
      </c>
      <c r="AX406" s="40">
        <v>0</v>
      </c>
      <c r="AY406" s="40">
        <v>1800</v>
      </c>
      <c r="AZ406" s="36">
        <v>33</v>
      </c>
      <c r="BA406" s="14">
        <f t="shared" si="62"/>
        <v>1.5185139398778875</v>
      </c>
      <c r="BB406" s="37" t="s">
        <v>388</v>
      </c>
      <c r="BC406" s="20">
        <v>1.8594637855142031E-2</v>
      </c>
      <c r="BD406" s="9">
        <v>26.900000000000002</v>
      </c>
      <c r="BE406" s="9" t="s">
        <v>368</v>
      </c>
      <c r="BF406" s="9">
        <v>0</v>
      </c>
    </row>
    <row r="407" spans="1:58">
      <c r="A407" s="9">
        <v>424</v>
      </c>
      <c r="B407" s="10" t="s">
        <v>76</v>
      </c>
      <c r="C407" s="10" t="s">
        <v>606</v>
      </c>
      <c r="D407" s="20" t="s">
        <v>715</v>
      </c>
      <c r="E407" s="20" t="s">
        <v>716</v>
      </c>
      <c r="F407" s="10" t="s">
        <v>606</v>
      </c>
      <c r="G407" s="20" t="s">
        <v>715</v>
      </c>
      <c r="H407" s="20" t="s">
        <v>716</v>
      </c>
      <c r="I407" s="10" t="s">
        <v>606</v>
      </c>
      <c r="J407" s="20" t="s">
        <v>715</v>
      </c>
      <c r="K407" s="20" t="s">
        <v>716</v>
      </c>
      <c r="L407" s="9" t="s">
        <v>380</v>
      </c>
      <c r="M407" s="9">
        <v>12</v>
      </c>
      <c r="N407" s="9" t="s">
        <v>381</v>
      </c>
      <c r="O407" s="9" t="s">
        <v>382</v>
      </c>
      <c r="P407" s="12">
        <v>44.461150000000004</v>
      </c>
      <c r="Q407" s="12" t="s">
        <v>355</v>
      </c>
      <c r="R407" s="9" t="s">
        <v>356</v>
      </c>
      <c r="S407" s="13">
        <v>7</v>
      </c>
      <c r="T407" s="13">
        <v>7</v>
      </c>
      <c r="U407" s="14">
        <f t="shared" si="54"/>
        <v>0.90308998699194354</v>
      </c>
      <c r="V407" s="15">
        <v>22</v>
      </c>
      <c r="W407" s="12"/>
      <c r="X407" s="12">
        <v>0.31</v>
      </c>
      <c r="Y407" s="13" t="s">
        <v>358</v>
      </c>
      <c r="Z407" s="9" t="s">
        <v>359</v>
      </c>
      <c r="AA407" s="10" t="s">
        <v>372</v>
      </c>
      <c r="AB407" s="9" t="s">
        <v>355</v>
      </c>
      <c r="AC407" s="15">
        <v>510</v>
      </c>
      <c r="AD407" s="14">
        <f t="shared" si="55"/>
        <v>2.7075701760979363</v>
      </c>
      <c r="AE407" s="10" t="s">
        <v>720</v>
      </c>
      <c r="AF407" s="9" t="s">
        <v>420</v>
      </c>
      <c r="AG407" s="18">
        <v>24.552778</v>
      </c>
      <c r="AH407" s="7">
        <f t="shared" si="56"/>
        <v>1</v>
      </c>
      <c r="AI407" s="7">
        <f t="shared" si="57"/>
        <v>0</v>
      </c>
      <c r="AJ407" s="7">
        <f t="shared" si="58"/>
        <v>0</v>
      </c>
      <c r="AK407" s="7">
        <f t="shared" si="59"/>
        <v>0</v>
      </c>
      <c r="AL407" s="7" t="s">
        <v>4159</v>
      </c>
      <c r="AM407" s="18">
        <f t="shared" si="60"/>
        <v>1.3901006370624787</v>
      </c>
      <c r="AN407" s="18">
        <v>24.552778</v>
      </c>
      <c r="AO407" s="18">
        <v>121.50027799999999</v>
      </c>
      <c r="AP407" s="9" t="s">
        <v>363</v>
      </c>
      <c r="AQ407" s="9" t="s">
        <v>355</v>
      </c>
      <c r="AR407" s="15">
        <v>2001</v>
      </c>
      <c r="AS407" s="19" t="s">
        <v>718</v>
      </c>
      <c r="AT407" s="20" t="s">
        <v>719</v>
      </c>
      <c r="AU407" s="40">
        <v>27786</v>
      </c>
      <c r="AV407" s="35">
        <f t="shared" si="61"/>
        <v>4.4438260313775366</v>
      </c>
      <c r="AW407" s="37" t="s">
        <v>366</v>
      </c>
      <c r="AX407" s="40">
        <v>0</v>
      </c>
      <c r="AY407" s="40">
        <v>1800</v>
      </c>
      <c r="AZ407" s="36">
        <v>33</v>
      </c>
      <c r="BA407" s="14">
        <f t="shared" si="62"/>
        <v>1.5185139398778875</v>
      </c>
      <c r="BB407" s="37" t="s">
        <v>388</v>
      </c>
      <c r="BC407" s="20">
        <v>1.8594637855142031E-2</v>
      </c>
      <c r="BD407" s="9">
        <v>26.900000000000002</v>
      </c>
      <c r="BE407" s="9" t="s">
        <v>368</v>
      </c>
      <c r="BF407" s="9">
        <v>0</v>
      </c>
    </row>
    <row r="408" spans="1:58">
      <c r="A408" s="9">
        <v>426</v>
      </c>
      <c r="B408" s="10" t="s">
        <v>76</v>
      </c>
      <c r="C408" s="10" t="s">
        <v>606</v>
      </c>
      <c r="D408" s="20" t="s">
        <v>715</v>
      </c>
      <c r="E408" s="20" t="s">
        <v>716</v>
      </c>
      <c r="F408" s="10" t="s">
        <v>606</v>
      </c>
      <c r="G408" s="20" t="s">
        <v>715</v>
      </c>
      <c r="H408" s="20" t="s">
        <v>716</v>
      </c>
      <c r="I408" s="10" t="s">
        <v>606</v>
      </c>
      <c r="J408" s="20" t="s">
        <v>715</v>
      </c>
      <c r="K408" s="20" t="s">
        <v>716</v>
      </c>
      <c r="L408" s="9" t="s">
        <v>380</v>
      </c>
      <c r="M408" s="9">
        <v>12</v>
      </c>
      <c r="N408" s="9" t="s">
        <v>381</v>
      </c>
      <c r="O408" s="9" t="s">
        <v>382</v>
      </c>
      <c r="P408" s="12">
        <v>44.605370000000001</v>
      </c>
      <c r="Q408" s="12" t="s">
        <v>355</v>
      </c>
      <c r="R408" s="9" t="s">
        <v>356</v>
      </c>
      <c r="S408" s="13">
        <v>7</v>
      </c>
      <c r="T408" s="13">
        <v>7</v>
      </c>
      <c r="U408" s="14">
        <f t="shared" si="54"/>
        <v>0.90308998699194354</v>
      </c>
      <c r="V408" s="15">
        <v>40</v>
      </c>
      <c r="W408" s="12"/>
      <c r="X408" s="12">
        <v>0.31</v>
      </c>
      <c r="Y408" s="13" t="s">
        <v>358</v>
      </c>
      <c r="Z408" s="9" t="s">
        <v>359</v>
      </c>
      <c r="AA408" s="10" t="s">
        <v>372</v>
      </c>
      <c r="AB408" s="9" t="s">
        <v>355</v>
      </c>
      <c r="AC408" s="15">
        <v>510</v>
      </c>
      <c r="AD408" s="14">
        <f t="shared" si="55"/>
        <v>2.7075701760979363</v>
      </c>
      <c r="AE408" s="10" t="s">
        <v>720</v>
      </c>
      <c r="AF408" s="9" t="s">
        <v>420</v>
      </c>
      <c r="AG408" s="18">
        <v>24.552778</v>
      </c>
      <c r="AH408" s="7">
        <f t="shared" si="56"/>
        <v>1</v>
      </c>
      <c r="AI408" s="7">
        <f t="shared" si="57"/>
        <v>0</v>
      </c>
      <c r="AJ408" s="7">
        <f t="shared" si="58"/>
        <v>0</v>
      </c>
      <c r="AK408" s="7">
        <f t="shared" si="59"/>
        <v>0</v>
      </c>
      <c r="AL408" s="7" t="s">
        <v>4159</v>
      </c>
      <c r="AM408" s="18">
        <f t="shared" si="60"/>
        <v>1.3901006370624787</v>
      </c>
      <c r="AN408" s="18">
        <v>24.552778</v>
      </c>
      <c r="AO408" s="18">
        <v>121.50027799999999</v>
      </c>
      <c r="AP408" s="9" t="s">
        <v>363</v>
      </c>
      <c r="AQ408" s="9" t="s">
        <v>355</v>
      </c>
      <c r="AR408" s="15">
        <v>2001</v>
      </c>
      <c r="AS408" s="19" t="s">
        <v>718</v>
      </c>
      <c r="AT408" s="20" t="s">
        <v>719</v>
      </c>
      <c r="AU408" s="40">
        <v>27786</v>
      </c>
      <c r="AV408" s="35">
        <f t="shared" si="61"/>
        <v>4.4438260313775366</v>
      </c>
      <c r="AW408" s="37" t="s">
        <v>366</v>
      </c>
      <c r="AX408" s="40">
        <v>0</v>
      </c>
      <c r="AY408" s="40">
        <v>1800</v>
      </c>
      <c r="AZ408" s="36">
        <v>33</v>
      </c>
      <c r="BA408" s="14">
        <f t="shared" si="62"/>
        <v>1.5185139398778875</v>
      </c>
      <c r="BB408" s="37" t="s">
        <v>388</v>
      </c>
      <c r="BC408" s="20">
        <v>1.8594637855142031E-2</v>
      </c>
      <c r="BD408" s="9">
        <v>26.900000000000002</v>
      </c>
      <c r="BE408" s="9" t="s">
        <v>368</v>
      </c>
      <c r="BF408" s="9">
        <v>0</v>
      </c>
    </row>
    <row r="409" spans="1:58">
      <c r="A409" s="9">
        <v>945</v>
      </c>
      <c r="B409" s="10" t="s">
        <v>76</v>
      </c>
      <c r="C409" s="10" t="s">
        <v>721</v>
      </c>
      <c r="D409" s="20" t="s">
        <v>722</v>
      </c>
      <c r="E409" s="20" t="s">
        <v>723</v>
      </c>
      <c r="F409" s="10" t="s">
        <v>721</v>
      </c>
      <c r="G409" s="20" t="s">
        <v>722</v>
      </c>
      <c r="H409" s="20" t="s">
        <v>723</v>
      </c>
      <c r="I409" s="10" t="s">
        <v>721</v>
      </c>
      <c r="J409" s="20" t="s">
        <v>722</v>
      </c>
      <c r="K409" s="20" t="s">
        <v>723</v>
      </c>
      <c r="L409" s="9" t="s">
        <v>352</v>
      </c>
      <c r="M409" s="9">
        <v>1</v>
      </c>
      <c r="N409" s="9" t="s">
        <v>353</v>
      </c>
      <c r="O409" s="9" t="s">
        <v>354</v>
      </c>
      <c r="P409" s="12">
        <v>35.299999999999997</v>
      </c>
      <c r="Q409" s="12" t="s">
        <v>355</v>
      </c>
      <c r="R409" s="9" t="s">
        <v>356</v>
      </c>
      <c r="S409" s="13" t="s">
        <v>684</v>
      </c>
      <c r="T409" s="13" t="s">
        <v>684</v>
      </c>
      <c r="U409" s="14">
        <f t="shared" si="54"/>
        <v>0.90308998699194354</v>
      </c>
      <c r="V409" s="15">
        <v>15</v>
      </c>
      <c r="W409" s="12">
        <v>5.9340308999999962</v>
      </c>
      <c r="X409" s="12">
        <v>0.3</v>
      </c>
      <c r="Y409" s="13" t="s">
        <v>358</v>
      </c>
      <c r="Z409" s="9" t="s">
        <v>359</v>
      </c>
      <c r="AA409" s="10" t="s">
        <v>418</v>
      </c>
      <c r="AB409" s="9" t="s">
        <v>355</v>
      </c>
      <c r="AC409" s="15">
        <v>111</v>
      </c>
      <c r="AD409" s="14">
        <f t="shared" si="55"/>
        <v>2.0453229787866576</v>
      </c>
      <c r="AE409" s="10" t="s">
        <v>724</v>
      </c>
      <c r="AF409" s="9" t="s">
        <v>420</v>
      </c>
      <c r="AG409" s="18">
        <v>27.558771</v>
      </c>
      <c r="AH409" s="7">
        <f t="shared" si="56"/>
        <v>1</v>
      </c>
      <c r="AI409" s="7">
        <f t="shared" si="57"/>
        <v>0</v>
      </c>
      <c r="AJ409" s="7">
        <f t="shared" si="58"/>
        <v>0</v>
      </c>
      <c r="AK409" s="7">
        <f t="shared" si="59"/>
        <v>0</v>
      </c>
      <c r="AL409" s="7" t="s">
        <v>4159</v>
      </c>
      <c r="AM409" s="18">
        <f t="shared" si="60"/>
        <v>1.4402598460432992</v>
      </c>
      <c r="AN409" s="18">
        <v>-27.558771</v>
      </c>
      <c r="AO409" s="18">
        <v>152.27574000000001</v>
      </c>
      <c r="AP409" s="9" t="s">
        <v>363</v>
      </c>
      <c r="AQ409" s="9" t="s">
        <v>355</v>
      </c>
      <c r="AR409" s="15">
        <v>1971</v>
      </c>
      <c r="AS409" s="19" t="s">
        <v>725</v>
      </c>
      <c r="AT409" s="20" t="s">
        <v>726</v>
      </c>
      <c r="AU409" s="40">
        <v>878056</v>
      </c>
      <c r="AV409" s="35">
        <f t="shared" si="61"/>
        <v>5.9435222148986115</v>
      </c>
      <c r="AW409" s="37" t="s">
        <v>366</v>
      </c>
      <c r="AX409" s="40">
        <v>0</v>
      </c>
      <c r="AY409" s="40">
        <v>1000</v>
      </c>
      <c r="AZ409" s="15">
        <v>33</v>
      </c>
      <c r="BA409" s="14">
        <f t="shared" si="62"/>
        <v>1.5185139398778875</v>
      </c>
      <c r="BB409" s="37" t="s">
        <v>388</v>
      </c>
      <c r="BC409" s="20">
        <v>1.8453381352540738E-2</v>
      </c>
      <c r="BD409" s="9">
        <v>31.1</v>
      </c>
      <c r="BE409" s="9" t="s">
        <v>368</v>
      </c>
      <c r="BF409" s="9">
        <v>0</v>
      </c>
    </row>
    <row r="410" spans="1:58">
      <c r="A410" s="9">
        <v>111</v>
      </c>
      <c r="B410" s="10" t="s">
        <v>76</v>
      </c>
      <c r="C410" s="10" t="s">
        <v>77</v>
      </c>
      <c r="D410" s="20" t="s">
        <v>501</v>
      </c>
      <c r="E410" s="20" t="s">
        <v>727</v>
      </c>
      <c r="F410" s="10" t="s">
        <v>77</v>
      </c>
      <c r="G410" s="20" t="s">
        <v>535</v>
      </c>
      <c r="H410" s="20" t="s">
        <v>727</v>
      </c>
      <c r="I410" s="10" t="s">
        <v>77</v>
      </c>
      <c r="J410" s="20" t="s">
        <v>535</v>
      </c>
      <c r="K410" s="20" t="s">
        <v>727</v>
      </c>
      <c r="L410" s="9" t="s">
        <v>352</v>
      </c>
      <c r="M410" s="9">
        <v>102</v>
      </c>
      <c r="N410" s="9" t="s">
        <v>17</v>
      </c>
      <c r="O410" s="9" t="s">
        <v>354</v>
      </c>
      <c r="P410" s="12">
        <v>37.5</v>
      </c>
      <c r="Q410" s="12" t="s">
        <v>355</v>
      </c>
      <c r="R410" s="9" t="s">
        <v>356</v>
      </c>
      <c r="S410" s="13" t="s">
        <v>684</v>
      </c>
      <c r="T410" s="13" t="s">
        <v>684</v>
      </c>
      <c r="U410" s="14">
        <f t="shared" si="54"/>
        <v>0.90308998699194354</v>
      </c>
      <c r="V410" s="15">
        <v>15</v>
      </c>
      <c r="W410" s="12">
        <v>19.187562</v>
      </c>
      <c r="X410" s="12">
        <v>1</v>
      </c>
      <c r="Y410" s="13" t="s">
        <v>358</v>
      </c>
      <c r="Z410" s="9" t="s">
        <v>417</v>
      </c>
      <c r="AA410" s="10" t="s">
        <v>418</v>
      </c>
      <c r="AB410" s="9" t="s">
        <v>355</v>
      </c>
      <c r="AC410" s="34">
        <v>2620</v>
      </c>
      <c r="AD410" s="14">
        <f t="shared" si="55"/>
        <v>3.4183012913197452</v>
      </c>
      <c r="AE410" s="62" t="s">
        <v>728</v>
      </c>
      <c r="AF410" s="9" t="s">
        <v>408</v>
      </c>
      <c r="AG410" s="18">
        <v>4.5980559999999997</v>
      </c>
      <c r="AH410" s="7">
        <f t="shared" si="56"/>
        <v>0</v>
      </c>
      <c r="AI410" s="7">
        <f t="shared" si="57"/>
        <v>0</v>
      </c>
      <c r="AJ410" s="7">
        <f t="shared" si="58"/>
        <v>0</v>
      </c>
      <c r="AK410" s="7">
        <f t="shared" si="59"/>
        <v>0</v>
      </c>
      <c r="AL410" s="7" t="s">
        <v>4160</v>
      </c>
      <c r="AM410" s="18">
        <f t="shared" si="60"/>
        <v>0.66257425626403132</v>
      </c>
      <c r="AN410" s="18">
        <v>4.5980559999999997</v>
      </c>
      <c r="AO410" s="18">
        <v>-74.075833000000003</v>
      </c>
      <c r="AP410" s="9" t="s">
        <v>363</v>
      </c>
      <c r="AQ410" s="9" t="s">
        <v>355</v>
      </c>
      <c r="AR410" s="15">
        <v>1969</v>
      </c>
      <c r="AS410" s="19" t="s">
        <v>729</v>
      </c>
      <c r="AT410" s="20" t="s">
        <v>730</v>
      </c>
      <c r="AU410" s="40">
        <v>32190</v>
      </c>
      <c r="AV410" s="35">
        <f t="shared" si="61"/>
        <v>4.5077209766856132</v>
      </c>
      <c r="AW410" s="37" t="s">
        <v>366</v>
      </c>
      <c r="AX410" s="40">
        <v>1600</v>
      </c>
      <c r="AY410" s="40">
        <v>3600</v>
      </c>
      <c r="AZ410" s="15">
        <v>33</v>
      </c>
      <c r="BA410" s="14">
        <f t="shared" si="62"/>
        <v>1.5185139398778875</v>
      </c>
      <c r="BB410" s="37" t="s">
        <v>367</v>
      </c>
      <c r="BC410" s="20">
        <v>4.4689875950380629E-3</v>
      </c>
      <c r="BD410" s="9">
        <v>18</v>
      </c>
      <c r="BE410" s="9" t="s">
        <v>368</v>
      </c>
      <c r="BF410" s="9">
        <v>0</v>
      </c>
    </row>
    <row r="411" spans="1:58">
      <c r="A411" s="9">
        <v>112</v>
      </c>
      <c r="B411" s="10" t="s">
        <v>76</v>
      </c>
      <c r="C411" s="10" t="s">
        <v>77</v>
      </c>
      <c r="D411" s="20" t="s">
        <v>501</v>
      </c>
      <c r="E411" s="20" t="s">
        <v>727</v>
      </c>
      <c r="F411" s="10" t="s">
        <v>77</v>
      </c>
      <c r="G411" s="20" t="s">
        <v>535</v>
      </c>
      <c r="H411" s="20" t="s">
        <v>727</v>
      </c>
      <c r="I411" s="10" t="s">
        <v>77</v>
      </c>
      <c r="J411" s="20" t="s">
        <v>535</v>
      </c>
      <c r="K411" s="20" t="s">
        <v>727</v>
      </c>
      <c r="L411" s="9" t="s">
        <v>352</v>
      </c>
      <c r="M411" s="9">
        <v>122</v>
      </c>
      <c r="N411" s="9" t="s">
        <v>17</v>
      </c>
      <c r="O411" s="9" t="s">
        <v>354</v>
      </c>
      <c r="P411" s="12">
        <v>37.799999999999997</v>
      </c>
      <c r="Q411" s="12" t="s">
        <v>355</v>
      </c>
      <c r="R411" s="9" t="s">
        <v>356</v>
      </c>
      <c r="S411" s="13" t="s">
        <v>684</v>
      </c>
      <c r="T411" s="13" t="s">
        <v>684</v>
      </c>
      <c r="U411" s="14">
        <f t="shared" si="54"/>
        <v>0.90308998699194354</v>
      </c>
      <c r="V411" s="15">
        <v>15</v>
      </c>
      <c r="W411" s="12">
        <v>19.487561999999997</v>
      </c>
      <c r="X411" s="12">
        <v>1</v>
      </c>
      <c r="Y411" s="13" t="s">
        <v>731</v>
      </c>
      <c r="Z411" s="9" t="s">
        <v>417</v>
      </c>
      <c r="AA411" s="10" t="s">
        <v>418</v>
      </c>
      <c r="AB411" s="9" t="s">
        <v>355</v>
      </c>
      <c r="AC411" s="34">
        <v>2620</v>
      </c>
      <c r="AD411" s="14">
        <f t="shared" si="55"/>
        <v>3.4183012913197452</v>
      </c>
      <c r="AE411" s="62" t="s">
        <v>728</v>
      </c>
      <c r="AF411" s="9" t="s">
        <v>408</v>
      </c>
      <c r="AG411" s="18">
        <v>4.5980559999999997</v>
      </c>
      <c r="AH411" s="7">
        <f t="shared" si="56"/>
        <v>0</v>
      </c>
      <c r="AI411" s="7">
        <f t="shared" si="57"/>
        <v>0</v>
      </c>
      <c r="AJ411" s="7">
        <f t="shared" si="58"/>
        <v>0</v>
      </c>
      <c r="AK411" s="7">
        <f t="shared" si="59"/>
        <v>0</v>
      </c>
      <c r="AL411" s="7" t="s">
        <v>4160</v>
      </c>
      <c r="AM411" s="18">
        <f t="shared" si="60"/>
        <v>0.66257425626403132</v>
      </c>
      <c r="AN411" s="18">
        <v>4.5980559999999997</v>
      </c>
      <c r="AO411" s="18">
        <v>-74.075833000000003</v>
      </c>
      <c r="AP411" s="9" t="s">
        <v>363</v>
      </c>
      <c r="AQ411" s="9" t="s">
        <v>355</v>
      </c>
      <c r="AR411" s="15">
        <v>1969</v>
      </c>
      <c r="AS411" s="19" t="s">
        <v>729</v>
      </c>
      <c r="AT411" s="20" t="s">
        <v>730</v>
      </c>
      <c r="AU411" s="40">
        <v>32190</v>
      </c>
      <c r="AV411" s="35">
        <f t="shared" si="61"/>
        <v>4.5077209766856132</v>
      </c>
      <c r="AW411" s="37" t="s">
        <v>366</v>
      </c>
      <c r="AX411" s="40">
        <v>1600</v>
      </c>
      <c r="AY411" s="40">
        <v>3600</v>
      </c>
      <c r="AZ411" s="15">
        <v>33</v>
      </c>
      <c r="BA411" s="14">
        <f t="shared" si="62"/>
        <v>1.5185139398778875</v>
      </c>
      <c r="BB411" s="37" t="s">
        <v>367</v>
      </c>
      <c r="BC411" s="20">
        <v>4.4689875950380629E-3</v>
      </c>
      <c r="BD411" s="9">
        <v>18</v>
      </c>
      <c r="BE411" s="9" t="s">
        <v>368</v>
      </c>
      <c r="BF411" s="9">
        <v>0</v>
      </c>
    </row>
    <row r="412" spans="1:58">
      <c r="A412" s="9">
        <v>110</v>
      </c>
      <c r="B412" s="10" t="s">
        <v>76</v>
      </c>
      <c r="C412" s="10" t="s">
        <v>77</v>
      </c>
      <c r="D412" s="20" t="s">
        <v>501</v>
      </c>
      <c r="E412" s="20" t="s">
        <v>727</v>
      </c>
      <c r="F412" s="10" t="s">
        <v>77</v>
      </c>
      <c r="G412" s="20" t="s">
        <v>535</v>
      </c>
      <c r="H412" s="20" t="s">
        <v>727</v>
      </c>
      <c r="I412" s="10" t="s">
        <v>77</v>
      </c>
      <c r="J412" s="20" t="s">
        <v>535</v>
      </c>
      <c r="K412" s="20" t="s">
        <v>727</v>
      </c>
      <c r="L412" s="9" t="s">
        <v>352</v>
      </c>
      <c r="M412" s="9">
        <v>111</v>
      </c>
      <c r="N412" s="9" t="s">
        <v>17</v>
      </c>
      <c r="O412" s="9" t="s">
        <v>354</v>
      </c>
      <c r="P412" s="12">
        <v>37.9</v>
      </c>
      <c r="Q412" s="12" t="s">
        <v>355</v>
      </c>
      <c r="R412" s="9" t="s">
        <v>356</v>
      </c>
      <c r="S412" s="13" t="s">
        <v>684</v>
      </c>
      <c r="T412" s="13" t="s">
        <v>684</v>
      </c>
      <c r="U412" s="14">
        <f t="shared" si="54"/>
        <v>0.90308998699194354</v>
      </c>
      <c r="V412" s="15">
        <v>15</v>
      </c>
      <c r="W412" s="12">
        <v>19.587561999999998</v>
      </c>
      <c r="X412" s="12">
        <v>1</v>
      </c>
      <c r="Y412" s="13" t="s">
        <v>732</v>
      </c>
      <c r="Z412" s="9" t="s">
        <v>417</v>
      </c>
      <c r="AA412" s="10" t="s">
        <v>418</v>
      </c>
      <c r="AB412" s="9" t="s">
        <v>355</v>
      </c>
      <c r="AC412" s="34">
        <v>2620</v>
      </c>
      <c r="AD412" s="14">
        <f t="shared" si="55"/>
        <v>3.4183012913197452</v>
      </c>
      <c r="AE412" s="62" t="s">
        <v>728</v>
      </c>
      <c r="AF412" s="9" t="s">
        <v>408</v>
      </c>
      <c r="AG412" s="18">
        <v>4.5980559999999997</v>
      </c>
      <c r="AH412" s="7">
        <f t="shared" si="56"/>
        <v>0</v>
      </c>
      <c r="AI412" s="7">
        <f t="shared" si="57"/>
        <v>0</v>
      </c>
      <c r="AJ412" s="7">
        <f t="shared" si="58"/>
        <v>0</v>
      </c>
      <c r="AK412" s="7">
        <f t="shared" si="59"/>
        <v>0</v>
      </c>
      <c r="AL412" s="7" t="s">
        <v>4160</v>
      </c>
      <c r="AM412" s="18">
        <f t="shared" si="60"/>
        <v>0.66257425626403132</v>
      </c>
      <c r="AN412" s="18">
        <v>4.5980559999999997</v>
      </c>
      <c r="AO412" s="18">
        <v>-74.075833000000003</v>
      </c>
      <c r="AP412" s="9" t="s">
        <v>363</v>
      </c>
      <c r="AQ412" s="9" t="s">
        <v>355</v>
      </c>
      <c r="AR412" s="15">
        <v>1969</v>
      </c>
      <c r="AS412" s="19" t="s">
        <v>729</v>
      </c>
      <c r="AT412" s="20" t="s">
        <v>730</v>
      </c>
      <c r="AU412" s="40">
        <v>32190</v>
      </c>
      <c r="AV412" s="35">
        <f t="shared" si="61"/>
        <v>4.5077209766856132</v>
      </c>
      <c r="AW412" s="37" t="s">
        <v>366</v>
      </c>
      <c r="AX412" s="40">
        <v>1600</v>
      </c>
      <c r="AY412" s="40">
        <v>3600</v>
      </c>
      <c r="AZ412" s="15">
        <v>33</v>
      </c>
      <c r="BA412" s="14">
        <f t="shared" si="62"/>
        <v>1.5185139398778875</v>
      </c>
      <c r="BB412" s="37" t="s">
        <v>367</v>
      </c>
      <c r="BC412" s="20">
        <v>4.4689875950380629E-3</v>
      </c>
      <c r="BD412" s="9">
        <v>18</v>
      </c>
      <c r="BE412" s="9" t="s">
        <v>368</v>
      </c>
      <c r="BF412" s="9">
        <v>0</v>
      </c>
    </row>
    <row r="413" spans="1:58">
      <c r="A413" s="9">
        <v>113</v>
      </c>
      <c r="B413" s="10" t="s">
        <v>76</v>
      </c>
      <c r="C413" s="10" t="s">
        <v>77</v>
      </c>
      <c r="D413" s="20" t="s">
        <v>501</v>
      </c>
      <c r="E413" s="20" t="s">
        <v>727</v>
      </c>
      <c r="F413" s="10" t="s">
        <v>77</v>
      </c>
      <c r="G413" s="20" t="s">
        <v>535</v>
      </c>
      <c r="H413" s="20" t="s">
        <v>727</v>
      </c>
      <c r="I413" s="10" t="s">
        <v>77</v>
      </c>
      <c r="J413" s="20" t="s">
        <v>535</v>
      </c>
      <c r="K413" s="20" t="s">
        <v>727</v>
      </c>
      <c r="L413" s="9" t="s">
        <v>352</v>
      </c>
      <c r="M413" s="9">
        <v>123</v>
      </c>
      <c r="N413" s="9" t="s">
        <v>17</v>
      </c>
      <c r="O413" s="9" t="s">
        <v>354</v>
      </c>
      <c r="P413" s="12">
        <v>38</v>
      </c>
      <c r="Q413" s="12" t="s">
        <v>355</v>
      </c>
      <c r="R413" s="9" t="s">
        <v>356</v>
      </c>
      <c r="S413" s="13" t="s">
        <v>684</v>
      </c>
      <c r="T413" s="13" t="s">
        <v>684</v>
      </c>
      <c r="U413" s="14">
        <f t="shared" si="54"/>
        <v>0.90308998699194354</v>
      </c>
      <c r="V413" s="15">
        <v>25</v>
      </c>
      <c r="W413" s="12">
        <v>18.125371999999999</v>
      </c>
      <c r="X413" s="12">
        <v>1</v>
      </c>
      <c r="Y413" s="13" t="s">
        <v>732</v>
      </c>
      <c r="Z413" s="9" t="s">
        <v>417</v>
      </c>
      <c r="AA413" s="10" t="s">
        <v>418</v>
      </c>
      <c r="AB413" s="9" t="s">
        <v>355</v>
      </c>
      <c r="AC413" s="34">
        <v>2620</v>
      </c>
      <c r="AD413" s="14">
        <f t="shared" si="55"/>
        <v>3.4183012913197452</v>
      </c>
      <c r="AE413" s="62" t="s">
        <v>728</v>
      </c>
      <c r="AF413" s="9" t="s">
        <v>408</v>
      </c>
      <c r="AG413" s="18">
        <v>4.5980559999999997</v>
      </c>
      <c r="AH413" s="7">
        <f t="shared" si="56"/>
        <v>0</v>
      </c>
      <c r="AI413" s="7">
        <f t="shared" si="57"/>
        <v>0</v>
      </c>
      <c r="AJ413" s="7">
        <f t="shared" si="58"/>
        <v>0</v>
      </c>
      <c r="AK413" s="7">
        <f t="shared" si="59"/>
        <v>0</v>
      </c>
      <c r="AL413" s="7" t="s">
        <v>4160</v>
      </c>
      <c r="AM413" s="18">
        <f t="shared" si="60"/>
        <v>0.66257425626403132</v>
      </c>
      <c r="AN413" s="18">
        <v>4.5980559999999997</v>
      </c>
      <c r="AO413" s="18">
        <v>-74.075833000000003</v>
      </c>
      <c r="AP413" s="9" t="s">
        <v>363</v>
      </c>
      <c r="AQ413" s="9" t="s">
        <v>355</v>
      </c>
      <c r="AR413" s="15">
        <v>1969</v>
      </c>
      <c r="AS413" s="19" t="s">
        <v>729</v>
      </c>
      <c r="AT413" s="20" t="s">
        <v>730</v>
      </c>
      <c r="AU413" s="40">
        <v>32190</v>
      </c>
      <c r="AV413" s="35">
        <f t="shared" si="61"/>
        <v>4.5077209766856132</v>
      </c>
      <c r="AW413" s="37" t="s">
        <v>366</v>
      </c>
      <c r="AX413" s="40">
        <v>1600</v>
      </c>
      <c r="AY413" s="40">
        <v>3600</v>
      </c>
      <c r="AZ413" s="15">
        <v>33</v>
      </c>
      <c r="BA413" s="14">
        <f t="shared" si="62"/>
        <v>1.5185139398778875</v>
      </c>
      <c r="BB413" s="37" t="s">
        <v>367</v>
      </c>
      <c r="BC413" s="20">
        <v>4.4689875950380629E-3</v>
      </c>
      <c r="BD413" s="9">
        <v>18</v>
      </c>
      <c r="BE413" s="9" t="s">
        <v>368</v>
      </c>
      <c r="BF413" s="9">
        <v>0</v>
      </c>
    </row>
    <row r="414" spans="1:58">
      <c r="A414" s="9">
        <v>115</v>
      </c>
      <c r="B414" s="10" t="s">
        <v>76</v>
      </c>
      <c r="C414" s="10" t="s">
        <v>77</v>
      </c>
      <c r="D414" s="20" t="s">
        <v>501</v>
      </c>
      <c r="E414" s="20" t="s">
        <v>727</v>
      </c>
      <c r="F414" s="10" t="s">
        <v>77</v>
      </c>
      <c r="G414" s="20" t="s">
        <v>535</v>
      </c>
      <c r="H414" s="20" t="s">
        <v>727</v>
      </c>
      <c r="I414" s="10" t="s">
        <v>77</v>
      </c>
      <c r="J414" s="20" t="s">
        <v>535</v>
      </c>
      <c r="K414" s="20" t="s">
        <v>727</v>
      </c>
      <c r="L414" s="9" t="s">
        <v>352</v>
      </c>
      <c r="M414" s="9">
        <v>123</v>
      </c>
      <c r="N414" s="9" t="s">
        <v>17</v>
      </c>
      <c r="O414" s="9" t="s">
        <v>354</v>
      </c>
      <c r="P414" s="12">
        <v>38.4</v>
      </c>
      <c r="Q414" s="12" t="s">
        <v>355</v>
      </c>
      <c r="R414" s="9" t="s">
        <v>356</v>
      </c>
      <c r="S414" s="13" t="s">
        <v>684</v>
      </c>
      <c r="T414" s="13" t="s">
        <v>684</v>
      </c>
      <c r="U414" s="14">
        <f t="shared" si="54"/>
        <v>0.90308998699194354</v>
      </c>
      <c r="V414" s="15">
        <v>25</v>
      </c>
      <c r="W414" s="12">
        <v>18.525371999999997</v>
      </c>
      <c r="X414" s="12">
        <v>1</v>
      </c>
      <c r="Y414" s="13" t="s">
        <v>731</v>
      </c>
      <c r="Z414" s="9" t="s">
        <v>417</v>
      </c>
      <c r="AA414" s="10" t="s">
        <v>418</v>
      </c>
      <c r="AB414" s="9" t="s">
        <v>355</v>
      </c>
      <c r="AC414" s="34">
        <v>2620</v>
      </c>
      <c r="AD414" s="14">
        <f t="shared" si="55"/>
        <v>3.4183012913197452</v>
      </c>
      <c r="AE414" s="62" t="s">
        <v>728</v>
      </c>
      <c r="AF414" s="9" t="s">
        <v>408</v>
      </c>
      <c r="AG414" s="18">
        <v>4.5980559999999997</v>
      </c>
      <c r="AH414" s="7">
        <f t="shared" si="56"/>
        <v>0</v>
      </c>
      <c r="AI414" s="7">
        <f t="shared" si="57"/>
        <v>0</v>
      </c>
      <c r="AJ414" s="7">
        <f t="shared" si="58"/>
        <v>0</v>
      </c>
      <c r="AK414" s="7">
        <f t="shared" si="59"/>
        <v>0</v>
      </c>
      <c r="AL414" s="7" t="s">
        <v>4160</v>
      </c>
      <c r="AM414" s="18">
        <f t="shared" si="60"/>
        <v>0.66257425626403132</v>
      </c>
      <c r="AN414" s="18">
        <v>4.5980559999999997</v>
      </c>
      <c r="AO414" s="18">
        <v>-74.075833000000003</v>
      </c>
      <c r="AP414" s="9" t="s">
        <v>363</v>
      </c>
      <c r="AQ414" s="9" t="s">
        <v>355</v>
      </c>
      <c r="AR414" s="15">
        <v>1969</v>
      </c>
      <c r="AS414" s="19" t="s">
        <v>729</v>
      </c>
      <c r="AT414" s="20" t="s">
        <v>730</v>
      </c>
      <c r="AU414" s="40">
        <v>32190</v>
      </c>
      <c r="AV414" s="35">
        <f t="shared" si="61"/>
        <v>4.5077209766856132</v>
      </c>
      <c r="AW414" s="37" t="s">
        <v>366</v>
      </c>
      <c r="AX414" s="40">
        <v>1600</v>
      </c>
      <c r="AY414" s="40">
        <v>3600</v>
      </c>
      <c r="AZ414" s="15">
        <v>33</v>
      </c>
      <c r="BA414" s="14">
        <f t="shared" si="62"/>
        <v>1.5185139398778875</v>
      </c>
      <c r="BB414" s="37" t="s">
        <v>367</v>
      </c>
      <c r="BC414" s="20">
        <v>4.4689875950380629E-3</v>
      </c>
      <c r="BD414" s="9">
        <v>18</v>
      </c>
      <c r="BE414" s="9" t="s">
        <v>368</v>
      </c>
      <c r="BF414" s="9">
        <v>0</v>
      </c>
    </row>
    <row r="415" spans="1:58">
      <c r="A415" s="9">
        <v>114</v>
      </c>
      <c r="B415" s="10" t="s">
        <v>76</v>
      </c>
      <c r="C415" s="10" t="s">
        <v>77</v>
      </c>
      <c r="D415" s="20" t="s">
        <v>501</v>
      </c>
      <c r="E415" s="20" t="s">
        <v>727</v>
      </c>
      <c r="F415" s="10" t="s">
        <v>77</v>
      </c>
      <c r="G415" s="20" t="s">
        <v>535</v>
      </c>
      <c r="H415" s="20" t="s">
        <v>727</v>
      </c>
      <c r="I415" s="10" t="s">
        <v>77</v>
      </c>
      <c r="J415" s="20" t="s">
        <v>535</v>
      </c>
      <c r="K415" s="20" t="s">
        <v>727</v>
      </c>
      <c r="L415" s="9" t="s">
        <v>352</v>
      </c>
      <c r="M415" s="9">
        <v>149</v>
      </c>
      <c r="N415" s="9" t="s">
        <v>17</v>
      </c>
      <c r="O415" s="9" t="s">
        <v>354</v>
      </c>
      <c r="P415" s="12">
        <v>38.6</v>
      </c>
      <c r="Q415" s="12" t="s">
        <v>355</v>
      </c>
      <c r="R415" s="9" t="s">
        <v>356</v>
      </c>
      <c r="S415" s="13" t="s">
        <v>684</v>
      </c>
      <c r="T415" s="13" t="s">
        <v>684</v>
      </c>
      <c r="U415" s="14">
        <f t="shared" si="54"/>
        <v>0.90308998699194354</v>
      </c>
      <c r="V415" s="15">
        <v>25</v>
      </c>
      <c r="W415" s="12">
        <v>18.725372</v>
      </c>
      <c r="X415" s="12">
        <v>1</v>
      </c>
      <c r="Y415" s="13" t="s">
        <v>358</v>
      </c>
      <c r="Z415" s="9" t="s">
        <v>417</v>
      </c>
      <c r="AA415" s="10" t="s">
        <v>418</v>
      </c>
      <c r="AB415" s="9" t="s">
        <v>355</v>
      </c>
      <c r="AC415" s="34">
        <v>2620</v>
      </c>
      <c r="AD415" s="14">
        <f t="shared" si="55"/>
        <v>3.4183012913197452</v>
      </c>
      <c r="AE415" s="62" t="s">
        <v>728</v>
      </c>
      <c r="AF415" s="9" t="s">
        <v>408</v>
      </c>
      <c r="AG415" s="18">
        <v>4.5980559999999997</v>
      </c>
      <c r="AH415" s="7">
        <f t="shared" si="56"/>
        <v>0</v>
      </c>
      <c r="AI415" s="7">
        <f t="shared" si="57"/>
        <v>0</v>
      </c>
      <c r="AJ415" s="7">
        <f t="shared" si="58"/>
        <v>0</v>
      </c>
      <c r="AK415" s="7">
        <f t="shared" si="59"/>
        <v>0</v>
      </c>
      <c r="AL415" s="7" t="s">
        <v>4160</v>
      </c>
      <c r="AM415" s="18">
        <f t="shared" si="60"/>
        <v>0.66257425626403132</v>
      </c>
      <c r="AN415" s="18">
        <v>4.5980559999999997</v>
      </c>
      <c r="AO415" s="18">
        <v>-74.075833000000003</v>
      </c>
      <c r="AP415" s="9" t="s">
        <v>363</v>
      </c>
      <c r="AQ415" s="9" t="s">
        <v>355</v>
      </c>
      <c r="AR415" s="15">
        <v>1969</v>
      </c>
      <c r="AS415" s="19" t="s">
        <v>729</v>
      </c>
      <c r="AT415" s="20" t="s">
        <v>730</v>
      </c>
      <c r="AU415" s="40">
        <v>32190</v>
      </c>
      <c r="AV415" s="35">
        <f t="shared" si="61"/>
        <v>4.5077209766856132</v>
      </c>
      <c r="AW415" s="37" t="s">
        <v>366</v>
      </c>
      <c r="AX415" s="40">
        <v>1600</v>
      </c>
      <c r="AY415" s="40">
        <v>3600</v>
      </c>
      <c r="AZ415" s="15">
        <v>33</v>
      </c>
      <c r="BA415" s="14">
        <f t="shared" si="62"/>
        <v>1.5185139398778875</v>
      </c>
      <c r="BB415" s="37" t="s">
        <v>367</v>
      </c>
      <c r="BC415" s="20">
        <v>4.4689875950380629E-3</v>
      </c>
      <c r="BD415" s="9">
        <v>18</v>
      </c>
      <c r="BE415" s="9" t="s">
        <v>368</v>
      </c>
      <c r="BF415" s="9">
        <v>0</v>
      </c>
    </row>
    <row r="416" spans="1:58">
      <c r="A416" s="9">
        <v>100</v>
      </c>
      <c r="B416" s="10" t="s">
        <v>76</v>
      </c>
      <c r="C416" s="10" t="s">
        <v>426</v>
      </c>
      <c r="D416" s="20" t="s">
        <v>463</v>
      </c>
      <c r="E416" s="20" t="s">
        <v>733</v>
      </c>
      <c r="F416" s="10" t="s">
        <v>426</v>
      </c>
      <c r="G416" s="20" t="s">
        <v>463</v>
      </c>
      <c r="H416" s="20" t="s">
        <v>733</v>
      </c>
      <c r="I416" s="10" t="s">
        <v>465</v>
      </c>
      <c r="J416" s="20" t="s">
        <v>463</v>
      </c>
      <c r="K416" s="20" t="s">
        <v>733</v>
      </c>
      <c r="L416" s="9" t="s">
        <v>352</v>
      </c>
      <c r="M416" s="9">
        <v>26</v>
      </c>
      <c r="N416" s="9" t="s">
        <v>381</v>
      </c>
      <c r="O416" s="9" t="s">
        <v>354</v>
      </c>
      <c r="P416" s="12">
        <v>37</v>
      </c>
      <c r="Q416" s="12" t="s">
        <v>355</v>
      </c>
      <c r="R416" s="50" t="s">
        <v>356</v>
      </c>
      <c r="S416" s="13">
        <v>7</v>
      </c>
      <c r="T416" s="13">
        <v>7</v>
      </c>
      <c r="U416" s="14">
        <f t="shared" si="54"/>
        <v>0.90308998699194354</v>
      </c>
      <c r="V416" s="15">
        <v>22</v>
      </c>
      <c r="W416" s="12">
        <v>6.3717416999999976</v>
      </c>
      <c r="X416" s="12">
        <v>1.75</v>
      </c>
      <c r="Y416" s="13" t="s">
        <v>401</v>
      </c>
      <c r="Z416" s="9" t="s">
        <v>417</v>
      </c>
      <c r="AA416" s="10" t="s">
        <v>734</v>
      </c>
      <c r="AB416" s="9" t="s">
        <v>355</v>
      </c>
      <c r="AC416" s="15">
        <v>15</v>
      </c>
      <c r="AD416" s="14">
        <f t="shared" si="55"/>
        <v>1.1760912590556813</v>
      </c>
      <c r="AE416" s="10" t="s">
        <v>735</v>
      </c>
      <c r="AF416" s="9" t="s">
        <v>408</v>
      </c>
      <c r="AG416" s="18">
        <v>18.402806999999999</v>
      </c>
      <c r="AH416" s="7">
        <f t="shared" si="56"/>
        <v>1</v>
      </c>
      <c r="AI416" s="7">
        <f t="shared" si="57"/>
        <v>0</v>
      </c>
      <c r="AJ416" s="7">
        <f t="shared" si="58"/>
        <v>0</v>
      </c>
      <c r="AK416" s="7">
        <f t="shared" si="59"/>
        <v>0</v>
      </c>
      <c r="AL416" s="7" t="s">
        <v>4159</v>
      </c>
      <c r="AM416" s="18">
        <f t="shared" si="60"/>
        <v>1.2648840714678709</v>
      </c>
      <c r="AN416" s="18">
        <v>18.402806999999999</v>
      </c>
      <c r="AO416" s="18">
        <v>-66.050137000000007</v>
      </c>
      <c r="AP416" s="9" t="s">
        <v>363</v>
      </c>
      <c r="AQ416" s="9" t="s">
        <v>355</v>
      </c>
      <c r="AR416" s="15">
        <v>1965</v>
      </c>
      <c r="AS416" s="19" t="s">
        <v>736</v>
      </c>
      <c r="AT416" s="20" t="s">
        <v>737</v>
      </c>
      <c r="AU416" s="40">
        <v>2117</v>
      </c>
      <c r="AV416" s="35">
        <f t="shared" si="61"/>
        <v>3.325720858019412</v>
      </c>
      <c r="AW416" s="37" t="s">
        <v>366</v>
      </c>
      <c r="AX416" s="40">
        <v>273</v>
      </c>
      <c r="AY416" s="40">
        <v>1182</v>
      </c>
      <c r="AZ416" s="15">
        <v>33</v>
      </c>
      <c r="BA416" s="14">
        <f t="shared" si="62"/>
        <v>1.5185139398778875</v>
      </c>
      <c r="BB416" s="37" t="s">
        <v>367</v>
      </c>
      <c r="BC416" s="20">
        <v>2.5714285714284572E-3</v>
      </c>
      <c r="BD416" s="9">
        <v>31.3</v>
      </c>
      <c r="BE416" s="9" t="s">
        <v>459</v>
      </c>
      <c r="BF416" s="9">
        <v>1</v>
      </c>
    </row>
    <row r="417" spans="1:58">
      <c r="A417" s="9">
        <v>99</v>
      </c>
      <c r="B417" s="10" t="s">
        <v>76</v>
      </c>
      <c r="C417" s="10" t="s">
        <v>426</v>
      </c>
      <c r="D417" s="20" t="s">
        <v>463</v>
      </c>
      <c r="E417" s="20" t="s">
        <v>733</v>
      </c>
      <c r="F417" s="10" t="s">
        <v>426</v>
      </c>
      <c r="G417" s="20" t="s">
        <v>463</v>
      </c>
      <c r="H417" s="20" t="s">
        <v>733</v>
      </c>
      <c r="I417" s="10" t="s">
        <v>465</v>
      </c>
      <c r="J417" s="20" t="s">
        <v>463</v>
      </c>
      <c r="K417" s="20" t="s">
        <v>733</v>
      </c>
      <c r="L417" s="9" t="s">
        <v>352</v>
      </c>
      <c r="M417" s="9">
        <v>25</v>
      </c>
      <c r="N417" s="9" t="s">
        <v>381</v>
      </c>
      <c r="O417" s="9" t="s">
        <v>354</v>
      </c>
      <c r="P417" s="12">
        <v>36.299999999999997</v>
      </c>
      <c r="Q417" s="12" t="s">
        <v>355</v>
      </c>
      <c r="R417" s="50" t="s">
        <v>356</v>
      </c>
      <c r="S417" s="13">
        <v>7</v>
      </c>
      <c r="T417" s="13">
        <v>7</v>
      </c>
      <c r="U417" s="14">
        <f t="shared" si="54"/>
        <v>0.90308998699194354</v>
      </c>
      <c r="V417" s="15">
        <v>22</v>
      </c>
      <c r="W417" s="12">
        <v>9.1312437999999929</v>
      </c>
      <c r="X417" s="12">
        <v>1.75</v>
      </c>
      <c r="Y417" s="13" t="s">
        <v>401</v>
      </c>
      <c r="Z417" s="9" t="s">
        <v>417</v>
      </c>
      <c r="AA417" s="10" t="s">
        <v>734</v>
      </c>
      <c r="AB417" s="9" t="s">
        <v>355</v>
      </c>
      <c r="AC417" s="15">
        <v>472</v>
      </c>
      <c r="AD417" s="14">
        <f t="shared" si="55"/>
        <v>2.673941998634088</v>
      </c>
      <c r="AE417" s="10" t="s">
        <v>738</v>
      </c>
      <c r="AF417" s="9" t="s">
        <v>408</v>
      </c>
      <c r="AG417" s="18">
        <v>18.295134999999998</v>
      </c>
      <c r="AH417" s="7">
        <f t="shared" si="56"/>
        <v>1</v>
      </c>
      <c r="AI417" s="7">
        <f t="shared" si="57"/>
        <v>0</v>
      </c>
      <c r="AJ417" s="7">
        <f t="shared" si="58"/>
        <v>0</v>
      </c>
      <c r="AK417" s="7">
        <f t="shared" si="59"/>
        <v>0</v>
      </c>
      <c r="AL417" s="7" t="s">
        <v>4159</v>
      </c>
      <c r="AM417" s="18">
        <f t="shared" si="60"/>
        <v>1.2623356184981518</v>
      </c>
      <c r="AN417" s="18">
        <v>18.295134999999998</v>
      </c>
      <c r="AO417" s="18">
        <v>-65.800032999999999</v>
      </c>
      <c r="AP417" s="9" t="s">
        <v>363</v>
      </c>
      <c r="AQ417" s="9" t="s">
        <v>355</v>
      </c>
      <c r="AR417" s="15">
        <v>1965</v>
      </c>
      <c r="AS417" s="19" t="s">
        <v>736</v>
      </c>
      <c r="AT417" s="20" t="s">
        <v>737</v>
      </c>
      <c r="AU417" s="40">
        <v>2117</v>
      </c>
      <c r="AV417" s="35">
        <f t="shared" si="61"/>
        <v>3.325720858019412</v>
      </c>
      <c r="AW417" s="37" t="s">
        <v>366</v>
      </c>
      <c r="AX417" s="40">
        <v>273</v>
      </c>
      <c r="AY417" s="40">
        <v>1182</v>
      </c>
      <c r="AZ417" s="15">
        <v>33</v>
      </c>
      <c r="BA417" s="14">
        <f t="shared" si="62"/>
        <v>1.5185139398778875</v>
      </c>
      <c r="BB417" s="37" t="s">
        <v>367</v>
      </c>
      <c r="BC417" s="20">
        <v>7.8931572629052822E-3</v>
      </c>
      <c r="BD417" s="9">
        <v>27.200000000000003</v>
      </c>
      <c r="BE417" s="9" t="s">
        <v>459</v>
      </c>
      <c r="BF417" s="9">
        <v>1</v>
      </c>
    </row>
    <row r="418" spans="1:58">
      <c r="A418" s="9">
        <v>98</v>
      </c>
      <c r="B418" s="10" t="s">
        <v>76</v>
      </c>
      <c r="C418" s="10" t="s">
        <v>426</v>
      </c>
      <c r="D418" s="20" t="s">
        <v>463</v>
      </c>
      <c r="E418" s="20" t="s">
        <v>739</v>
      </c>
      <c r="F418" s="10" t="s">
        <v>426</v>
      </c>
      <c r="G418" s="20" t="s">
        <v>463</v>
      </c>
      <c r="H418" s="20" t="s">
        <v>739</v>
      </c>
      <c r="I418" s="10" t="s">
        <v>465</v>
      </c>
      <c r="J418" s="20" t="s">
        <v>463</v>
      </c>
      <c r="K418" s="20" t="s">
        <v>739</v>
      </c>
      <c r="L418" s="9" t="s">
        <v>352</v>
      </c>
      <c r="M418" s="9">
        <v>25</v>
      </c>
      <c r="N418" s="9" t="s">
        <v>381</v>
      </c>
      <c r="O418" s="9" t="s">
        <v>354</v>
      </c>
      <c r="P418" s="12">
        <v>34.5</v>
      </c>
      <c r="Q418" s="12" t="s">
        <v>355</v>
      </c>
      <c r="R418" s="50" t="s">
        <v>356</v>
      </c>
      <c r="S418" s="13">
        <v>7</v>
      </c>
      <c r="T418" s="13">
        <v>7</v>
      </c>
      <c r="U418" s="14">
        <f t="shared" si="54"/>
        <v>0.90308998699194354</v>
      </c>
      <c r="V418" s="15">
        <v>22</v>
      </c>
      <c r="W418" s="12">
        <v>7.3312437999999958</v>
      </c>
      <c r="X418" s="12">
        <v>1.75</v>
      </c>
      <c r="Y418" s="13" t="s">
        <v>401</v>
      </c>
      <c r="Z418" s="9" t="s">
        <v>417</v>
      </c>
      <c r="AA418" s="10" t="s">
        <v>734</v>
      </c>
      <c r="AB418" s="9" t="s">
        <v>355</v>
      </c>
      <c r="AC418" s="15">
        <v>472</v>
      </c>
      <c r="AD418" s="14">
        <f t="shared" si="55"/>
        <v>2.673941998634088</v>
      </c>
      <c r="AE418" s="10" t="s">
        <v>738</v>
      </c>
      <c r="AF418" s="9" t="s">
        <v>408</v>
      </c>
      <c r="AG418" s="18">
        <v>18.295134999999998</v>
      </c>
      <c r="AH418" s="7">
        <f t="shared" si="56"/>
        <v>1</v>
      </c>
      <c r="AI418" s="7">
        <f t="shared" si="57"/>
        <v>0</v>
      </c>
      <c r="AJ418" s="7">
        <f t="shared" si="58"/>
        <v>0</v>
      </c>
      <c r="AK418" s="7">
        <f t="shared" si="59"/>
        <v>0</v>
      </c>
      <c r="AL418" s="7" t="s">
        <v>4159</v>
      </c>
      <c r="AM418" s="18">
        <f t="shared" si="60"/>
        <v>1.2623356184981518</v>
      </c>
      <c r="AN418" s="18">
        <v>18.295134999999998</v>
      </c>
      <c r="AO418" s="18">
        <v>-65.800032999999999</v>
      </c>
      <c r="AP418" s="9" t="s">
        <v>363</v>
      </c>
      <c r="AQ418" s="9" t="s">
        <v>355</v>
      </c>
      <c r="AR418" s="15">
        <v>1965</v>
      </c>
      <c r="AS418" s="19" t="s">
        <v>736</v>
      </c>
      <c r="AT418" s="20" t="s">
        <v>737</v>
      </c>
      <c r="AU418" s="40">
        <v>291</v>
      </c>
      <c r="AV418" s="35">
        <f t="shared" si="61"/>
        <v>2.4638929889859074</v>
      </c>
      <c r="AW418" s="37" t="s">
        <v>366</v>
      </c>
      <c r="AX418" s="40">
        <v>40</v>
      </c>
      <c r="AY418" s="40">
        <v>1152</v>
      </c>
      <c r="AZ418" s="15">
        <v>33</v>
      </c>
      <c r="BA418" s="14">
        <f t="shared" si="62"/>
        <v>1.5185139398778875</v>
      </c>
      <c r="BB418" s="37" t="s">
        <v>367</v>
      </c>
      <c r="BC418" s="20">
        <v>7.8931572629052822E-3</v>
      </c>
      <c r="BD418" s="9">
        <v>27.200000000000003</v>
      </c>
      <c r="BE418" s="9" t="s">
        <v>459</v>
      </c>
      <c r="BF418" s="9">
        <v>1</v>
      </c>
    </row>
    <row r="419" spans="1:58">
      <c r="A419" s="9">
        <v>178</v>
      </c>
      <c r="B419" s="10" t="s">
        <v>348</v>
      </c>
      <c r="C419" s="10" t="s">
        <v>349</v>
      </c>
      <c r="D419" s="20" t="s">
        <v>740</v>
      </c>
      <c r="E419" s="20" t="s">
        <v>741</v>
      </c>
      <c r="F419" s="10" t="s">
        <v>349</v>
      </c>
      <c r="G419" s="20" t="s">
        <v>740</v>
      </c>
      <c r="H419" s="20" t="s">
        <v>741</v>
      </c>
      <c r="I419" s="10" t="s">
        <v>349</v>
      </c>
      <c r="J419" s="20" t="s">
        <v>740</v>
      </c>
      <c r="K419" s="20" t="s">
        <v>742</v>
      </c>
      <c r="L419" s="9" t="s">
        <v>352</v>
      </c>
      <c r="M419" s="9">
        <v>2</v>
      </c>
      <c r="N419" s="9" t="s">
        <v>353</v>
      </c>
      <c r="O419" s="9" t="s">
        <v>354</v>
      </c>
      <c r="P419" s="12">
        <v>30.3</v>
      </c>
      <c r="Q419" s="12" t="s">
        <v>355</v>
      </c>
      <c r="R419" s="9" t="s">
        <v>356</v>
      </c>
      <c r="S419" s="13">
        <v>7</v>
      </c>
      <c r="T419" s="13">
        <v>7</v>
      </c>
      <c r="U419" s="14">
        <f t="shared" si="54"/>
        <v>0.90308998699194354</v>
      </c>
      <c r="V419" s="15">
        <v>13.5</v>
      </c>
      <c r="W419" s="12">
        <v>2.3496528000000012</v>
      </c>
      <c r="X419" s="12" t="s">
        <v>355</v>
      </c>
      <c r="Y419" s="13" t="s">
        <v>355</v>
      </c>
      <c r="Z419" s="9" t="s">
        <v>359</v>
      </c>
      <c r="AA419" s="10" t="s">
        <v>372</v>
      </c>
      <c r="AB419" s="9" t="s">
        <v>355</v>
      </c>
      <c r="AC419" s="43">
        <v>1017</v>
      </c>
      <c r="AD419" s="14">
        <f t="shared" si="55"/>
        <v>3.0073209529227447</v>
      </c>
      <c r="AE419" s="10" t="s">
        <v>355</v>
      </c>
      <c r="AF419" s="44" t="s">
        <v>362</v>
      </c>
      <c r="AG419" s="18">
        <v>41.129328000000001</v>
      </c>
      <c r="AH419" s="7">
        <f t="shared" si="56"/>
        <v>1</v>
      </c>
      <c r="AI419" s="7">
        <f t="shared" si="57"/>
        <v>1</v>
      </c>
      <c r="AJ419" s="7">
        <f t="shared" si="58"/>
        <v>0</v>
      </c>
      <c r="AK419" s="7">
        <f t="shared" si="59"/>
        <v>0</v>
      </c>
      <c r="AL419" s="7" t="s">
        <v>4157</v>
      </c>
      <c r="AM419" s="18">
        <f t="shared" si="60"/>
        <v>1.614151613757266</v>
      </c>
      <c r="AN419" s="45">
        <v>41.129328000000001</v>
      </c>
      <c r="AO419" s="45">
        <v>-123.217163</v>
      </c>
      <c r="AP419" s="9" t="s">
        <v>363</v>
      </c>
      <c r="AQ419" s="9" t="s">
        <v>403</v>
      </c>
      <c r="AR419" s="15">
        <v>1963</v>
      </c>
      <c r="AS419" s="19" t="s">
        <v>709</v>
      </c>
      <c r="AT419" s="20" t="s">
        <v>710</v>
      </c>
      <c r="AU419" s="34">
        <v>325029</v>
      </c>
      <c r="AV419" s="35">
        <f t="shared" si="61"/>
        <v>5.5119221116807156</v>
      </c>
      <c r="AW419" s="36" t="s">
        <v>366</v>
      </c>
      <c r="AX419" s="34">
        <v>0</v>
      </c>
      <c r="AY419" s="34">
        <v>2350</v>
      </c>
      <c r="AZ419" s="15">
        <v>78</v>
      </c>
      <c r="BA419" s="14">
        <f t="shared" si="62"/>
        <v>1.8920946026904804</v>
      </c>
      <c r="BB419" s="36" t="s">
        <v>367</v>
      </c>
      <c r="BC419" s="20">
        <v>4.3105242096841611E-3</v>
      </c>
      <c r="BD419" s="9">
        <v>29.700000000000003</v>
      </c>
      <c r="BE419" s="9" t="s">
        <v>368</v>
      </c>
      <c r="BF419" s="9">
        <v>0</v>
      </c>
    </row>
    <row r="420" spans="1:58">
      <c r="A420" s="9">
        <v>67</v>
      </c>
      <c r="B420" s="10" t="s">
        <v>348</v>
      </c>
      <c r="C420" s="10" t="s">
        <v>349</v>
      </c>
      <c r="D420" s="20" t="s">
        <v>393</v>
      </c>
      <c r="E420" s="20" t="s">
        <v>394</v>
      </c>
      <c r="F420" s="10" t="s">
        <v>349</v>
      </c>
      <c r="G420" s="20" t="s">
        <v>393</v>
      </c>
      <c r="H420" s="20" t="s">
        <v>394</v>
      </c>
      <c r="I420" s="10" t="s">
        <v>349</v>
      </c>
      <c r="J420" s="20" t="s">
        <v>393</v>
      </c>
      <c r="K420" s="20" t="s">
        <v>394</v>
      </c>
      <c r="L420" s="9" t="s">
        <v>352</v>
      </c>
      <c r="M420" s="9">
        <v>7</v>
      </c>
      <c r="N420" s="9" t="s">
        <v>353</v>
      </c>
      <c r="O420" s="9" t="s">
        <v>354</v>
      </c>
      <c r="P420" s="12">
        <v>35.200000000000003</v>
      </c>
      <c r="Q420" s="9" t="s">
        <v>355</v>
      </c>
      <c r="R420" s="9" t="s">
        <v>356</v>
      </c>
      <c r="S420" s="13">
        <v>7</v>
      </c>
      <c r="T420" s="13">
        <v>7</v>
      </c>
      <c r="U420" s="14">
        <f t="shared" si="54"/>
        <v>0.90308998699194354</v>
      </c>
      <c r="V420" s="15">
        <v>25</v>
      </c>
      <c r="W420" s="12">
        <v>5.8750247999999985</v>
      </c>
      <c r="X420" s="12">
        <v>0.75</v>
      </c>
      <c r="Y420" s="13" t="s">
        <v>358</v>
      </c>
      <c r="Z420" s="9" t="s">
        <v>359</v>
      </c>
      <c r="AA420" s="10" t="s">
        <v>372</v>
      </c>
      <c r="AB420" s="9" t="s">
        <v>355</v>
      </c>
      <c r="AC420" s="15">
        <v>336</v>
      </c>
      <c r="AD420" s="14">
        <f t="shared" si="55"/>
        <v>2.5263392773898441</v>
      </c>
      <c r="AE420" s="10" t="s">
        <v>361</v>
      </c>
      <c r="AF420" s="9" t="s">
        <v>362</v>
      </c>
      <c r="AG420" s="18">
        <v>39.777825</v>
      </c>
      <c r="AH420" s="7">
        <f t="shared" si="56"/>
        <v>1</v>
      </c>
      <c r="AI420" s="7">
        <f t="shared" si="57"/>
        <v>1</v>
      </c>
      <c r="AJ420" s="7">
        <f t="shared" si="58"/>
        <v>0</v>
      </c>
      <c r="AK420" s="7">
        <f t="shared" si="59"/>
        <v>0</v>
      </c>
      <c r="AL420" s="7" t="s">
        <v>4157</v>
      </c>
      <c r="AM420" s="18">
        <f t="shared" si="60"/>
        <v>1.5996410327773016</v>
      </c>
      <c r="AN420" s="18">
        <v>39.777825</v>
      </c>
      <c r="AO420" s="18">
        <v>-84.689750000000004</v>
      </c>
      <c r="AP420" s="9" t="s">
        <v>363</v>
      </c>
      <c r="AQ420" s="9" t="s">
        <v>355</v>
      </c>
      <c r="AR420" s="15">
        <v>1982</v>
      </c>
      <c r="AS420" s="19" t="s">
        <v>395</v>
      </c>
      <c r="AT420" s="20" t="s">
        <v>396</v>
      </c>
      <c r="AU420" s="34">
        <v>1195927</v>
      </c>
      <c r="AV420" s="35">
        <f t="shared" si="61"/>
        <v>6.0777046709025946</v>
      </c>
      <c r="AW420" s="36" t="s">
        <v>366</v>
      </c>
      <c r="AX420" s="34" t="s">
        <v>355</v>
      </c>
      <c r="AY420" s="34" t="s">
        <v>355</v>
      </c>
      <c r="AZ420" s="15">
        <v>78</v>
      </c>
      <c r="BA420" s="14">
        <f t="shared" si="62"/>
        <v>1.8920946026904804</v>
      </c>
      <c r="BB420" s="36" t="s">
        <v>367</v>
      </c>
      <c r="BC420" s="20">
        <v>3.4313725490200848E-3</v>
      </c>
      <c r="BD420" s="9">
        <v>29.200000000000003</v>
      </c>
      <c r="BE420" s="9" t="s">
        <v>368</v>
      </c>
      <c r="BF420" s="9">
        <v>0</v>
      </c>
    </row>
    <row r="421" spans="1:58">
      <c r="A421" s="9">
        <v>62</v>
      </c>
      <c r="B421" s="10" t="s">
        <v>348</v>
      </c>
      <c r="C421" s="10" t="s">
        <v>349</v>
      </c>
      <c r="D421" s="20" t="s">
        <v>393</v>
      </c>
      <c r="E421" s="20" t="s">
        <v>394</v>
      </c>
      <c r="F421" s="10" t="s">
        <v>349</v>
      </c>
      <c r="G421" s="20" t="s">
        <v>393</v>
      </c>
      <c r="H421" s="20" t="s">
        <v>394</v>
      </c>
      <c r="I421" s="10" t="s">
        <v>349</v>
      </c>
      <c r="J421" s="20" t="s">
        <v>393</v>
      </c>
      <c r="K421" s="20" t="s">
        <v>394</v>
      </c>
      <c r="L421" s="9" t="s">
        <v>352</v>
      </c>
      <c r="M421" s="9">
        <v>7</v>
      </c>
      <c r="N421" s="9" t="s">
        <v>353</v>
      </c>
      <c r="O421" s="9" t="s">
        <v>354</v>
      </c>
      <c r="P421" s="12">
        <v>35.4</v>
      </c>
      <c r="Q421" s="9" t="s">
        <v>355</v>
      </c>
      <c r="R421" s="9" t="s">
        <v>356</v>
      </c>
      <c r="S421" s="13">
        <v>7</v>
      </c>
      <c r="T421" s="13">
        <v>7</v>
      </c>
      <c r="U421" s="14">
        <f t="shared" si="54"/>
        <v>0.90308998699194354</v>
      </c>
      <c r="V421" s="15">
        <v>25</v>
      </c>
      <c r="W421" s="12">
        <v>6.0750247999999942</v>
      </c>
      <c r="X421" s="12">
        <v>0.75</v>
      </c>
      <c r="Y421" s="13" t="s">
        <v>358</v>
      </c>
      <c r="Z421" s="9" t="s">
        <v>359</v>
      </c>
      <c r="AA421" s="10" t="s">
        <v>372</v>
      </c>
      <c r="AB421" s="9" t="s">
        <v>355</v>
      </c>
      <c r="AC421" s="15">
        <v>336</v>
      </c>
      <c r="AD421" s="14">
        <f t="shared" si="55"/>
        <v>2.5263392773898441</v>
      </c>
      <c r="AE421" s="10" t="s">
        <v>361</v>
      </c>
      <c r="AF421" s="9" t="s">
        <v>362</v>
      </c>
      <c r="AG421" s="18">
        <v>39.777825</v>
      </c>
      <c r="AH421" s="7">
        <f t="shared" si="56"/>
        <v>1</v>
      </c>
      <c r="AI421" s="7">
        <f t="shared" si="57"/>
        <v>1</v>
      </c>
      <c r="AJ421" s="7">
        <f t="shared" si="58"/>
        <v>0</v>
      </c>
      <c r="AK421" s="7">
        <f t="shared" si="59"/>
        <v>0</v>
      </c>
      <c r="AL421" s="7" t="s">
        <v>4157</v>
      </c>
      <c r="AM421" s="18">
        <f t="shared" si="60"/>
        <v>1.5996410327773016</v>
      </c>
      <c r="AN421" s="18">
        <v>39.777825</v>
      </c>
      <c r="AO421" s="18">
        <v>-84.689750000000004</v>
      </c>
      <c r="AP421" s="9" t="s">
        <v>363</v>
      </c>
      <c r="AQ421" s="9" t="s">
        <v>355</v>
      </c>
      <c r="AR421" s="15">
        <v>1982</v>
      </c>
      <c r="AS421" s="19" t="s">
        <v>395</v>
      </c>
      <c r="AT421" s="20" t="s">
        <v>396</v>
      </c>
      <c r="AU421" s="34">
        <v>1195927</v>
      </c>
      <c r="AV421" s="35">
        <f t="shared" si="61"/>
        <v>6.0777046709025946</v>
      </c>
      <c r="AW421" s="36" t="s">
        <v>366</v>
      </c>
      <c r="AX421" s="34" t="s">
        <v>355</v>
      </c>
      <c r="AY421" s="34" t="s">
        <v>355</v>
      </c>
      <c r="AZ421" s="15">
        <v>78</v>
      </c>
      <c r="BA421" s="14">
        <f t="shared" si="62"/>
        <v>1.8920946026904804</v>
      </c>
      <c r="BB421" s="36" t="s">
        <v>367</v>
      </c>
      <c r="BC421" s="20">
        <v>3.4313725490200848E-3</v>
      </c>
      <c r="BD421" s="9">
        <v>29.200000000000003</v>
      </c>
      <c r="BE421" s="9" t="s">
        <v>368</v>
      </c>
      <c r="BF421" s="9">
        <v>0</v>
      </c>
    </row>
    <row r="422" spans="1:58">
      <c r="A422" s="9">
        <v>561</v>
      </c>
      <c r="B422" s="10" t="s">
        <v>76</v>
      </c>
      <c r="C422" s="10" t="s">
        <v>582</v>
      </c>
      <c r="D422" s="20" t="s">
        <v>743</v>
      </c>
      <c r="E422" s="20" t="s">
        <v>744</v>
      </c>
      <c r="F422" s="20" t="s">
        <v>369</v>
      </c>
      <c r="G422" s="20" t="s">
        <v>743</v>
      </c>
      <c r="H422" s="20" t="s">
        <v>744</v>
      </c>
      <c r="I422" s="45" t="s">
        <v>582</v>
      </c>
      <c r="J422" s="20" t="s">
        <v>743</v>
      </c>
      <c r="K422" s="20" t="s">
        <v>744</v>
      </c>
      <c r="L422" s="9" t="s">
        <v>352</v>
      </c>
      <c r="M422" s="9">
        <v>5</v>
      </c>
      <c r="N422" s="9" t="s">
        <v>353</v>
      </c>
      <c r="O422" s="9" t="s">
        <v>354</v>
      </c>
      <c r="P422" s="12">
        <v>42.1</v>
      </c>
      <c r="Q422" s="12" t="s">
        <v>355</v>
      </c>
      <c r="R422" s="9" t="s">
        <v>356</v>
      </c>
      <c r="S422" s="13">
        <v>7</v>
      </c>
      <c r="T422" s="13">
        <v>7</v>
      </c>
      <c r="U422" s="14">
        <f t="shared" si="54"/>
        <v>0.90308998699194354</v>
      </c>
      <c r="V422" s="15">
        <v>25</v>
      </c>
      <c r="W422" s="12">
        <v>10.243681799999997</v>
      </c>
      <c r="X422" s="12">
        <v>0.3</v>
      </c>
      <c r="Y422" s="13" t="s">
        <v>358</v>
      </c>
      <c r="Z422" s="9" t="s">
        <v>417</v>
      </c>
      <c r="AA422" s="10" t="s">
        <v>418</v>
      </c>
      <c r="AB422" s="9" t="s">
        <v>355</v>
      </c>
      <c r="AC422" s="15">
        <v>1</v>
      </c>
      <c r="AD422" s="14">
        <f t="shared" si="55"/>
        <v>0</v>
      </c>
      <c r="AE422" s="10" t="s">
        <v>745</v>
      </c>
      <c r="AF422" s="9" t="s">
        <v>408</v>
      </c>
      <c r="AG422" s="18">
        <v>5.4669189999999999</v>
      </c>
      <c r="AH422" s="7">
        <f t="shared" si="56"/>
        <v>0</v>
      </c>
      <c r="AI422" s="7">
        <f t="shared" si="57"/>
        <v>0</v>
      </c>
      <c r="AJ422" s="7">
        <f t="shared" si="58"/>
        <v>0</v>
      </c>
      <c r="AK422" s="7">
        <f t="shared" si="59"/>
        <v>0</v>
      </c>
      <c r="AL422" s="7" t="s">
        <v>4160</v>
      </c>
      <c r="AM422" s="18">
        <f t="shared" si="60"/>
        <v>0.73774263926312522</v>
      </c>
      <c r="AN422" s="18">
        <v>-5.4669189999999999</v>
      </c>
      <c r="AO422" s="18">
        <v>123.75922199999999</v>
      </c>
      <c r="AP422" s="9" t="s">
        <v>363</v>
      </c>
      <c r="AQ422" s="9" t="s">
        <v>355</v>
      </c>
      <c r="AR422" s="15">
        <v>2012</v>
      </c>
      <c r="AS422" s="19" t="s">
        <v>746</v>
      </c>
      <c r="AT422" s="20" t="s">
        <v>747</v>
      </c>
      <c r="AU422" s="40">
        <v>1352649</v>
      </c>
      <c r="AV422" s="35">
        <f t="shared" si="61"/>
        <v>6.1311851157849953</v>
      </c>
      <c r="AW422" s="37" t="s">
        <v>338</v>
      </c>
      <c r="AX422" s="34" t="s">
        <v>355</v>
      </c>
      <c r="AY422" s="40">
        <v>50</v>
      </c>
      <c r="AZ422" s="15">
        <v>113</v>
      </c>
      <c r="BA422" s="14">
        <f t="shared" si="62"/>
        <v>2.0530784434834195</v>
      </c>
      <c r="BB422" s="37" t="s">
        <v>388</v>
      </c>
      <c r="BC422" s="20"/>
      <c r="BD422" s="9">
        <v>32.200000000000003</v>
      </c>
      <c r="BE422" s="9" t="s">
        <v>368</v>
      </c>
      <c r="BF422" s="9">
        <v>0</v>
      </c>
    </row>
    <row r="423" spans="1:58">
      <c r="A423" s="9">
        <v>644</v>
      </c>
      <c r="B423" s="10" t="s">
        <v>76</v>
      </c>
      <c r="C423" s="10" t="s">
        <v>77</v>
      </c>
      <c r="D423" s="20" t="s">
        <v>501</v>
      </c>
      <c r="E423" s="20" t="s">
        <v>748</v>
      </c>
      <c r="F423" s="10" t="s">
        <v>77</v>
      </c>
      <c r="G423" s="20" t="s">
        <v>501</v>
      </c>
      <c r="H423" s="20" t="s">
        <v>748</v>
      </c>
      <c r="I423" s="10" t="s">
        <v>77</v>
      </c>
      <c r="J423" s="20" t="s">
        <v>501</v>
      </c>
      <c r="K423" s="20" t="s">
        <v>748</v>
      </c>
      <c r="L423" s="9" t="s">
        <v>352</v>
      </c>
      <c r="M423" s="9">
        <v>6</v>
      </c>
      <c r="N423" s="9" t="s">
        <v>353</v>
      </c>
      <c r="O423" s="9" t="s">
        <v>354</v>
      </c>
      <c r="P423" s="12">
        <v>40.200000000000003</v>
      </c>
      <c r="Q423" s="12" t="s">
        <v>355</v>
      </c>
      <c r="R423" s="9" t="s">
        <v>356</v>
      </c>
      <c r="S423" s="13" t="s">
        <v>684</v>
      </c>
      <c r="T423" s="13" t="s">
        <v>684</v>
      </c>
      <c r="U423" s="14">
        <f t="shared" si="54"/>
        <v>0.90308998699194354</v>
      </c>
      <c r="V423" s="15">
        <v>21.5</v>
      </c>
      <c r="W423" s="12">
        <v>11.337413200000004</v>
      </c>
      <c r="X423" s="12">
        <v>1</v>
      </c>
      <c r="Y423" s="13" t="s">
        <v>355</v>
      </c>
      <c r="Z423" s="9" t="s">
        <v>359</v>
      </c>
      <c r="AA423" s="10" t="s">
        <v>372</v>
      </c>
      <c r="AB423" s="9" t="s">
        <v>355</v>
      </c>
      <c r="AC423" s="15">
        <v>24</v>
      </c>
      <c r="AD423" s="14">
        <f t="shared" si="55"/>
        <v>1.3802112417116059</v>
      </c>
      <c r="AE423" s="10" t="s">
        <v>749</v>
      </c>
      <c r="AF423" s="9" t="s">
        <v>362</v>
      </c>
      <c r="AG423" s="18">
        <v>39.965254999999999</v>
      </c>
      <c r="AH423" s="7">
        <f t="shared" si="56"/>
        <v>1</v>
      </c>
      <c r="AI423" s="7">
        <f t="shared" si="57"/>
        <v>1</v>
      </c>
      <c r="AJ423" s="7">
        <f t="shared" si="58"/>
        <v>0</v>
      </c>
      <c r="AK423" s="7">
        <f t="shared" si="59"/>
        <v>0</v>
      </c>
      <c r="AL423" s="7" t="s">
        <v>4157</v>
      </c>
      <c r="AM423" s="18">
        <f t="shared" si="60"/>
        <v>1.601682588349048</v>
      </c>
      <c r="AN423" s="18">
        <v>39.965254999999999</v>
      </c>
      <c r="AO423" s="18">
        <v>-74.311820999999995</v>
      </c>
      <c r="AP423" s="9" t="s">
        <v>363</v>
      </c>
      <c r="AQ423" s="9" t="s">
        <v>355</v>
      </c>
      <c r="AR423" s="15">
        <v>1988</v>
      </c>
      <c r="AS423" s="19" t="s">
        <v>694</v>
      </c>
      <c r="AT423" s="20" t="s">
        <v>695</v>
      </c>
      <c r="AU423" s="40">
        <v>67734</v>
      </c>
      <c r="AV423" s="35">
        <f t="shared" si="61"/>
        <v>4.8308067234231702</v>
      </c>
      <c r="AW423" s="37" t="s">
        <v>366</v>
      </c>
      <c r="AX423" s="34" t="s">
        <v>355</v>
      </c>
      <c r="AY423" s="40" t="s">
        <v>355</v>
      </c>
      <c r="AZ423" s="15">
        <v>33</v>
      </c>
      <c r="BA423" s="14">
        <f t="shared" si="62"/>
        <v>1.5185139398778875</v>
      </c>
      <c r="BB423" s="37" t="s">
        <v>472</v>
      </c>
      <c r="BC423" s="20">
        <v>2.2801920768307712E-2</v>
      </c>
      <c r="BD423" s="9">
        <v>29.3</v>
      </c>
      <c r="BE423" s="9" t="s">
        <v>459</v>
      </c>
      <c r="BF423" s="9">
        <v>1</v>
      </c>
    </row>
    <row r="424" spans="1:58">
      <c r="A424" s="9">
        <v>648</v>
      </c>
      <c r="B424" s="10" t="s">
        <v>76</v>
      </c>
      <c r="C424" s="10" t="s">
        <v>77</v>
      </c>
      <c r="D424" s="20" t="s">
        <v>501</v>
      </c>
      <c r="E424" s="20" t="s">
        <v>750</v>
      </c>
      <c r="F424" s="10" t="s">
        <v>77</v>
      </c>
      <c r="G424" s="20" t="s">
        <v>501</v>
      </c>
      <c r="H424" s="20" t="s">
        <v>750</v>
      </c>
      <c r="I424" s="10" t="s">
        <v>77</v>
      </c>
      <c r="J424" s="20" t="s">
        <v>501</v>
      </c>
      <c r="K424" s="20" t="s">
        <v>750</v>
      </c>
      <c r="L424" s="9" t="s">
        <v>352</v>
      </c>
      <c r="M424" s="9">
        <v>4</v>
      </c>
      <c r="N424" s="9" t="s">
        <v>353</v>
      </c>
      <c r="O424" s="9" t="s">
        <v>354</v>
      </c>
      <c r="P424" s="12">
        <v>36.6</v>
      </c>
      <c r="Q424" s="12" t="s">
        <v>355</v>
      </c>
      <c r="R424" s="9" t="s">
        <v>356</v>
      </c>
      <c r="S424" s="13" t="s">
        <v>684</v>
      </c>
      <c r="T424" s="13" t="s">
        <v>684</v>
      </c>
      <c r="U424" s="14">
        <f t="shared" si="54"/>
        <v>0.90308998699194354</v>
      </c>
      <c r="V424" s="15">
        <v>21.5</v>
      </c>
      <c r="W424" s="12">
        <v>4.6998016000000007</v>
      </c>
      <c r="X424" s="12">
        <v>1</v>
      </c>
      <c r="Y424" s="13" t="s">
        <v>355</v>
      </c>
      <c r="Z424" s="9" t="s">
        <v>359</v>
      </c>
      <c r="AA424" s="10" t="s">
        <v>372</v>
      </c>
      <c r="AB424" s="9" t="s">
        <v>355</v>
      </c>
      <c r="AC424" s="15">
        <v>35</v>
      </c>
      <c r="AD424" s="14">
        <f t="shared" si="55"/>
        <v>1.5440680443502757</v>
      </c>
      <c r="AE424" s="10" t="s">
        <v>693</v>
      </c>
      <c r="AF424" s="9" t="s">
        <v>420</v>
      </c>
      <c r="AG424" s="18">
        <v>28.538335</v>
      </c>
      <c r="AH424" s="7">
        <f t="shared" si="56"/>
        <v>1</v>
      </c>
      <c r="AI424" s="7">
        <f t="shared" si="57"/>
        <v>0</v>
      </c>
      <c r="AJ424" s="7">
        <f t="shared" si="58"/>
        <v>0</v>
      </c>
      <c r="AK424" s="7">
        <f t="shared" si="59"/>
        <v>0</v>
      </c>
      <c r="AL424" s="7" t="s">
        <v>4159</v>
      </c>
      <c r="AM424" s="18">
        <f t="shared" si="60"/>
        <v>1.4554286316585956</v>
      </c>
      <c r="AN424" s="18">
        <v>28.538335</v>
      </c>
      <c r="AO424" s="18">
        <v>-81.379236000000006</v>
      </c>
      <c r="AP424" s="9" t="s">
        <v>363</v>
      </c>
      <c r="AQ424" s="9" t="s">
        <v>355</v>
      </c>
      <c r="AR424" s="15">
        <v>1988</v>
      </c>
      <c r="AS424" s="19" t="s">
        <v>694</v>
      </c>
      <c r="AT424" s="20" t="s">
        <v>695</v>
      </c>
      <c r="AU424" s="40">
        <v>1291729</v>
      </c>
      <c r="AV424" s="35">
        <f t="shared" si="61"/>
        <v>6.111171409828108</v>
      </c>
      <c r="AW424" s="37" t="s">
        <v>338</v>
      </c>
      <c r="AX424" s="34" t="s">
        <v>355</v>
      </c>
      <c r="AY424" s="40" t="s">
        <v>355</v>
      </c>
      <c r="AZ424" s="15">
        <v>55</v>
      </c>
      <c r="BA424" s="14">
        <f t="shared" si="62"/>
        <v>1.7403626894942439</v>
      </c>
      <c r="BB424" s="37" t="s">
        <v>388</v>
      </c>
      <c r="BC424" s="20">
        <v>1.7347739095638484E-2</v>
      </c>
      <c r="BD424" s="9">
        <v>32.9</v>
      </c>
      <c r="BE424" s="9" t="s">
        <v>368</v>
      </c>
      <c r="BF424" s="9">
        <v>0</v>
      </c>
    </row>
    <row r="425" spans="1:58">
      <c r="A425" s="9">
        <v>649</v>
      </c>
      <c r="B425" s="10" t="s">
        <v>76</v>
      </c>
      <c r="C425" s="10" t="s">
        <v>77</v>
      </c>
      <c r="D425" s="20" t="s">
        <v>501</v>
      </c>
      <c r="E425" s="20" t="s">
        <v>751</v>
      </c>
      <c r="F425" s="10" t="s">
        <v>77</v>
      </c>
      <c r="G425" s="20" t="s">
        <v>501</v>
      </c>
      <c r="H425" s="20" t="s">
        <v>751</v>
      </c>
      <c r="I425" s="10" t="s">
        <v>77</v>
      </c>
      <c r="J425" s="20" t="s">
        <v>501</v>
      </c>
      <c r="K425" s="20" t="s">
        <v>751</v>
      </c>
      <c r="L425" s="9" t="s">
        <v>352</v>
      </c>
      <c r="M425" s="9">
        <v>5</v>
      </c>
      <c r="N425" s="9" t="s">
        <v>353</v>
      </c>
      <c r="O425" s="9" t="s">
        <v>354</v>
      </c>
      <c r="P425" s="12">
        <v>36.5</v>
      </c>
      <c r="Q425" s="12" t="s">
        <v>355</v>
      </c>
      <c r="R425" s="9" t="s">
        <v>356</v>
      </c>
      <c r="S425" s="13" t="s">
        <v>684</v>
      </c>
      <c r="T425" s="13" t="s">
        <v>684</v>
      </c>
      <c r="U425" s="14">
        <f t="shared" si="54"/>
        <v>0.90308998699194354</v>
      </c>
      <c r="V425" s="15">
        <v>21.5</v>
      </c>
      <c r="W425" s="12">
        <v>4.5998015999999993</v>
      </c>
      <c r="X425" s="12">
        <v>1</v>
      </c>
      <c r="Y425" s="13" t="s">
        <v>355</v>
      </c>
      <c r="Z425" s="9" t="s">
        <v>359</v>
      </c>
      <c r="AA425" s="10" t="s">
        <v>372</v>
      </c>
      <c r="AB425" s="9" t="s">
        <v>355</v>
      </c>
      <c r="AC425" s="15">
        <v>35</v>
      </c>
      <c r="AD425" s="14">
        <f t="shared" si="55"/>
        <v>1.5440680443502757</v>
      </c>
      <c r="AE425" s="10" t="s">
        <v>693</v>
      </c>
      <c r="AF425" s="9" t="s">
        <v>420</v>
      </c>
      <c r="AG425" s="18">
        <v>28.538335</v>
      </c>
      <c r="AH425" s="7">
        <f t="shared" si="56"/>
        <v>1</v>
      </c>
      <c r="AI425" s="7">
        <f t="shared" si="57"/>
        <v>0</v>
      </c>
      <c r="AJ425" s="7">
        <f t="shared" si="58"/>
        <v>0</v>
      </c>
      <c r="AK425" s="7">
        <f t="shared" si="59"/>
        <v>0</v>
      </c>
      <c r="AL425" s="7" t="s">
        <v>4159</v>
      </c>
      <c r="AM425" s="18">
        <f t="shared" si="60"/>
        <v>1.4554286316585956</v>
      </c>
      <c r="AN425" s="18">
        <v>28.538335</v>
      </c>
      <c r="AO425" s="18">
        <v>-81.379236000000006</v>
      </c>
      <c r="AP425" s="9" t="s">
        <v>363</v>
      </c>
      <c r="AQ425" s="9" t="s">
        <v>355</v>
      </c>
      <c r="AR425" s="15">
        <v>1988</v>
      </c>
      <c r="AS425" s="19" t="s">
        <v>694</v>
      </c>
      <c r="AT425" s="20" t="s">
        <v>695</v>
      </c>
      <c r="AU425" s="40">
        <v>773496</v>
      </c>
      <c r="AV425" s="35">
        <f t="shared" si="61"/>
        <v>5.8884580721628339</v>
      </c>
      <c r="AW425" s="37" t="s">
        <v>338</v>
      </c>
      <c r="AX425" s="34" t="s">
        <v>355</v>
      </c>
      <c r="AY425" s="40" t="s">
        <v>355</v>
      </c>
      <c r="AZ425" s="15">
        <v>33</v>
      </c>
      <c r="BA425" s="14">
        <f t="shared" si="62"/>
        <v>1.5185139398778875</v>
      </c>
      <c r="BB425" s="37" t="s">
        <v>388</v>
      </c>
      <c r="BC425" s="20">
        <v>1.7347739095638484E-2</v>
      </c>
      <c r="BD425" s="9">
        <v>32.9</v>
      </c>
      <c r="BE425" s="9" t="s">
        <v>368</v>
      </c>
      <c r="BF425" s="9">
        <v>0</v>
      </c>
    </row>
    <row r="426" spans="1:58">
      <c r="A426" s="9">
        <v>646</v>
      </c>
      <c r="B426" s="10" t="s">
        <v>76</v>
      </c>
      <c r="C426" s="10" t="s">
        <v>77</v>
      </c>
      <c r="D426" s="20" t="s">
        <v>501</v>
      </c>
      <c r="E426" s="20" t="s">
        <v>550</v>
      </c>
      <c r="F426" s="10" t="s">
        <v>77</v>
      </c>
      <c r="G426" s="20" t="s">
        <v>501</v>
      </c>
      <c r="H426" s="20" t="s">
        <v>550</v>
      </c>
      <c r="I426" s="10" t="s">
        <v>77</v>
      </c>
      <c r="J426" s="20" t="s">
        <v>501</v>
      </c>
      <c r="K426" s="20" t="s">
        <v>550</v>
      </c>
      <c r="L426" s="9" t="s">
        <v>352</v>
      </c>
      <c r="M426" s="9">
        <v>2</v>
      </c>
      <c r="N426" s="9" t="s">
        <v>353</v>
      </c>
      <c r="O426" s="9" t="s">
        <v>354</v>
      </c>
      <c r="P426" s="12">
        <v>38.700000000000003</v>
      </c>
      <c r="Q426" s="12" t="s">
        <v>355</v>
      </c>
      <c r="R426" s="9" t="s">
        <v>356</v>
      </c>
      <c r="S426" s="13" t="s">
        <v>684</v>
      </c>
      <c r="T426" s="13" t="s">
        <v>684</v>
      </c>
      <c r="U426" s="14">
        <f t="shared" si="54"/>
        <v>0.90308998699194354</v>
      </c>
      <c r="V426" s="15">
        <v>21.5</v>
      </c>
      <c r="W426" s="12">
        <v>9.8374132000000039</v>
      </c>
      <c r="X426" s="12">
        <v>1</v>
      </c>
      <c r="Y426" s="13" t="s">
        <v>355</v>
      </c>
      <c r="Z426" s="9" t="s">
        <v>359</v>
      </c>
      <c r="AA426" s="10" t="s">
        <v>372</v>
      </c>
      <c r="AB426" s="9" t="s">
        <v>355</v>
      </c>
      <c r="AC426" s="15">
        <v>24</v>
      </c>
      <c r="AD426" s="14">
        <f t="shared" si="55"/>
        <v>1.3802112417116059</v>
      </c>
      <c r="AE426" s="10" t="s">
        <v>749</v>
      </c>
      <c r="AF426" s="9" t="s">
        <v>362</v>
      </c>
      <c r="AG426" s="18">
        <v>39.965254999999999</v>
      </c>
      <c r="AH426" s="7">
        <f t="shared" si="56"/>
        <v>1</v>
      </c>
      <c r="AI426" s="7">
        <f t="shared" si="57"/>
        <v>1</v>
      </c>
      <c r="AJ426" s="7">
        <f t="shared" si="58"/>
        <v>0</v>
      </c>
      <c r="AK426" s="7">
        <f t="shared" si="59"/>
        <v>0</v>
      </c>
      <c r="AL426" s="7" t="s">
        <v>4157</v>
      </c>
      <c r="AM426" s="18">
        <f t="shared" si="60"/>
        <v>1.601682588349048</v>
      </c>
      <c r="AN426" s="18">
        <v>39.965254999999999</v>
      </c>
      <c r="AO426" s="18">
        <v>-74.311820999999995</v>
      </c>
      <c r="AP426" s="9" t="s">
        <v>363</v>
      </c>
      <c r="AQ426" s="9" t="s">
        <v>355</v>
      </c>
      <c r="AR426" s="15">
        <v>1988</v>
      </c>
      <c r="AS426" s="19" t="s">
        <v>694</v>
      </c>
      <c r="AT426" s="20" t="s">
        <v>695</v>
      </c>
      <c r="AU426" s="40">
        <v>2238329</v>
      </c>
      <c r="AV426" s="35">
        <f t="shared" si="61"/>
        <v>6.3499239215056633</v>
      </c>
      <c r="AW426" s="37" t="s">
        <v>366</v>
      </c>
      <c r="AX426" s="34" t="s">
        <v>355</v>
      </c>
      <c r="AY426" s="40" t="s">
        <v>355</v>
      </c>
      <c r="AZ426" s="15">
        <v>33</v>
      </c>
      <c r="BA426" s="14">
        <f t="shared" si="62"/>
        <v>1.5185139398778875</v>
      </c>
      <c r="BB426" s="37" t="s">
        <v>472</v>
      </c>
      <c r="BC426" s="20">
        <v>2.2801920768307712E-2</v>
      </c>
      <c r="BD426" s="9">
        <v>29.3</v>
      </c>
      <c r="BE426" s="9" t="s">
        <v>368</v>
      </c>
      <c r="BF426" s="9">
        <v>0</v>
      </c>
    </row>
    <row r="427" spans="1:58">
      <c r="A427" s="9">
        <v>944</v>
      </c>
      <c r="B427" s="10" t="s">
        <v>76</v>
      </c>
      <c r="C427" s="10" t="s">
        <v>721</v>
      </c>
      <c r="D427" s="20" t="s">
        <v>752</v>
      </c>
      <c r="E427" s="20" t="s">
        <v>618</v>
      </c>
      <c r="F427" s="10" t="s">
        <v>721</v>
      </c>
      <c r="G427" s="20" t="s">
        <v>752</v>
      </c>
      <c r="H427" s="20" t="s">
        <v>618</v>
      </c>
      <c r="I427" s="10" t="s">
        <v>101</v>
      </c>
      <c r="J427" s="20" t="s">
        <v>752</v>
      </c>
      <c r="K427" s="20" t="s">
        <v>618</v>
      </c>
      <c r="L427" s="9" t="s">
        <v>352</v>
      </c>
      <c r="M427" s="9">
        <v>3</v>
      </c>
      <c r="N427" s="9" t="s">
        <v>353</v>
      </c>
      <c r="O427" s="9" t="s">
        <v>354</v>
      </c>
      <c r="P427" s="12">
        <v>35.299999999999997</v>
      </c>
      <c r="Q427" s="12" t="s">
        <v>355</v>
      </c>
      <c r="R427" s="9" t="s">
        <v>356</v>
      </c>
      <c r="S427" s="13" t="s">
        <v>684</v>
      </c>
      <c r="T427" s="13" t="s">
        <v>684</v>
      </c>
      <c r="U427" s="14">
        <f t="shared" si="54"/>
        <v>0.90308998699194354</v>
      </c>
      <c r="V427" s="15">
        <v>15</v>
      </c>
      <c r="W427" s="12">
        <v>7.2840804999999946</v>
      </c>
      <c r="X427" s="12">
        <v>0.3</v>
      </c>
      <c r="Y427" s="13" t="s">
        <v>358</v>
      </c>
      <c r="Z427" s="9" t="s">
        <v>359</v>
      </c>
      <c r="AA427" s="10" t="s">
        <v>418</v>
      </c>
      <c r="AB427" s="9" t="s">
        <v>355</v>
      </c>
      <c r="AC427" s="15">
        <v>117</v>
      </c>
      <c r="AD427" s="14">
        <f t="shared" si="55"/>
        <v>2.0681858617461617</v>
      </c>
      <c r="AE427" s="10" t="s">
        <v>753</v>
      </c>
      <c r="AF427" s="9" t="s">
        <v>420</v>
      </c>
      <c r="AG427" s="18">
        <v>27.372254999999999</v>
      </c>
      <c r="AH427" s="7">
        <f t="shared" si="56"/>
        <v>1</v>
      </c>
      <c r="AI427" s="7">
        <f t="shared" si="57"/>
        <v>0</v>
      </c>
      <c r="AJ427" s="7">
        <f t="shared" si="58"/>
        <v>0</v>
      </c>
      <c r="AK427" s="7">
        <f t="shared" si="59"/>
        <v>0</v>
      </c>
      <c r="AL427" s="7" t="s">
        <v>4159</v>
      </c>
      <c r="AM427" s="18">
        <f t="shared" si="60"/>
        <v>1.4373105772316617</v>
      </c>
      <c r="AN427" s="18">
        <v>-27.372254999999999</v>
      </c>
      <c r="AO427" s="18">
        <v>152.867009</v>
      </c>
      <c r="AP427" s="9" t="s">
        <v>363</v>
      </c>
      <c r="AQ427" s="9" t="s">
        <v>355</v>
      </c>
      <c r="AR427" s="15">
        <v>1971</v>
      </c>
      <c r="AS427" s="19" t="s">
        <v>725</v>
      </c>
      <c r="AT427" s="20" t="s">
        <v>726</v>
      </c>
      <c r="AU427" s="40">
        <v>324894</v>
      </c>
      <c r="AV427" s="35">
        <f t="shared" si="61"/>
        <v>5.5117416910588872</v>
      </c>
      <c r="AW427" s="37" t="s">
        <v>366</v>
      </c>
      <c r="AX427" s="34" t="s">
        <v>355</v>
      </c>
      <c r="AY427" s="40">
        <v>600</v>
      </c>
      <c r="AZ427" s="15">
        <v>75</v>
      </c>
      <c r="BA427" s="14">
        <f t="shared" si="62"/>
        <v>1.8750612633917001</v>
      </c>
      <c r="BB427" s="37" t="s">
        <v>388</v>
      </c>
      <c r="BC427" s="20">
        <v>8.5146058423372327E-3</v>
      </c>
      <c r="BD427" s="9">
        <v>29.5</v>
      </c>
      <c r="BE427" s="9" t="s">
        <v>368</v>
      </c>
      <c r="BF427" s="9">
        <v>0</v>
      </c>
    </row>
    <row r="428" spans="1:58">
      <c r="A428" s="9">
        <v>943</v>
      </c>
      <c r="B428" s="10" t="s">
        <v>76</v>
      </c>
      <c r="C428" s="10" t="s">
        <v>721</v>
      </c>
      <c r="D428" s="20" t="s">
        <v>752</v>
      </c>
      <c r="E428" s="20" t="s">
        <v>618</v>
      </c>
      <c r="F428" s="10" t="s">
        <v>721</v>
      </c>
      <c r="G428" s="20" t="s">
        <v>752</v>
      </c>
      <c r="H428" s="20" t="s">
        <v>618</v>
      </c>
      <c r="I428" s="10" t="s">
        <v>101</v>
      </c>
      <c r="J428" s="20" t="s">
        <v>752</v>
      </c>
      <c r="K428" s="20" t="s">
        <v>618</v>
      </c>
      <c r="L428" s="9" t="s">
        <v>352</v>
      </c>
      <c r="M428" s="9">
        <v>17</v>
      </c>
      <c r="N428" s="9" t="s">
        <v>381</v>
      </c>
      <c r="O428" s="9" t="s">
        <v>354</v>
      </c>
      <c r="P428" s="12">
        <v>35.299999999999997</v>
      </c>
      <c r="Q428" s="12" t="s">
        <v>355</v>
      </c>
      <c r="R428" s="9" t="s">
        <v>356</v>
      </c>
      <c r="S428" s="13" t="s">
        <v>684</v>
      </c>
      <c r="T428" s="13" t="s">
        <v>684</v>
      </c>
      <c r="U428" s="14">
        <f t="shared" si="54"/>
        <v>0.90308998699194354</v>
      </c>
      <c r="V428" s="15">
        <v>15</v>
      </c>
      <c r="W428" s="12">
        <v>8.3809957999999938</v>
      </c>
      <c r="X428" s="12">
        <v>0.3</v>
      </c>
      <c r="Y428" s="13" t="s">
        <v>358</v>
      </c>
      <c r="Z428" s="9" t="s">
        <v>359</v>
      </c>
      <c r="AA428" s="10" t="s">
        <v>418</v>
      </c>
      <c r="AB428" s="9" t="s">
        <v>355</v>
      </c>
      <c r="AC428" s="15">
        <v>319</v>
      </c>
      <c r="AD428" s="14">
        <f t="shared" si="55"/>
        <v>2.503790683057181</v>
      </c>
      <c r="AE428" s="10" t="s">
        <v>754</v>
      </c>
      <c r="AF428" s="9" t="s">
        <v>420</v>
      </c>
      <c r="AG428" s="18">
        <v>37.064439999999998</v>
      </c>
      <c r="AH428" s="7">
        <f t="shared" si="56"/>
        <v>1</v>
      </c>
      <c r="AI428" s="7">
        <f t="shared" si="57"/>
        <v>1</v>
      </c>
      <c r="AJ428" s="7">
        <f t="shared" si="58"/>
        <v>0</v>
      </c>
      <c r="AK428" s="7">
        <f t="shared" si="59"/>
        <v>0</v>
      </c>
      <c r="AL428" s="7" t="s">
        <v>4157</v>
      </c>
      <c r="AM428" s="18">
        <f t="shared" si="60"/>
        <v>1.5689574428296174</v>
      </c>
      <c r="AN428" s="18">
        <v>-37.064439999999998</v>
      </c>
      <c r="AO428" s="18">
        <v>144.21719999999999</v>
      </c>
      <c r="AP428" s="9" t="s">
        <v>363</v>
      </c>
      <c r="AQ428" s="9" t="s">
        <v>355</v>
      </c>
      <c r="AR428" s="15">
        <v>1971</v>
      </c>
      <c r="AS428" s="19" t="s">
        <v>725</v>
      </c>
      <c r="AT428" s="20" t="s">
        <v>726</v>
      </c>
      <c r="AU428" s="40">
        <v>324894</v>
      </c>
      <c r="AV428" s="35">
        <f t="shared" si="61"/>
        <v>5.5117416910588872</v>
      </c>
      <c r="AW428" s="37" t="s">
        <v>366</v>
      </c>
      <c r="AX428" s="34" t="s">
        <v>355</v>
      </c>
      <c r="AY428" s="40">
        <v>600</v>
      </c>
      <c r="AZ428" s="15">
        <v>75</v>
      </c>
      <c r="BA428" s="14">
        <f t="shared" si="62"/>
        <v>1.8750612633917001</v>
      </c>
      <c r="BB428" s="37" t="s">
        <v>388</v>
      </c>
      <c r="BC428" s="20">
        <v>1.552701080432144E-2</v>
      </c>
      <c r="BD428" s="9">
        <v>28.200000000000003</v>
      </c>
      <c r="BE428" s="9" t="s">
        <v>368</v>
      </c>
      <c r="BF428" s="9">
        <v>0</v>
      </c>
    </row>
    <row r="429" spans="1:58">
      <c r="A429" s="9">
        <v>940</v>
      </c>
      <c r="B429" s="10" t="s">
        <v>76</v>
      </c>
      <c r="C429" s="10" t="s">
        <v>721</v>
      </c>
      <c r="D429" s="20" t="s">
        <v>752</v>
      </c>
      <c r="E429" s="20" t="s">
        <v>755</v>
      </c>
      <c r="F429" s="10" t="s">
        <v>721</v>
      </c>
      <c r="G429" s="20" t="s">
        <v>752</v>
      </c>
      <c r="H429" s="20" t="s">
        <v>755</v>
      </c>
      <c r="I429" s="10" t="s">
        <v>101</v>
      </c>
      <c r="J429" s="20" t="s">
        <v>752</v>
      </c>
      <c r="K429" s="20" t="s">
        <v>755</v>
      </c>
      <c r="L429" s="9" t="s">
        <v>352</v>
      </c>
      <c r="M429" s="9">
        <v>44</v>
      </c>
      <c r="N429" s="9" t="s">
        <v>381</v>
      </c>
      <c r="O429" s="9" t="s">
        <v>354</v>
      </c>
      <c r="P429" s="12">
        <v>34.299999999999997</v>
      </c>
      <c r="Q429" s="12" t="s">
        <v>355</v>
      </c>
      <c r="R429" s="9" t="s">
        <v>356</v>
      </c>
      <c r="S429" s="13" t="s">
        <v>684</v>
      </c>
      <c r="T429" s="13" t="s">
        <v>684</v>
      </c>
      <c r="U429" s="14">
        <f t="shared" si="54"/>
        <v>0.90308998699194354</v>
      </c>
      <c r="V429" s="15">
        <v>15</v>
      </c>
      <c r="W429" s="12">
        <v>6.2840804999999946</v>
      </c>
      <c r="X429" s="12">
        <v>0.3</v>
      </c>
      <c r="Y429" s="13" t="s">
        <v>358</v>
      </c>
      <c r="Z429" s="9" t="s">
        <v>359</v>
      </c>
      <c r="AA429" s="10" t="s">
        <v>418</v>
      </c>
      <c r="AB429" s="9" t="s">
        <v>355</v>
      </c>
      <c r="AC429" s="15">
        <v>64</v>
      </c>
      <c r="AD429" s="14">
        <f t="shared" si="55"/>
        <v>1.8061799739838871</v>
      </c>
      <c r="AE429" s="10" t="s">
        <v>756</v>
      </c>
      <c r="AF429" s="9" t="s">
        <v>420</v>
      </c>
      <c r="AG429" s="18">
        <v>27.552838000000001</v>
      </c>
      <c r="AH429" s="7">
        <f t="shared" si="56"/>
        <v>1</v>
      </c>
      <c r="AI429" s="7">
        <f t="shared" si="57"/>
        <v>0</v>
      </c>
      <c r="AJ429" s="7">
        <f t="shared" si="58"/>
        <v>0</v>
      </c>
      <c r="AK429" s="7">
        <f t="shared" si="59"/>
        <v>0</v>
      </c>
      <c r="AL429" s="7" t="s">
        <v>4159</v>
      </c>
      <c r="AM429" s="18">
        <f t="shared" si="60"/>
        <v>1.4401663387326675</v>
      </c>
      <c r="AN429" s="18">
        <v>-27.552838000000001</v>
      </c>
      <c r="AO429" s="18">
        <v>153.05550500000001</v>
      </c>
      <c r="AP429" s="9" t="s">
        <v>363</v>
      </c>
      <c r="AQ429" s="9" t="s">
        <v>355</v>
      </c>
      <c r="AR429" s="15">
        <v>1971</v>
      </c>
      <c r="AS429" s="19" t="s">
        <v>725</v>
      </c>
      <c r="AT429" s="20" t="s">
        <v>726</v>
      </c>
      <c r="AU429" s="40">
        <v>663231</v>
      </c>
      <c r="AV429" s="35">
        <f t="shared" si="61"/>
        <v>5.8216648173225174</v>
      </c>
      <c r="AW429" s="37" t="s">
        <v>366</v>
      </c>
      <c r="AX429" s="34" t="s">
        <v>355</v>
      </c>
      <c r="AY429" s="40" t="s">
        <v>355</v>
      </c>
      <c r="AZ429" s="15">
        <v>55</v>
      </c>
      <c r="BA429" s="14">
        <f t="shared" si="62"/>
        <v>1.7403626894942439</v>
      </c>
      <c r="BB429" s="37" t="s">
        <v>388</v>
      </c>
      <c r="BC429" s="20">
        <v>7.1628651460558916E-4</v>
      </c>
      <c r="BD429" s="9">
        <v>29.5</v>
      </c>
      <c r="BE429" s="9" t="s">
        <v>368</v>
      </c>
      <c r="BF429" s="9">
        <v>0</v>
      </c>
    </row>
    <row r="430" spans="1:58">
      <c r="A430" s="9">
        <v>941</v>
      </c>
      <c r="B430" s="10" t="s">
        <v>76</v>
      </c>
      <c r="C430" s="10" t="s">
        <v>721</v>
      </c>
      <c r="D430" s="20" t="s">
        <v>752</v>
      </c>
      <c r="E430" s="20" t="s">
        <v>757</v>
      </c>
      <c r="F430" s="10" t="s">
        <v>721</v>
      </c>
      <c r="G430" s="20" t="s">
        <v>752</v>
      </c>
      <c r="H430" s="20" t="s">
        <v>757</v>
      </c>
      <c r="I430" s="10" t="s">
        <v>101</v>
      </c>
      <c r="J430" s="20" t="s">
        <v>752</v>
      </c>
      <c r="K430" s="20" t="s">
        <v>757</v>
      </c>
      <c r="L430" s="9" t="s">
        <v>352</v>
      </c>
      <c r="M430" s="9">
        <v>44</v>
      </c>
      <c r="N430" s="9" t="s">
        <v>381</v>
      </c>
      <c r="O430" s="9" t="s">
        <v>354</v>
      </c>
      <c r="P430" s="12">
        <v>34.200000000000003</v>
      </c>
      <c r="Q430" s="12" t="s">
        <v>355</v>
      </c>
      <c r="R430" s="9" t="s">
        <v>356</v>
      </c>
      <c r="S430" s="13" t="s">
        <v>684</v>
      </c>
      <c r="T430" s="13" t="s">
        <v>684</v>
      </c>
      <c r="U430" s="14">
        <f t="shared" si="54"/>
        <v>0.90308998699194354</v>
      </c>
      <c r="V430" s="15">
        <v>15</v>
      </c>
      <c r="W430" s="12">
        <v>6.1840805000000003</v>
      </c>
      <c r="X430" s="12">
        <v>0.3</v>
      </c>
      <c r="Y430" s="13" t="s">
        <v>358</v>
      </c>
      <c r="Z430" s="9" t="s">
        <v>359</v>
      </c>
      <c r="AA430" s="10" t="s">
        <v>418</v>
      </c>
      <c r="AB430" s="9" t="s">
        <v>355</v>
      </c>
      <c r="AC430" s="15">
        <v>64</v>
      </c>
      <c r="AD430" s="14">
        <f t="shared" si="55"/>
        <v>1.8061799739838871</v>
      </c>
      <c r="AE430" s="10" t="s">
        <v>756</v>
      </c>
      <c r="AF430" s="9" t="s">
        <v>420</v>
      </c>
      <c r="AG430" s="18">
        <v>27.552838000000001</v>
      </c>
      <c r="AH430" s="7">
        <f t="shared" si="56"/>
        <v>1</v>
      </c>
      <c r="AI430" s="7">
        <f t="shared" si="57"/>
        <v>0</v>
      </c>
      <c r="AJ430" s="7">
        <f t="shared" si="58"/>
        <v>0</v>
      </c>
      <c r="AK430" s="7">
        <f t="shared" si="59"/>
        <v>0</v>
      </c>
      <c r="AL430" s="7" t="s">
        <v>4159</v>
      </c>
      <c r="AM430" s="18">
        <f t="shared" si="60"/>
        <v>1.4401663387326675</v>
      </c>
      <c r="AN430" s="18">
        <v>-27.552838000000001</v>
      </c>
      <c r="AO430" s="18">
        <v>153.05550500000001</v>
      </c>
      <c r="AP430" s="9" t="s">
        <v>363</v>
      </c>
      <c r="AQ430" s="9" t="s">
        <v>355</v>
      </c>
      <c r="AR430" s="15">
        <v>1971</v>
      </c>
      <c r="AS430" s="19" t="s">
        <v>725</v>
      </c>
      <c r="AT430" s="20" t="s">
        <v>726</v>
      </c>
      <c r="AU430" s="40">
        <v>604289</v>
      </c>
      <c r="AV430" s="35">
        <f t="shared" si="61"/>
        <v>5.7812446887664422</v>
      </c>
      <c r="AW430" s="37" t="s">
        <v>366</v>
      </c>
      <c r="AX430" s="34" t="s">
        <v>355</v>
      </c>
      <c r="AY430" s="40" t="s">
        <v>355</v>
      </c>
      <c r="AZ430" s="15">
        <v>75</v>
      </c>
      <c r="BA430" s="14">
        <f t="shared" si="62"/>
        <v>1.8750612633917001</v>
      </c>
      <c r="BB430" s="37" t="s">
        <v>388</v>
      </c>
      <c r="BC430" s="20">
        <v>7.1628651460558916E-4</v>
      </c>
      <c r="BD430" s="9">
        <v>29.5</v>
      </c>
      <c r="BE430" s="9" t="s">
        <v>368</v>
      </c>
      <c r="BF430" s="9">
        <v>0</v>
      </c>
    </row>
    <row r="431" spans="1:58">
      <c r="A431" s="9">
        <v>942</v>
      </c>
      <c r="B431" s="10" t="s">
        <v>76</v>
      </c>
      <c r="C431" s="10" t="s">
        <v>721</v>
      </c>
      <c r="D431" s="20" t="s">
        <v>752</v>
      </c>
      <c r="E431" s="20" t="s">
        <v>758</v>
      </c>
      <c r="F431" s="10" t="s">
        <v>721</v>
      </c>
      <c r="G431" s="20" t="s">
        <v>752</v>
      </c>
      <c r="H431" s="20" t="s">
        <v>758</v>
      </c>
      <c r="I431" s="10" t="s">
        <v>101</v>
      </c>
      <c r="J431" s="20" t="s">
        <v>752</v>
      </c>
      <c r="K431" s="20" t="s">
        <v>758</v>
      </c>
      <c r="L431" s="9" t="s">
        <v>352</v>
      </c>
      <c r="M431" s="9">
        <v>36</v>
      </c>
      <c r="N431" s="9" t="s">
        <v>381</v>
      </c>
      <c r="O431" s="9" t="s">
        <v>354</v>
      </c>
      <c r="P431" s="12">
        <v>34.9</v>
      </c>
      <c r="Q431" s="12" t="s">
        <v>355</v>
      </c>
      <c r="R431" s="9" t="s">
        <v>356</v>
      </c>
      <c r="S431" s="13" t="s">
        <v>684</v>
      </c>
      <c r="T431" s="13" t="s">
        <v>684</v>
      </c>
      <c r="U431" s="14">
        <f t="shared" si="54"/>
        <v>0.90308998699194354</v>
      </c>
      <c r="V431" s="15">
        <v>15</v>
      </c>
      <c r="W431" s="12">
        <v>7.6434834000000009</v>
      </c>
      <c r="X431" s="12">
        <v>0.3</v>
      </c>
      <c r="Y431" s="13" t="s">
        <v>358</v>
      </c>
      <c r="Z431" s="9" t="s">
        <v>359</v>
      </c>
      <c r="AA431" s="10" t="s">
        <v>418</v>
      </c>
      <c r="AB431" s="9" t="s">
        <v>355</v>
      </c>
      <c r="AC431" s="15">
        <v>50</v>
      </c>
      <c r="AD431" s="14">
        <f t="shared" si="55"/>
        <v>1.6989700043360187</v>
      </c>
      <c r="AE431" s="10" t="s">
        <v>759</v>
      </c>
      <c r="AF431" s="9" t="s">
        <v>420</v>
      </c>
      <c r="AG431" s="18">
        <v>34.928621</v>
      </c>
      <c r="AH431" s="7">
        <f t="shared" si="56"/>
        <v>1</v>
      </c>
      <c r="AI431" s="7">
        <f t="shared" si="57"/>
        <v>1</v>
      </c>
      <c r="AJ431" s="7">
        <f t="shared" si="58"/>
        <v>0</v>
      </c>
      <c r="AK431" s="7">
        <f t="shared" si="59"/>
        <v>0</v>
      </c>
      <c r="AL431" s="7" t="s">
        <v>4157</v>
      </c>
      <c r="AM431" s="18">
        <f t="shared" si="60"/>
        <v>1.5431814398056205</v>
      </c>
      <c r="AN431" s="18">
        <v>-34.928621</v>
      </c>
      <c r="AO431" s="18">
        <v>138.59995900000001</v>
      </c>
      <c r="AP431" s="9" t="s">
        <v>363</v>
      </c>
      <c r="AQ431" s="9" t="s">
        <v>355</v>
      </c>
      <c r="AR431" s="15">
        <v>1971</v>
      </c>
      <c r="AS431" s="19" t="s">
        <v>725</v>
      </c>
      <c r="AT431" s="20" t="s">
        <v>726</v>
      </c>
      <c r="AU431" s="40">
        <v>2431022</v>
      </c>
      <c r="AV431" s="35">
        <f t="shared" si="61"/>
        <v>6.385788889092356</v>
      </c>
      <c r="AW431" s="37" t="s">
        <v>366</v>
      </c>
      <c r="AX431" s="34" t="s">
        <v>355</v>
      </c>
      <c r="AY431" s="40" t="s">
        <v>355</v>
      </c>
      <c r="AZ431" s="15">
        <v>33</v>
      </c>
      <c r="BA431" s="14">
        <f t="shared" si="62"/>
        <v>1.5185139398778875</v>
      </c>
      <c r="BB431" s="37" t="s">
        <v>388</v>
      </c>
      <c r="BC431" s="20">
        <v>1.5214085634253638E-2</v>
      </c>
      <c r="BD431" s="9">
        <v>28.6</v>
      </c>
      <c r="BE431" s="9" t="s">
        <v>368</v>
      </c>
      <c r="BF431" s="9">
        <v>0</v>
      </c>
    </row>
    <row r="432" spans="1:58">
      <c r="A432" s="9">
        <v>717</v>
      </c>
      <c r="B432" s="10" t="s">
        <v>76</v>
      </c>
      <c r="C432" s="10" t="s">
        <v>369</v>
      </c>
      <c r="D432" s="20" t="s">
        <v>370</v>
      </c>
      <c r="E432" s="20" t="s">
        <v>760</v>
      </c>
      <c r="F432" s="10" t="s">
        <v>369</v>
      </c>
      <c r="G432" s="20" t="s">
        <v>370</v>
      </c>
      <c r="H432" s="20" t="s">
        <v>760</v>
      </c>
      <c r="I432" s="10" t="s">
        <v>369</v>
      </c>
      <c r="J432" s="20" t="s">
        <v>398</v>
      </c>
      <c r="K432" s="20" t="s">
        <v>760</v>
      </c>
      <c r="L432" s="9" t="s">
        <v>352</v>
      </c>
      <c r="M432" s="9">
        <v>129</v>
      </c>
      <c r="N432" s="9" t="s">
        <v>17</v>
      </c>
      <c r="O432" s="9" t="s">
        <v>354</v>
      </c>
      <c r="P432" s="12">
        <v>39.331060000000001</v>
      </c>
      <c r="Q432" s="12" t="s">
        <v>355</v>
      </c>
      <c r="R432" s="9" t="s">
        <v>356</v>
      </c>
      <c r="S432" s="13" t="s">
        <v>684</v>
      </c>
      <c r="T432" s="13" t="s">
        <v>684</v>
      </c>
      <c r="U432" s="14">
        <f t="shared" si="54"/>
        <v>0.90308998699194354</v>
      </c>
      <c r="V432" s="15">
        <v>15</v>
      </c>
      <c r="W432" s="12">
        <v>8.193150799999998</v>
      </c>
      <c r="X432" s="12">
        <v>1</v>
      </c>
      <c r="Y432" s="13" t="s">
        <v>358</v>
      </c>
      <c r="Z432" s="9" t="s">
        <v>417</v>
      </c>
      <c r="AA432" s="10" t="s">
        <v>418</v>
      </c>
      <c r="AB432" s="9" t="s">
        <v>355</v>
      </c>
      <c r="AC432" s="43">
        <v>79</v>
      </c>
      <c r="AD432" s="14">
        <f t="shared" si="55"/>
        <v>1.8976270912904414</v>
      </c>
      <c r="AE432" s="10" t="s">
        <v>402</v>
      </c>
      <c r="AF432" s="44" t="s">
        <v>408</v>
      </c>
      <c r="AG432" s="18">
        <v>22.796319499999999</v>
      </c>
      <c r="AH432" s="7">
        <f t="shared" si="56"/>
        <v>1</v>
      </c>
      <c r="AI432" s="7">
        <f t="shared" si="57"/>
        <v>0</v>
      </c>
      <c r="AJ432" s="7">
        <f t="shared" si="58"/>
        <v>0</v>
      </c>
      <c r="AK432" s="7">
        <f t="shared" si="59"/>
        <v>0</v>
      </c>
      <c r="AL432" s="7" t="s">
        <v>4159</v>
      </c>
      <c r="AM432" s="18">
        <f t="shared" si="60"/>
        <v>1.3578647351641633</v>
      </c>
      <c r="AN432" s="45">
        <v>22.796319499999999</v>
      </c>
      <c r="AO432" s="45">
        <v>-95.512389999999996</v>
      </c>
      <c r="AP432" s="9" t="s">
        <v>402</v>
      </c>
      <c r="AQ432" s="9" t="s">
        <v>403</v>
      </c>
      <c r="AR432" s="15">
        <v>1980</v>
      </c>
      <c r="AS432" s="19" t="s">
        <v>761</v>
      </c>
      <c r="AT432" s="20" t="s">
        <v>762</v>
      </c>
      <c r="AU432" s="40">
        <v>1489357</v>
      </c>
      <c r="AV432" s="35">
        <f t="shared" si="61"/>
        <v>6.1729988109466536</v>
      </c>
      <c r="AW432" s="37" t="s">
        <v>338</v>
      </c>
      <c r="AX432" s="34" t="s">
        <v>355</v>
      </c>
      <c r="AY432" s="40">
        <v>1650</v>
      </c>
      <c r="AZ432" s="15">
        <v>113</v>
      </c>
      <c r="BA432" s="14">
        <f t="shared" si="62"/>
        <v>2.0530784434834195</v>
      </c>
      <c r="BB432" s="37" t="s">
        <v>388</v>
      </c>
      <c r="BC432" s="20"/>
      <c r="BD432" s="9">
        <v>33.200000000000003</v>
      </c>
      <c r="BE432" s="9" t="s">
        <v>368</v>
      </c>
      <c r="BF432" s="9">
        <v>0</v>
      </c>
    </row>
    <row r="433" spans="1:58">
      <c r="A433" s="9">
        <v>116</v>
      </c>
      <c r="B433" s="10" t="s">
        <v>76</v>
      </c>
      <c r="C433" s="10" t="s">
        <v>369</v>
      </c>
      <c r="D433" s="20" t="s">
        <v>370</v>
      </c>
      <c r="E433" s="20" t="s">
        <v>400</v>
      </c>
      <c r="F433" s="10" t="s">
        <v>369</v>
      </c>
      <c r="G433" s="20" t="s">
        <v>370</v>
      </c>
      <c r="H433" s="20" t="s">
        <v>400</v>
      </c>
      <c r="I433" s="10" t="s">
        <v>369</v>
      </c>
      <c r="J433" s="20" t="s">
        <v>398</v>
      </c>
      <c r="K433" s="20" t="s">
        <v>400</v>
      </c>
      <c r="L433" s="9" t="s">
        <v>352</v>
      </c>
      <c r="M433" s="9">
        <v>113</v>
      </c>
      <c r="N433" s="9" t="s">
        <v>17</v>
      </c>
      <c r="O433" s="9" t="s">
        <v>354</v>
      </c>
      <c r="P433" s="12">
        <v>38</v>
      </c>
      <c r="Q433" s="12" t="s">
        <v>355</v>
      </c>
      <c r="R433" s="9" t="s">
        <v>356</v>
      </c>
      <c r="S433" s="13" t="s">
        <v>684</v>
      </c>
      <c r="T433" s="13" t="s">
        <v>684</v>
      </c>
      <c r="U433" s="14">
        <f t="shared" si="54"/>
        <v>0.90308998699194354</v>
      </c>
      <c r="V433" s="15">
        <v>15</v>
      </c>
      <c r="W433" s="12">
        <v>11.165373899999999</v>
      </c>
      <c r="X433" s="12">
        <v>1</v>
      </c>
      <c r="Y433" s="13" t="s">
        <v>732</v>
      </c>
      <c r="Z433" s="9" t="s">
        <v>417</v>
      </c>
      <c r="AA433" s="10" t="s">
        <v>418</v>
      </c>
      <c r="AB433" s="9" t="s">
        <v>355</v>
      </c>
      <c r="AC433" s="43">
        <v>349</v>
      </c>
      <c r="AD433" s="14">
        <f t="shared" si="55"/>
        <v>2.5428254269591797</v>
      </c>
      <c r="AE433" s="10" t="s">
        <v>402</v>
      </c>
      <c r="AF433" s="44" t="s">
        <v>362</v>
      </c>
      <c r="AG433" s="18">
        <v>43.680533499999996</v>
      </c>
      <c r="AH433" s="7">
        <f t="shared" si="56"/>
        <v>1</v>
      </c>
      <c r="AI433" s="7">
        <f t="shared" si="57"/>
        <v>1</v>
      </c>
      <c r="AJ433" s="7">
        <f t="shared" si="58"/>
        <v>0</v>
      </c>
      <c r="AK433" s="7">
        <f t="shared" si="59"/>
        <v>0</v>
      </c>
      <c r="AL433" s="7" t="s">
        <v>4157</v>
      </c>
      <c r="AM433" s="18">
        <f t="shared" si="60"/>
        <v>1.6402879340623209</v>
      </c>
      <c r="AN433" s="45">
        <v>43.680533499999996</v>
      </c>
      <c r="AO433" s="45">
        <v>-90.082397</v>
      </c>
      <c r="AP433" s="9" t="s">
        <v>402</v>
      </c>
      <c r="AQ433" s="9" t="s">
        <v>403</v>
      </c>
      <c r="AR433" s="15">
        <v>1969</v>
      </c>
      <c r="AS433" s="19" t="s">
        <v>729</v>
      </c>
      <c r="AT433" s="20" t="s">
        <v>730</v>
      </c>
      <c r="AU433" s="40">
        <v>6011807</v>
      </c>
      <c r="AV433" s="35">
        <f t="shared" si="61"/>
        <v>6.77900502976909</v>
      </c>
      <c r="AW433" s="37" t="s">
        <v>366</v>
      </c>
      <c r="AX433" s="40">
        <v>100</v>
      </c>
      <c r="AY433" s="40">
        <v>600</v>
      </c>
      <c r="AZ433" s="15">
        <v>113</v>
      </c>
      <c r="BA433" s="14">
        <f t="shared" si="62"/>
        <v>2.0530784434834195</v>
      </c>
      <c r="BB433" s="37" t="s">
        <v>367</v>
      </c>
      <c r="BC433" s="20">
        <v>1.9469787915165869E-2</v>
      </c>
      <c r="BD433" s="9">
        <v>28.1</v>
      </c>
      <c r="BE433" s="9" t="s">
        <v>368</v>
      </c>
      <c r="BF433" s="9">
        <v>0</v>
      </c>
    </row>
    <row r="434" spans="1:58">
      <c r="A434" s="9">
        <v>117</v>
      </c>
      <c r="B434" s="10" t="s">
        <v>76</v>
      </c>
      <c r="C434" s="10" t="s">
        <v>369</v>
      </c>
      <c r="D434" s="20" t="s">
        <v>370</v>
      </c>
      <c r="E434" s="20" t="s">
        <v>400</v>
      </c>
      <c r="F434" s="10" t="s">
        <v>369</v>
      </c>
      <c r="G434" s="20" t="s">
        <v>370</v>
      </c>
      <c r="H434" s="20" t="s">
        <v>400</v>
      </c>
      <c r="I434" s="10" t="s">
        <v>369</v>
      </c>
      <c r="J434" s="20" t="s">
        <v>398</v>
      </c>
      <c r="K434" s="20" t="s">
        <v>400</v>
      </c>
      <c r="L434" s="9" t="s">
        <v>352</v>
      </c>
      <c r="M434" s="9">
        <v>121</v>
      </c>
      <c r="N434" s="9" t="s">
        <v>17</v>
      </c>
      <c r="O434" s="9" t="s">
        <v>354</v>
      </c>
      <c r="P434" s="12">
        <v>38</v>
      </c>
      <c r="Q434" s="12" t="s">
        <v>355</v>
      </c>
      <c r="R434" s="9" t="s">
        <v>356</v>
      </c>
      <c r="S434" s="13" t="s">
        <v>684</v>
      </c>
      <c r="T434" s="13" t="s">
        <v>684</v>
      </c>
      <c r="U434" s="14">
        <f t="shared" si="54"/>
        <v>0.90308998699194354</v>
      </c>
      <c r="V434" s="15">
        <v>15</v>
      </c>
      <c r="W434" s="12">
        <v>11.165373899999999</v>
      </c>
      <c r="X434" s="12">
        <v>1</v>
      </c>
      <c r="Y434" s="13" t="s">
        <v>358</v>
      </c>
      <c r="Z434" s="9" t="s">
        <v>417</v>
      </c>
      <c r="AA434" s="10" t="s">
        <v>418</v>
      </c>
      <c r="AB434" s="9" t="s">
        <v>355</v>
      </c>
      <c r="AC434" s="43">
        <v>349</v>
      </c>
      <c r="AD434" s="14">
        <f t="shared" si="55"/>
        <v>2.5428254269591797</v>
      </c>
      <c r="AE434" s="10" t="s">
        <v>402</v>
      </c>
      <c r="AF434" s="44" t="s">
        <v>362</v>
      </c>
      <c r="AG434" s="18">
        <v>43.680533499999996</v>
      </c>
      <c r="AH434" s="7">
        <f t="shared" si="56"/>
        <v>1</v>
      </c>
      <c r="AI434" s="7">
        <f t="shared" si="57"/>
        <v>1</v>
      </c>
      <c r="AJ434" s="7">
        <f t="shared" si="58"/>
        <v>0</v>
      </c>
      <c r="AK434" s="7">
        <f t="shared" si="59"/>
        <v>0</v>
      </c>
      <c r="AL434" s="7" t="s">
        <v>4157</v>
      </c>
      <c r="AM434" s="18">
        <f t="shared" si="60"/>
        <v>1.6402879340623209</v>
      </c>
      <c r="AN434" s="45">
        <v>43.680533499999996</v>
      </c>
      <c r="AO434" s="45">
        <v>-90.082397</v>
      </c>
      <c r="AP434" s="9" t="s">
        <v>402</v>
      </c>
      <c r="AQ434" s="9" t="s">
        <v>403</v>
      </c>
      <c r="AR434" s="15">
        <v>1969</v>
      </c>
      <c r="AS434" s="19" t="s">
        <v>729</v>
      </c>
      <c r="AT434" s="20" t="s">
        <v>730</v>
      </c>
      <c r="AU434" s="40">
        <v>6011807</v>
      </c>
      <c r="AV434" s="35">
        <f t="shared" si="61"/>
        <v>6.77900502976909</v>
      </c>
      <c r="AW434" s="37" t="s">
        <v>366</v>
      </c>
      <c r="AX434" s="40">
        <v>100</v>
      </c>
      <c r="AY434" s="40">
        <v>600</v>
      </c>
      <c r="AZ434" s="15">
        <v>113</v>
      </c>
      <c r="BA434" s="14">
        <f t="shared" si="62"/>
        <v>2.0530784434834195</v>
      </c>
      <c r="BB434" s="37" t="s">
        <v>367</v>
      </c>
      <c r="BC434" s="20">
        <v>1.9469787915165869E-2</v>
      </c>
      <c r="BD434" s="9">
        <v>28.1</v>
      </c>
      <c r="BE434" s="9" t="s">
        <v>368</v>
      </c>
      <c r="BF434" s="9">
        <v>0</v>
      </c>
    </row>
    <row r="435" spans="1:58">
      <c r="A435" s="9">
        <v>118</v>
      </c>
      <c r="B435" s="10" t="s">
        <v>76</v>
      </c>
      <c r="C435" s="10" t="s">
        <v>369</v>
      </c>
      <c r="D435" s="20" t="s">
        <v>370</v>
      </c>
      <c r="E435" s="20" t="s">
        <v>400</v>
      </c>
      <c r="F435" s="10" t="s">
        <v>369</v>
      </c>
      <c r="G435" s="20" t="s">
        <v>370</v>
      </c>
      <c r="H435" s="20" t="s">
        <v>400</v>
      </c>
      <c r="I435" s="10" t="s">
        <v>369</v>
      </c>
      <c r="J435" s="20" t="s">
        <v>398</v>
      </c>
      <c r="K435" s="20" t="s">
        <v>400</v>
      </c>
      <c r="L435" s="9" t="s">
        <v>352</v>
      </c>
      <c r="M435" s="9">
        <v>115</v>
      </c>
      <c r="N435" s="9" t="s">
        <v>17</v>
      </c>
      <c r="O435" s="9" t="s">
        <v>354</v>
      </c>
      <c r="P435" s="12">
        <v>38.200000000000003</v>
      </c>
      <c r="Q435" s="12" t="s">
        <v>355</v>
      </c>
      <c r="R435" s="9" t="s">
        <v>356</v>
      </c>
      <c r="S435" s="13" t="s">
        <v>684</v>
      </c>
      <c r="T435" s="13" t="s">
        <v>684</v>
      </c>
      <c r="U435" s="14">
        <f t="shared" si="54"/>
        <v>0.90308998699194354</v>
      </c>
      <c r="V435" s="15">
        <v>15</v>
      </c>
      <c r="W435" s="12">
        <v>11.365373900000002</v>
      </c>
      <c r="X435" s="12">
        <v>1</v>
      </c>
      <c r="Y435" s="13" t="s">
        <v>731</v>
      </c>
      <c r="Z435" s="9" t="s">
        <v>417</v>
      </c>
      <c r="AA435" s="10" t="s">
        <v>418</v>
      </c>
      <c r="AB435" s="9" t="s">
        <v>355</v>
      </c>
      <c r="AC435" s="43">
        <v>349</v>
      </c>
      <c r="AD435" s="14">
        <f t="shared" si="55"/>
        <v>2.5428254269591797</v>
      </c>
      <c r="AE435" s="10" t="s">
        <v>402</v>
      </c>
      <c r="AF435" s="44" t="s">
        <v>362</v>
      </c>
      <c r="AG435" s="18">
        <v>43.680533500000003</v>
      </c>
      <c r="AH435" s="7">
        <f t="shared" si="56"/>
        <v>1</v>
      </c>
      <c r="AI435" s="7">
        <f t="shared" si="57"/>
        <v>1</v>
      </c>
      <c r="AJ435" s="7">
        <f t="shared" si="58"/>
        <v>0</v>
      </c>
      <c r="AK435" s="7">
        <f t="shared" si="59"/>
        <v>0</v>
      </c>
      <c r="AL435" s="7" t="s">
        <v>4157</v>
      </c>
      <c r="AM435" s="18">
        <f t="shared" si="60"/>
        <v>1.6402879340623209</v>
      </c>
      <c r="AN435" s="45">
        <v>43.680533500000003</v>
      </c>
      <c r="AO435" s="45">
        <v>-90.082397</v>
      </c>
      <c r="AP435" s="9" t="s">
        <v>402</v>
      </c>
      <c r="AQ435" s="9" t="s">
        <v>403</v>
      </c>
      <c r="AR435" s="15">
        <v>1969</v>
      </c>
      <c r="AS435" s="19" t="s">
        <v>729</v>
      </c>
      <c r="AT435" s="20" t="s">
        <v>730</v>
      </c>
      <c r="AU435" s="40">
        <v>6011807</v>
      </c>
      <c r="AV435" s="35">
        <f t="shared" si="61"/>
        <v>6.77900502976909</v>
      </c>
      <c r="AW435" s="37" t="s">
        <v>366</v>
      </c>
      <c r="AX435" s="40">
        <v>100</v>
      </c>
      <c r="AY435" s="40">
        <v>600</v>
      </c>
      <c r="AZ435" s="15">
        <v>113</v>
      </c>
      <c r="BA435" s="14">
        <f t="shared" si="62"/>
        <v>2.0530784434834195</v>
      </c>
      <c r="BB435" s="37" t="s">
        <v>367</v>
      </c>
      <c r="BC435" s="20">
        <v>1.9469787915165869E-2</v>
      </c>
      <c r="BD435" s="9">
        <v>28.1</v>
      </c>
      <c r="BE435" s="9" t="s">
        <v>368</v>
      </c>
      <c r="BF435" s="9">
        <v>0</v>
      </c>
    </row>
    <row r="436" spans="1:58">
      <c r="A436" s="9">
        <v>120</v>
      </c>
      <c r="B436" s="10" t="s">
        <v>76</v>
      </c>
      <c r="C436" s="10" t="s">
        <v>369</v>
      </c>
      <c r="D436" s="20" t="s">
        <v>370</v>
      </c>
      <c r="E436" s="20" t="s">
        <v>400</v>
      </c>
      <c r="F436" s="10" t="s">
        <v>369</v>
      </c>
      <c r="G436" s="20" t="s">
        <v>370</v>
      </c>
      <c r="H436" s="20" t="s">
        <v>400</v>
      </c>
      <c r="I436" s="10" t="s">
        <v>369</v>
      </c>
      <c r="J436" s="20" t="s">
        <v>398</v>
      </c>
      <c r="K436" s="20" t="s">
        <v>400</v>
      </c>
      <c r="L436" s="9" t="s">
        <v>352</v>
      </c>
      <c r="M436" s="9">
        <v>120</v>
      </c>
      <c r="N436" s="9" t="s">
        <v>17</v>
      </c>
      <c r="O436" s="9" t="s">
        <v>354</v>
      </c>
      <c r="P436" s="12">
        <v>39.1</v>
      </c>
      <c r="Q436" s="12" t="s">
        <v>355</v>
      </c>
      <c r="R436" s="9" t="s">
        <v>356</v>
      </c>
      <c r="S436" s="13" t="s">
        <v>684</v>
      </c>
      <c r="T436" s="13" t="s">
        <v>684</v>
      </c>
      <c r="U436" s="14">
        <f t="shared" si="54"/>
        <v>0.90308998699194354</v>
      </c>
      <c r="V436" s="15">
        <v>25</v>
      </c>
      <c r="W436" s="12">
        <v>10.703183899999999</v>
      </c>
      <c r="X436" s="12">
        <v>1</v>
      </c>
      <c r="Y436" s="13" t="s">
        <v>358</v>
      </c>
      <c r="Z436" s="9" t="s">
        <v>417</v>
      </c>
      <c r="AA436" s="10" t="s">
        <v>418</v>
      </c>
      <c r="AB436" s="9" t="s">
        <v>355</v>
      </c>
      <c r="AC436" s="43">
        <v>349</v>
      </c>
      <c r="AD436" s="14">
        <f t="shared" si="55"/>
        <v>2.5428254269591797</v>
      </c>
      <c r="AE436" s="10" t="s">
        <v>402</v>
      </c>
      <c r="AF436" s="44" t="s">
        <v>362</v>
      </c>
      <c r="AG436" s="18">
        <v>43.680533500000003</v>
      </c>
      <c r="AH436" s="7">
        <f t="shared" si="56"/>
        <v>1</v>
      </c>
      <c r="AI436" s="7">
        <f t="shared" si="57"/>
        <v>1</v>
      </c>
      <c r="AJ436" s="7">
        <f t="shared" si="58"/>
        <v>0</v>
      </c>
      <c r="AK436" s="7">
        <f t="shared" si="59"/>
        <v>0</v>
      </c>
      <c r="AL436" s="7" t="s">
        <v>4157</v>
      </c>
      <c r="AM436" s="18">
        <f t="shared" si="60"/>
        <v>1.6402879340623209</v>
      </c>
      <c r="AN436" s="45">
        <v>43.680533500000003</v>
      </c>
      <c r="AO436" s="45">
        <v>-90.082397</v>
      </c>
      <c r="AP436" s="9" t="s">
        <v>402</v>
      </c>
      <c r="AQ436" s="9" t="s">
        <v>403</v>
      </c>
      <c r="AR436" s="15">
        <v>1969</v>
      </c>
      <c r="AS436" s="19" t="s">
        <v>729</v>
      </c>
      <c r="AT436" s="20" t="s">
        <v>730</v>
      </c>
      <c r="AU436" s="40">
        <v>6011807</v>
      </c>
      <c r="AV436" s="35">
        <f t="shared" si="61"/>
        <v>6.77900502976909</v>
      </c>
      <c r="AW436" s="37" t="s">
        <v>366</v>
      </c>
      <c r="AX436" s="40">
        <v>100</v>
      </c>
      <c r="AY436" s="40">
        <v>600</v>
      </c>
      <c r="AZ436" s="15">
        <v>113</v>
      </c>
      <c r="BA436" s="14">
        <f t="shared" si="62"/>
        <v>2.0530784434834195</v>
      </c>
      <c r="BB436" s="37" t="s">
        <v>367</v>
      </c>
      <c r="BC436" s="20">
        <v>1.9469787915165869E-2</v>
      </c>
      <c r="BD436" s="9">
        <v>28.1</v>
      </c>
      <c r="BE436" s="9" t="s">
        <v>368</v>
      </c>
      <c r="BF436" s="9">
        <v>0</v>
      </c>
    </row>
    <row r="437" spans="1:58">
      <c r="A437" s="9">
        <v>119</v>
      </c>
      <c r="B437" s="10" t="s">
        <v>76</v>
      </c>
      <c r="C437" s="10" t="s">
        <v>369</v>
      </c>
      <c r="D437" s="20" t="s">
        <v>370</v>
      </c>
      <c r="E437" s="20" t="s">
        <v>400</v>
      </c>
      <c r="F437" s="10" t="s">
        <v>369</v>
      </c>
      <c r="G437" s="20" t="s">
        <v>370</v>
      </c>
      <c r="H437" s="20" t="s">
        <v>400</v>
      </c>
      <c r="I437" s="10" t="s">
        <v>369</v>
      </c>
      <c r="J437" s="20" t="s">
        <v>398</v>
      </c>
      <c r="K437" s="20" t="s">
        <v>400</v>
      </c>
      <c r="L437" s="9" t="s">
        <v>352</v>
      </c>
      <c r="M437" s="9">
        <v>110</v>
      </c>
      <c r="N437" s="9" t="s">
        <v>17</v>
      </c>
      <c r="O437" s="9" t="s">
        <v>354</v>
      </c>
      <c r="P437" s="12">
        <v>39.200000000000003</v>
      </c>
      <c r="Q437" s="12" t="s">
        <v>355</v>
      </c>
      <c r="R437" s="9" t="s">
        <v>356</v>
      </c>
      <c r="S437" s="13" t="s">
        <v>684</v>
      </c>
      <c r="T437" s="13" t="s">
        <v>684</v>
      </c>
      <c r="U437" s="14">
        <f t="shared" si="54"/>
        <v>0.90308998699194354</v>
      </c>
      <c r="V437" s="15">
        <v>25</v>
      </c>
      <c r="W437" s="12">
        <v>10.803183900000001</v>
      </c>
      <c r="X437" s="12">
        <v>1</v>
      </c>
      <c r="Y437" s="13" t="s">
        <v>732</v>
      </c>
      <c r="Z437" s="9" t="s">
        <v>417</v>
      </c>
      <c r="AA437" s="10" t="s">
        <v>418</v>
      </c>
      <c r="AB437" s="9" t="s">
        <v>355</v>
      </c>
      <c r="AC437" s="43">
        <v>349</v>
      </c>
      <c r="AD437" s="14">
        <f t="shared" si="55"/>
        <v>2.5428254269591797</v>
      </c>
      <c r="AE437" s="10" t="s">
        <v>402</v>
      </c>
      <c r="AF437" s="44" t="s">
        <v>362</v>
      </c>
      <c r="AG437" s="18">
        <v>43.680533500000003</v>
      </c>
      <c r="AH437" s="7">
        <f t="shared" si="56"/>
        <v>1</v>
      </c>
      <c r="AI437" s="7">
        <f t="shared" si="57"/>
        <v>1</v>
      </c>
      <c r="AJ437" s="7">
        <f t="shared" si="58"/>
        <v>0</v>
      </c>
      <c r="AK437" s="7">
        <f t="shared" si="59"/>
        <v>0</v>
      </c>
      <c r="AL437" s="7" t="s">
        <v>4157</v>
      </c>
      <c r="AM437" s="18">
        <f t="shared" si="60"/>
        <v>1.6402879340623209</v>
      </c>
      <c r="AN437" s="45">
        <v>43.680533500000003</v>
      </c>
      <c r="AO437" s="45">
        <v>-90.082397</v>
      </c>
      <c r="AP437" s="9" t="s">
        <v>402</v>
      </c>
      <c r="AQ437" s="9" t="s">
        <v>403</v>
      </c>
      <c r="AR437" s="15">
        <v>1969</v>
      </c>
      <c r="AS437" s="19" t="s">
        <v>729</v>
      </c>
      <c r="AT437" s="20" t="s">
        <v>730</v>
      </c>
      <c r="AU437" s="40">
        <v>6011807</v>
      </c>
      <c r="AV437" s="35">
        <f t="shared" si="61"/>
        <v>6.77900502976909</v>
      </c>
      <c r="AW437" s="37" t="s">
        <v>366</v>
      </c>
      <c r="AX437" s="40">
        <v>100</v>
      </c>
      <c r="AY437" s="40">
        <v>600</v>
      </c>
      <c r="AZ437" s="15">
        <v>113</v>
      </c>
      <c r="BA437" s="14">
        <f t="shared" si="62"/>
        <v>2.0530784434834195</v>
      </c>
      <c r="BB437" s="37" t="s">
        <v>367</v>
      </c>
      <c r="BC437" s="20">
        <v>1.9469787915165869E-2</v>
      </c>
      <c r="BD437" s="9">
        <v>28.1</v>
      </c>
      <c r="BE437" s="9" t="s">
        <v>368</v>
      </c>
      <c r="BF437" s="9">
        <v>0</v>
      </c>
    </row>
    <row r="438" spans="1:58">
      <c r="A438" s="9">
        <v>121</v>
      </c>
      <c r="B438" s="10" t="s">
        <v>76</v>
      </c>
      <c r="C438" s="10" t="s">
        <v>369</v>
      </c>
      <c r="D438" s="20" t="s">
        <v>370</v>
      </c>
      <c r="E438" s="20" t="s">
        <v>400</v>
      </c>
      <c r="F438" s="10" t="s">
        <v>369</v>
      </c>
      <c r="G438" s="20" t="s">
        <v>370</v>
      </c>
      <c r="H438" s="20" t="s">
        <v>400</v>
      </c>
      <c r="I438" s="10" t="s">
        <v>369</v>
      </c>
      <c r="J438" s="20" t="s">
        <v>398</v>
      </c>
      <c r="K438" s="20" t="s">
        <v>400</v>
      </c>
      <c r="L438" s="9" t="s">
        <v>352</v>
      </c>
      <c r="M438" s="9">
        <v>111</v>
      </c>
      <c r="N438" s="9" t="s">
        <v>17</v>
      </c>
      <c r="O438" s="9" t="s">
        <v>354</v>
      </c>
      <c r="P438" s="12">
        <v>39.4</v>
      </c>
      <c r="Q438" s="12" t="s">
        <v>355</v>
      </c>
      <c r="R438" s="9" t="s">
        <v>356</v>
      </c>
      <c r="S438" s="13" t="s">
        <v>684</v>
      </c>
      <c r="T438" s="13" t="s">
        <v>684</v>
      </c>
      <c r="U438" s="14">
        <f t="shared" si="54"/>
        <v>0.90308998699194354</v>
      </c>
      <c r="V438" s="15">
        <v>25</v>
      </c>
      <c r="W438" s="12">
        <v>11.003183899999996</v>
      </c>
      <c r="X438" s="12">
        <v>1</v>
      </c>
      <c r="Y438" s="13" t="s">
        <v>731</v>
      </c>
      <c r="Z438" s="9" t="s">
        <v>417</v>
      </c>
      <c r="AA438" s="10" t="s">
        <v>418</v>
      </c>
      <c r="AB438" s="9" t="s">
        <v>355</v>
      </c>
      <c r="AC438" s="43">
        <v>349</v>
      </c>
      <c r="AD438" s="14">
        <f t="shared" si="55"/>
        <v>2.5428254269591797</v>
      </c>
      <c r="AE438" s="10" t="s">
        <v>402</v>
      </c>
      <c r="AF438" s="44" t="s">
        <v>362</v>
      </c>
      <c r="AG438" s="18">
        <v>43.680533500000003</v>
      </c>
      <c r="AH438" s="7">
        <f t="shared" si="56"/>
        <v>1</v>
      </c>
      <c r="AI438" s="7">
        <f t="shared" si="57"/>
        <v>1</v>
      </c>
      <c r="AJ438" s="7">
        <f t="shared" si="58"/>
        <v>0</v>
      </c>
      <c r="AK438" s="7">
        <f t="shared" si="59"/>
        <v>0</v>
      </c>
      <c r="AL438" s="7" t="s">
        <v>4157</v>
      </c>
      <c r="AM438" s="18">
        <f t="shared" si="60"/>
        <v>1.6402879340623209</v>
      </c>
      <c r="AN438" s="45">
        <v>43.680533500000003</v>
      </c>
      <c r="AO438" s="45">
        <v>-90.082397</v>
      </c>
      <c r="AP438" s="9" t="s">
        <v>402</v>
      </c>
      <c r="AQ438" s="9" t="s">
        <v>403</v>
      </c>
      <c r="AR438" s="15">
        <v>1969</v>
      </c>
      <c r="AS438" s="19" t="s">
        <v>729</v>
      </c>
      <c r="AT438" s="20" t="s">
        <v>730</v>
      </c>
      <c r="AU438" s="40">
        <v>6011807</v>
      </c>
      <c r="AV438" s="35">
        <f t="shared" si="61"/>
        <v>6.77900502976909</v>
      </c>
      <c r="AW438" s="37" t="s">
        <v>366</v>
      </c>
      <c r="AX438" s="40">
        <v>100</v>
      </c>
      <c r="AY438" s="40">
        <v>600</v>
      </c>
      <c r="AZ438" s="15">
        <v>113</v>
      </c>
      <c r="BA438" s="14">
        <f t="shared" si="62"/>
        <v>2.0530784434834195</v>
      </c>
      <c r="BB438" s="37" t="s">
        <v>367</v>
      </c>
      <c r="BC438" s="20">
        <v>1.9469787915165869E-2</v>
      </c>
      <c r="BD438" s="9">
        <v>28.1</v>
      </c>
      <c r="BE438" s="9" t="s">
        <v>368</v>
      </c>
      <c r="BF438" s="9">
        <v>0</v>
      </c>
    </row>
    <row r="439" spans="1:58">
      <c r="A439" s="9">
        <v>439</v>
      </c>
      <c r="B439" s="10" t="s">
        <v>76</v>
      </c>
      <c r="C439" s="10" t="s">
        <v>369</v>
      </c>
      <c r="D439" s="20" t="s">
        <v>370</v>
      </c>
      <c r="E439" s="20" t="s">
        <v>485</v>
      </c>
      <c r="F439" s="10" t="s">
        <v>369</v>
      </c>
      <c r="G439" s="20" t="s">
        <v>370</v>
      </c>
      <c r="H439" s="20" t="s">
        <v>485</v>
      </c>
      <c r="I439" s="10" t="s">
        <v>369</v>
      </c>
      <c r="J439" s="20" t="s">
        <v>398</v>
      </c>
      <c r="K439" s="20" t="s">
        <v>486</v>
      </c>
      <c r="L439" s="9" t="s">
        <v>352</v>
      </c>
      <c r="M439" s="9">
        <v>10</v>
      </c>
      <c r="N439" s="9" t="s">
        <v>381</v>
      </c>
      <c r="O439" s="9" t="s">
        <v>354</v>
      </c>
      <c r="P439" s="12">
        <v>34.876109999999997</v>
      </c>
      <c r="Q439" s="12" t="s">
        <v>355</v>
      </c>
      <c r="R439" s="9" t="s">
        <v>356</v>
      </c>
      <c r="S439" s="13">
        <v>7</v>
      </c>
      <c r="T439" s="13">
        <v>7</v>
      </c>
      <c r="U439" s="14">
        <f t="shared" si="54"/>
        <v>0.90308998699194354</v>
      </c>
      <c r="V439" s="15">
        <v>10</v>
      </c>
      <c r="W439" s="12">
        <v>11.016409499999995</v>
      </c>
      <c r="X439" s="12">
        <v>0.7</v>
      </c>
      <c r="Y439" s="13" t="s">
        <v>358</v>
      </c>
      <c r="Z439" s="9" t="s">
        <v>417</v>
      </c>
      <c r="AA439" s="10" t="s">
        <v>418</v>
      </c>
      <c r="AB439" s="9" t="s">
        <v>355</v>
      </c>
      <c r="AC439" s="15">
        <v>1181</v>
      </c>
      <c r="AD439" s="14">
        <f t="shared" si="55"/>
        <v>3.0722498976135149</v>
      </c>
      <c r="AE439" s="10" t="s">
        <v>487</v>
      </c>
      <c r="AF439" s="9" t="s">
        <v>420</v>
      </c>
      <c r="AG439" s="18">
        <v>35.052591</v>
      </c>
      <c r="AH439" s="7">
        <f t="shared" si="56"/>
        <v>1</v>
      </c>
      <c r="AI439" s="7">
        <f t="shared" si="57"/>
        <v>1</v>
      </c>
      <c r="AJ439" s="7">
        <f t="shared" si="58"/>
        <v>0</v>
      </c>
      <c r="AK439" s="7">
        <f t="shared" si="59"/>
        <v>0</v>
      </c>
      <c r="AL439" s="7" t="s">
        <v>4157</v>
      </c>
      <c r="AM439" s="18">
        <f t="shared" si="60"/>
        <v>1.5447201254528484</v>
      </c>
      <c r="AN439" s="18">
        <v>35.052591</v>
      </c>
      <c r="AO439" s="18">
        <v>-83.196816999999996</v>
      </c>
      <c r="AP439" s="9" t="s">
        <v>363</v>
      </c>
      <c r="AQ439" s="9" t="s">
        <v>355</v>
      </c>
      <c r="AR439" s="15">
        <v>1980</v>
      </c>
      <c r="AS439" s="19" t="s">
        <v>439</v>
      </c>
      <c r="AT439" s="20" t="s">
        <v>440</v>
      </c>
      <c r="AU439" s="40">
        <v>9096515</v>
      </c>
      <c r="AV439" s="35">
        <f t="shared" si="61"/>
        <v>6.9588750399961636</v>
      </c>
      <c r="AW439" s="37" t="s">
        <v>366</v>
      </c>
      <c r="AX439" s="34" t="s">
        <v>355</v>
      </c>
      <c r="AY439" s="40" t="s">
        <v>355</v>
      </c>
      <c r="AZ439" s="15">
        <v>55</v>
      </c>
      <c r="BA439" s="14">
        <f t="shared" si="62"/>
        <v>1.7403626894942439</v>
      </c>
      <c r="BB439" s="37" t="s">
        <v>388</v>
      </c>
      <c r="BC439" s="20">
        <v>3.2953181272512384E-3</v>
      </c>
      <c r="BD439" s="9">
        <v>25.5</v>
      </c>
      <c r="BE439" s="9" t="s">
        <v>368</v>
      </c>
      <c r="BF439" s="9">
        <v>0</v>
      </c>
    </row>
    <row r="440" spans="1:58">
      <c r="A440" s="9">
        <v>449</v>
      </c>
      <c r="B440" s="10" t="s">
        <v>76</v>
      </c>
      <c r="C440" s="10" t="s">
        <v>369</v>
      </c>
      <c r="D440" s="20" t="s">
        <v>370</v>
      </c>
      <c r="E440" s="20" t="s">
        <v>485</v>
      </c>
      <c r="F440" s="10" t="s">
        <v>369</v>
      </c>
      <c r="G440" s="20" t="s">
        <v>370</v>
      </c>
      <c r="H440" s="20" t="s">
        <v>485</v>
      </c>
      <c r="I440" s="10" t="s">
        <v>369</v>
      </c>
      <c r="J440" s="20" t="s">
        <v>398</v>
      </c>
      <c r="K440" s="20" t="s">
        <v>486</v>
      </c>
      <c r="L440" s="9" t="s">
        <v>352</v>
      </c>
      <c r="M440" s="9">
        <v>7</v>
      </c>
      <c r="N440" s="9" t="s">
        <v>353</v>
      </c>
      <c r="O440" s="9" t="s">
        <v>354</v>
      </c>
      <c r="P440" s="12">
        <v>36.097769999999997</v>
      </c>
      <c r="Q440" s="12" t="s">
        <v>355</v>
      </c>
      <c r="R440" s="9" t="s">
        <v>356</v>
      </c>
      <c r="S440" s="13">
        <v>7</v>
      </c>
      <c r="T440" s="13">
        <v>7</v>
      </c>
      <c r="U440" s="14">
        <f t="shared" si="54"/>
        <v>0.90308998699194354</v>
      </c>
      <c r="V440" s="15">
        <v>20</v>
      </c>
      <c r="W440" s="12">
        <v>10.675879499999994</v>
      </c>
      <c r="X440" s="12">
        <v>0.7</v>
      </c>
      <c r="Y440" s="13" t="s">
        <v>358</v>
      </c>
      <c r="Z440" s="9" t="s">
        <v>417</v>
      </c>
      <c r="AA440" s="10" t="s">
        <v>418</v>
      </c>
      <c r="AB440" s="9" t="s">
        <v>355</v>
      </c>
      <c r="AC440" s="15">
        <v>1181</v>
      </c>
      <c r="AD440" s="14">
        <f t="shared" si="55"/>
        <v>3.0722498976135149</v>
      </c>
      <c r="AE440" s="10" t="s">
        <v>487</v>
      </c>
      <c r="AF440" s="9" t="s">
        <v>420</v>
      </c>
      <c r="AG440" s="18">
        <v>35.052591</v>
      </c>
      <c r="AH440" s="7">
        <f t="shared" si="56"/>
        <v>1</v>
      </c>
      <c r="AI440" s="7">
        <f t="shared" si="57"/>
        <v>1</v>
      </c>
      <c r="AJ440" s="7">
        <f t="shared" si="58"/>
        <v>0</v>
      </c>
      <c r="AK440" s="7">
        <f t="shared" si="59"/>
        <v>0</v>
      </c>
      <c r="AL440" s="7" t="s">
        <v>4157</v>
      </c>
      <c r="AM440" s="18">
        <f t="shared" si="60"/>
        <v>1.5447201254528484</v>
      </c>
      <c r="AN440" s="18">
        <v>35.052591</v>
      </c>
      <c r="AO440" s="18">
        <v>-83.196816999999996</v>
      </c>
      <c r="AP440" s="9" t="s">
        <v>363</v>
      </c>
      <c r="AQ440" s="9" t="s">
        <v>355</v>
      </c>
      <c r="AR440" s="15">
        <v>1980</v>
      </c>
      <c r="AS440" s="19" t="s">
        <v>439</v>
      </c>
      <c r="AT440" s="20" t="s">
        <v>440</v>
      </c>
      <c r="AU440" s="40">
        <v>9096515</v>
      </c>
      <c r="AV440" s="35">
        <f t="shared" si="61"/>
        <v>6.9588750399961636</v>
      </c>
      <c r="AW440" s="37" t="s">
        <v>366</v>
      </c>
      <c r="AX440" s="34" t="s">
        <v>355</v>
      </c>
      <c r="AY440" s="40" t="s">
        <v>355</v>
      </c>
      <c r="AZ440" s="15">
        <v>55</v>
      </c>
      <c r="BA440" s="14">
        <f t="shared" si="62"/>
        <v>1.7403626894942439</v>
      </c>
      <c r="BB440" s="37" t="s">
        <v>388</v>
      </c>
      <c r="BC440" s="20">
        <v>3.2953181272512384E-3</v>
      </c>
      <c r="BD440" s="9">
        <v>25.5</v>
      </c>
      <c r="BE440" s="9" t="s">
        <v>368</v>
      </c>
      <c r="BF440" s="9">
        <v>0</v>
      </c>
    </row>
    <row r="441" spans="1:58">
      <c r="A441" s="9">
        <v>936</v>
      </c>
      <c r="B441" s="10" t="s">
        <v>76</v>
      </c>
      <c r="C441" s="10" t="s">
        <v>77</v>
      </c>
      <c r="D441" s="20" t="s">
        <v>763</v>
      </c>
      <c r="E441" s="20" t="s">
        <v>764</v>
      </c>
      <c r="F441" s="10" t="s">
        <v>77</v>
      </c>
      <c r="G441" s="20" t="s">
        <v>763</v>
      </c>
      <c r="H441" s="20" t="s">
        <v>765</v>
      </c>
      <c r="I441" s="10" t="s">
        <v>77</v>
      </c>
      <c r="J441" s="20" t="s">
        <v>766</v>
      </c>
      <c r="K441" s="20" t="s">
        <v>765</v>
      </c>
      <c r="L441" s="9" t="s">
        <v>352</v>
      </c>
      <c r="M441" s="9">
        <v>15</v>
      </c>
      <c r="N441" s="9" t="s">
        <v>381</v>
      </c>
      <c r="O441" s="9" t="s">
        <v>354</v>
      </c>
      <c r="P441" s="12">
        <v>40.6</v>
      </c>
      <c r="Q441" s="12" t="s">
        <v>355</v>
      </c>
      <c r="R441" s="9" t="s">
        <v>356</v>
      </c>
      <c r="S441" s="13" t="s">
        <v>684</v>
      </c>
      <c r="T441" s="13" t="s">
        <v>684</v>
      </c>
      <c r="U441" s="14">
        <f t="shared" si="54"/>
        <v>0.90308998699194354</v>
      </c>
      <c r="V441" s="15">
        <v>25</v>
      </c>
      <c r="W441" s="12">
        <v>8.4905474999999981</v>
      </c>
      <c r="X441" s="12">
        <v>0.3</v>
      </c>
      <c r="Y441" s="13" t="s">
        <v>358</v>
      </c>
      <c r="Z441" s="9" t="s">
        <v>359</v>
      </c>
      <c r="AA441" s="10" t="s">
        <v>418</v>
      </c>
      <c r="AB441" s="9" t="s">
        <v>355</v>
      </c>
      <c r="AC441" s="15">
        <v>309</v>
      </c>
      <c r="AD441" s="14">
        <f t="shared" si="55"/>
        <v>2.4899584794248346</v>
      </c>
      <c r="AE441" s="10" t="s">
        <v>767</v>
      </c>
      <c r="AF441" s="9" t="s">
        <v>420</v>
      </c>
      <c r="AG441" s="18">
        <v>26.739435</v>
      </c>
      <c r="AH441" s="7">
        <f t="shared" si="56"/>
        <v>1</v>
      </c>
      <c r="AI441" s="7">
        <f t="shared" si="57"/>
        <v>0</v>
      </c>
      <c r="AJ441" s="7">
        <f t="shared" si="58"/>
        <v>0</v>
      </c>
      <c r="AK441" s="7">
        <f t="shared" si="59"/>
        <v>0</v>
      </c>
      <c r="AL441" s="7" t="s">
        <v>4159</v>
      </c>
      <c r="AM441" s="18">
        <f t="shared" si="60"/>
        <v>1.4271522264497263</v>
      </c>
      <c r="AN441" s="18">
        <v>-26.739435</v>
      </c>
      <c r="AO441" s="18">
        <v>150.62506300000001</v>
      </c>
      <c r="AP441" s="9" t="s">
        <v>363</v>
      </c>
      <c r="AQ441" s="9" t="s">
        <v>355</v>
      </c>
      <c r="AR441" s="15">
        <v>1971</v>
      </c>
      <c r="AS441" s="19" t="s">
        <v>725</v>
      </c>
      <c r="AT441" s="20" t="s">
        <v>726</v>
      </c>
      <c r="AU441" s="40">
        <v>1250564</v>
      </c>
      <c r="AV441" s="35">
        <f t="shared" si="61"/>
        <v>6.0971059224844364</v>
      </c>
      <c r="AW441" s="37" t="s">
        <v>366</v>
      </c>
      <c r="AX441" s="34" t="s">
        <v>355</v>
      </c>
      <c r="AY441" s="40">
        <v>600</v>
      </c>
      <c r="AZ441" s="15">
        <v>75</v>
      </c>
      <c r="BA441" s="14">
        <f t="shared" si="62"/>
        <v>1.8750612633917001</v>
      </c>
      <c r="BB441" s="37" t="s">
        <v>367</v>
      </c>
      <c r="BC441" s="20">
        <v>1.8118047218887354E-2</v>
      </c>
      <c r="BD441" s="9">
        <v>32.5</v>
      </c>
      <c r="BE441" s="9" t="s">
        <v>368</v>
      </c>
      <c r="BF441" s="9">
        <v>0</v>
      </c>
    </row>
    <row r="442" spans="1:58">
      <c r="A442" s="9">
        <v>921</v>
      </c>
      <c r="B442" s="10" t="s">
        <v>76</v>
      </c>
      <c r="C442" s="10" t="s">
        <v>77</v>
      </c>
      <c r="D442" s="20" t="s">
        <v>501</v>
      </c>
      <c r="E442" s="20" t="s">
        <v>768</v>
      </c>
      <c r="F442" s="10" t="s">
        <v>77</v>
      </c>
      <c r="G442" s="20" t="s">
        <v>766</v>
      </c>
      <c r="H442" s="20" t="s">
        <v>768</v>
      </c>
      <c r="I442" s="10" t="s">
        <v>77</v>
      </c>
      <c r="J442" s="20" t="s">
        <v>766</v>
      </c>
      <c r="K442" s="20" t="s">
        <v>768</v>
      </c>
      <c r="L442" s="9" t="s">
        <v>352</v>
      </c>
      <c r="M442" s="9">
        <v>25</v>
      </c>
      <c r="N442" s="9" t="s">
        <v>381</v>
      </c>
      <c r="O442" s="9" t="s">
        <v>354</v>
      </c>
      <c r="P442" s="12">
        <v>36.700000000000003</v>
      </c>
      <c r="Q442" s="12" t="s">
        <v>355</v>
      </c>
      <c r="R442" s="9" t="s">
        <v>356</v>
      </c>
      <c r="S442" s="13" t="s">
        <v>684</v>
      </c>
      <c r="T442" s="13" t="s">
        <v>684</v>
      </c>
      <c r="U442" s="14">
        <f t="shared" si="54"/>
        <v>0.90308998699194354</v>
      </c>
      <c r="V442" s="15">
        <v>25</v>
      </c>
      <c r="W442" s="12">
        <v>7.8812934000000041</v>
      </c>
      <c r="X442" s="12">
        <v>0.3</v>
      </c>
      <c r="Y442" s="13" t="s">
        <v>358</v>
      </c>
      <c r="Z442" s="9" t="s">
        <v>359</v>
      </c>
      <c r="AA442" s="10" t="s">
        <v>418</v>
      </c>
      <c r="AB442" s="9" t="s">
        <v>355</v>
      </c>
      <c r="AC442" s="15">
        <v>50</v>
      </c>
      <c r="AD442" s="14">
        <f t="shared" si="55"/>
        <v>1.6989700043360187</v>
      </c>
      <c r="AE442" s="10" t="s">
        <v>759</v>
      </c>
      <c r="AF442" s="9" t="s">
        <v>420</v>
      </c>
      <c r="AG442" s="18">
        <v>34.928621</v>
      </c>
      <c r="AH442" s="7">
        <f t="shared" si="56"/>
        <v>1</v>
      </c>
      <c r="AI442" s="7">
        <f t="shared" si="57"/>
        <v>1</v>
      </c>
      <c r="AJ442" s="7">
        <f t="shared" si="58"/>
        <v>0</v>
      </c>
      <c r="AK442" s="7">
        <f t="shared" si="59"/>
        <v>0</v>
      </c>
      <c r="AL442" s="7" t="s">
        <v>4157</v>
      </c>
      <c r="AM442" s="18">
        <f t="shared" si="60"/>
        <v>1.5431814398056205</v>
      </c>
      <c r="AN442" s="18">
        <v>-34.928621</v>
      </c>
      <c r="AO442" s="18">
        <v>138.59995900000001</v>
      </c>
      <c r="AP442" s="9" t="s">
        <v>363</v>
      </c>
      <c r="AQ442" s="9" t="s">
        <v>355</v>
      </c>
      <c r="AR442" s="15">
        <v>1971</v>
      </c>
      <c r="AS442" s="19" t="s">
        <v>725</v>
      </c>
      <c r="AT442" s="20" t="s">
        <v>726</v>
      </c>
      <c r="AU442" s="40">
        <v>178247</v>
      </c>
      <c r="AV442" s="35">
        <f t="shared" si="61"/>
        <v>5.2510222291583499</v>
      </c>
      <c r="AW442" s="37" t="s">
        <v>338</v>
      </c>
      <c r="AX442" s="34" t="s">
        <v>355</v>
      </c>
      <c r="AY442" s="40">
        <v>670</v>
      </c>
      <c r="AZ442" s="15">
        <v>113</v>
      </c>
      <c r="BA442" s="14">
        <f t="shared" si="62"/>
        <v>2.0530784434834195</v>
      </c>
      <c r="BB442" s="37" t="s">
        <v>388</v>
      </c>
      <c r="BC442" s="20">
        <v>1.5214085634253638E-2</v>
      </c>
      <c r="BD442" s="9">
        <v>28.6</v>
      </c>
      <c r="BE442" s="9" t="s">
        <v>459</v>
      </c>
      <c r="BF442" s="9">
        <v>1</v>
      </c>
    </row>
    <row r="443" spans="1:58">
      <c r="A443" s="9">
        <v>935</v>
      </c>
      <c r="B443" s="10" t="s">
        <v>76</v>
      </c>
      <c r="C443" s="10" t="s">
        <v>77</v>
      </c>
      <c r="D443" s="20" t="s">
        <v>763</v>
      </c>
      <c r="E443" s="20" t="s">
        <v>769</v>
      </c>
      <c r="F443" s="20" t="s">
        <v>77</v>
      </c>
      <c r="G443" s="20" t="s">
        <v>763</v>
      </c>
      <c r="H443" s="20" t="s">
        <v>769</v>
      </c>
      <c r="I443" s="20" t="s">
        <v>77</v>
      </c>
      <c r="J443" s="20" t="s">
        <v>766</v>
      </c>
      <c r="K443" s="20" t="s">
        <v>769</v>
      </c>
      <c r="L443" s="9" t="s">
        <v>352</v>
      </c>
      <c r="M443" s="9">
        <v>1</v>
      </c>
      <c r="N443" s="9" t="s">
        <v>353</v>
      </c>
      <c r="O443" s="9" t="s">
        <v>354</v>
      </c>
      <c r="P443" s="12">
        <v>40.6</v>
      </c>
      <c r="Q443" s="12" t="s">
        <v>355</v>
      </c>
      <c r="R443" s="9" t="s">
        <v>356</v>
      </c>
      <c r="S443" s="13" t="s">
        <v>684</v>
      </c>
      <c r="T443" s="13" t="s">
        <v>684</v>
      </c>
      <c r="U443" s="14">
        <f t="shared" si="54"/>
        <v>0.90308998699194354</v>
      </c>
      <c r="V443" s="15">
        <v>25</v>
      </c>
      <c r="W443" s="12">
        <v>8.4905474999999981</v>
      </c>
      <c r="X443" s="12">
        <v>0.3</v>
      </c>
      <c r="Y443" s="13" t="s">
        <v>358</v>
      </c>
      <c r="Z443" s="9" t="s">
        <v>359</v>
      </c>
      <c r="AA443" s="10" t="s">
        <v>418</v>
      </c>
      <c r="AB443" s="9" t="s">
        <v>355</v>
      </c>
      <c r="AC443" s="15">
        <v>309</v>
      </c>
      <c r="AD443" s="14">
        <f t="shared" si="55"/>
        <v>2.4899584794248346</v>
      </c>
      <c r="AE443" s="10" t="s">
        <v>767</v>
      </c>
      <c r="AF443" s="9" t="s">
        <v>420</v>
      </c>
      <c r="AG443" s="18">
        <v>26.739435</v>
      </c>
      <c r="AH443" s="7">
        <f t="shared" si="56"/>
        <v>1</v>
      </c>
      <c r="AI443" s="7">
        <f t="shared" si="57"/>
        <v>0</v>
      </c>
      <c r="AJ443" s="7">
        <f t="shared" si="58"/>
        <v>0</v>
      </c>
      <c r="AK443" s="7">
        <f t="shared" si="59"/>
        <v>0</v>
      </c>
      <c r="AL443" s="7" t="s">
        <v>4159</v>
      </c>
      <c r="AM443" s="18">
        <f t="shared" si="60"/>
        <v>1.4271522264497263</v>
      </c>
      <c r="AN443" s="18">
        <v>-26.739435</v>
      </c>
      <c r="AO443" s="18">
        <v>150.62506300000001</v>
      </c>
      <c r="AP443" s="9" t="s">
        <v>363</v>
      </c>
      <c r="AQ443" s="9" t="s">
        <v>355</v>
      </c>
      <c r="AR443" s="15">
        <v>1971</v>
      </c>
      <c r="AS443" s="19" t="s">
        <v>725</v>
      </c>
      <c r="AT443" s="20" t="s">
        <v>726</v>
      </c>
      <c r="AU443" s="40">
        <v>1148522</v>
      </c>
      <c r="AV443" s="35">
        <f t="shared" si="61"/>
        <v>6.0601393185446213</v>
      </c>
      <c r="AW443" s="37" t="s">
        <v>366</v>
      </c>
      <c r="AX443" s="34" t="s">
        <v>355</v>
      </c>
      <c r="AY443" s="40">
        <v>500</v>
      </c>
      <c r="AZ443" s="15">
        <v>75</v>
      </c>
      <c r="BA443" s="14">
        <f t="shared" si="62"/>
        <v>1.8750612633917001</v>
      </c>
      <c r="BB443" s="37" t="s">
        <v>367</v>
      </c>
      <c r="BC443" s="20">
        <v>1.8118047218887354E-2</v>
      </c>
      <c r="BD443" s="9">
        <v>32.5</v>
      </c>
      <c r="BE443" s="9" t="s">
        <v>368</v>
      </c>
      <c r="BF443" s="9">
        <v>0</v>
      </c>
    </row>
    <row r="444" spans="1:58">
      <c r="A444" s="9">
        <v>912</v>
      </c>
      <c r="B444" s="10" t="s">
        <v>76</v>
      </c>
      <c r="C444" s="10" t="s">
        <v>77</v>
      </c>
      <c r="D444" s="20" t="s">
        <v>501</v>
      </c>
      <c r="E444" s="20" t="s">
        <v>770</v>
      </c>
      <c r="F444" s="10" t="s">
        <v>77</v>
      </c>
      <c r="G444" s="20" t="s">
        <v>766</v>
      </c>
      <c r="H444" s="20" t="s">
        <v>770</v>
      </c>
      <c r="I444" s="10" t="s">
        <v>77</v>
      </c>
      <c r="J444" s="20" t="s">
        <v>766</v>
      </c>
      <c r="K444" s="20" t="s">
        <v>770</v>
      </c>
      <c r="L444" s="9" t="s">
        <v>352</v>
      </c>
      <c r="M444" s="9">
        <v>22</v>
      </c>
      <c r="N444" s="9" t="s">
        <v>381</v>
      </c>
      <c r="O444" s="9" t="s">
        <v>354</v>
      </c>
      <c r="P444" s="12">
        <v>39.6</v>
      </c>
      <c r="Q444" s="12" t="s">
        <v>355</v>
      </c>
      <c r="R444" s="9" t="s">
        <v>356</v>
      </c>
      <c r="S444" s="13" t="s">
        <v>684</v>
      </c>
      <c r="T444" s="13" t="s">
        <v>684</v>
      </c>
      <c r="U444" s="14">
        <f t="shared" si="54"/>
        <v>0.90308998699194354</v>
      </c>
      <c r="V444" s="15">
        <v>25</v>
      </c>
      <c r="W444" s="12">
        <v>8.0811942000000023</v>
      </c>
      <c r="X444" s="12">
        <v>0.3</v>
      </c>
      <c r="Y444" s="13" t="s">
        <v>401</v>
      </c>
      <c r="Z444" s="9" t="s">
        <v>359</v>
      </c>
      <c r="AA444" s="10" t="s">
        <v>372</v>
      </c>
      <c r="AB444" s="9" t="s">
        <v>355</v>
      </c>
      <c r="AC444" s="15">
        <v>14</v>
      </c>
      <c r="AD444" s="14">
        <f t="shared" si="55"/>
        <v>1.146128035678238</v>
      </c>
      <c r="AE444" s="10" t="s">
        <v>771</v>
      </c>
      <c r="AF444" s="9" t="s">
        <v>408</v>
      </c>
      <c r="AG444" s="18">
        <v>20.401418</v>
      </c>
      <c r="AH444" s="7">
        <f t="shared" si="56"/>
        <v>1</v>
      </c>
      <c r="AI444" s="7">
        <f t="shared" si="57"/>
        <v>0</v>
      </c>
      <c r="AJ444" s="7">
        <f t="shared" si="58"/>
        <v>0</v>
      </c>
      <c r="AK444" s="7">
        <f t="shared" si="59"/>
        <v>0</v>
      </c>
      <c r="AL444" s="7" t="s">
        <v>4159</v>
      </c>
      <c r="AM444" s="18">
        <f t="shared" si="60"/>
        <v>1.3096603541010572</v>
      </c>
      <c r="AN444" s="18">
        <v>-20.401418</v>
      </c>
      <c r="AO444" s="18">
        <v>148.579746</v>
      </c>
      <c r="AP444" s="9" t="s">
        <v>363</v>
      </c>
      <c r="AQ444" s="9" t="s">
        <v>355</v>
      </c>
      <c r="AR444" s="15">
        <v>1970</v>
      </c>
      <c r="AS444" s="19" t="s">
        <v>772</v>
      </c>
      <c r="AT444" s="20" t="s">
        <v>773</v>
      </c>
      <c r="AU444" s="40">
        <v>4108503</v>
      </c>
      <c r="AV444" s="35">
        <f t="shared" si="61"/>
        <v>6.6136836084285351</v>
      </c>
      <c r="AW444" s="37" t="s">
        <v>366</v>
      </c>
      <c r="AX444" s="34" t="s">
        <v>355</v>
      </c>
      <c r="AY444" s="40">
        <v>200</v>
      </c>
      <c r="AZ444" s="15">
        <v>146</v>
      </c>
      <c r="BA444" s="14">
        <f t="shared" si="62"/>
        <v>2.1643528557844371</v>
      </c>
      <c r="BB444" s="37" t="s">
        <v>388</v>
      </c>
      <c r="BC444" s="20">
        <v>7.4945978391355705E-3</v>
      </c>
      <c r="BD444" s="9">
        <v>31.8</v>
      </c>
      <c r="BE444" s="9" t="s">
        <v>368</v>
      </c>
      <c r="BF444" s="9">
        <v>0</v>
      </c>
    </row>
    <row r="445" spans="1:58">
      <c r="A445" s="9">
        <v>654</v>
      </c>
      <c r="B445" s="10" t="s">
        <v>76</v>
      </c>
      <c r="C445" s="10" t="s">
        <v>77</v>
      </c>
      <c r="D445" s="20" t="s">
        <v>766</v>
      </c>
      <c r="E445" s="20" t="s">
        <v>770</v>
      </c>
      <c r="F445" s="10" t="s">
        <v>77</v>
      </c>
      <c r="G445" s="20" t="s">
        <v>766</v>
      </c>
      <c r="H445" s="20" t="s">
        <v>770</v>
      </c>
      <c r="I445" s="10" t="s">
        <v>77</v>
      </c>
      <c r="J445" s="20" t="s">
        <v>766</v>
      </c>
      <c r="K445" s="20" t="s">
        <v>770</v>
      </c>
      <c r="L445" s="9" t="s">
        <v>352</v>
      </c>
      <c r="M445" s="9">
        <v>11</v>
      </c>
      <c r="N445" s="9" t="s">
        <v>381</v>
      </c>
      <c r="O445" s="9" t="s">
        <v>354</v>
      </c>
      <c r="P445" s="12">
        <v>37.774054999999997</v>
      </c>
      <c r="Q445" s="12" t="s">
        <v>355</v>
      </c>
      <c r="R445" s="9" t="s">
        <v>356</v>
      </c>
      <c r="S445" s="50">
        <v>7</v>
      </c>
      <c r="T445" s="50">
        <v>7</v>
      </c>
      <c r="U445" s="14">
        <f t="shared" si="54"/>
        <v>0.90308998699194354</v>
      </c>
      <c r="V445" s="15">
        <v>22</v>
      </c>
      <c r="W445" s="12">
        <v>8.4958462999999966</v>
      </c>
      <c r="X445" s="12">
        <v>0.33</v>
      </c>
      <c r="Y445" s="13" t="s">
        <v>358</v>
      </c>
      <c r="Z445" s="9" t="s">
        <v>417</v>
      </c>
      <c r="AA445" s="10" t="s">
        <v>418</v>
      </c>
      <c r="AB445" s="9" t="s">
        <v>355</v>
      </c>
      <c r="AC445" s="15">
        <v>19</v>
      </c>
      <c r="AD445" s="14">
        <f t="shared" si="55"/>
        <v>1.2787536009528289</v>
      </c>
      <c r="AE445" s="10" t="s">
        <v>756</v>
      </c>
      <c r="AF445" s="9" t="s">
        <v>420</v>
      </c>
      <c r="AG445" s="18">
        <v>27.471011000000001</v>
      </c>
      <c r="AH445" s="7">
        <f t="shared" si="56"/>
        <v>1</v>
      </c>
      <c r="AI445" s="7">
        <f t="shared" si="57"/>
        <v>0</v>
      </c>
      <c r="AJ445" s="7">
        <f t="shared" si="58"/>
        <v>0</v>
      </c>
      <c r="AK445" s="7">
        <f t="shared" si="59"/>
        <v>0</v>
      </c>
      <c r="AL445" s="7" t="s">
        <v>4159</v>
      </c>
      <c r="AM445" s="18">
        <f t="shared" si="60"/>
        <v>1.4388746428075896</v>
      </c>
      <c r="AN445" s="18">
        <v>-27.471011000000001</v>
      </c>
      <c r="AO445" s="18">
        <v>153.023449</v>
      </c>
      <c r="AP445" s="9" t="s">
        <v>363</v>
      </c>
      <c r="AQ445" s="12" t="s">
        <v>774</v>
      </c>
      <c r="AR445" s="15">
        <v>1971</v>
      </c>
      <c r="AS445" s="19" t="s">
        <v>725</v>
      </c>
      <c r="AT445" s="20" t="s">
        <v>775</v>
      </c>
      <c r="AU445" s="40">
        <v>4108503</v>
      </c>
      <c r="AV445" s="35">
        <f t="shared" si="61"/>
        <v>6.6136836084285351</v>
      </c>
      <c r="AW445" s="37" t="s">
        <v>366</v>
      </c>
      <c r="AX445" s="34" t="s">
        <v>355</v>
      </c>
      <c r="AY445" s="40">
        <v>200</v>
      </c>
      <c r="AZ445" s="15">
        <v>146</v>
      </c>
      <c r="BA445" s="14">
        <f t="shared" si="62"/>
        <v>2.1643528557844371</v>
      </c>
      <c r="BB445" s="37" t="s">
        <v>388</v>
      </c>
      <c r="BC445" s="20">
        <v>-1.9763905562224958E-3</v>
      </c>
      <c r="BD445" s="9">
        <v>29.700000000000003</v>
      </c>
      <c r="BE445" s="9" t="s">
        <v>368</v>
      </c>
      <c r="BF445" s="9">
        <v>0</v>
      </c>
    </row>
    <row r="446" spans="1:58">
      <c r="A446" s="9">
        <v>653</v>
      </c>
      <c r="B446" s="10" t="s">
        <v>76</v>
      </c>
      <c r="C446" s="10" t="s">
        <v>77</v>
      </c>
      <c r="D446" s="20" t="s">
        <v>766</v>
      </c>
      <c r="E446" s="20" t="s">
        <v>770</v>
      </c>
      <c r="F446" s="10" t="s">
        <v>77</v>
      </c>
      <c r="G446" s="20" t="s">
        <v>766</v>
      </c>
      <c r="H446" s="20" t="s">
        <v>770</v>
      </c>
      <c r="I446" s="10" t="s">
        <v>77</v>
      </c>
      <c r="J446" s="20" t="s">
        <v>766</v>
      </c>
      <c r="K446" s="20" t="s">
        <v>770</v>
      </c>
      <c r="L446" s="9" t="s">
        <v>352</v>
      </c>
      <c r="M446" s="9">
        <v>13</v>
      </c>
      <c r="N446" s="9" t="s">
        <v>381</v>
      </c>
      <c r="O446" s="9" t="s">
        <v>354</v>
      </c>
      <c r="P446" s="12">
        <v>37.775306999999998</v>
      </c>
      <c r="Q446" s="12" t="s">
        <v>355</v>
      </c>
      <c r="R446" s="9" t="s">
        <v>356</v>
      </c>
      <c r="S446" s="50">
        <v>7</v>
      </c>
      <c r="T446" s="50">
        <v>7</v>
      </c>
      <c r="U446" s="14">
        <f t="shared" si="54"/>
        <v>0.90308998699194354</v>
      </c>
      <c r="V446" s="15">
        <v>22</v>
      </c>
      <c r="W446" s="12">
        <v>8.4970982999999976</v>
      </c>
      <c r="X446" s="12">
        <v>0.33</v>
      </c>
      <c r="Y446" s="13" t="s">
        <v>358</v>
      </c>
      <c r="Z446" s="9" t="s">
        <v>417</v>
      </c>
      <c r="AA446" s="10" t="s">
        <v>418</v>
      </c>
      <c r="AB446" s="9" t="s">
        <v>355</v>
      </c>
      <c r="AC446" s="15">
        <v>19</v>
      </c>
      <c r="AD446" s="14">
        <f t="shared" si="55"/>
        <v>1.2787536009528289</v>
      </c>
      <c r="AE446" s="10" t="s">
        <v>756</v>
      </c>
      <c r="AF446" s="9" t="s">
        <v>420</v>
      </c>
      <c r="AG446" s="18">
        <v>27.471011000000001</v>
      </c>
      <c r="AH446" s="7">
        <f t="shared" si="56"/>
        <v>1</v>
      </c>
      <c r="AI446" s="7">
        <f t="shared" si="57"/>
        <v>0</v>
      </c>
      <c r="AJ446" s="7">
        <f t="shared" si="58"/>
        <v>0</v>
      </c>
      <c r="AK446" s="7">
        <f t="shared" si="59"/>
        <v>0</v>
      </c>
      <c r="AL446" s="7" t="s">
        <v>4159</v>
      </c>
      <c r="AM446" s="18">
        <f t="shared" si="60"/>
        <v>1.4388746428075896</v>
      </c>
      <c r="AN446" s="18">
        <v>-27.471011000000001</v>
      </c>
      <c r="AO446" s="18">
        <v>153.023449</v>
      </c>
      <c r="AP446" s="9" t="s">
        <v>363</v>
      </c>
      <c r="AQ446" s="12" t="s">
        <v>776</v>
      </c>
      <c r="AR446" s="15">
        <v>1971</v>
      </c>
      <c r="AS446" s="19" t="s">
        <v>725</v>
      </c>
      <c r="AT446" s="20" t="s">
        <v>775</v>
      </c>
      <c r="AU446" s="40">
        <v>4108503</v>
      </c>
      <c r="AV446" s="35">
        <f t="shared" si="61"/>
        <v>6.6136836084285351</v>
      </c>
      <c r="AW446" s="37" t="s">
        <v>366</v>
      </c>
      <c r="AX446" s="34" t="s">
        <v>355</v>
      </c>
      <c r="AY446" s="40">
        <v>200</v>
      </c>
      <c r="AZ446" s="15">
        <v>146</v>
      </c>
      <c r="BA446" s="14">
        <f t="shared" si="62"/>
        <v>2.1643528557844371</v>
      </c>
      <c r="BB446" s="37" t="s">
        <v>388</v>
      </c>
      <c r="BC446" s="20">
        <v>-1.9763905562224958E-3</v>
      </c>
      <c r="BD446" s="9">
        <v>29.700000000000003</v>
      </c>
      <c r="BE446" s="9" t="s">
        <v>368</v>
      </c>
      <c r="BF446" s="9">
        <v>0</v>
      </c>
    </row>
    <row r="447" spans="1:58">
      <c r="A447" s="9">
        <v>660</v>
      </c>
      <c r="B447" s="10" t="s">
        <v>76</v>
      </c>
      <c r="C447" s="10" t="s">
        <v>77</v>
      </c>
      <c r="D447" s="20" t="s">
        <v>766</v>
      </c>
      <c r="E447" s="20" t="s">
        <v>770</v>
      </c>
      <c r="F447" s="10" t="s">
        <v>77</v>
      </c>
      <c r="G447" s="20" t="s">
        <v>766</v>
      </c>
      <c r="H447" s="20" t="s">
        <v>770</v>
      </c>
      <c r="I447" s="10" t="s">
        <v>77</v>
      </c>
      <c r="J447" s="20" t="s">
        <v>766</v>
      </c>
      <c r="K447" s="20" t="s">
        <v>770</v>
      </c>
      <c r="L447" s="9" t="s">
        <v>352</v>
      </c>
      <c r="M447" s="9">
        <v>10</v>
      </c>
      <c r="N447" s="9" t="s">
        <v>381</v>
      </c>
      <c r="O447" s="9" t="s">
        <v>354</v>
      </c>
      <c r="P447" s="12">
        <v>38.085963999999997</v>
      </c>
      <c r="Q447" s="12" t="s">
        <v>355</v>
      </c>
      <c r="R447" s="9" t="s">
        <v>356</v>
      </c>
      <c r="S447" s="50">
        <v>7</v>
      </c>
      <c r="T447" s="50">
        <v>7</v>
      </c>
      <c r="U447" s="14">
        <f t="shared" si="54"/>
        <v>0.90308998699194354</v>
      </c>
      <c r="V447" s="15">
        <v>22</v>
      </c>
      <c r="W447" s="12">
        <v>8.8077552999999966</v>
      </c>
      <c r="X447" s="12">
        <v>0.33</v>
      </c>
      <c r="Y447" s="13" t="s">
        <v>358</v>
      </c>
      <c r="Z447" s="9" t="s">
        <v>417</v>
      </c>
      <c r="AA447" s="10" t="s">
        <v>418</v>
      </c>
      <c r="AB447" s="9" t="s">
        <v>355</v>
      </c>
      <c r="AC447" s="15">
        <v>19</v>
      </c>
      <c r="AD447" s="14">
        <f t="shared" si="55"/>
        <v>1.2787536009528289</v>
      </c>
      <c r="AE447" s="10" t="s">
        <v>756</v>
      </c>
      <c r="AF447" s="9" t="s">
        <v>420</v>
      </c>
      <c r="AG447" s="18">
        <v>27.471011000000001</v>
      </c>
      <c r="AH447" s="7">
        <f t="shared" si="56"/>
        <v>1</v>
      </c>
      <c r="AI447" s="7">
        <f t="shared" si="57"/>
        <v>0</v>
      </c>
      <c r="AJ447" s="7">
        <f t="shared" si="58"/>
        <v>0</v>
      </c>
      <c r="AK447" s="7">
        <f t="shared" si="59"/>
        <v>0</v>
      </c>
      <c r="AL447" s="7" t="s">
        <v>4159</v>
      </c>
      <c r="AM447" s="18">
        <f t="shared" si="60"/>
        <v>1.4388746428075896</v>
      </c>
      <c r="AN447" s="18">
        <v>-27.471011000000001</v>
      </c>
      <c r="AO447" s="18">
        <v>153.023449</v>
      </c>
      <c r="AP447" s="9" t="s">
        <v>363</v>
      </c>
      <c r="AQ447" s="12" t="s">
        <v>777</v>
      </c>
      <c r="AR447" s="15">
        <v>1971</v>
      </c>
      <c r="AS447" s="19" t="s">
        <v>725</v>
      </c>
      <c r="AT447" s="20" t="s">
        <v>775</v>
      </c>
      <c r="AU447" s="40">
        <v>4108503</v>
      </c>
      <c r="AV447" s="35">
        <f t="shared" si="61"/>
        <v>6.6136836084285351</v>
      </c>
      <c r="AW447" s="37" t="s">
        <v>366</v>
      </c>
      <c r="AX447" s="34" t="s">
        <v>355</v>
      </c>
      <c r="AY447" s="40">
        <v>200</v>
      </c>
      <c r="AZ447" s="15">
        <v>146</v>
      </c>
      <c r="BA447" s="14">
        <f t="shared" si="62"/>
        <v>2.1643528557844371</v>
      </c>
      <c r="BB447" s="37" t="s">
        <v>388</v>
      </c>
      <c r="BC447" s="20">
        <v>-1.9763905562224958E-3</v>
      </c>
      <c r="BD447" s="9">
        <v>29.700000000000003</v>
      </c>
      <c r="BE447" s="9" t="s">
        <v>368</v>
      </c>
      <c r="BF447" s="9">
        <v>0</v>
      </c>
    </row>
    <row r="448" spans="1:58">
      <c r="A448" s="9">
        <v>662</v>
      </c>
      <c r="B448" s="10" t="s">
        <v>76</v>
      </c>
      <c r="C448" s="10" t="s">
        <v>77</v>
      </c>
      <c r="D448" s="20" t="s">
        <v>766</v>
      </c>
      <c r="E448" s="20" t="s">
        <v>770</v>
      </c>
      <c r="F448" s="10" t="s">
        <v>77</v>
      </c>
      <c r="G448" s="20" t="s">
        <v>766</v>
      </c>
      <c r="H448" s="20" t="s">
        <v>770</v>
      </c>
      <c r="I448" s="10" t="s">
        <v>77</v>
      </c>
      <c r="J448" s="20" t="s">
        <v>766</v>
      </c>
      <c r="K448" s="20" t="s">
        <v>770</v>
      </c>
      <c r="L448" s="9" t="s">
        <v>352</v>
      </c>
      <c r="M448" s="9">
        <v>9</v>
      </c>
      <c r="N448" s="9" t="s">
        <v>353</v>
      </c>
      <c r="O448" s="9" t="s">
        <v>354</v>
      </c>
      <c r="P448" s="12">
        <v>38.097349999999999</v>
      </c>
      <c r="Q448" s="12" t="s">
        <v>355</v>
      </c>
      <c r="R448" s="9" t="s">
        <v>356</v>
      </c>
      <c r="S448" s="50">
        <v>7</v>
      </c>
      <c r="T448" s="50">
        <v>7</v>
      </c>
      <c r="U448" s="14">
        <f t="shared" si="54"/>
        <v>0.90308998699194354</v>
      </c>
      <c r="V448" s="15">
        <v>22</v>
      </c>
      <c r="W448" s="12">
        <v>8.8191412999999983</v>
      </c>
      <c r="X448" s="12">
        <v>0.33</v>
      </c>
      <c r="Y448" s="13" t="s">
        <v>358</v>
      </c>
      <c r="Z448" s="9" t="s">
        <v>417</v>
      </c>
      <c r="AA448" s="10" t="s">
        <v>418</v>
      </c>
      <c r="AB448" s="9" t="s">
        <v>355</v>
      </c>
      <c r="AC448" s="15">
        <v>19</v>
      </c>
      <c r="AD448" s="14">
        <f t="shared" si="55"/>
        <v>1.2787536009528289</v>
      </c>
      <c r="AE448" s="10" t="s">
        <v>756</v>
      </c>
      <c r="AF448" s="9" t="s">
        <v>420</v>
      </c>
      <c r="AG448" s="18">
        <v>27.471011000000001</v>
      </c>
      <c r="AH448" s="7">
        <f t="shared" si="56"/>
        <v>1</v>
      </c>
      <c r="AI448" s="7">
        <f t="shared" si="57"/>
        <v>0</v>
      </c>
      <c r="AJ448" s="7">
        <f t="shared" si="58"/>
        <v>0</v>
      </c>
      <c r="AK448" s="7">
        <f t="shared" si="59"/>
        <v>0</v>
      </c>
      <c r="AL448" s="7" t="s">
        <v>4159</v>
      </c>
      <c r="AM448" s="18">
        <f t="shared" si="60"/>
        <v>1.4388746428075896</v>
      </c>
      <c r="AN448" s="18">
        <v>-27.471011000000001</v>
      </c>
      <c r="AO448" s="18">
        <v>153.023449</v>
      </c>
      <c r="AP448" s="9" t="s">
        <v>363</v>
      </c>
      <c r="AQ448" s="12" t="s">
        <v>778</v>
      </c>
      <c r="AR448" s="15">
        <v>1971</v>
      </c>
      <c r="AS448" s="19" t="s">
        <v>725</v>
      </c>
      <c r="AT448" s="20" t="s">
        <v>775</v>
      </c>
      <c r="AU448" s="40">
        <v>4108503</v>
      </c>
      <c r="AV448" s="35">
        <f t="shared" si="61"/>
        <v>6.6136836084285351</v>
      </c>
      <c r="AW448" s="37" t="s">
        <v>366</v>
      </c>
      <c r="AX448" s="34" t="s">
        <v>355</v>
      </c>
      <c r="AY448" s="40">
        <v>200</v>
      </c>
      <c r="AZ448" s="15">
        <v>146</v>
      </c>
      <c r="BA448" s="14">
        <f t="shared" si="62"/>
        <v>2.1643528557844371</v>
      </c>
      <c r="BB448" s="37" t="s">
        <v>388</v>
      </c>
      <c r="BC448" s="20">
        <v>-1.9763905562224958E-3</v>
      </c>
      <c r="BD448" s="9">
        <v>29.700000000000003</v>
      </c>
      <c r="BE448" s="9" t="s">
        <v>368</v>
      </c>
      <c r="BF448" s="9">
        <v>0</v>
      </c>
    </row>
    <row r="449" spans="1:58">
      <c r="A449" s="9">
        <v>661</v>
      </c>
      <c r="B449" s="10" t="s">
        <v>76</v>
      </c>
      <c r="C449" s="10" t="s">
        <v>77</v>
      </c>
      <c r="D449" s="20" t="s">
        <v>766</v>
      </c>
      <c r="E449" s="20" t="s">
        <v>770</v>
      </c>
      <c r="F449" s="10" t="s">
        <v>77</v>
      </c>
      <c r="G449" s="20" t="s">
        <v>766</v>
      </c>
      <c r="H449" s="20" t="s">
        <v>770</v>
      </c>
      <c r="I449" s="10" t="s">
        <v>77</v>
      </c>
      <c r="J449" s="20" t="s">
        <v>766</v>
      </c>
      <c r="K449" s="20" t="s">
        <v>770</v>
      </c>
      <c r="L449" s="9" t="s">
        <v>352</v>
      </c>
      <c r="M449" s="9">
        <v>11</v>
      </c>
      <c r="N449" s="9" t="s">
        <v>381</v>
      </c>
      <c r="O449" s="9" t="s">
        <v>354</v>
      </c>
      <c r="P449" s="12">
        <v>38.306933999999998</v>
      </c>
      <c r="Q449" s="12" t="s">
        <v>355</v>
      </c>
      <c r="R449" s="9" t="s">
        <v>356</v>
      </c>
      <c r="S449" s="50">
        <v>7</v>
      </c>
      <c r="T449" s="50">
        <v>7</v>
      </c>
      <c r="U449" s="14">
        <f t="shared" si="54"/>
        <v>0.90308998699194354</v>
      </c>
      <c r="V449" s="15">
        <v>22</v>
      </c>
      <c r="W449" s="12">
        <v>9.0287252999999978</v>
      </c>
      <c r="X449" s="12">
        <v>0.33</v>
      </c>
      <c r="Y449" s="13" t="s">
        <v>358</v>
      </c>
      <c r="Z449" s="9" t="s">
        <v>417</v>
      </c>
      <c r="AA449" s="10" t="s">
        <v>418</v>
      </c>
      <c r="AB449" s="9" t="s">
        <v>355</v>
      </c>
      <c r="AC449" s="15">
        <v>19</v>
      </c>
      <c r="AD449" s="14">
        <f t="shared" si="55"/>
        <v>1.2787536009528289</v>
      </c>
      <c r="AE449" s="10" t="s">
        <v>756</v>
      </c>
      <c r="AF449" s="9" t="s">
        <v>420</v>
      </c>
      <c r="AG449" s="18">
        <v>27.471011000000001</v>
      </c>
      <c r="AH449" s="7">
        <f t="shared" si="56"/>
        <v>1</v>
      </c>
      <c r="AI449" s="7">
        <f t="shared" si="57"/>
        <v>0</v>
      </c>
      <c r="AJ449" s="7">
        <f t="shared" si="58"/>
        <v>0</v>
      </c>
      <c r="AK449" s="7">
        <f t="shared" si="59"/>
        <v>0</v>
      </c>
      <c r="AL449" s="7" t="s">
        <v>4159</v>
      </c>
      <c r="AM449" s="18">
        <f t="shared" si="60"/>
        <v>1.4388746428075896</v>
      </c>
      <c r="AN449" s="18">
        <v>-27.471011000000001</v>
      </c>
      <c r="AO449" s="18">
        <v>153.023449</v>
      </c>
      <c r="AP449" s="9" t="s">
        <v>363</v>
      </c>
      <c r="AQ449" s="12" t="s">
        <v>779</v>
      </c>
      <c r="AR449" s="15">
        <v>1971</v>
      </c>
      <c r="AS449" s="19" t="s">
        <v>725</v>
      </c>
      <c r="AT449" s="20" t="s">
        <v>775</v>
      </c>
      <c r="AU449" s="40">
        <v>4108503</v>
      </c>
      <c r="AV449" s="35">
        <f t="shared" si="61"/>
        <v>6.6136836084285351</v>
      </c>
      <c r="AW449" s="37" t="s">
        <v>366</v>
      </c>
      <c r="AX449" s="34" t="s">
        <v>355</v>
      </c>
      <c r="AY449" s="40">
        <v>200</v>
      </c>
      <c r="AZ449" s="15">
        <v>146</v>
      </c>
      <c r="BA449" s="14">
        <f t="shared" si="62"/>
        <v>2.1643528557844371</v>
      </c>
      <c r="BB449" s="37" t="s">
        <v>388</v>
      </c>
      <c r="BC449" s="20">
        <v>-1.9763905562224958E-3</v>
      </c>
      <c r="BD449" s="9">
        <v>29.700000000000003</v>
      </c>
      <c r="BE449" s="9" t="s">
        <v>368</v>
      </c>
      <c r="BF449" s="9">
        <v>0</v>
      </c>
    </row>
    <row r="450" spans="1:58">
      <c r="A450" s="9">
        <v>652</v>
      </c>
      <c r="B450" s="10" t="s">
        <v>76</v>
      </c>
      <c r="C450" s="10" t="s">
        <v>77</v>
      </c>
      <c r="D450" s="20" t="s">
        <v>766</v>
      </c>
      <c r="E450" s="20" t="s">
        <v>770</v>
      </c>
      <c r="F450" s="10" t="s">
        <v>77</v>
      </c>
      <c r="G450" s="20" t="s">
        <v>766</v>
      </c>
      <c r="H450" s="20" t="s">
        <v>770</v>
      </c>
      <c r="I450" s="10" t="s">
        <v>77</v>
      </c>
      <c r="J450" s="20" t="s">
        <v>766</v>
      </c>
      <c r="K450" s="20" t="s">
        <v>770</v>
      </c>
      <c r="L450" s="9" t="s">
        <v>352</v>
      </c>
      <c r="M450" s="9">
        <v>12</v>
      </c>
      <c r="N450" s="9" t="s">
        <v>381</v>
      </c>
      <c r="O450" s="9" t="s">
        <v>354</v>
      </c>
      <c r="P450" s="12">
        <v>38.59599</v>
      </c>
      <c r="Q450" s="12" t="s">
        <v>355</v>
      </c>
      <c r="R450" s="9" t="s">
        <v>356</v>
      </c>
      <c r="S450" s="50">
        <v>7</v>
      </c>
      <c r="T450" s="50">
        <v>7</v>
      </c>
      <c r="U450" s="14">
        <f t="shared" si="54"/>
        <v>0.90308998699194354</v>
      </c>
      <c r="V450" s="15">
        <v>22</v>
      </c>
      <c r="W450" s="12">
        <v>9.3177813</v>
      </c>
      <c r="X450" s="12">
        <v>0.33</v>
      </c>
      <c r="Y450" s="13" t="s">
        <v>358</v>
      </c>
      <c r="Z450" s="9" t="s">
        <v>417</v>
      </c>
      <c r="AA450" s="10" t="s">
        <v>418</v>
      </c>
      <c r="AB450" s="9" t="s">
        <v>355</v>
      </c>
      <c r="AC450" s="15">
        <v>19</v>
      </c>
      <c r="AD450" s="14">
        <f t="shared" si="55"/>
        <v>1.2787536009528289</v>
      </c>
      <c r="AE450" s="10" t="s">
        <v>756</v>
      </c>
      <c r="AF450" s="9" t="s">
        <v>420</v>
      </c>
      <c r="AG450" s="18">
        <v>27.471011000000001</v>
      </c>
      <c r="AH450" s="7">
        <f t="shared" si="56"/>
        <v>1</v>
      </c>
      <c r="AI450" s="7">
        <f t="shared" si="57"/>
        <v>0</v>
      </c>
      <c r="AJ450" s="7">
        <f t="shared" si="58"/>
        <v>0</v>
      </c>
      <c r="AK450" s="7">
        <f t="shared" si="59"/>
        <v>0</v>
      </c>
      <c r="AL450" s="7" t="s">
        <v>4159</v>
      </c>
      <c r="AM450" s="18">
        <f t="shared" si="60"/>
        <v>1.4388746428075896</v>
      </c>
      <c r="AN450" s="18">
        <v>-27.471011000000001</v>
      </c>
      <c r="AO450" s="18">
        <v>153.023449</v>
      </c>
      <c r="AP450" s="9" t="s">
        <v>363</v>
      </c>
      <c r="AQ450" s="12" t="s">
        <v>780</v>
      </c>
      <c r="AR450" s="15">
        <v>1971</v>
      </c>
      <c r="AS450" s="19" t="s">
        <v>725</v>
      </c>
      <c r="AT450" s="20" t="s">
        <v>775</v>
      </c>
      <c r="AU450" s="40">
        <v>4108503</v>
      </c>
      <c r="AV450" s="35">
        <f t="shared" si="61"/>
        <v>6.6136836084285351</v>
      </c>
      <c r="AW450" s="37" t="s">
        <v>366</v>
      </c>
      <c r="AX450" s="34" t="s">
        <v>355</v>
      </c>
      <c r="AY450" s="40">
        <v>200</v>
      </c>
      <c r="AZ450" s="15">
        <v>146</v>
      </c>
      <c r="BA450" s="14">
        <f t="shared" si="62"/>
        <v>2.1643528557844371</v>
      </c>
      <c r="BB450" s="37" t="s">
        <v>388</v>
      </c>
      <c r="BC450" s="20">
        <v>-1.9763905562224958E-3</v>
      </c>
      <c r="BD450" s="9">
        <v>29.700000000000003</v>
      </c>
      <c r="BE450" s="9" t="s">
        <v>368</v>
      </c>
      <c r="BF450" s="9">
        <v>0</v>
      </c>
    </row>
    <row r="451" spans="1:58">
      <c r="A451" s="9">
        <v>659</v>
      </c>
      <c r="B451" s="10" t="s">
        <v>76</v>
      </c>
      <c r="C451" s="10" t="s">
        <v>77</v>
      </c>
      <c r="D451" s="20" t="s">
        <v>766</v>
      </c>
      <c r="E451" s="20" t="s">
        <v>770</v>
      </c>
      <c r="F451" s="10" t="s">
        <v>77</v>
      </c>
      <c r="G451" s="20" t="s">
        <v>766</v>
      </c>
      <c r="H451" s="20" t="s">
        <v>770</v>
      </c>
      <c r="I451" s="10" t="s">
        <v>77</v>
      </c>
      <c r="J451" s="20" t="s">
        <v>766</v>
      </c>
      <c r="K451" s="20" t="s">
        <v>770</v>
      </c>
      <c r="L451" s="9" t="s">
        <v>352</v>
      </c>
      <c r="M451" s="9">
        <v>10</v>
      </c>
      <c r="N451" s="9" t="s">
        <v>381</v>
      </c>
      <c r="O451" s="9" t="s">
        <v>354</v>
      </c>
      <c r="P451" s="12">
        <v>38.767795999999997</v>
      </c>
      <c r="Q451" s="12" t="s">
        <v>355</v>
      </c>
      <c r="R451" s="9" t="s">
        <v>356</v>
      </c>
      <c r="S451" s="50">
        <v>7</v>
      </c>
      <c r="T451" s="50">
        <v>7</v>
      </c>
      <c r="U451" s="14">
        <f t="shared" si="54"/>
        <v>0.90308998699194354</v>
      </c>
      <c r="V451" s="15">
        <v>22</v>
      </c>
      <c r="W451" s="12">
        <v>9.4895872999999966</v>
      </c>
      <c r="X451" s="12">
        <v>0.33</v>
      </c>
      <c r="Y451" s="13" t="s">
        <v>358</v>
      </c>
      <c r="Z451" s="9" t="s">
        <v>417</v>
      </c>
      <c r="AA451" s="10" t="s">
        <v>418</v>
      </c>
      <c r="AB451" s="9" t="s">
        <v>355</v>
      </c>
      <c r="AC451" s="15">
        <v>19</v>
      </c>
      <c r="AD451" s="14">
        <f t="shared" si="55"/>
        <v>1.2787536009528289</v>
      </c>
      <c r="AE451" s="10" t="s">
        <v>756</v>
      </c>
      <c r="AF451" s="9" t="s">
        <v>420</v>
      </c>
      <c r="AG451" s="18">
        <v>27.471011000000001</v>
      </c>
      <c r="AH451" s="7">
        <f t="shared" si="56"/>
        <v>1</v>
      </c>
      <c r="AI451" s="7">
        <f t="shared" si="57"/>
        <v>0</v>
      </c>
      <c r="AJ451" s="7">
        <f t="shared" si="58"/>
        <v>0</v>
      </c>
      <c r="AK451" s="7">
        <f t="shared" si="59"/>
        <v>0</v>
      </c>
      <c r="AL451" s="7" t="s">
        <v>4159</v>
      </c>
      <c r="AM451" s="18">
        <f t="shared" si="60"/>
        <v>1.4388746428075896</v>
      </c>
      <c r="AN451" s="18">
        <v>-27.471011000000001</v>
      </c>
      <c r="AO451" s="18">
        <v>153.023449</v>
      </c>
      <c r="AP451" s="9" t="s">
        <v>363</v>
      </c>
      <c r="AQ451" s="12" t="s">
        <v>781</v>
      </c>
      <c r="AR451" s="15">
        <v>1971</v>
      </c>
      <c r="AS451" s="19" t="s">
        <v>725</v>
      </c>
      <c r="AT451" s="20" t="s">
        <v>775</v>
      </c>
      <c r="AU451" s="40">
        <v>4108503</v>
      </c>
      <c r="AV451" s="35">
        <f t="shared" si="61"/>
        <v>6.6136836084285351</v>
      </c>
      <c r="AW451" s="37" t="s">
        <v>366</v>
      </c>
      <c r="AX451" s="34" t="s">
        <v>355</v>
      </c>
      <c r="AY451" s="40">
        <v>200</v>
      </c>
      <c r="AZ451" s="15">
        <v>146</v>
      </c>
      <c r="BA451" s="14">
        <f t="shared" si="62"/>
        <v>2.1643528557844371</v>
      </c>
      <c r="BB451" s="37" t="s">
        <v>388</v>
      </c>
      <c r="BC451" s="20">
        <v>-1.9763905562224958E-3</v>
      </c>
      <c r="BD451" s="9">
        <v>29.700000000000003</v>
      </c>
      <c r="BE451" s="9" t="s">
        <v>368</v>
      </c>
      <c r="BF451" s="9">
        <v>0</v>
      </c>
    </row>
    <row r="452" spans="1:58">
      <c r="A452" s="9">
        <v>655</v>
      </c>
      <c r="B452" s="10" t="s">
        <v>76</v>
      </c>
      <c r="C452" s="10" t="s">
        <v>77</v>
      </c>
      <c r="D452" s="20" t="s">
        <v>766</v>
      </c>
      <c r="E452" s="20" t="s">
        <v>770</v>
      </c>
      <c r="F452" s="10" t="s">
        <v>77</v>
      </c>
      <c r="G452" s="20" t="s">
        <v>766</v>
      </c>
      <c r="H452" s="20" t="s">
        <v>770</v>
      </c>
      <c r="I452" s="10" t="s">
        <v>77</v>
      </c>
      <c r="J452" s="20" t="s">
        <v>766</v>
      </c>
      <c r="K452" s="20" t="s">
        <v>770</v>
      </c>
      <c r="L452" s="9" t="s">
        <v>352</v>
      </c>
      <c r="M452" s="9">
        <v>10</v>
      </c>
      <c r="N452" s="9" t="s">
        <v>381</v>
      </c>
      <c r="O452" s="9" t="s">
        <v>354</v>
      </c>
      <c r="P452" s="12">
        <v>38.772865000000003</v>
      </c>
      <c r="Q452" s="12" t="s">
        <v>355</v>
      </c>
      <c r="R452" s="9" t="s">
        <v>356</v>
      </c>
      <c r="S452" s="50">
        <v>7</v>
      </c>
      <c r="T452" s="50">
        <v>7</v>
      </c>
      <c r="U452" s="14">
        <f t="shared" si="54"/>
        <v>0.90308998699194354</v>
      </c>
      <c r="V452" s="15">
        <v>22</v>
      </c>
      <c r="W452" s="12">
        <v>9.4946563000000026</v>
      </c>
      <c r="X452" s="12">
        <v>0.33</v>
      </c>
      <c r="Y452" s="13" t="s">
        <v>358</v>
      </c>
      <c r="Z452" s="9" t="s">
        <v>417</v>
      </c>
      <c r="AA452" s="10" t="s">
        <v>418</v>
      </c>
      <c r="AB452" s="9" t="s">
        <v>355</v>
      </c>
      <c r="AC452" s="15">
        <v>19</v>
      </c>
      <c r="AD452" s="14">
        <f t="shared" si="55"/>
        <v>1.2787536009528289</v>
      </c>
      <c r="AE452" s="10" t="s">
        <v>756</v>
      </c>
      <c r="AF452" s="9" t="s">
        <v>420</v>
      </c>
      <c r="AG452" s="18">
        <v>27.471011000000001</v>
      </c>
      <c r="AH452" s="7">
        <f t="shared" si="56"/>
        <v>1</v>
      </c>
      <c r="AI452" s="7">
        <f t="shared" si="57"/>
        <v>0</v>
      </c>
      <c r="AJ452" s="7">
        <f t="shared" si="58"/>
        <v>0</v>
      </c>
      <c r="AK452" s="7">
        <f t="shared" si="59"/>
        <v>0</v>
      </c>
      <c r="AL452" s="7" t="s">
        <v>4159</v>
      </c>
      <c r="AM452" s="18">
        <f t="shared" si="60"/>
        <v>1.4388746428075896</v>
      </c>
      <c r="AN452" s="18">
        <v>-27.471011000000001</v>
      </c>
      <c r="AO452" s="18">
        <v>153.023449</v>
      </c>
      <c r="AP452" s="9" t="s">
        <v>363</v>
      </c>
      <c r="AQ452" s="12" t="s">
        <v>782</v>
      </c>
      <c r="AR452" s="15">
        <v>1971</v>
      </c>
      <c r="AS452" s="19" t="s">
        <v>725</v>
      </c>
      <c r="AT452" s="20" t="s">
        <v>775</v>
      </c>
      <c r="AU452" s="40">
        <v>4108503</v>
      </c>
      <c r="AV452" s="35">
        <f t="shared" si="61"/>
        <v>6.6136836084285351</v>
      </c>
      <c r="AW452" s="37" t="s">
        <v>366</v>
      </c>
      <c r="AX452" s="34" t="s">
        <v>355</v>
      </c>
      <c r="AY452" s="40">
        <v>200</v>
      </c>
      <c r="AZ452" s="15">
        <v>146</v>
      </c>
      <c r="BA452" s="14">
        <f t="shared" si="62"/>
        <v>2.1643528557844371</v>
      </c>
      <c r="BB452" s="37" t="s">
        <v>388</v>
      </c>
      <c r="BC452" s="20">
        <v>-1.9763905562224958E-3</v>
      </c>
      <c r="BD452" s="9">
        <v>29.700000000000003</v>
      </c>
      <c r="BE452" s="9" t="s">
        <v>368</v>
      </c>
      <c r="BF452" s="9">
        <v>0</v>
      </c>
    </row>
    <row r="453" spans="1:58">
      <c r="A453" s="9">
        <v>656</v>
      </c>
      <c r="B453" s="10" t="s">
        <v>76</v>
      </c>
      <c r="C453" s="10" t="s">
        <v>77</v>
      </c>
      <c r="D453" s="20" t="s">
        <v>766</v>
      </c>
      <c r="E453" s="20" t="s">
        <v>770</v>
      </c>
      <c r="F453" s="10" t="s">
        <v>77</v>
      </c>
      <c r="G453" s="20" t="s">
        <v>766</v>
      </c>
      <c r="H453" s="20" t="s">
        <v>770</v>
      </c>
      <c r="I453" s="10" t="s">
        <v>77</v>
      </c>
      <c r="J453" s="20" t="s">
        <v>766</v>
      </c>
      <c r="K453" s="20" t="s">
        <v>770</v>
      </c>
      <c r="L453" s="9" t="s">
        <v>352</v>
      </c>
      <c r="M453" s="9">
        <v>9</v>
      </c>
      <c r="N453" s="9" t="s">
        <v>353</v>
      </c>
      <c r="O453" s="9" t="s">
        <v>354</v>
      </c>
      <c r="P453" s="12">
        <v>38.785502999999999</v>
      </c>
      <c r="Q453" s="12" t="s">
        <v>355</v>
      </c>
      <c r="R453" s="9" t="s">
        <v>356</v>
      </c>
      <c r="S453" s="50">
        <v>7</v>
      </c>
      <c r="T453" s="50">
        <v>7</v>
      </c>
      <c r="U453" s="14">
        <f t="shared" ref="U453:U516" si="63">LOG(T453+1)</f>
        <v>0.90308998699194354</v>
      </c>
      <c r="V453" s="15">
        <v>22</v>
      </c>
      <c r="W453" s="12">
        <v>9.5072942999999981</v>
      </c>
      <c r="X453" s="12">
        <v>0.33</v>
      </c>
      <c r="Y453" s="13" t="s">
        <v>358</v>
      </c>
      <c r="Z453" s="9" t="s">
        <v>417</v>
      </c>
      <c r="AA453" s="10" t="s">
        <v>418</v>
      </c>
      <c r="AB453" s="9" t="s">
        <v>355</v>
      </c>
      <c r="AC453" s="15">
        <v>19</v>
      </c>
      <c r="AD453" s="14">
        <f t="shared" ref="AD453:AD516" si="64">LOG(AC453)</f>
        <v>1.2787536009528289</v>
      </c>
      <c r="AE453" s="10" t="s">
        <v>756</v>
      </c>
      <c r="AF453" s="9" t="s">
        <v>420</v>
      </c>
      <c r="AG453" s="18">
        <v>27.471011000000001</v>
      </c>
      <c r="AH453" s="7">
        <f t="shared" ref="AH453:AH516" si="65">IF(AG453&gt;15,1,0)</f>
        <v>1</v>
      </c>
      <c r="AI453" s="7">
        <f t="shared" ref="AI453:AI516" si="66">IF(AG453&gt;30,1,0)</f>
        <v>0</v>
      </c>
      <c r="AJ453" s="7">
        <f t="shared" ref="AJ453:AJ516" si="67">IF(AG453&gt;45,1,0)</f>
        <v>0</v>
      </c>
      <c r="AK453" s="7">
        <f t="shared" ref="AK453:AK516" si="68">IF(AG453&gt;60,1,0)</f>
        <v>0</v>
      </c>
      <c r="AL453" s="7" t="s">
        <v>4159</v>
      </c>
      <c r="AM453" s="18">
        <f t="shared" ref="AM453:AM516" si="69">LOG(AG453)</f>
        <v>1.4388746428075896</v>
      </c>
      <c r="AN453" s="18">
        <v>-27.471011000000001</v>
      </c>
      <c r="AO453" s="18">
        <v>153.023449</v>
      </c>
      <c r="AP453" s="9" t="s">
        <v>363</v>
      </c>
      <c r="AQ453" s="12" t="s">
        <v>783</v>
      </c>
      <c r="AR453" s="15">
        <v>1971</v>
      </c>
      <c r="AS453" s="19" t="s">
        <v>725</v>
      </c>
      <c r="AT453" s="20" t="s">
        <v>775</v>
      </c>
      <c r="AU453" s="40">
        <v>4108503</v>
      </c>
      <c r="AV453" s="35">
        <f t="shared" ref="AV453:AV516" si="70">LOG(AU453)</f>
        <v>6.6136836084285351</v>
      </c>
      <c r="AW453" s="37" t="s">
        <v>366</v>
      </c>
      <c r="AX453" s="34" t="s">
        <v>355</v>
      </c>
      <c r="AY453" s="40">
        <v>200</v>
      </c>
      <c r="AZ453" s="15">
        <v>146</v>
      </c>
      <c r="BA453" s="14">
        <f t="shared" ref="BA453:BA516" si="71">LOG(AZ453)</f>
        <v>2.1643528557844371</v>
      </c>
      <c r="BB453" s="37" t="s">
        <v>388</v>
      </c>
      <c r="BC453" s="20">
        <v>-1.9763905562224958E-3</v>
      </c>
      <c r="BD453" s="9">
        <v>29.700000000000003</v>
      </c>
      <c r="BE453" s="9" t="s">
        <v>368</v>
      </c>
      <c r="BF453" s="9">
        <v>0</v>
      </c>
    </row>
    <row r="454" spans="1:58">
      <c r="A454" s="9">
        <v>663</v>
      </c>
      <c r="B454" s="10" t="s">
        <v>76</v>
      </c>
      <c r="C454" s="10" t="s">
        <v>77</v>
      </c>
      <c r="D454" s="20" t="s">
        <v>766</v>
      </c>
      <c r="E454" s="20" t="s">
        <v>770</v>
      </c>
      <c r="F454" s="10" t="s">
        <v>77</v>
      </c>
      <c r="G454" s="20" t="s">
        <v>766</v>
      </c>
      <c r="H454" s="20" t="s">
        <v>770</v>
      </c>
      <c r="I454" s="10" t="s">
        <v>77</v>
      </c>
      <c r="J454" s="20" t="s">
        <v>766</v>
      </c>
      <c r="K454" s="20" t="s">
        <v>770</v>
      </c>
      <c r="L454" s="9" t="s">
        <v>352</v>
      </c>
      <c r="M454" s="9">
        <v>10</v>
      </c>
      <c r="N454" s="9" t="s">
        <v>381</v>
      </c>
      <c r="O454" s="9" t="s">
        <v>354</v>
      </c>
      <c r="P454" s="12">
        <v>38.804535000000001</v>
      </c>
      <c r="Q454" s="12" t="s">
        <v>355</v>
      </c>
      <c r="R454" s="9" t="s">
        <v>356</v>
      </c>
      <c r="S454" s="50">
        <v>7</v>
      </c>
      <c r="T454" s="50">
        <v>7</v>
      </c>
      <c r="U454" s="14">
        <f t="shared" si="63"/>
        <v>0.90308998699194354</v>
      </c>
      <c r="V454" s="15">
        <v>22</v>
      </c>
      <c r="W454" s="12">
        <v>9.5263263000000009</v>
      </c>
      <c r="X454" s="12">
        <v>0.33</v>
      </c>
      <c r="Y454" s="13" t="s">
        <v>358</v>
      </c>
      <c r="Z454" s="9" t="s">
        <v>417</v>
      </c>
      <c r="AA454" s="10" t="s">
        <v>418</v>
      </c>
      <c r="AB454" s="9" t="s">
        <v>355</v>
      </c>
      <c r="AC454" s="15">
        <v>19</v>
      </c>
      <c r="AD454" s="14">
        <f t="shared" si="64"/>
        <v>1.2787536009528289</v>
      </c>
      <c r="AE454" s="10" t="s">
        <v>756</v>
      </c>
      <c r="AF454" s="9" t="s">
        <v>420</v>
      </c>
      <c r="AG454" s="18">
        <v>27.471011000000001</v>
      </c>
      <c r="AH454" s="7">
        <f t="shared" si="65"/>
        <v>1</v>
      </c>
      <c r="AI454" s="7">
        <f t="shared" si="66"/>
        <v>0</v>
      </c>
      <c r="AJ454" s="7">
        <f t="shared" si="67"/>
        <v>0</v>
      </c>
      <c r="AK454" s="7">
        <f t="shared" si="68"/>
        <v>0</v>
      </c>
      <c r="AL454" s="7" t="s">
        <v>4159</v>
      </c>
      <c r="AM454" s="18">
        <f t="shared" si="69"/>
        <v>1.4388746428075896</v>
      </c>
      <c r="AN454" s="18">
        <v>-27.471011000000001</v>
      </c>
      <c r="AO454" s="18">
        <v>153.023449</v>
      </c>
      <c r="AP454" s="9" t="s">
        <v>363</v>
      </c>
      <c r="AQ454" s="12" t="s">
        <v>784</v>
      </c>
      <c r="AR454" s="15">
        <v>1971</v>
      </c>
      <c r="AS454" s="19" t="s">
        <v>725</v>
      </c>
      <c r="AT454" s="20" t="s">
        <v>775</v>
      </c>
      <c r="AU454" s="40">
        <v>4108503</v>
      </c>
      <c r="AV454" s="35">
        <f t="shared" si="70"/>
        <v>6.6136836084285351</v>
      </c>
      <c r="AW454" s="37" t="s">
        <v>366</v>
      </c>
      <c r="AX454" s="34" t="s">
        <v>355</v>
      </c>
      <c r="AY454" s="40">
        <v>200</v>
      </c>
      <c r="AZ454" s="15">
        <v>146</v>
      </c>
      <c r="BA454" s="14">
        <f t="shared" si="71"/>
        <v>2.1643528557844371</v>
      </c>
      <c r="BB454" s="37" t="s">
        <v>388</v>
      </c>
      <c r="BC454" s="20">
        <v>-1.9763905562224958E-3</v>
      </c>
      <c r="BD454" s="9">
        <v>29.700000000000003</v>
      </c>
      <c r="BE454" s="9" t="s">
        <v>368</v>
      </c>
      <c r="BF454" s="9">
        <v>0</v>
      </c>
    </row>
    <row r="455" spans="1:58">
      <c r="A455" s="9">
        <v>658</v>
      </c>
      <c r="B455" s="10" t="s">
        <v>76</v>
      </c>
      <c r="C455" s="10" t="s">
        <v>77</v>
      </c>
      <c r="D455" s="20" t="s">
        <v>766</v>
      </c>
      <c r="E455" s="20" t="s">
        <v>770</v>
      </c>
      <c r="F455" s="10" t="s">
        <v>77</v>
      </c>
      <c r="G455" s="20" t="s">
        <v>766</v>
      </c>
      <c r="H455" s="20" t="s">
        <v>770</v>
      </c>
      <c r="I455" s="10" t="s">
        <v>77</v>
      </c>
      <c r="J455" s="20" t="s">
        <v>766</v>
      </c>
      <c r="K455" s="20" t="s">
        <v>770</v>
      </c>
      <c r="L455" s="9" t="s">
        <v>352</v>
      </c>
      <c r="M455" s="9">
        <v>12</v>
      </c>
      <c r="N455" s="9" t="s">
        <v>381</v>
      </c>
      <c r="O455" s="9" t="s">
        <v>354</v>
      </c>
      <c r="P455" s="12">
        <v>39.199596</v>
      </c>
      <c r="Q455" s="12" t="s">
        <v>355</v>
      </c>
      <c r="R455" s="9" t="s">
        <v>356</v>
      </c>
      <c r="S455" s="50">
        <v>7</v>
      </c>
      <c r="T455" s="50">
        <v>7</v>
      </c>
      <c r="U455" s="14">
        <f t="shared" si="63"/>
        <v>0.90308998699194354</v>
      </c>
      <c r="V455" s="15">
        <v>22</v>
      </c>
      <c r="W455" s="12">
        <v>9.9213872999999992</v>
      </c>
      <c r="X455" s="12">
        <v>0.33</v>
      </c>
      <c r="Y455" s="13" t="s">
        <v>358</v>
      </c>
      <c r="Z455" s="9" t="s">
        <v>417</v>
      </c>
      <c r="AA455" s="10" t="s">
        <v>418</v>
      </c>
      <c r="AB455" s="9" t="s">
        <v>355</v>
      </c>
      <c r="AC455" s="15">
        <v>19</v>
      </c>
      <c r="AD455" s="14">
        <f t="shared" si="64"/>
        <v>1.2787536009528289</v>
      </c>
      <c r="AE455" s="10" t="s">
        <v>756</v>
      </c>
      <c r="AF455" s="9" t="s">
        <v>420</v>
      </c>
      <c r="AG455" s="18">
        <v>27.471011000000001</v>
      </c>
      <c r="AH455" s="7">
        <f t="shared" si="65"/>
        <v>1</v>
      </c>
      <c r="AI455" s="7">
        <f t="shared" si="66"/>
        <v>0</v>
      </c>
      <c r="AJ455" s="7">
        <f t="shared" si="67"/>
        <v>0</v>
      </c>
      <c r="AK455" s="7">
        <f t="shared" si="68"/>
        <v>0</v>
      </c>
      <c r="AL455" s="7" t="s">
        <v>4159</v>
      </c>
      <c r="AM455" s="18">
        <f t="shared" si="69"/>
        <v>1.4388746428075896</v>
      </c>
      <c r="AN455" s="18">
        <v>-27.471011000000001</v>
      </c>
      <c r="AO455" s="18">
        <v>153.023449</v>
      </c>
      <c r="AP455" s="9" t="s">
        <v>363</v>
      </c>
      <c r="AQ455" s="12" t="s">
        <v>785</v>
      </c>
      <c r="AR455" s="15">
        <v>1971</v>
      </c>
      <c r="AS455" s="19" t="s">
        <v>725</v>
      </c>
      <c r="AT455" s="20" t="s">
        <v>775</v>
      </c>
      <c r="AU455" s="40">
        <v>4108503</v>
      </c>
      <c r="AV455" s="35">
        <f t="shared" si="70"/>
        <v>6.6136836084285351</v>
      </c>
      <c r="AW455" s="37" t="s">
        <v>366</v>
      </c>
      <c r="AX455" s="34" t="s">
        <v>355</v>
      </c>
      <c r="AY455" s="40">
        <v>200</v>
      </c>
      <c r="AZ455" s="15">
        <v>146</v>
      </c>
      <c r="BA455" s="14">
        <f t="shared" si="71"/>
        <v>2.1643528557844371</v>
      </c>
      <c r="BB455" s="37" t="s">
        <v>388</v>
      </c>
      <c r="BC455" s="20">
        <v>-1.9763905562224958E-3</v>
      </c>
      <c r="BD455" s="9">
        <v>29.700000000000003</v>
      </c>
      <c r="BE455" s="9" t="s">
        <v>368</v>
      </c>
      <c r="BF455" s="9">
        <v>0</v>
      </c>
    </row>
    <row r="456" spans="1:58">
      <c r="A456" s="9">
        <v>657</v>
      </c>
      <c r="B456" s="10" t="s">
        <v>76</v>
      </c>
      <c r="C456" s="10" t="s">
        <v>77</v>
      </c>
      <c r="D456" s="20" t="s">
        <v>766</v>
      </c>
      <c r="E456" s="20" t="s">
        <v>770</v>
      </c>
      <c r="F456" s="10" t="s">
        <v>77</v>
      </c>
      <c r="G456" s="20" t="s">
        <v>766</v>
      </c>
      <c r="H456" s="20" t="s">
        <v>770</v>
      </c>
      <c r="I456" s="10" t="s">
        <v>77</v>
      </c>
      <c r="J456" s="20" t="s">
        <v>766</v>
      </c>
      <c r="K456" s="20" t="s">
        <v>770</v>
      </c>
      <c r="L456" s="9" t="s">
        <v>352</v>
      </c>
      <c r="M456" s="9">
        <v>9</v>
      </c>
      <c r="N456" s="9" t="s">
        <v>353</v>
      </c>
      <c r="O456" s="9" t="s">
        <v>354</v>
      </c>
      <c r="P456" s="12">
        <v>39.284213999999999</v>
      </c>
      <c r="Q456" s="12" t="s">
        <v>355</v>
      </c>
      <c r="R456" s="9" t="s">
        <v>356</v>
      </c>
      <c r="S456" s="50">
        <v>7</v>
      </c>
      <c r="T456" s="50">
        <v>7</v>
      </c>
      <c r="U456" s="14">
        <f t="shared" si="63"/>
        <v>0.90308998699194354</v>
      </c>
      <c r="V456" s="15">
        <v>22</v>
      </c>
      <c r="W456" s="12">
        <v>10.006005299999998</v>
      </c>
      <c r="X456" s="12">
        <v>0.33</v>
      </c>
      <c r="Y456" s="13" t="s">
        <v>358</v>
      </c>
      <c r="Z456" s="9" t="s">
        <v>417</v>
      </c>
      <c r="AA456" s="10" t="s">
        <v>418</v>
      </c>
      <c r="AB456" s="9" t="s">
        <v>355</v>
      </c>
      <c r="AC456" s="15">
        <v>19</v>
      </c>
      <c r="AD456" s="14">
        <f t="shared" si="64"/>
        <v>1.2787536009528289</v>
      </c>
      <c r="AE456" s="10" t="s">
        <v>756</v>
      </c>
      <c r="AF456" s="9" t="s">
        <v>420</v>
      </c>
      <c r="AG456" s="18">
        <v>27.471011000000001</v>
      </c>
      <c r="AH456" s="7">
        <f t="shared" si="65"/>
        <v>1</v>
      </c>
      <c r="AI456" s="7">
        <f t="shared" si="66"/>
        <v>0</v>
      </c>
      <c r="AJ456" s="7">
        <f t="shared" si="67"/>
        <v>0</v>
      </c>
      <c r="AK456" s="7">
        <f t="shared" si="68"/>
        <v>0</v>
      </c>
      <c r="AL456" s="7" t="s">
        <v>4159</v>
      </c>
      <c r="AM456" s="18">
        <f t="shared" si="69"/>
        <v>1.4388746428075896</v>
      </c>
      <c r="AN456" s="18">
        <v>-27.471011000000001</v>
      </c>
      <c r="AO456" s="18">
        <v>153.023449</v>
      </c>
      <c r="AP456" s="9" t="s">
        <v>363</v>
      </c>
      <c r="AQ456" s="12" t="s">
        <v>786</v>
      </c>
      <c r="AR456" s="15">
        <v>1971</v>
      </c>
      <c r="AS456" s="19" t="s">
        <v>725</v>
      </c>
      <c r="AT456" s="20" t="s">
        <v>775</v>
      </c>
      <c r="AU456" s="40">
        <v>4108503</v>
      </c>
      <c r="AV456" s="35">
        <f t="shared" si="70"/>
        <v>6.6136836084285351</v>
      </c>
      <c r="AW456" s="37" t="s">
        <v>366</v>
      </c>
      <c r="AX456" s="34" t="s">
        <v>355</v>
      </c>
      <c r="AY456" s="40">
        <v>200</v>
      </c>
      <c r="AZ456" s="15">
        <v>146</v>
      </c>
      <c r="BA456" s="14">
        <f t="shared" si="71"/>
        <v>2.1643528557844371</v>
      </c>
      <c r="BB456" s="37" t="s">
        <v>388</v>
      </c>
      <c r="BC456" s="20">
        <v>-1.9763905562224958E-3</v>
      </c>
      <c r="BD456" s="9">
        <v>29.700000000000003</v>
      </c>
      <c r="BE456" s="9" t="s">
        <v>368</v>
      </c>
      <c r="BF456" s="9">
        <v>0</v>
      </c>
    </row>
    <row r="457" spans="1:58">
      <c r="A457" s="9">
        <v>913</v>
      </c>
      <c r="B457" s="10" t="s">
        <v>76</v>
      </c>
      <c r="C457" s="10" t="s">
        <v>77</v>
      </c>
      <c r="D457" s="20" t="s">
        <v>501</v>
      </c>
      <c r="E457" s="20" t="s">
        <v>770</v>
      </c>
      <c r="F457" s="10" t="s">
        <v>77</v>
      </c>
      <c r="G457" s="20" t="s">
        <v>766</v>
      </c>
      <c r="H457" s="20" t="s">
        <v>770</v>
      </c>
      <c r="I457" s="10" t="s">
        <v>77</v>
      </c>
      <c r="J457" s="20" t="s">
        <v>766</v>
      </c>
      <c r="K457" s="20" t="s">
        <v>770</v>
      </c>
      <c r="L457" s="9" t="s">
        <v>352</v>
      </c>
      <c r="M457" s="9">
        <v>22</v>
      </c>
      <c r="N457" s="9" t="s">
        <v>381</v>
      </c>
      <c r="O457" s="9" t="s">
        <v>354</v>
      </c>
      <c r="P457" s="12">
        <v>39.299999999999997</v>
      </c>
      <c r="Q457" s="12" t="s">
        <v>355</v>
      </c>
      <c r="R457" s="9" t="s">
        <v>356</v>
      </c>
      <c r="S457" s="13" t="s">
        <v>684</v>
      </c>
      <c r="T457" s="13" t="s">
        <v>684</v>
      </c>
      <c r="U457" s="14">
        <f t="shared" si="63"/>
        <v>0.90308998699194354</v>
      </c>
      <c r="V457" s="15">
        <v>25</v>
      </c>
      <c r="W457" s="12">
        <v>9.7218905000000007</v>
      </c>
      <c r="X457" s="12">
        <v>0.3</v>
      </c>
      <c r="Y457" s="13" t="s">
        <v>401</v>
      </c>
      <c r="Z457" s="9" t="s">
        <v>359</v>
      </c>
      <c r="AA457" s="10" t="s">
        <v>372</v>
      </c>
      <c r="AB457" s="9" t="s">
        <v>355</v>
      </c>
      <c r="AC457" s="15">
        <v>117</v>
      </c>
      <c r="AD457" s="14">
        <f t="shared" si="64"/>
        <v>2.0681858617461617</v>
      </c>
      <c r="AE457" s="10" t="s">
        <v>753</v>
      </c>
      <c r="AF457" s="9" t="s">
        <v>420</v>
      </c>
      <c r="AG457" s="18">
        <v>27.372254999999999</v>
      </c>
      <c r="AH457" s="7">
        <f t="shared" si="65"/>
        <v>1</v>
      </c>
      <c r="AI457" s="7">
        <f t="shared" si="66"/>
        <v>0</v>
      </c>
      <c r="AJ457" s="7">
        <f t="shared" si="67"/>
        <v>0</v>
      </c>
      <c r="AK457" s="7">
        <f t="shared" si="68"/>
        <v>0</v>
      </c>
      <c r="AL457" s="7" t="s">
        <v>4159</v>
      </c>
      <c r="AM457" s="18">
        <f t="shared" si="69"/>
        <v>1.4373105772316617</v>
      </c>
      <c r="AN457" s="18">
        <v>-27.372254999999999</v>
      </c>
      <c r="AO457" s="18">
        <v>152.867009</v>
      </c>
      <c r="AP457" s="9" t="s">
        <v>363</v>
      </c>
      <c r="AQ457" s="9" t="s">
        <v>355</v>
      </c>
      <c r="AR457" s="15">
        <v>1970</v>
      </c>
      <c r="AS457" s="19" t="s">
        <v>772</v>
      </c>
      <c r="AT457" s="20" t="s">
        <v>773</v>
      </c>
      <c r="AU457" s="40">
        <v>4108503</v>
      </c>
      <c r="AV457" s="35">
        <f t="shared" si="70"/>
        <v>6.6136836084285351</v>
      </c>
      <c r="AW457" s="37" t="s">
        <v>366</v>
      </c>
      <c r="AX457" s="34" t="s">
        <v>355</v>
      </c>
      <c r="AY457" s="40">
        <v>200</v>
      </c>
      <c r="AZ457" s="15">
        <v>146</v>
      </c>
      <c r="BA457" s="14">
        <f t="shared" si="71"/>
        <v>2.1643528557844371</v>
      </c>
      <c r="BB457" s="37" t="s">
        <v>388</v>
      </c>
      <c r="BC457" s="20">
        <v>8.5146058423372327E-3</v>
      </c>
      <c r="BD457" s="9">
        <v>29.5</v>
      </c>
      <c r="BE457" s="9" t="s">
        <v>368</v>
      </c>
      <c r="BF457" s="9">
        <v>0</v>
      </c>
    </row>
    <row r="458" spans="1:58">
      <c r="A458" s="9">
        <v>914</v>
      </c>
      <c r="B458" s="10" t="s">
        <v>76</v>
      </c>
      <c r="C458" s="10" t="s">
        <v>77</v>
      </c>
      <c r="D458" s="20" t="s">
        <v>501</v>
      </c>
      <c r="E458" s="20" t="s">
        <v>787</v>
      </c>
      <c r="F458" s="10" t="s">
        <v>77</v>
      </c>
      <c r="G458" s="20" t="s">
        <v>766</v>
      </c>
      <c r="H458" s="20" t="s">
        <v>787</v>
      </c>
      <c r="I458" s="10" t="s">
        <v>77</v>
      </c>
      <c r="J458" s="20" t="s">
        <v>766</v>
      </c>
      <c r="K458" s="20" t="s">
        <v>787</v>
      </c>
      <c r="L458" s="9" t="s">
        <v>352</v>
      </c>
      <c r="M458" s="9">
        <v>6</v>
      </c>
      <c r="N458" s="9" t="s">
        <v>353</v>
      </c>
      <c r="O458" s="9" t="s">
        <v>354</v>
      </c>
      <c r="P458" s="12">
        <v>35.200000000000003</v>
      </c>
      <c r="Q458" s="12" t="s">
        <v>355</v>
      </c>
      <c r="R458" s="9" t="s">
        <v>356</v>
      </c>
      <c r="S458" s="13" t="s">
        <v>684</v>
      </c>
      <c r="T458" s="13" t="s">
        <v>684</v>
      </c>
      <c r="U458" s="14">
        <f t="shared" si="63"/>
        <v>0.90308998699194354</v>
      </c>
      <c r="V458" s="15">
        <v>25</v>
      </c>
      <c r="W458" s="12">
        <v>5.9594029000000006</v>
      </c>
      <c r="X458" s="12">
        <v>0.3</v>
      </c>
      <c r="Y458" s="13" t="s">
        <v>358</v>
      </c>
      <c r="Z458" s="9" t="s">
        <v>359</v>
      </c>
      <c r="AA458" s="10" t="s">
        <v>418</v>
      </c>
      <c r="AB458" s="9" t="s">
        <v>355</v>
      </c>
      <c r="AC458" s="15">
        <v>790</v>
      </c>
      <c r="AD458" s="14">
        <f t="shared" si="64"/>
        <v>2.8976270912904414</v>
      </c>
      <c r="AE458" s="10" t="s">
        <v>788</v>
      </c>
      <c r="AF458" s="9" t="s">
        <v>408</v>
      </c>
      <c r="AG458" s="18">
        <v>17.266815000000001</v>
      </c>
      <c r="AH458" s="7">
        <f t="shared" si="65"/>
        <v>1</v>
      </c>
      <c r="AI458" s="7">
        <f t="shared" si="66"/>
        <v>0</v>
      </c>
      <c r="AJ458" s="7">
        <f t="shared" si="67"/>
        <v>0</v>
      </c>
      <c r="AK458" s="7">
        <f t="shared" si="68"/>
        <v>0</v>
      </c>
      <c r="AL458" s="7" t="s">
        <v>4159</v>
      </c>
      <c r="AM458" s="18">
        <f t="shared" si="69"/>
        <v>1.2372122359177391</v>
      </c>
      <c r="AN458" s="18">
        <v>-17.266815000000001</v>
      </c>
      <c r="AO458" s="18">
        <v>145.476079</v>
      </c>
      <c r="AP458" s="9" t="s">
        <v>363</v>
      </c>
      <c r="AQ458" s="9" t="s">
        <v>355</v>
      </c>
      <c r="AR458" s="15">
        <v>1971</v>
      </c>
      <c r="AS458" s="19" t="s">
        <v>725</v>
      </c>
      <c r="AT458" s="20" t="s">
        <v>726</v>
      </c>
      <c r="AU458" s="40">
        <v>415060</v>
      </c>
      <c r="AV458" s="35">
        <f t="shared" si="70"/>
        <v>5.6181108817371745</v>
      </c>
      <c r="AW458" s="37" t="s">
        <v>366</v>
      </c>
      <c r="AX458" s="34" t="s">
        <v>355</v>
      </c>
      <c r="AY458" s="40">
        <v>1500</v>
      </c>
      <c r="AZ458" s="15">
        <v>75</v>
      </c>
      <c r="BA458" s="14">
        <f t="shared" si="71"/>
        <v>1.8750612633917001</v>
      </c>
      <c r="BB458" s="37" t="s">
        <v>388</v>
      </c>
      <c r="BC458" s="20">
        <v>2.5786314525810738E-3</v>
      </c>
      <c r="BD458" s="9">
        <v>29.1</v>
      </c>
      <c r="BE458" s="9" t="s">
        <v>368</v>
      </c>
      <c r="BF458" s="9">
        <v>0</v>
      </c>
    </row>
    <row r="459" spans="1:58">
      <c r="A459" s="9">
        <v>915</v>
      </c>
      <c r="B459" s="10" t="s">
        <v>76</v>
      </c>
      <c r="C459" s="10" t="s">
        <v>77</v>
      </c>
      <c r="D459" s="20" t="s">
        <v>501</v>
      </c>
      <c r="E459" s="20" t="s">
        <v>787</v>
      </c>
      <c r="F459" s="10" t="s">
        <v>77</v>
      </c>
      <c r="G459" s="20" t="s">
        <v>766</v>
      </c>
      <c r="H459" s="20" t="s">
        <v>787</v>
      </c>
      <c r="I459" s="10" t="s">
        <v>77</v>
      </c>
      <c r="J459" s="20" t="s">
        <v>766</v>
      </c>
      <c r="K459" s="20" t="s">
        <v>787</v>
      </c>
      <c r="L459" s="9" t="s">
        <v>430</v>
      </c>
      <c r="M459" s="9">
        <v>1</v>
      </c>
      <c r="N459" s="9" t="s">
        <v>353</v>
      </c>
      <c r="O459" s="9" t="s">
        <v>354</v>
      </c>
      <c r="P459" s="12">
        <v>32.9</v>
      </c>
      <c r="Q459" s="12" t="s">
        <v>355</v>
      </c>
      <c r="R459" s="9" t="s">
        <v>356</v>
      </c>
      <c r="S459" s="13" t="s">
        <v>684</v>
      </c>
      <c r="T459" s="13" t="s">
        <v>684</v>
      </c>
      <c r="U459" s="14">
        <f t="shared" si="63"/>
        <v>0.90308998699194354</v>
      </c>
      <c r="V459" s="15">
        <v>25</v>
      </c>
      <c r="W459" s="12">
        <v>3.6594028999999964</v>
      </c>
      <c r="X459" s="12">
        <v>0.3</v>
      </c>
      <c r="Y459" s="13" t="s">
        <v>358</v>
      </c>
      <c r="Z459" s="9" t="s">
        <v>359</v>
      </c>
      <c r="AA459" s="10" t="s">
        <v>418</v>
      </c>
      <c r="AB459" s="9" t="s">
        <v>355</v>
      </c>
      <c r="AC459" s="15">
        <v>790</v>
      </c>
      <c r="AD459" s="14">
        <f t="shared" si="64"/>
        <v>2.8976270912904414</v>
      </c>
      <c r="AE459" s="10" t="s">
        <v>788</v>
      </c>
      <c r="AF459" s="9" t="s">
        <v>408</v>
      </c>
      <c r="AG459" s="18">
        <v>17.266815000000001</v>
      </c>
      <c r="AH459" s="7">
        <f t="shared" si="65"/>
        <v>1</v>
      </c>
      <c r="AI459" s="7">
        <f t="shared" si="66"/>
        <v>0</v>
      </c>
      <c r="AJ459" s="7">
        <f t="shared" si="67"/>
        <v>0</v>
      </c>
      <c r="AK459" s="7">
        <f t="shared" si="68"/>
        <v>0</v>
      </c>
      <c r="AL459" s="7" t="s">
        <v>4159</v>
      </c>
      <c r="AM459" s="18">
        <f t="shared" si="69"/>
        <v>1.2372122359177391</v>
      </c>
      <c r="AN459" s="18">
        <v>-17.266815000000001</v>
      </c>
      <c r="AO459" s="18">
        <v>145.476079</v>
      </c>
      <c r="AP459" s="9" t="s">
        <v>363</v>
      </c>
      <c r="AQ459" s="9" t="s">
        <v>355</v>
      </c>
      <c r="AR459" s="15">
        <v>1971</v>
      </c>
      <c r="AS459" s="19" t="s">
        <v>725</v>
      </c>
      <c r="AT459" s="20" t="s">
        <v>726</v>
      </c>
      <c r="AU459" s="40">
        <v>415060</v>
      </c>
      <c r="AV459" s="35">
        <f t="shared" si="70"/>
        <v>5.6181108817371745</v>
      </c>
      <c r="AW459" s="37" t="s">
        <v>366</v>
      </c>
      <c r="AX459" s="34" t="s">
        <v>355</v>
      </c>
      <c r="AY459" s="40">
        <v>1500</v>
      </c>
      <c r="AZ459" s="15">
        <v>75</v>
      </c>
      <c r="BA459" s="14">
        <f t="shared" si="71"/>
        <v>1.8750612633917001</v>
      </c>
      <c r="BB459" s="37" t="s">
        <v>388</v>
      </c>
      <c r="BC459" s="20">
        <v>2.5786314525810738E-3</v>
      </c>
      <c r="BD459" s="9">
        <v>29.1</v>
      </c>
      <c r="BE459" s="9" t="s">
        <v>368</v>
      </c>
      <c r="BF459" s="9">
        <v>0</v>
      </c>
    </row>
    <row r="460" spans="1:58">
      <c r="A460" s="9">
        <v>928</v>
      </c>
      <c r="B460" s="10" t="s">
        <v>76</v>
      </c>
      <c r="C460" s="10" t="s">
        <v>77</v>
      </c>
      <c r="D460" s="20" t="s">
        <v>501</v>
      </c>
      <c r="E460" s="20" t="s">
        <v>789</v>
      </c>
      <c r="F460" s="10" t="s">
        <v>77</v>
      </c>
      <c r="G460" s="20" t="s">
        <v>766</v>
      </c>
      <c r="H460" s="20" t="s">
        <v>790</v>
      </c>
      <c r="I460" s="10" t="s">
        <v>77</v>
      </c>
      <c r="J460" s="20" t="s">
        <v>766</v>
      </c>
      <c r="K460" s="20" t="s">
        <v>790</v>
      </c>
      <c r="L460" s="9" t="s">
        <v>352</v>
      </c>
      <c r="M460" s="9">
        <v>75</v>
      </c>
      <c r="N460" s="9" t="s">
        <v>381</v>
      </c>
      <c r="O460" s="9" t="s">
        <v>354</v>
      </c>
      <c r="P460" s="12">
        <v>35</v>
      </c>
      <c r="Q460" s="12" t="s">
        <v>355</v>
      </c>
      <c r="R460" s="9" t="s">
        <v>356</v>
      </c>
      <c r="S460" s="13" t="s">
        <v>684</v>
      </c>
      <c r="T460" s="13" t="s">
        <v>684</v>
      </c>
      <c r="U460" s="14">
        <f t="shared" si="63"/>
        <v>0.90308998699194354</v>
      </c>
      <c r="V460" s="15">
        <v>15</v>
      </c>
      <c r="W460" s="12">
        <v>6.9840804999999975</v>
      </c>
      <c r="X460" s="12">
        <v>0.3</v>
      </c>
      <c r="Y460" s="13" t="s">
        <v>358</v>
      </c>
      <c r="Z460" s="9" t="s">
        <v>359</v>
      </c>
      <c r="AA460" s="10" t="s">
        <v>418</v>
      </c>
      <c r="AB460" s="9" t="s">
        <v>355</v>
      </c>
      <c r="AC460" s="15">
        <v>64</v>
      </c>
      <c r="AD460" s="14">
        <f t="shared" si="64"/>
        <v>1.8061799739838871</v>
      </c>
      <c r="AE460" s="10" t="s">
        <v>756</v>
      </c>
      <c r="AF460" s="9" t="s">
        <v>420</v>
      </c>
      <c r="AG460" s="18">
        <v>27.552838000000001</v>
      </c>
      <c r="AH460" s="7">
        <f t="shared" si="65"/>
        <v>1</v>
      </c>
      <c r="AI460" s="7">
        <f t="shared" si="66"/>
        <v>0</v>
      </c>
      <c r="AJ460" s="7">
        <f t="shared" si="67"/>
        <v>0</v>
      </c>
      <c r="AK460" s="7">
        <f t="shared" si="68"/>
        <v>0</v>
      </c>
      <c r="AL460" s="7" t="s">
        <v>4159</v>
      </c>
      <c r="AM460" s="18">
        <f t="shared" si="69"/>
        <v>1.4401663387326675</v>
      </c>
      <c r="AN460" s="18">
        <v>-27.552838000000001</v>
      </c>
      <c r="AO460" s="18">
        <v>153.05550500000001</v>
      </c>
      <c r="AP460" s="9" t="s">
        <v>363</v>
      </c>
      <c r="AQ460" s="9" t="s">
        <v>355</v>
      </c>
      <c r="AR460" s="15">
        <v>1971</v>
      </c>
      <c r="AS460" s="19" t="s">
        <v>725</v>
      </c>
      <c r="AT460" s="20" t="s">
        <v>726</v>
      </c>
      <c r="AU460" s="40">
        <v>576165</v>
      </c>
      <c r="AV460" s="35">
        <f t="shared" si="70"/>
        <v>5.7605468728813261</v>
      </c>
      <c r="AW460" s="37" t="s">
        <v>366</v>
      </c>
      <c r="AX460" s="34" t="s">
        <v>355</v>
      </c>
      <c r="AY460" s="40" t="s">
        <v>355</v>
      </c>
      <c r="AZ460" s="15">
        <v>33</v>
      </c>
      <c r="BA460" s="14">
        <f t="shared" si="71"/>
        <v>1.5185139398778875</v>
      </c>
      <c r="BB460" s="37" t="s">
        <v>388</v>
      </c>
      <c r="BC460" s="20">
        <v>7.1628651460558916E-4</v>
      </c>
      <c r="BD460" s="9">
        <v>29.5</v>
      </c>
      <c r="BE460" s="9" t="s">
        <v>368</v>
      </c>
      <c r="BF460" s="9">
        <v>0</v>
      </c>
    </row>
    <row r="461" spans="1:58">
      <c r="A461" s="9">
        <v>927</v>
      </c>
      <c r="B461" s="10" t="s">
        <v>76</v>
      </c>
      <c r="C461" s="10" t="s">
        <v>77</v>
      </c>
      <c r="D461" s="20" t="s">
        <v>501</v>
      </c>
      <c r="E461" s="20" t="s">
        <v>789</v>
      </c>
      <c r="F461" s="10" t="s">
        <v>77</v>
      </c>
      <c r="G461" s="20" t="s">
        <v>766</v>
      </c>
      <c r="H461" s="20" t="s">
        <v>790</v>
      </c>
      <c r="I461" s="10" t="s">
        <v>77</v>
      </c>
      <c r="J461" s="20" t="s">
        <v>766</v>
      </c>
      <c r="K461" s="20" t="s">
        <v>790</v>
      </c>
      <c r="L461" s="9" t="s">
        <v>352</v>
      </c>
      <c r="M461" s="9">
        <v>8</v>
      </c>
      <c r="N461" s="9" t="s">
        <v>353</v>
      </c>
      <c r="O461" s="9" t="s">
        <v>354</v>
      </c>
      <c r="P461" s="12">
        <v>35.299999999999997</v>
      </c>
      <c r="Q461" s="12" t="s">
        <v>355</v>
      </c>
      <c r="R461" s="9" t="s">
        <v>356</v>
      </c>
      <c r="S461" s="13" t="s">
        <v>684</v>
      </c>
      <c r="T461" s="13" t="s">
        <v>684</v>
      </c>
      <c r="U461" s="14">
        <f t="shared" si="63"/>
        <v>0.90308998699194354</v>
      </c>
      <c r="V461" s="15">
        <v>25</v>
      </c>
      <c r="W461" s="12">
        <v>5.7218905000000007</v>
      </c>
      <c r="X461" s="12">
        <v>0.3</v>
      </c>
      <c r="Y461" s="13" t="s">
        <v>358</v>
      </c>
      <c r="Z461" s="9" t="s">
        <v>359</v>
      </c>
      <c r="AA461" s="10" t="s">
        <v>418</v>
      </c>
      <c r="AB461" s="9" t="s">
        <v>355</v>
      </c>
      <c r="AC461" s="15">
        <v>64</v>
      </c>
      <c r="AD461" s="14">
        <f t="shared" si="64"/>
        <v>1.8061799739838871</v>
      </c>
      <c r="AE461" s="10" t="s">
        <v>756</v>
      </c>
      <c r="AF461" s="9" t="s">
        <v>420</v>
      </c>
      <c r="AG461" s="18">
        <v>27.552838000000001</v>
      </c>
      <c r="AH461" s="7">
        <f t="shared" si="65"/>
        <v>1</v>
      </c>
      <c r="AI461" s="7">
        <f t="shared" si="66"/>
        <v>0</v>
      </c>
      <c r="AJ461" s="7">
        <f t="shared" si="67"/>
        <v>0</v>
      </c>
      <c r="AK461" s="7">
        <f t="shared" si="68"/>
        <v>0</v>
      </c>
      <c r="AL461" s="7" t="s">
        <v>4159</v>
      </c>
      <c r="AM461" s="18">
        <f t="shared" si="69"/>
        <v>1.4401663387326675</v>
      </c>
      <c r="AN461" s="18">
        <v>-27.552838000000001</v>
      </c>
      <c r="AO461" s="18">
        <v>153.05550500000001</v>
      </c>
      <c r="AP461" s="9" t="s">
        <v>363</v>
      </c>
      <c r="AQ461" s="9" t="s">
        <v>355</v>
      </c>
      <c r="AR461" s="15">
        <v>1971</v>
      </c>
      <c r="AS461" s="19" t="s">
        <v>725</v>
      </c>
      <c r="AT461" s="20" t="s">
        <v>726</v>
      </c>
      <c r="AU461" s="40">
        <v>576165</v>
      </c>
      <c r="AV461" s="35">
        <f t="shared" si="70"/>
        <v>5.7605468728813261</v>
      </c>
      <c r="AW461" s="37" t="s">
        <v>366</v>
      </c>
      <c r="AX461" s="34" t="s">
        <v>355</v>
      </c>
      <c r="AY461" s="40" t="s">
        <v>355</v>
      </c>
      <c r="AZ461" s="15">
        <v>33</v>
      </c>
      <c r="BA461" s="14">
        <f t="shared" si="71"/>
        <v>1.5185139398778875</v>
      </c>
      <c r="BB461" s="37" t="s">
        <v>388</v>
      </c>
      <c r="BC461" s="20">
        <v>7.1628651460558916E-4</v>
      </c>
      <c r="BD461" s="9">
        <v>29.5</v>
      </c>
      <c r="BE461" s="9" t="s">
        <v>368</v>
      </c>
      <c r="BF461" s="9">
        <v>0</v>
      </c>
    </row>
    <row r="462" spans="1:58">
      <c r="A462" s="9">
        <v>920</v>
      </c>
      <c r="B462" s="10" t="s">
        <v>76</v>
      </c>
      <c r="C462" s="10" t="s">
        <v>77</v>
      </c>
      <c r="D462" s="20" t="s">
        <v>501</v>
      </c>
      <c r="E462" s="20" t="s">
        <v>791</v>
      </c>
      <c r="F462" s="10" t="s">
        <v>77</v>
      </c>
      <c r="G462" s="20" t="s">
        <v>766</v>
      </c>
      <c r="H462" s="20" t="s">
        <v>791</v>
      </c>
      <c r="I462" s="10" t="s">
        <v>77</v>
      </c>
      <c r="J462" s="20" t="s">
        <v>766</v>
      </c>
      <c r="K462" s="20" t="s">
        <v>791</v>
      </c>
      <c r="L462" s="9" t="s">
        <v>352</v>
      </c>
      <c r="M462" s="9">
        <v>9</v>
      </c>
      <c r="N462" s="9" t="s">
        <v>353</v>
      </c>
      <c r="O462" s="9" t="s">
        <v>354</v>
      </c>
      <c r="P462" s="12">
        <v>38.200000000000003</v>
      </c>
      <c r="Q462" s="12" t="s">
        <v>355</v>
      </c>
      <c r="R462" s="9" t="s">
        <v>356</v>
      </c>
      <c r="S462" s="13" t="s">
        <v>684</v>
      </c>
      <c r="T462" s="13" t="s">
        <v>684</v>
      </c>
      <c r="U462" s="14">
        <f t="shared" si="63"/>
        <v>0.90308998699194354</v>
      </c>
      <c r="V462" s="15">
        <v>25</v>
      </c>
      <c r="W462" s="12">
        <v>9.1281591000000013</v>
      </c>
      <c r="X462" s="12">
        <v>0.3</v>
      </c>
      <c r="Y462" s="13" t="s">
        <v>358</v>
      </c>
      <c r="Z462" s="9" t="s">
        <v>359</v>
      </c>
      <c r="AA462" s="10" t="s">
        <v>418</v>
      </c>
      <c r="AB462" s="9" t="s">
        <v>355</v>
      </c>
      <c r="AC462" s="15">
        <v>45</v>
      </c>
      <c r="AD462" s="14">
        <f t="shared" si="64"/>
        <v>1.6532125137753437</v>
      </c>
      <c r="AE462" s="10" t="s">
        <v>792</v>
      </c>
      <c r="AF462" s="9" t="s">
        <v>420</v>
      </c>
      <c r="AG462" s="18">
        <v>26.857664</v>
      </c>
      <c r="AH462" s="7">
        <f t="shared" si="65"/>
        <v>1</v>
      </c>
      <c r="AI462" s="7">
        <f t="shared" si="66"/>
        <v>0</v>
      </c>
      <c r="AJ462" s="7">
        <f t="shared" si="67"/>
        <v>0</v>
      </c>
      <c r="AK462" s="7">
        <f t="shared" si="68"/>
        <v>0</v>
      </c>
      <c r="AL462" s="7" t="s">
        <v>4159</v>
      </c>
      <c r="AM462" s="18">
        <f t="shared" si="69"/>
        <v>1.4290682363286733</v>
      </c>
      <c r="AN462" s="18">
        <v>-26.857664</v>
      </c>
      <c r="AO462" s="18">
        <v>152.95780199999999</v>
      </c>
      <c r="AP462" s="9" t="s">
        <v>363</v>
      </c>
      <c r="AQ462" s="9" t="s">
        <v>355</v>
      </c>
      <c r="AR462" s="15">
        <v>1971</v>
      </c>
      <c r="AS462" s="19" t="s">
        <v>725</v>
      </c>
      <c r="AT462" s="20" t="s">
        <v>726</v>
      </c>
      <c r="AU462" s="40">
        <v>58574</v>
      </c>
      <c r="AV462" s="35">
        <f t="shared" si="70"/>
        <v>4.7677048828739661</v>
      </c>
      <c r="AW462" s="37" t="s">
        <v>366</v>
      </c>
      <c r="AX462" s="34" t="s">
        <v>355</v>
      </c>
      <c r="AY462" s="40" t="s">
        <v>355</v>
      </c>
      <c r="AZ462" s="15">
        <v>33</v>
      </c>
      <c r="BA462" s="14">
        <f t="shared" si="71"/>
        <v>1.5185139398778875</v>
      </c>
      <c r="BB462" s="37" t="s">
        <v>388</v>
      </c>
      <c r="BC462" s="20">
        <v>8.3897559023612227E-3</v>
      </c>
      <c r="BD462" s="9">
        <v>28.900000000000002</v>
      </c>
      <c r="BE462" s="9" t="s">
        <v>459</v>
      </c>
      <c r="BF462" s="9">
        <v>1</v>
      </c>
    </row>
    <row r="463" spans="1:58">
      <c r="A463" s="9">
        <v>676</v>
      </c>
      <c r="B463" s="10" t="s">
        <v>76</v>
      </c>
      <c r="C463" s="10" t="s">
        <v>77</v>
      </c>
      <c r="D463" s="20" t="s">
        <v>766</v>
      </c>
      <c r="E463" s="20" t="s">
        <v>793</v>
      </c>
      <c r="F463" s="10" t="s">
        <v>77</v>
      </c>
      <c r="G463" s="20" t="s">
        <v>766</v>
      </c>
      <c r="H463" s="20" t="s">
        <v>793</v>
      </c>
      <c r="I463" s="10" t="s">
        <v>77</v>
      </c>
      <c r="J463" s="20" t="s">
        <v>766</v>
      </c>
      <c r="K463" s="20" t="s">
        <v>793</v>
      </c>
      <c r="L463" s="9" t="s">
        <v>352</v>
      </c>
      <c r="M463" s="9">
        <v>7</v>
      </c>
      <c r="N463" s="9" t="s">
        <v>353</v>
      </c>
      <c r="O463" s="9" t="s">
        <v>354</v>
      </c>
      <c r="P463" s="12">
        <v>36.042526000000002</v>
      </c>
      <c r="Q463" s="12" t="s">
        <v>355</v>
      </c>
      <c r="R463" s="9" t="s">
        <v>356</v>
      </c>
      <c r="S463" s="50">
        <v>7</v>
      </c>
      <c r="T463" s="50">
        <v>7</v>
      </c>
      <c r="U463" s="14">
        <f t="shared" si="63"/>
        <v>0.90308998699194354</v>
      </c>
      <c r="V463" s="15">
        <v>15</v>
      </c>
      <c r="W463" s="12">
        <v>7.8578503000000026</v>
      </c>
      <c r="X463" s="12">
        <v>0.3</v>
      </c>
      <c r="Y463" s="13" t="s">
        <v>401</v>
      </c>
      <c r="Z463" s="9" t="s">
        <v>417</v>
      </c>
      <c r="AA463" s="10" t="s">
        <v>418</v>
      </c>
      <c r="AB463" s="9" t="s">
        <v>355</v>
      </c>
      <c r="AC463" s="15">
        <v>19</v>
      </c>
      <c r="AD463" s="14">
        <f t="shared" si="64"/>
        <v>1.2787536009528289</v>
      </c>
      <c r="AE463" s="10" t="s">
        <v>756</v>
      </c>
      <c r="AF463" s="9" t="s">
        <v>420</v>
      </c>
      <c r="AG463" s="18">
        <v>27.471011000000001</v>
      </c>
      <c r="AH463" s="7">
        <f t="shared" si="65"/>
        <v>1</v>
      </c>
      <c r="AI463" s="7">
        <f t="shared" si="66"/>
        <v>0</v>
      </c>
      <c r="AJ463" s="7">
        <f t="shared" si="67"/>
        <v>0</v>
      </c>
      <c r="AK463" s="7">
        <f t="shared" si="68"/>
        <v>0</v>
      </c>
      <c r="AL463" s="7" t="s">
        <v>4159</v>
      </c>
      <c r="AM463" s="18">
        <f t="shared" si="69"/>
        <v>1.4388746428075896</v>
      </c>
      <c r="AN463" s="18">
        <v>-27.471011000000001</v>
      </c>
      <c r="AO463" s="18">
        <v>153.023449</v>
      </c>
      <c r="AP463" s="9" t="s">
        <v>363</v>
      </c>
      <c r="AQ463" s="9" t="s">
        <v>784</v>
      </c>
      <c r="AR463" s="15">
        <v>1972</v>
      </c>
      <c r="AS463" s="19" t="s">
        <v>794</v>
      </c>
      <c r="AT463" s="20" t="s">
        <v>795</v>
      </c>
      <c r="AU463" s="40">
        <v>318857</v>
      </c>
      <c r="AV463" s="35">
        <f t="shared" si="70"/>
        <v>5.5035959556748599</v>
      </c>
      <c r="AW463" s="37" t="s">
        <v>366</v>
      </c>
      <c r="AX463" s="34" t="s">
        <v>355</v>
      </c>
      <c r="AY463" s="40" t="s">
        <v>355</v>
      </c>
      <c r="AZ463" s="15">
        <v>33</v>
      </c>
      <c r="BA463" s="14">
        <f t="shared" si="71"/>
        <v>1.5185139398778875</v>
      </c>
      <c r="BB463" s="37" t="s">
        <v>388</v>
      </c>
      <c r="BC463" s="20">
        <v>-1.9763905562224958E-3</v>
      </c>
      <c r="BD463" s="9">
        <v>29.700000000000003</v>
      </c>
      <c r="BE463" s="9" t="s">
        <v>368</v>
      </c>
      <c r="BF463" s="9">
        <v>0</v>
      </c>
    </row>
    <row r="464" spans="1:58">
      <c r="A464" s="9">
        <v>674</v>
      </c>
      <c r="B464" s="10" t="s">
        <v>76</v>
      </c>
      <c r="C464" s="10" t="s">
        <v>77</v>
      </c>
      <c r="D464" s="20" t="s">
        <v>766</v>
      </c>
      <c r="E464" s="20" t="s">
        <v>793</v>
      </c>
      <c r="F464" s="10" t="s">
        <v>77</v>
      </c>
      <c r="G464" s="20" t="s">
        <v>766</v>
      </c>
      <c r="H464" s="20" t="s">
        <v>793</v>
      </c>
      <c r="I464" s="10" t="s">
        <v>77</v>
      </c>
      <c r="J464" s="20" t="s">
        <v>766</v>
      </c>
      <c r="K464" s="20" t="s">
        <v>793</v>
      </c>
      <c r="L464" s="9" t="s">
        <v>352</v>
      </c>
      <c r="M464" s="9">
        <v>9</v>
      </c>
      <c r="N464" s="9" t="s">
        <v>353</v>
      </c>
      <c r="O464" s="9" t="s">
        <v>354</v>
      </c>
      <c r="P464" s="12">
        <v>36.373753000000001</v>
      </c>
      <c r="Q464" s="12" t="s">
        <v>355</v>
      </c>
      <c r="R464" s="9" t="s">
        <v>356</v>
      </c>
      <c r="S464" s="50">
        <v>7</v>
      </c>
      <c r="T464" s="50">
        <v>7</v>
      </c>
      <c r="U464" s="14">
        <f t="shared" si="63"/>
        <v>0.90308998699194354</v>
      </c>
      <c r="V464" s="15">
        <v>15</v>
      </c>
      <c r="W464" s="12">
        <v>8.189077300000001</v>
      </c>
      <c r="X464" s="12">
        <v>0.3</v>
      </c>
      <c r="Y464" s="13" t="s">
        <v>401</v>
      </c>
      <c r="Z464" s="9" t="s">
        <v>417</v>
      </c>
      <c r="AA464" s="10" t="s">
        <v>418</v>
      </c>
      <c r="AB464" s="9" t="s">
        <v>355</v>
      </c>
      <c r="AC464" s="15">
        <v>19</v>
      </c>
      <c r="AD464" s="14">
        <f t="shared" si="64"/>
        <v>1.2787536009528289</v>
      </c>
      <c r="AE464" s="10" t="s">
        <v>756</v>
      </c>
      <c r="AF464" s="9" t="s">
        <v>420</v>
      </c>
      <c r="AG464" s="18">
        <v>27.471011000000001</v>
      </c>
      <c r="AH464" s="7">
        <f t="shared" si="65"/>
        <v>1</v>
      </c>
      <c r="AI464" s="7">
        <f t="shared" si="66"/>
        <v>0</v>
      </c>
      <c r="AJ464" s="7">
        <f t="shared" si="67"/>
        <v>0</v>
      </c>
      <c r="AK464" s="7">
        <f t="shared" si="68"/>
        <v>0</v>
      </c>
      <c r="AL464" s="7" t="s">
        <v>4159</v>
      </c>
      <c r="AM464" s="18">
        <f t="shared" si="69"/>
        <v>1.4388746428075896</v>
      </c>
      <c r="AN464" s="18">
        <v>-27.471011000000001</v>
      </c>
      <c r="AO464" s="18">
        <v>153.023449</v>
      </c>
      <c r="AP464" s="9" t="s">
        <v>363</v>
      </c>
      <c r="AQ464" s="9" t="s">
        <v>779</v>
      </c>
      <c r="AR464" s="15">
        <v>1972</v>
      </c>
      <c r="AS464" s="19" t="s">
        <v>794</v>
      </c>
      <c r="AT464" s="20" t="s">
        <v>795</v>
      </c>
      <c r="AU464" s="40">
        <v>318857</v>
      </c>
      <c r="AV464" s="35">
        <f t="shared" si="70"/>
        <v>5.5035959556748599</v>
      </c>
      <c r="AW464" s="37" t="s">
        <v>366</v>
      </c>
      <c r="AX464" s="34" t="s">
        <v>355</v>
      </c>
      <c r="AY464" s="40" t="s">
        <v>355</v>
      </c>
      <c r="AZ464" s="15">
        <v>33</v>
      </c>
      <c r="BA464" s="14">
        <f t="shared" si="71"/>
        <v>1.5185139398778875</v>
      </c>
      <c r="BB464" s="37" t="s">
        <v>388</v>
      </c>
      <c r="BC464" s="20">
        <v>-1.9763905562224958E-3</v>
      </c>
      <c r="BD464" s="9">
        <v>29.700000000000003</v>
      </c>
      <c r="BE464" s="9" t="s">
        <v>368</v>
      </c>
      <c r="BF464" s="9">
        <v>0</v>
      </c>
    </row>
    <row r="465" spans="1:58">
      <c r="A465" s="9">
        <v>667</v>
      </c>
      <c r="B465" s="10" t="s">
        <v>76</v>
      </c>
      <c r="C465" s="10" t="s">
        <v>77</v>
      </c>
      <c r="D465" s="20" t="s">
        <v>766</v>
      </c>
      <c r="E465" s="20" t="s">
        <v>793</v>
      </c>
      <c r="F465" s="10" t="s">
        <v>77</v>
      </c>
      <c r="G465" s="20" t="s">
        <v>766</v>
      </c>
      <c r="H465" s="20" t="s">
        <v>793</v>
      </c>
      <c r="I465" s="10" t="s">
        <v>77</v>
      </c>
      <c r="J465" s="20" t="s">
        <v>766</v>
      </c>
      <c r="K465" s="20" t="s">
        <v>793</v>
      </c>
      <c r="L465" s="9" t="s">
        <v>352</v>
      </c>
      <c r="M465" s="9">
        <v>5</v>
      </c>
      <c r="N465" s="9" t="s">
        <v>353</v>
      </c>
      <c r="O465" s="9" t="s">
        <v>354</v>
      </c>
      <c r="P465" s="12">
        <v>37.161217000000001</v>
      </c>
      <c r="Q465" s="12" t="s">
        <v>355</v>
      </c>
      <c r="R465" s="9" t="s">
        <v>356</v>
      </c>
      <c r="S465" s="50">
        <v>7</v>
      </c>
      <c r="T465" s="50">
        <v>7</v>
      </c>
      <c r="U465" s="14">
        <f t="shared" si="63"/>
        <v>0.90308998699194354</v>
      </c>
      <c r="V465" s="15">
        <v>15</v>
      </c>
      <c r="W465" s="12">
        <v>8.9765413000000009</v>
      </c>
      <c r="X465" s="12">
        <v>0.3</v>
      </c>
      <c r="Y465" s="13" t="s">
        <v>401</v>
      </c>
      <c r="Z465" s="9" t="s">
        <v>417</v>
      </c>
      <c r="AA465" s="10" t="s">
        <v>418</v>
      </c>
      <c r="AB465" s="9" t="s">
        <v>355</v>
      </c>
      <c r="AC465" s="15">
        <v>19</v>
      </c>
      <c r="AD465" s="14">
        <f t="shared" si="64"/>
        <v>1.2787536009528289</v>
      </c>
      <c r="AE465" s="10" t="s">
        <v>756</v>
      </c>
      <c r="AF465" s="9" t="s">
        <v>420</v>
      </c>
      <c r="AG465" s="18">
        <v>27.471011000000001</v>
      </c>
      <c r="AH465" s="7">
        <f t="shared" si="65"/>
        <v>1</v>
      </c>
      <c r="AI465" s="7">
        <f t="shared" si="66"/>
        <v>0</v>
      </c>
      <c r="AJ465" s="7">
        <f t="shared" si="67"/>
        <v>0</v>
      </c>
      <c r="AK465" s="7">
        <f t="shared" si="68"/>
        <v>0</v>
      </c>
      <c r="AL465" s="7" t="s">
        <v>4159</v>
      </c>
      <c r="AM465" s="18">
        <f t="shared" si="69"/>
        <v>1.4388746428075896</v>
      </c>
      <c r="AN465" s="18">
        <v>-27.471011000000001</v>
      </c>
      <c r="AO465" s="18">
        <v>153.023449</v>
      </c>
      <c r="AP465" s="9" t="s">
        <v>363</v>
      </c>
      <c r="AQ465" s="9" t="s">
        <v>774</v>
      </c>
      <c r="AR465" s="15">
        <v>1972</v>
      </c>
      <c r="AS465" s="19" t="s">
        <v>794</v>
      </c>
      <c r="AT465" s="20" t="s">
        <v>795</v>
      </c>
      <c r="AU465" s="40">
        <v>318857</v>
      </c>
      <c r="AV465" s="35">
        <f t="shared" si="70"/>
        <v>5.5035959556748599</v>
      </c>
      <c r="AW465" s="37" t="s">
        <v>366</v>
      </c>
      <c r="AX465" s="34" t="s">
        <v>355</v>
      </c>
      <c r="AY465" s="40" t="s">
        <v>355</v>
      </c>
      <c r="AZ465" s="15">
        <v>33</v>
      </c>
      <c r="BA465" s="14">
        <f t="shared" si="71"/>
        <v>1.5185139398778875</v>
      </c>
      <c r="BB465" s="37" t="s">
        <v>388</v>
      </c>
      <c r="BC465" s="20">
        <v>-1.9763905562224958E-3</v>
      </c>
      <c r="BD465" s="9">
        <v>29.700000000000003</v>
      </c>
      <c r="BE465" s="9" t="s">
        <v>368</v>
      </c>
      <c r="BF465" s="9">
        <v>0</v>
      </c>
    </row>
    <row r="466" spans="1:58">
      <c r="A466" s="9">
        <v>665</v>
      </c>
      <c r="B466" s="10" t="s">
        <v>76</v>
      </c>
      <c r="C466" s="10" t="s">
        <v>77</v>
      </c>
      <c r="D466" s="20" t="s">
        <v>766</v>
      </c>
      <c r="E466" s="20" t="s">
        <v>793</v>
      </c>
      <c r="F466" s="10" t="s">
        <v>77</v>
      </c>
      <c r="G466" s="20" t="s">
        <v>766</v>
      </c>
      <c r="H466" s="20" t="s">
        <v>793</v>
      </c>
      <c r="I466" s="10" t="s">
        <v>77</v>
      </c>
      <c r="J466" s="20" t="s">
        <v>766</v>
      </c>
      <c r="K466" s="20" t="s">
        <v>793</v>
      </c>
      <c r="L466" s="9" t="s">
        <v>352</v>
      </c>
      <c r="M466" s="9">
        <v>7</v>
      </c>
      <c r="N466" s="9" t="s">
        <v>353</v>
      </c>
      <c r="O466" s="9" t="s">
        <v>354</v>
      </c>
      <c r="P466" s="12">
        <v>37.232154999999999</v>
      </c>
      <c r="Q466" s="12" t="s">
        <v>355</v>
      </c>
      <c r="R466" s="9" t="s">
        <v>356</v>
      </c>
      <c r="S466" s="50">
        <v>7</v>
      </c>
      <c r="T466" s="50">
        <v>7</v>
      </c>
      <c r="U466" s="14">
        <f t="shared" si="63"/>
        <v>0.90308998699194354</v>
      </c>
      <c r="V466" s="15">
        <v>15</v>
      </c>
      <c r="W466" s="12">
        <v>9.0474792999999991</v>
      </c>
      <c r="X466" s="12">
        <v>0.3</v>
      </c>
      <c r="Y466" s="13" t="s">
        <v>401</v>
      </c>
      <c r="Z466" s="9" t="s">
        <v>417</v>
      </c>
      <c r="AA466" s="10" t="s">
        <v>418</v>
      </c>
      <c r="AB466" s="9" t="s">
        <v>355</v>
      </c>
      <c r="AC466" s="15">
        <v>19</v>
      </c>
      <c r="AD466" s="14">
        <f t="shared" si="64"/>
        <v>1.2787536009528289</v>
      </c>
      <c r="AE466" s="10" t="s">
        <v>756</v>
      </c>
      <c r="AF466" s="9" t="s">
        <v>420</v>
      </c>
      <c r="AG466" s="18">
        <v>27.471011000000001</v>
      </c>
      <c r="AH466" s="7">
        <f t="shared" si="65"/>
        <v>1</v>
      </c>
      <c r="AI466" s="7">
        <f t="shared" si="66"/>
        <v>0</v>
      </c>
      <c r="AJ466" s="7">
        <f t="shared" si="67"/>
        <v>0</v>
      </c>
      <c r="AK466" s="7">
        <f t="shared" si="68"/>
        <v>0</v>
      </c>
      <c r="AL466" s="7" t="s">
        <v>4159</v>
      </c>
      <c r="AM466" s="18">
        <f t="shared" si="69"/>
        <v>1.4388746428075896</v>
      </c>
      <c r="AN466" s="18">
        <v>-27.471011000000001</v>
      </c>
      <c r="AO466" s="18">
        <v>153.023449</v>
      </c>
      <c r="AP466" s="9" t="s">
        <v>363</v>
      </c>
      <c r="AQ466" s="9" t="s">
        <v>780</v>
      </c>
      <c r="AR466" s="15">
        <v>1972</v>
      </c>
      <c r="AS466" s="19" t="s">
        <v>794</v>
      </c>
      <c r="AT466" s="20" t="s">
        <v>795</v>
      </c>
      <c r="AU466" s="40">
        <v>318857</v>
      </c>
      <c r="AV466" s="35">
        <f t="shared" si="70"/>
        <v>5.5035959556748599</v>
      </c>
      <c r="AW466" s="37" t="s">
        <v>366</v>
      </c>
      <c r="AX466" s="34" t="s">
        <v>355</v>
      </c>
      <c r="AY466" s="40" t="s">
        <v>355</v>
      </c>
      <c r="AZ466" s="15">
        <v>33</v>
      </c>
      <c r="BA466" s="14">
        <f t="shared" si="71"/>
        <v>1.5185139398778875</v>
      </c>
      <c r="BB466" s="37" t="s">
        <v>388</v>
      </c>
      <c r="BC466" s="20">
        <v>-1.9763905562224958E-3</v>
      </c>
      <c r="BD466" s="9">
        <v>29.700000000000003</v>
      </c>
      <c r="BE466" s="9" t="s">
        <v>368</v>
      </c>
      <c r="BF466" s="9">
        <v>0</v>
      </c>
    </row>
    <row r="467" spans="1:58">
      <c r="A467" s="9">
        <v>673</v>
      </c>
      <c r="B467" s="10" t="s">
        <v>76</v>
      </c>
      <c r="C467" s="10" t="s">
        <v>77</v>
      </c>
      <c r="D467" s="20" t="s">
        <v>766</v>
      </c>
      <c r="E467" s="20" t="s">
        <v>793</v>
      </c>
      <c r="F467" s="10" t="s">
        <v>77</v>
      </c>
      <c r="G467" s="20" t="s">
        <v>766</v>
      </c>
      <c r="H467" s="20" t="s">
        <v>793</v>
      </c>
      <c r="I467" s="10" t="s">
        <v>77</v>
      </c>
      <c r="J467" s="20" t="s">
        <v>766</v>
      </c>
      <c r="K467" s="20" t="s">
        <v>793</v>
      </c>
      <c r="L467" s="9" t="s">
        <v>352</v>
      </c>
      <c r="M467" s="9">
        <v>8</v>
      </c>
      <c r="N467" s="9" t="s">
        <v>353</v>
      </c>
      <c r="O467" s="9" t="s">
        <v>354</v>
      </c>
      <c r="P467" s="12">
        <v>37.357199999999999</v>
      </c>
      <c r="Q467" s="12" t="s">
        <v>355</v>
      </c>
      <c r="R467" s="9" t="s">
        <v>356</v>
      </c>
      <c r="S467" s="50">
        <v>7</v>
      </c>
      <c r="T467" s="50">
        <v>7</v>
      </c>
      <c r="U467" s="14">
        <f t="shared" si="63"/>
        <v>0.90308998699194354</v>
      </c>
      <c r="V467" s="15">
        <v>15</v>
      </c>
      <c r="W467" s="12">
        <v>9.1725242999999992</v>
      </c>
      <c r="X467" s="12">
        <v>0.3</v>
      </c>
      <c r="Y467" s="13" t="s">
        <v>401</v>
      </c>
      <c r="Z467" s="9" t="s">
        <v>417</v>
      </c>
      <c r="AA467" s="10" t="s">
        <v>418</v>
      </c>
      <c r="AB467" s="9" t="s">
        <v>355</v>
      </c>
      <c r="AC467" s="15">
        <v>19</v>
      </c>
      <c r="AD467" s="14">
        <f t="shared" si="64"/>
        <v>1.2787536009528289</v>
      </c>
      <c r="AE467" s="10" t="s">
        <v>756</v>
      </c>
      <c r="AF467" s="9" t="s">
        <v>420</v>
      </c>
      <c r="AG467" s="18">
        <v>27.471011000000001</v>
      </c>
      <c r="AH467" s="7">
        <f t="shared" si="65"/>
        <v>1</v>
      </c>
      <c r="AI467" s="7">
        <f t="shared" si="66"/>
        <v>0</v>
      </c>
      <c r="AJ467" s="7">
        <f t="shared" si="67"/>
        <v>0</v>
      </c>
      <c r="AK467" s="7">
        <f t="shared" si="68"/>
        <v>0</v>
      </c>
      <c r="AL467" s="7" t="s">
        <v>4159</v>
      </c>
      <c r="AM467" s="18">
        <f t="shared" si="69"/>
        <v>1.4388746428075896</v>
      </c>
      <c r="AN467" s="18">
        <v>-27.471011000000001</v>
      </c>
      <c r="AO467" s="18">
        <v>153.023449</v>
      </c>
      <c r="AP467" s="9" t="s">
        <v>363</v>
      </c>
      <c r="AQ467" s="9" t="s">
        <v>777</v>
      </c>
      <c r="AR467" s="15">
        <v>1972</v>
      </c>
      <c r="AS467" s="19" t="s">
        <v>794</v>
      </c>
      <c r="AT467" s="20" t="s">
        <v>795</v>
      </c>
      <c r="AU467" s="40">
        <v>318857</v>
      </c>
      <c r="AV467" s="35">
        <f t="shared" si="70"/>
        <v>5.5035959556748599</v>
      </c>
      <c r="AW467" s="37" t="s">
        <v>366</v>
      </c>
      <c r="AX467" s="34" t="s">
        <v>355</v>
      </c>
      <c r="AY467" s="40" t="s">
        <v>355</v>
      </c>
      <c r="AZ467" s="15">
        <v>33</v>
      </c>
      <c r="BA467" s="14">
        <f t="shared" si="71"/>
        <v>1.5185139398778875</v>
      </c>
      <c r="BB467" s="37" t="s">
        <v>388</v>
      </c>
      <c r="BC467" s="20">
        <v>-1.9763905562224958E-3</v>
      </c>
      <c r="BD467" s="9">
        <v>29.700000000000003</v>
      </c>
      <c r="BE467" s="9" t="s">
        <v>368</v>
      </c>
      <c r="BF467" s="9">
        <v>0</v>
      </c>
    </row>
    <row r="468" spans="1:58">
      <c r="A468" s="9">
        <v>672</v>
      </c>
      <c r="B468" s="10" t="s">
        <v>76</v>
      </c>
      <c r="C468" s="10" t="s">
        <v>77</v>
      </c>
      <c r="D468" s="20" t="s">
        <v>766</v>
      </c>
      <c r="E468" s="20" t="s">
        <v>793</v>
      </c>
      <c r="F468" s="10" t="s">
        <v>77</v>
      </c>
      <c r="G468" s="20" t="s">
        <v>766</v>
      </c>
      <c r="H468" s="20" t="s">
        <v>793</v>
      </c>
      <c r="I468" s="10" t="s">
        <v>77</v>
      </c>
      <c r="J468" s="20" t="s">
        <v>766</v>
      </c>
      <c r="K468" s="20" t="s">
        <v>793</v>
      </c>
      <c r="L468" s="9" t="s">
        <v>352</v>
      </c>
      <c r="M468" s="9">
        <v>4</v>
      </c>
      <c r="N468" s="9" t="s">
        <v>353</v>
      </c>
      <c r="O468" s="9" t="s">
        <v>354</v>
      </c>
      <c r="P468" s="12">
        <v>37.522796999999997</v>
      </c>
      <c r="Q468" s="12" t="s">
        <v>355</v>
      </c>
      <c r="R468" s="9" t="s">
        <v>356</v>
      </c>
      <c r="S468" s="50">
        <v>7</v>
      </c>
      <c r="T468" s="50">
        <v>7</v>
      </c>
      <c r="U468" s="14">
        <f t="shared" si="63"/>
        <v>0.90308998699194354</v>
      </c>
      <c r="V468" s="15">
        <v>15</v>
      </c>
      <c r="W468" s="12">
        <v>9.3381212999999974</v>
      </c>
      <c r="X468" s="12">
        <v>0.3</v>
      </c>
      <c r="Y468" s="13" t="s">
        <v>401</v>
      </c>
      <c r="Z468" s="9" t="s">
        <v>417</v>
      </c>
      <c r="AA468" s="10" t="s">
        <v>418</v>
      </c>
      <c r="AB468" s="9" t="s">
        <v>355</v>
      </c>
      <c r="AC468" s="15">
        <v>19</v>
      </c>
      <c r="AD468" s="14">
        <f t="shared" si="64"/>
        <v>1.2787536009528289</v>
      </c>
      <c r="AE468" s="10" t="s">
        <v>756</v>
      </c>
      <c r="AF468" s="9" t="s">
        <v>420</v>
      </c>
      <c r="AG468" s="18">
        <v>27.471011000000001</v>
      </c>
      <c r="AH468" s="7">
        <f t="shared" si="65"/>
        <v>1</v>
      </c>
      <c r="AI468" s="7">
        <f t="shared" si="66"/>
        <v>0</v>
      </c>
      <c r="AJ468" s="7">
        <f t="shared" si="67"/>
        <v>0</v>
      </c>
      <c r="AK468" s="7">
        <f t="shared" si="68"/>
        <v>0</v>
      </c>
      <c r="AL468" s="7" t="s">
        <v>4159</v>
      </c>
      <c r="AM468" s="18">
        <f t="shared" si="69"/>
        <v>1.4388746428075896</v>
      </c>
      <c r="AN468" s="18">
        <v>-27.471011000000001</v>
      </c>
      <c r="AO468" s="18">
        <v>153.023449</v>
      </c>
      <c r="AP468" s="9" t="s">
        <v>363</v>
      </c>
      <c r="AQ468" s="9" t="s">
        <v>781</v>
      </c>
      <c r="AR468" s="15">
        <v>1972</v>
      </c>
      <c r="AS468" s="19" t="s">
        <v>794</v>
      </c>
      <c r="AT468" s="20" t="s">
        <v>795</v>
      </c>
      <c r="AU468" s="40">
        <v>318857</v>
      </c>
      <c r="AV468" s="35">
        <f t="shared" si="70"/>
        <v>5.5035959556748599</v>
      </c>
      <c r="AW468" s="37" t="s">
        <v>366</v>
      </c>
      <c r="AX468" s="34" t="s">
        <v>355</v>
      </c>
      <c r="AY468" s="40" t="s">
        <v>355</v>
      </c>
      <c r="AZ468" s="15">
        <v>33</v>
      </c>
      <c r="BA468" s="14">
        <f t="shared" si="71"/>
        <v>1.5185139398778875</v>
      </c>
      <c r="BB468" s="37" t="s">
        <v>388</v>
      </c>
      <c r="BC468" s="20">
        <v>-1.9763905562224958E-3</v>
      </c>
      <c r="BD468" s="9">
        <v>29.700000000000003</v>
      </c>
      <c r="BE468" s="9" t="s">
        <v>368</v>
      </c>
      <c r="BF468" s="9">
        <v>0</v>
      </c>
    </row>
    <row r="469" spans="1:58">
      <c r="A469" s="9">
        <v>686</v>
      </c>
      <c r="B469" s="10" t="s">
        <v>76</v>
      </c>
      <c r="C469" s="10" t="s">
        <v>77</v>
      </c>
      <c r="D469" s="20" t="s">
        <v>766</v>
      </c>
      <c r="E469" s="20" t="s">
        <v>793</v>
      </c>
      <c r="F469" s="10" t="s">
        <v>77</v>
      </c>
      <c r="G469" s="20" t="s">
        <v>766</v>
      </c>
      <c r="H469" s="20" t="s">
        <v>793</v>
      </c>
      <c r="I469" s="10" t="s">
        <v>77</v>
      </c>
      <c r="J469" s="20" t="s">
        <v>766</v>
      </c>
      <c r="K469" s="20" t="s">
        <v>793</v>
      </c>
      <c r="L469" s="9" t="s">
        <v>352</v>
      </c>
      <c r="M469" s="9">
        <v>6</v>
      </c>
      <c r="N469" s="9" t="s">
        <v>353</v>
      </c>
      <c r="O469" s="9" t="s">
        <v>354</v>
      </c>
      <c r="P469" s="12">
        <v>37.544918000000003</v>
      </c>
      <c r="Q469" s="12" t="s">
        <v>355</v>
      </c>
      <c r="R469" s="9" t="s">
        <v>356</v>
      </c>
      <c r="S469" s="50">
        <v>7</v>
      </c>
      <c r="T469" s="50">
        <v>7</v>
      </c>
      <c r="U469" s="14">
        <f t="shared" si="63"/>
        <v>0.90308998699194354</v>
      </c>
      <c r="V469" s="15">
        <v>25</v>
      </c>
      <c r="W469" s="12">
        <v>7.7980523000000019</v>
      </c>
      <c r="X469" s="12">
        <v>0.3</v>
      </c>
      <c r="Y469" s="13" t="s">
        <v>401</v>
      </c>
      <c r="Z469" s="9" t="s">
        <v>417</v>
      </c>
      <c r="AA469" s="10" t="s">
        <v>418</v>
      </c>
      <c r="AB469" s="9" t="s">
        <v>355</v>
      </c>
      <c r="AC469" s="15">
        <v>19</v>
      </c>
      <c r="AD469" s="14">
        <f t="shared" si="64"/>
        <v>1.2787536009528289</v>
      </c>
      <c r="AE469" s="10" t="s">
        <v>756</v>
      </c>
      <c r="AF469" s="9" t="s">
        <v>420</v>
      </c>
      <c r="AG469" s="18">
        <v>27.471011000000001</v>
      </c>
      <c r="AH469" s="7">
        <f t="shared" si="65"/>
        <v>1</v>
      </c>
      <c r="AI469" s="7">
        <f t="shared" si="66"/>
        <v>0</v>
      </c>
      <c r="AJ469" s="7">
        <f t="shared" si="67"/>
        <v>0</v>
      </c>
      <c r="AK469" s="7">
        <f t="shared" si="68"/>
        <v>0</v>
      </c>
      <c r="AL469" s="7" t="s">
        <v>4159</v>
      </c>
      <c r="AM469" s="18">
        <f t="shared" si="69"/>
        <v>1.4388746428075896</v>
      </c>
      <c r="AN469" s="18">
        <v>-27.471011000000001</v>
      </c>
      <c r="AO469" s="18">
        <v>153.023449</v>
      </c>
      <c r="AP469" s="9" t="s">
        <v>363</v>
      </c>
      <c r="AQ469" s="9" t="s">
        <v>779</v>
      </c>
      <c r="AR469" s="15">
        <v>1972</v>
      </c>
      <c r="AS469" s="19" t="s">
        <v>794</v>
      </c>
      <c r="AT469" s="20" t="s">
        <v>795</v>
      </c>
      <c r="AU469" s="40">
        <v>318857</v>
      </c>
      <c r="AV469" s="35">
        <f t="shared" si="70"/>
        <v>5.5035959556748599</v>
      </c>
      <c r="AW469" s="37" t="s">
        <v>366</v>
      </c>
      <c r="AX469" s="34" t="s">
        <v>355</v>
      </c>
      <c r="AY469" s="40" t="s">
        <v>355</v>
      </c>
      <c r="AZ469" s="15">
        <v>33</v>
      </c>
      <c r="BA469" s="14">
        <f t="shared" si="71"/>
        <v>1.5185139398778875</v>
      </c>
      <c r="BB469" s="37" t="s">
        <v>388</v>
      </c>
      <c r="BC469" s="20">
        <v>-1.9763905562224958E-3</v>
      </c>
      <c r="BD469" s="9">
        <v>29.700000000000003</v>
      </c>
      <c r="BE469" s="9" t="s">
        <v>368</v>
      </c>
      <c r="BF469" s="9">
        <v>0</v>
      </c>
    </row>
    <row r="470" spans="1:58">
      <c r="A470" s="9">
        <v>666</v>
      </c>
      <c r="B470" s="10" t="s">
        <v>76</v>
      </c>
      <c r="C470" s="10" t="s">
        <v>77</v>
      </c>
      <c r="D470" s="20" t="s">
        <v>766</v>
      </c>
      <c r="E470" s="20" t="s">
        <v>793</v>
      </c>
      <c r="F470" s="10" t="s">
        <v>77</v>
      </c>
      <c r="G470" s="20" t="s">
        <v>766</v>
      </c>
      <c r="H470" s="20" t="s">
        <v>793</v>
      </c>
      <c r="I470" s="10" t="s">
        <v>77</v>
      </c>
      <c r="J470" s="20" t="s">
        <v>766</v>
      </c>
      <c r="K470" s="20" t="s">
        <v>793</v>
      </c>
      <c r="L470" s="9" t="s">
        <v>352</v>
      </c>
      <c r="M470" s="9">
        <v>10</v>
      </c>
      <c r="N470" s="9" t="s">
        <v>381</v>
      </c>
      <c r="O470" s="9" t="s">
        <v>354</v>
      </c>
      <c r="P470" s="12">
        <v>37.661389999999997</v>
      </c>
      <c r="Q470" s="12" t="s">
        <v>355</v>
      </c>
      <c r="R470" s="9" t="s">
        <v>356</v>
      </c>
      <c r="S470" s="50">
        <v>7</v>
      </c>
      <c r="T470" s="50">
        <v>7</v>
      </c>
      <c r="U470" s="14">
        <f t="shared" si="63"/>
        <v>0.90308998699194354</v>
      </c>
      <c r="V470" s="15">
        <v>15</v>
      </c>
      <c r="W470" s="12">
        <v>9.4767142999999976</v>
      </c>
      <c r="X470" s="12">
        <v>0.3</v>
      </c>
      <c r="Y470" s="13" t="s">
        <v>401</v>
      </c>
      <c r="Z470" s="9" t="s">
        <v>417</v>
      </c>
      <c r="AA470" s="10" t="s">
        <v>418</v>
      </c>
      <c r="AB470" s="9" t="s">
        <v>355</v>
      </c>
      <c r="AC470" s="15">
        <v>19</v>
      </c>
      <c r="AD470" s="14">
        <f t="shared" si="64"/>
        <v>1.2787536009528289</v>
      </c>
      <c r="AE470" s="10" t="s">
        <v>756</v>
      </c>
      <c r="AF470" s="9" t="s">
        <v>420</v>
      </c>
      <c r="AG470" s="18">
        <v>27.471011000000001</v>
      </c>
      <c r="AH470" s="7">
        <f t="shared" si="65"/>
        <v>1</v>
      </c>
      <c r="AI470" s="7">
        <f t="shared" si="66"/>
        <v>0</v>
      </c>
      <c r="AJ470" s="7">
        <f t="shared" si="67"/>
        <v>0</v>
      </c>
      <c r="AK470" s="7">
        <f t="shared" si="68"/>
        <v>0</v>
      </c>
      <c r="AL470" s="7" t="s">
        <v>4159</v>
      </c>
      <c r="AM470" s="18">
        <f t="shared" si="69"/>
        <v>1.4388746428075896</v>
      </c>
      <c r="AN470" s="18">
        <v>-27.471011000000001</v>
      </c>
      <c r="AO470" s="18">
        <v>153.023449</v>
      </c>
      <c r="AP470" s="9" t="s">
        <v>363</v>
      </c>
      <c r="AQ470" s="9" t="s">
        <v>776</v>
      </c>
      <c r="AR470" s="15">
        <v>1972</v>
      </c>
      <c r="AS470" s="19" t="s">
        <v>794</v>
      </c>
      <c r="AT470" s="20" t="s">
        <v>795</v>
      </c>
      <c r="AU470" s="40">
        <v>318857</v>
      </c>
      <c r="AV470" s="35">
        <f t="shared" si="70"/>
        <v>5.5035959556748599</v>
      </c>
      <c r="AW470" s="37" t="s">
        <v>366</v>
      </c>
      <c r="AX470" s="34" t="s">
        <v>355</v>
      </c>
      <c r="AY470" s="40" t="s">
        <v>355</v>
      </c>
      <c r="AZ470" s="15">
        <v>33</v>
      </c>
      <c r="BA470" s="14">
        <f t="shared" si="71"/>
        <v>1.5185139398778875</v>
      </c>
      <c r="BB470" s="37" t="s">
        <v>388</v>
      </c>
      <c r="BC470" s="20">
        <v>-1.9763905562224958E-3</v>
      </c>
      <c r="BD470" s="9">
        <v>29.700000000000003</v>
      </c>
      <c r="BE470" s="9" t="s">
        <v>368</v>
      </c>
      <c r="BF470" s="9">
        <v>0</v>
      </c>
    </row>
    <row r="471" spans="1:58">
      <c r="A471" s="9">
        <v>677</v>
      </c>
      <c r="B471" s="10" t="s">
        <v>76</v>
      </c>
      <c r="C471" s="10" t="s">
        <v>77</v>
      </c>
      <c r="D471" s="20" t="s">
        <v>766</v>
      </c>
      <c r="E471" s="20" t="s">
        <v>793</v>
      </c>
      <c r="F471" s="10" t="s">
        <v>77</v>
      </c>
      <c r="G471" s="20" t="s">
        <v>766</v>
      </c>
      <c r="H471" s="20" t="s">
        <v>793</v>
      </c>
      <c r="I471" s="10" t="s">
        <v>77</v>
      </c>
      <c r="J471" s="20" t="s">
        <v>766</v>
      </c>
      <c r="K471" s="20" t="s">
        <v>793</v>
      </c>
      <c r="L471" s="9" t="s">
        <v>352</v>
      </c>
      <c r="M471" s="9">
        <v>8</v>
      </c>
      <c r="N471" s="9" t="s">
        <v>353</v>
      </c>
      <c r="O471" s="9" t="s">
        <v>354</v>
      </c>
      <c r="P471" s="12">
        <v>37.715649999999997</v>
      </c>
      <c r="Q471" s="12" t="s">
        <v>355</v>
      </c>
      <c r="R471" s="9" t="s">
        <v>356</v>
      </c>
      <c r="S471" s="50">
        <v>7</v>
      </c>
      <c r="T471" s="50">
        <v>7</v>
      </c>
      <c r="U471" s="14">
        <f t="shared" si="63"/>
        <v>0.90308998699194354</v>
      </c>
      <c r="V471" s="15">
        <v>25</v>
      </c>
      <c r="W471" s="12">
        <v>7.9687842999999958</v>
      </c>
      <c r="X471" s="12">
        <v>0.3</v>
      </c>
      <c r="Y471" s="13" t="s">
        <v>401</v>
      </c>
      <c r="Z471" s="9" t="s">
        <v>417</v>
      </c>
      <c r="AA471" s="10" t="s">
        <v>418</v>
      </c>
      <c r="AB471" s="9" t="s">
        <v>355</v>
      </c>
      <c r="AC471" s="15">
        <v>19</v>
      </c>
      <c r="AD471" s="14">
        <f t="shared" si="64"/>
        <v>1.2787536009528289</v>
      </c>
      <c r="AE471" s="10" t="s">
        <v>756</v>
      </c>
      <c r="AF471" s="9" t="s">
        <v>420</v>
      </c>
      <c r="AG471" s="18">
        <v>27.471011000000001</v>
      </c>
      <c r="AH471" s="7">
        <f t="shared" si="65"/>
        <v>1</v>
      </c>
      <c r="AI471" s="7">
        <f t="shared" si="66"/>
        <v>0</v>
      </c>
      <c r="AJ471" s="7">
        <f t="shared" si="67"/>
        <v>0</v>
      </c>
      <c r="AK471" s="7">
        <f t="shared" si="68"/>
        <v>0</v>
      </c>
      <c r="AL471" s="7" t="s">
        <v>4159</v>
      </c>
      <c r="AM471" s="18">
        <f t="shared" si="69"/>
        <v>1.4388746428075896</v>
      </c>
      <c r="AN471" s="18">
        <v>-27.471011000000001</v>
      </c>
      <c r="AO471" s="18">
        <v>153.023449</v>
      </c>
      <c r="AP471" s="9" t="s">
        <v>363</v>
      </c>
      <c r="AQ471" s="9" t="s">
        <v>796</v>
      </c>
      <c r="AR471" s="15">
        <v>1972</v>
      </c>
      <c r="AS471" s="19" t="s">
        <v>794</v>
      </c>
      <c r="AT471" s="20" t="s">
        <v>795</v>
      </c>
      <c r="AU471" s="40">
        <v>318857</v>
      </c>
      <c r="AV471" s="35">
        <f t="shared" si="70"/>
        <v>5.5035959556748599</v>
      </c>
      <c r="AW471" s="37" t="s">
        <v>366</v>
      </c>
      <c r="AX471" s="34" t="s">
        <v>355</v>
      </c>
      <c r="AY471" s="40" t="s">
        <v>355</v>
      </c>
      <c r="AZ471" s="15">
        <v>33</v>
      </c>
      <c r="BA471" s="14">
        <f t="shared" si="71"/>
        <v>1.5185139398778875</v>
      </c>
      <c r="BB471" s="37" t="s">
        <v>388</v>
      </c>
      <c r="BC471" s="20">
        <v>-1.9763905562224958E-3</v>
      </c>
      <c r="BD471" s="9">
        <v>29.700000000000003</v>
      </c>
      <c r="BE471" s="9" t="s">
        <v>368</v>
      </c>
      <c r="BF471" s="9">
        <v>0</v>
      </c>
    </row>
    <row r="472" spans="1:58">
      <c r="A472" s="9">
        <v>669</v>
      </c>
      <c r="B472" s="10" t="s">
        <v>76</v>
      </c>
      <c r="C472" s="10" t="s">
        <v>77</v>
      </c>
      <c r="D472" s="20" t="s">
        <v>766</v>
      </c>
      <c r="E472" s="20" t="s">
        <v>793</v>
      </c>
      <c r="F472" s="10" t="s">
        <v>77</v>
      </c>
      <c r="G472" s="20" t="s">
        <v>766</v>
      </c>
      <c r="H472" s="20" t="s">
        <v>793</v>
      </c>
      <c r="I472" s="10" t="s">
        <v>77</v>
      </c>
      <c r="J472" s="20" t="s">
        <v>766</v>
      </c>
      <c r="K472" s="20" t="s">
        <v>793</v>
      </c>
      <c r="L472" s="9" t="s">
        <v>352</v>
      </c>
      <c r="M472" s="9">
        <v>8</v>
      </c>
      <c r="N472" s="9" t="s">
        <v>353</v>
      </c>
      <c r="O472" s="9" t="s">
        <v>354</v>
      </c>
      <c r="P472" s="12">
        <v>37.908065999999998</v>
      </c>
      <c r="Q472" s="12" t="s">
        <v>355</v>
      </c>
      <c r="R472" s="9" t="s">
        <v>356</v>
      </c>
      <c r="S472" s="50">
        <v>7</v>
      </c>
      <c r="T472" s="50">
        <v>7</v>
      </c>
      <c r="U472" s="14">
        <f t="shared" si="63"/>
        <v>0.90308998699194354</v>
      </c>
      <c r="V472" s="15">
        <v>15</v>
      </c>
      <c r="W472" s="12">
        <v>9.7233902999999984</v>
      </c>
      <c r="X472" s="12">
        <v>0.3</v>
      </c>
      <c r="Y472" s="13" t="s">
        <v>401</v>
      </c>
      <c r="Z472" s="9" t="s">
        <v>417</v>
      </c>
      <c r="AA472" s="10" t="s">
        <v>418</v>
      </c>
      <c r="AB472" s="9" t="s">
        <v>355</v>
      </c>
      <c r="AC472" s="15">
        <v>19</v>
      </c>
      <c r="AD472" s="14">
        <f t="shared" si="64"/>
        <v>1.2787536009528289</v>
      </c>
      <c r="AE472" s="10" t="s">
        <v>756</v>
      </c>
      <c r="AF472" s="9" t="s">
        <v>420</v>
      </c>
      <c r="AG472" s="18">
        <v>27.471011000000001</v>
      </c>
      <c r="AH472" s="7">
        <f t="shared" si="65"/>
        <v>1</v>
      </c>
      <c r="AI472" s="7">
        <f t="shared" si="66"/>
        <v>0</v>
      </c>
      <c r="AJ472" s="7">
        <f t="shared" si="67"/>
        <v>0</v>
      </c>
      <c r="AK472" s="7">
        <f t="shared" si="68"/>
        <v>0</v>
      </c>
      <c r="AL472" s="7" t="s">
        <v>4159</v>
      </c>
      <c r="AM472" s="18">
        <f t="shared" si="69"/>
        <v>1.4388746428075896</v>
      </c>
      <c r="AN472" s="18">
        <v>-27.471011000000001</v>
      </c>
      <c r="AO472" s="18">
        <v>153.023449</v>
      </c>
      <c r="AP472" s="9" t="s">
        <v>363</v>
      </c>
      <c r="AQ472" s="9" t="s">
        <v>783</v>
      </c>
      <c r="AR472" s="15">
        <v>1972</v>
      </c>
      <c r="AS472" s="19" t="s">
        <v>794</v>
      </c>
      <c r="AT472" s="20" t="s">
        <v>795</v>
      </c>
      <c r="AU472" s="40">
        <v>318857</v>
      </c>
      <c r="AV472" s="35">
        <f t="shared" si="70"/>
        <v>5.5035959556748599</v>
      </c>
      <c r="AW472" s="37" t="s">
        <v>366</v>
      </c>
      <c r="AX472" s="34" t="s">
        <v>355</v>
      </c>
      <c r="AY472" s="40" t="s">
        <v>355</v>
      </c>
      <c r="AZ472" s="15">
        <v>33</v>
      </c>
      <c r="BA472" s="14">
        <f t="shared" si="71"/>
        <v>1.5185139398778875</v>
      </c>
      <c r="BB472" s="37" t="s">
        <v>388</v>
      </c>
      <c r="BC472" s="20">
        <v>-1.9763905562224958E-3</v>
      </c>
      <c r="BD472" s="9">
        <v>29.700000000000003</v>
      </c>
      <c r="BE472" s="9" t="s">
        <v>368</v>
      </c>
      <c r="BF472" s="9">
        <v>0</v>
      </c>
    </row>
    <row r="473" spans="1:58">
      <c r="A473" s="9">
        <v>671</v>
      </c>
      <c r="B473" s="10" t="s">
        <v>76</v>
      </c>
      <c r="C473" s="10" t="s">
        <v>77</v>
      </c>
      <c r="D473" s="20" t="s">
        <v>766</v>
      </c>
      <c r="E473" s="20" t="s">
        <v>793</v>
      </c>
      <c r="F473" s="10" t="s">
        <v>77</v>
      </c>
      <c r="G473" s="20" t="s">
        <v>766</v>
      </c>
      <c r="H473" s="20" t="s">
        <v>793</v>
      </c>
      <c r="I473" s="10" t="s">
        <v>77</v>
      </c>
      <c r="J473" s="20" t="s">
        <v>766</v>
      </c>
      <c r="K473" s="20" t="s">
        <v>793</v>
      </c>
      <c r="L473" s="9" t="s">
        <v>352</v>
      </c>
      <c r="M473" s="9">
        <v>7</v>
      </c>
      <c r="N473" s="9" t="s">
        <v>353</v>
      </c>
      <c r="O473" s="9" t="s">
        <v>354</v>
      </c>
      <c r="P473" s="12">
        <v>37.911476</v>
      </c>
      <c r="Q473" s="12" t="s">
        <v>355</v>
      </c>
      <c r="R473" s="9" t="s">
        <v>356</v>
      </c>
      <c r="S473" s="50">
        <v>7</v>
      </c>
      <c r="T473" s="50">
        <v>7</v>
      </c>
      <c r="U473" s="14">
        <f t="shared" si="63"/>
        <v>0.90308998699194354</v>
      </c>
      <c r="V473" s="15">
        <v>15</v>
      </c>
      <c r="W473" s="12">
        <v>9.7268003000000007</v>
      </c>
      <c r="X473" s="12">
        <v>0.3</v>
      </c>
      <c r="Y473" s="13" t="s">
        <v>401</v>
      </c>
      <c r="Z473" s="9" t="s">
        <v>417</v>
      </c>
      <c r="AA473" s="10" t="s">
        <v>418</v>
      </c>
      <c r="AB473" s="9" t="s">
        <v>355</v>
      </c>
      <c r="AC473" s="15">
        <v>19</v>
      </c>
      <c r="AD473" s="14">
        <f t="shared" si="64"/>
        <v>1.2787536009528289</v>
      </c>
      <c r="AE473" s="10" t="s">
        <v>756</v>
      </c>
      <c r="AF473" s="9" t="s">
        <v>420</v>
      </c>
      <c r="AG473" s="18">
        <v>27.471011000000001</v>
      </c>
      <c r="AH473" s="7">
        <f t="shared" si="65"/>
        <v>1</v>
      </c>
      <c r="AI473" s="7">
        <f t="shared" si="66"/>
        <v>0</v>
      </c>
      <c r="AJ473" s="7">
        <f t="shared" si="67"/>
        <v>0</v>
      </c>
      <c r="AK473" s="7">
        <f t="shared" si="68"/>
        <v>0</v>
      </c>
      <c r="AL473" s="7" t="s">
        <v>4159</v>
      </c>
      <c r="AM473" s="18">
        <f t="shared" si="69"/>
        <v>1.4388746428075896</v>
      </c>
      <c r="AN473" s="18">
        <v>-27.471011000000001</v>
      </c>
      <c r="AO473" s="18">
        <v>153.023449</v>
      </c>
      <c r="AP473" s="9" t="s">
        <v>363</v>
      </c>
      <c r="AQ473" s="9" t="s">
        <v>785</v>
      </c>
      <c r="AR473" s="15">
        <v>1972</v>
      </c>
      <c r="AS473" s="19" t="s">
        <v>794</v>
      </c>
      <c r="AT473" s="20" t="s">
        <v>795</v>
      </c>
      <c r="AU473" s="40">
        <v>318857</v>
      </c>
      <c r="AV473" s="35">
        <f t="shared" si="70"/>
        <v>5.5035959556748599</v>
      </c>
      <c r="AW473" s="37" t="s">
        <v>366</v>
      </c>
      <c r="AX473" s="34" t="s">
        <v>355</v>
      </c>
      <c r="AY473" s="40" t="s">
        <v>355</v>
      </c>
      <c r="AZ473" s="15">
        <v>33</v>
      </c>
      <c r="BA473" s="14">
        <f t="shared" si="71"/>
        <v>1.5185139398778875</v>
      </c>
      <c r="BB473" s="37" t="s">
        <v>388</v>
      </c>
      <c r="BC473" s="20">
        <v>-1.9763905562224958E-3</v>
      </c>
      <c r="BD473" s="9">
        <v>29.700000000000003</v>
      </c>
      <c r="BE473" s="9" t="s">
        <v>368</v>
      </c>
      <c r="BF473" s="9">
        <v>0</v>
      </c>
    </row>
    <row r="474" spans="1:58">
      <c r="A474" s="9">
        <v>678</v>
      </c>
      <c r="B474" s="10" t="s">
        <v>76</v>
      </c>
      <c r="C474" s="10" t="s">
        <v>77</v>
      </c>
      <c r="D474" s="20" t="s">
        <v>766</v>
      </c>
      <c r="E474" s="20" t="s">
        <v>793</v>
      </c>
      <c r="F474" s="10" t="s">
        <v>77</v>
      </c>
      <c r="G474" s="20" t="s">
        <v>766</v>
      </c>
      <c r="H474" s="20" t="s">
        <v>793</v>
      </c>
      <c r="I474" s="10" t="s">
        <v>77</v>
      </c>
      <c r="J474" s="20" t="s">
        <v>766</v>
      </c>
      <c r="K474" s="20" t="s">
        <v>793</v>
      </c>
      <c r="L474" s="9" t="s">
        <v>352</v>
      </c>
      <c r="M474" s="9">
        <v>8</v>
      </c>
      <c r="N474" s="9" t="s">
        <v>353</v>
      </c>
      <c r="O474" s="9" t="s">
        <v>354</v>
      </c>
      <c r="P474" s="12">
        <v>37.921802999999997</v>
      </c>
      <c r="Q474" s="12" t="s">
        <v>355</v>
      </c>
      <c r="R474" s="9" t="s">
        <v>356</v>
      </c>
      <c r="S474" s="50">
        <v>7</v>
      </c>
      <c r="T474" s="50">
        <v>7</v>
      </c>
      <c r="U474" s="14">
        <f t="shared" si="63"/>
        <v>0.90308998699194354</v>
      </c>
      <c r="V474" s="15">
        <v>25</v>
      </c>
      <c r="W474" s="12">
        <v>8.1749372999999963</v>
      </c>
      <c r="X474" s="12">
        <v>0.3</v>
      </c>
      <c r="Y474" s="13" t="s">
        <v>401</v>
      </c>
      <c r="Z474" s="9" t="s">
        <v>417</v>
      </c>
      <c r="AA474" s="10" t="s">
        <v>418</v>
      </c>
      <c r="AB474" s="9" t="s">
        <v>355</v>
      </c>
      <c r="AC474" s="15">
        <v>19</v>
      </c>
      <c r="AD474" s="14">
        <f t="shared" si="64"/>
        <v>1.2787536009528289</v>
      </c>
      <c r="AE474" s="10" t="s">
        <v>756</v>
      </c>
      <c r="AF474" s="9" t="s">
        <v>420</v>
      </c>
      <c r="AG474" s="18">
        <v>27.471011000000001</v>
      </c>
      <c r="AH474" s="7">
        <f t="shared" si="65"/>
        <v>1</v>
      </c>
      <c r="AI474" s="7">
        <f t="shared" si="66"/>
        <v>0</v>
      </c>
      <c r="AJ474" s="7">
        <f t="shared" si="67"/>
        <v>0</v>
      </c>
      <c r="AK474" s="7">
        <f t="shared" si="68"/>
        <v>0</v>
      </c>
      <c r="AL474" s="7" t="s">
        <v>4159</v>
      </c>
      <c r="AM474" s="18">
        <f t="shared" si="69"/>
        <v>1.4388746428075896</v>
      </c>
      <c r="AN474" s="18">
        <v>-27.471011000000001</v>
      </c>
      <c r="AO474" s="18">
        <v>153.023449</v>
      </c>
      <c r="AP474" s="9" t="s">
        <v>363</v>
      </c>
      <c r="AQ474" s="9" t="s">
        <v>797</v>
      </c>
      <c r="AR474" s="15">
        <v>1972</v>
      </c>
      <c r="AS474" s="19" t="s">
        <v>794</v>
      </c>
      <c r="AT474" s="20" t="s">
        <v>795</v>
      </c>
      <c r="AU474" s="40">
        <v>318857</v>
      </c>
      <c r="AV474" s="35">
        <f t="shared" si="70"/>
        <v>5.5035959556748599</v>
      </c>
      <c r="AW474" s="37" t="s">
        <v>366</v>
      </c>
      <c r="AX474" s="34" t="s">
        <v>355</v>
      </c>
      <c r="AY474" s="40" t="s">
        <v>355</v>
      </c>
      <c r="AZ474" s="15">
        <v>33</v>
      </c>
      <c r="BA474" s="14">
        <f t="shared" si="71"/>
        <v>1.5185139398778875</v>
      </c>
      <c r="BB474" s="37" t="s">
        <v>388</v>
      </c>
      <c r="BC474" s="20">
        <v>-1.9763905562224958E-3</v>
      </c>
      <c r="BD474" s="9">
        <v>29.700000000000003</v>
      </c>
      <c r="BE474" s="9" t="s">
        <v>368</v>
      </c>
      <c r="BF474" s="9">
        <v>0</v>
      </c>
    </row>
    <row r="475" spans="1:58">
      <c r="A475" s="9">
        <v>688</v>
      </c>
      <c r="B475" s="10" t="s">
        <v>76</v>
      </c>
      <c r="C475" s="10" t="s">
        <v>77</v>
      </c>
      <c r="D475" s="20" t="s">
        <v>766</v>
      </c>
      <c r="E475" s="20" t="s">
        <v>793</v>
      </c>
      <c r="F475" s="10" t="s">
        <v>77</v>
      </c>
      <c r="G475" s="20" t="s">
        <v>766</v>
      </c>
      <c r="H475" s="20" t="s">
        <v>793</v>
      </c>
      <c r="I475" s="10" t="s">
        <v>77</v>
      </c>
      <c r="J475" s="20" t="s">
        <v>766</v>
      </c>
      <c r="K475" s="20" t="s">
        <v>793</v>
      </c>
      <c r="L475" s="9" t="s">
        <v>352</v>
      </c>
      <c r="M475" s="9">
        <v>7</v>
      </c>
      <c r="N475" s="9" t="s">
        <v>353</v>
      </c>
      <c r="O475" s="9" t="s">
        <v>354</v>
      </c>
      <c r="P475" s="12">
        <v>38.050159999999998</v>
      </c>
      <c r="Q475" s="12" t="s">
        <v>355</v>
      </c>
      <c r="R475" s="9" t="s">
        <v>356</v>
      </c>
      <c r="S475" s="50">
        <v>7</v>
      </c>
      <c r="T475" s="50">
        <v>7</v>
      </c>
      <c r="U475" s="14">
        <f t="shared" si="63"/>
        <v>0.90308998699194354</v>
      </c>
      <c r="V475" s="15">
        <v>25</v>
      </c>
      <c r="W475" s="12">
        <v>8.3032942999999975</v>
      </c>
      <c r="X475" s="12">
        <v>0.3</v>
      </c>
      <c r="Y475" s="13" t="s">
        <v>401</v>
      </c>
      <c r="Z475" s="9" t="s">
        <v>417</v>
      </c>
      <c r="AA475" s="10" t="s">
        <v>418</v>
      </c>
      <c r="AB475" s="9" t="s">
        <v>355</v>
      </c>
      <c r="AC475" s="15">
        <v>19</v>
      </c>
      <c r="AD475" s="14">
        <f t="shared" si="64"/>
        <v>1.2787536009528289</v>
      </c>
      <c r="AE475" s="10" t="s">
        <v>756</v>
      </c>
      <c r="AF475" s="9" t="s">
        <v>420</v>
      </c>
      <c r="AG475" s="18">
        <v>27.471011000000001</v>
      </c>
      <c r="AH475" s="7">
        <f t="shared" si="65"/>
        <v>1</v>
      </c>
      <c r="AI475" s="7">
        <f t="shared" si="66"/>
        <v>0</v>
      </c>
      <c r="AJ475" s="7">
        <f t="shared" si="67"/>
        <v>0</v>
      </c>
      <c r="AK475" s="7">
        <f t="shared" si="68"/>
        <v>0</v>
      </c>
      <c r="AL475" s="7" t="s">
        <v>4159</v>
      </c>
      <c r="AM475" s="18">
        <f t="shared" si="69"/>
        <v>1.4388746428075896</v>
      </c>
      <c r="AN475" s="18">
        <v>-27.471011000000001</v>
      </c>
      <c r="AO475" s="18">
        <v>153.023449</v>
      </c>
      <c r="AP475" s="9" t="s">
        <v>363</v>
      </c>
      <c r="AQ475" s="9" t="s">
        <v>784</v>
      </c>
      <c r="AR475" s="15">
        <v>1972</v>
      </c>
      <c r="AS475" s="19" t="s">
        <v>794</v>
      </c>
      <c r="AT475" s="20" t="s">
        <v>795</v>
      </c>
      <c r="AU475" s="40">
        <v>318857</v>
      </c>
      <c r="AV475" s="35">
        <f t="shared" si="70"/>
        <v>5.5035959556748599</v>
      </c>
      <c r="AW475" s="37" t="s">
        <v>366</v>
      </c>
      <c r="AX475" s="34" t="s">
        <v>355</v>
      </c>
      <c r="AY475" s="40" t="s">
        <v>355</v>
      </c>
      <c r="AZ475" s="15">
        <v>33</v>
      </c>
      <c r="BA475" s="14">
        <f t="shared" si="71"/>
        <v>1.5185139398778875</v>
      </c>
      <c r="BB475" s="37" t="s">
        <v>388</v>
      </c>
      <c r="BC475" s="20">
        <v>-1.9763905562224958E-3</v>
      </c>
      <c r="BD475" s="9">
        <v>29.700000000000003</v>
      </c>
      <c r="BE475" s="9" t="s">
        <v>368</v>
      </c>
      <c r="BF475" s="9">
        <v>0</v>
      </c>
    </row>
    <row r="476" spans="1:58">
      <c r="A476" s="9">
        <v>687</v>
      </c>
      <c r="B476" s="10" t="s">
        <v>76</v>
      </c>
      <c r="C476" s="10" t="s">
        <v>77</v>
      </c>
      <c r="D476" s="20" t="s">
        <v>766</v>
      </c>
      <c r="E476" s="20" t="s">
        <v>793</v>
      </c>
      <c r="F476" s="10" t="s">
        <v>77</v>
      </c>
      <c r="G476" s="20" t="s">
        <v>766</v>
      </c>
      <c r="H476" s="20" t="s">
        <v>793</v>
      </c>
      <c r="I476" s="10" t="s">
        <v>77</v>
      </c>
      <c r="J476" s="20" t="s">
        <v>766</v>
      </c>
      <c r="K476" s="20" t="s">
        <v>793</v>
      </c>
      <c r="L476" s="9" t="s">
        <v>352</v>
      </c>
      <c r="M476" s="9">
        <v>7</v>
      </c>
      <c r="N476" s="9" t="s">
        <v>353</v>
      </c>
      <c r="O476" s="9" t="s">
        <v>354</v>
      </c>
      <c r="P476" s="12">
        <v>38.104233000000001</v>
      </c>
      <c r="Q476" s="12" t="s">
        <v>355</v>
      </c>
      <c r="R476" s="9" t="s">
        <v>356</v>
      </c>
      <c r="S476" s="50">
        <v>7</v>
      </c>
      <c r="T476" s="50">
        <v>7</v>
      </c>
      <c r="U476" s="14">
        <f t="shared" si="63"/>
        <v>0.90308998699194354</v>
      </c>
      <c r="V476" s="15">
        <v>25</v>
      </c>
      <c r="W476" s="12">
        <v>8.3573672999999999</v>
      </c>
      <c r="X476" s="12">
        <v>0.3</v>
      </c>
      <c r="Y476" s="13" t="s">
        <v>401</v>
      </c>
      <c r="Z476" s="9" t="s">
        <v>417</v>
      </c>
      <c r="AA476" s="10" t="s">
        <v>418</v>
      </c>
      <c r="AB476" s="9" t="s">
        <v>355</v>
      </c>
      <c r="AC476" s="15">
        <v>19</v>
      </c>
      <c r="AD476" s="14">
        <f t="shared" si="64"/>
        <v>1.2787536009528289</v>
      </c>
      <c r="AE476" s="10" t="s">
        <v>756</v>
      </c>
      <c r="AF476" s="9" t="s">
        <v>420</v>
      </c>
      <c r="AG476" s="18">
        <v>27.471011000000001</v>
      </c>
      <c r="AH476" s="7">
        <f t="shared" si="65"/>
        <v>1</v>
      </c>
      <c r="AI476" s="7">
        <f t="shared" si="66"/>
        <v>0</v>
      </c>
      <c r="AJ476" s="7">
        <f t="shared" si="67"/>
        <v>0</v>
      </c>
      <c r="AK476" s="7">
        <f t="shared" si="68"/>
        <v>0</v>
      </c>
      <c r="AL476" s="7" t="s">
        <v>4159</v>
      </c>
      <c r="AM476" s="18">
        <f t="shared" si="69"/>
        <v>1.4388746428075896</v>
      </c>
      <c r="AN476" s="18">
        <v>-27.471011000000001</v>
      </c>
      <c r="AO476" s="18">
        <v>153.023449</v>
      </c>
      <c r="AP476" s="9" t="s">
        <v>363</v>
      </c>
      <c r="AQ476" s="9" t="s">
        <v>778</v>
      </c>
      <c r="AR476" s="15">
        <v>1972</v>
      </c>
      <c r="AS476" s="19" t="s">
        <v>794</v>
      </c>
      <c r="AT476" s="20" t="s">
        <v>795</v>
      </c>
      <c r="AU476" s="40">
        <v>318857</v>
      </c>
      <c r="AV476" s="35">
        <f t="shared" si="70"/>
        <v>5.5035959556748599</v>
      </c>
      <c r="AW476" s="37" t="s">
        <v>366</v>
      </c>
      <c r="AX476" s="34" t="s">
        <v>355</v>
      </c>
      <c r="AY476" s="40" t="s">
        <v>355</v>
      </c>
      <c r="AZ476" s="15">
        <v>33</v>
      </c>
      <c r="BA476" s="14">
        <f t="shared" si="71"/>
        <v>1.5185139398778875</v>
      </c>
      <c r="BB476" s="37" t="s">
        <v>388</v>
      </c>
      <c r="BC476" s="20">
        <v>-1.9763905562224958E-3</v>
      </c>
      <c r="BD476" s="9">
        <v>29.700000000000003</v>
      </c>
      <c r="BE476" s="9" t="s">
        <v>368</v>
      </c>
      <c r="BF476" s="9">
        <v>0</v>
      </c>
    </row>
    <row r="477" spans="1:58">
      <c r="A477" s="9">
        <v>668</v>
      </c>
      <c r="B477" s="10" t="s">
        <v>76</v>
      </c>
      <c r="C477" s="10" t="s">
        <v>77</v>
      </c>
      <c r="D477" s="20" t="s">
        <v>766</v>
      </c>
      <c r="E477" s="20" t="s">
        <v>793</v>
      </c>
      <c r="F477" s="10" t="s">
        <v>77</v>
      </c>
      <c r="G477" s="20" t="s">
        <v>766</v>
      </c>
      <c r="H477" s="20" t="s">
        <v>793</v>
      </c>
      <c r="I477" s="10" t="s">
        <v>77</v>
      </c>
      <c r="J477" s="20" t="s">
        <v>766</v>
      </c>
      <c r="K477" s="20" t="s">
        <v>793</v>
      </c>
      <c r="L477" s="9" t="s">
        <v>352</v>
      </c>
      <c r="M477" s="9">
        <v>5</v>
      </c>
      <c r="N477" s="9" t="s">
        <v>353</v>
      </c>
      <c r="O477" s="9" t="s">
        <v>354</v>
      </c>
      <c r="P477" s="12">
        <v>38.166629999999998</v>
      </c>
      <c r="Q477" s="12" t="s">
        <v>355</v>
      </c>
      <c r="R477" s="9" t="s">
        <v>356</v>
      </c>
      <c r="S477" s="50">
        <v>7</v>
      </c>
      <c r="T477" s="50">
        <v>7</v>
      </c>
      <c r="U477" s="14">
        <f t="shared" si="63"/>
        <v>0.90308998699194354</v>
      </c>
      <c r="V477" s="15">
        <v>15</v>
      </c>
      <c r="W477" s="12">
        <v>9.9819542999999982</v>
      </c>
      <c r="X477" s="12">
        <v>0.3</v>
      </c>
      <c r="Y477" s="13" t="s">
        <v>401</v>
      </c>
      <c r="Z477" s="9" t="s">
        <v>417</v>
      </c>
      <c r="AA477" s="10" t="s">
        <v>418</v>
      </c>
      <c r="AB477" s="9" t="s">
        <v>355</v>
      </c>
      <c r="AC477" s="15">
        <v>19</v>
      </c>
      <c r="AD477" s="14">
        <f t="shared" si="64"/>
        <v>1.2787536009528289</v>
      </c>
      <c r="AE477" s="10" t="s">
        <v>756</v>
      </c>
      <c r="AF477" s="9" t="s">
        <v>420</v>
      </c>
      <c r="AG477" s="18">
        <v>27.471011000000001</v>
      </c>
      <c r="AH477" s="7">
        <f t="shared" si="65"/>
        <v>1</v>
      </c>
      <c r="AI477" s="7">
        <f t="shared" si="66"/>
        <v>0</v>
      </c>
      <c r="AJ477" s="7">
        <f t="shared" si="67"/>
        <v>0</v>
      </c>
      <c r="AK477" s="7">
        <f t="shared" si="68"/>
        <v>0</v>
      </c>
      <c r="AL477" s="7" t="s">
        <v>4159</v>
      </c>
      <c r="AM477" s="18">
        <f t="shared" si="69"/>
        <v>1.4388746428075896</v>
      </c>
      <c r="AN477" s="18">
        <v>-27.471011000000001</v>
      </c>
      <c r="AO477" s="18">
        <v>153.023449</v>
      </c>
      <c r="AP477" s="9" t="s">
        <v>363</v>
      </c>
      <c r="AQ477" s="9" t="s">
        <v>782</v>
      </c>
      <c r="AR477" s="15">
        <v>1972</v>
      </c>
      <c r="AS477" s="19" t="s">
        <v>794</v>
      </c>
      <c r="AT477" s="20" t="s">
        <v>795</v>
      </c>
      <c r="AU477" s="40">
        <v>318857</v>
      </c>
      <c r="AV477" s="35">
        <f t="shared" si="70"/>
        <v>5.5035959556748599</v>
      </c>
      <c r="AW477" s="37" t="s">
        <v>366</v>
      </c>
      <c r="AX477" s="34" t="s">
        <v>355</v>
      </c>
      <c r="AY477" s="40" t="s">
        <v>355</v>
      </c>
      <c r="AZ477" s="15">
        <v>33</v>
      </c>
      <c r="BA477" s="14">
        <f t="shared" si="71"/>
        <v>1.5185139398778875</v>
      </c>
      <c r="BB477" s="37" t="s">
        <v>388</v>
      </c>
      <c r="BC477" s="20">
        <v>-1.9763905562224958E-3</v>
      </c>
      <c r="BD477" s="9">
        <v>29.700000000000003</v>
      </c>
      <c r="BE477" s="9" t="s">
        <v>368</v>
      </c>
      <c r="BF477" s="9">
        <v>0</v>
      </c>
    </row>
    <row r="478" spans="1:58">
      <c r="A478" s="9">
        <v>675</v>
      </c>
      <c r="B478" s="10" t="s">
        <v>76</v>
      </c>
      <c r="C478" s="10" t="s">
        <v>77</v>
      </c>
      <c r="D478" s="20" t="s">
        <v>766</v>
      </c>
      <c r="E478" s="20" t="s">
        <v>793</v>
      </c>
      <c r="F478" s="10" t="s">
        <v>77</v>
      </c>
      <c r="G478" s="20" t="s">
        <v>766</v>
      </c>
      <c r="H478" s="20" t="s">
        <v>793</v>
      </c>
      <c r="I478" s="10" t="s">
        <v>77</v>
      </c>
      <c r="J478" s="20" t="s">
        <v>766</v>
      </c>
      <c r="K478" s="20" t="s">
        <v>793</v>
      </c>
      <c r="L478" s="9" t="s">
        <v>352</v>
      </c>
      <c r="M478" s="9">
        <v>8</v>
      </c>
      <c r="N478" s="9" t="s">
        <v>353</v>
      </c>
      <c r="O478" s="9" t="s">
        <v>354</v>
      </c>
      <c r="P478" s="12">
        <v>38.252777000000002</v>
      </c>
      <c r="Q478" s="12" t="s">
        <v>355</v>
      </c>
      <c r="R478" s="9" t="s">
        <v>356</v>
      </c>
      <c r="S478" s="50">
        <v>7</v>
      </c>
      <c r="T478" s="50">
        <v>7</v>
      </c>
      <c r="U478" s="14">
        <f t="shared" si="63"/>
        <v>0.90308998699194354</v>
      </c>
      <c r="V478" s="15">
        <v>15</v>
      </c>
      <c r="W478" s="12">
        <v>10.068101300000002</v>
      </c>
      <c r="X478" s="12">
        <v>0.3</v>
      </c>
      <c r="Y478" s="13" t="s">
        <v>401</v>
      </c>
      <c r="Z478" s="9" t="s">
        <v>417</v>
      </c>
      <c r="AA478" s="10" t="s">
        <v>418</v>
      </c>
      <c r="AB478" s="9" t="s">
        <v>355</v>
      </c>
      <c r="AC478" s="15">
        <v>19</v>
      </c>
      <c r="AD478" s="14">
        <f t="shared" si="64"/>
        <v>1.2787536009528289</v>
      </c>
      <c r="AE478" s="10" t="s">
        <v>756</v>
      </c>
      <c r="AF478" s="9" t="s">
        <v>420</v>
      </c>
      <c r="AG478" s="18">
        <v>27.471011000000001</v>
      </c>
      <c r="AH478" s="7">
        <f t="shared" si="65"/>
        <v>1</v>
      </c>
      <c r="AI478" s="7">
        <f t="shared" si="66"/>
        <v>0</v>
      </c>
      <c r="AJ478" s="7">
        <f t="shared" si="67"/>
        <v>0</v>
      </c>
      <c r="AK478" s="7">
        <f t="shared" si="68"/>
        <v>0</v>
      </c>
      <c r="AL478" s="7" t="s">
        <v>4159</v>
      </c>
      <c r="AM478" s="18">
        <f t="shared" si="69"/>
        <v>1.4388746428075896</v>
      </c>
      <c r="AN478" s="18">
        <v>-27.471011000000001</v>
      </c>
      <c r="AO478" s="18">
        <v>153.023449</v>
      </c>
      <c r="AP478" s="9" t="s">
        <v>363</v>
      </c>
      <c r="AQ478" s="9" t="s">
        <v>778</v>
      </c>
      <c r="AR478" s="15">
        <v>1972</v>
      </c>
      <c r="AS478" s="19" t="s">
        <v>794</v>
      </c>
      <c r="AT478" s="20" t="s">
        <v>795</v>
      </c>
      <c r="AU478" s="40">
        <v>318857</v>
      </c>
      <c r="AV478" s="35">
        <f t="shared" si="70"/>
        <v>5.5035959556748599</v>
      </c>
      <c r="AW478" s="37" t="s">
        <v>366</v>
      </c>
      <c r="AX478" s="34" t="s">
        <v>355</v>
      </c>
      <c r="AY478" s="40" t="s">
        <v>355</v>
      </c>
      <c r="AZ478" s="15">
        <v>33</v>
      </c>
      <c r="BA478" s="14">
        <f t="shared" si="71"/>
        <v>1.5185139398778875</v>
      </c>
      <c r="BB478" s="37" t="s">
        <v>388</v>
      </c>
      <c r="BC478" s="20">
        <v>-1.9763905562224958E-3</v>
      </c>
      <c r="BD478" s="9">
        <v>29.700000000000003</v>
      </c>
      <c r="BE478" s="9" t="s">
        <v>368</v>
      </c>
      <c r="BF478" s="9">
        <v>0</v>
      </c>
    </row>
    <row r="479" spans="1:58">
      <c r="A479" s="9">
        <v>685</v>
      </c>
      <c r="B479" s="10" t="s">
        <v>76</v>
      </c>
      <c r="C479" s="10" t="s">
        <v>77</v>
      </c>
      <c r="D479" s="20" t="s">
        <v>766</v>
      </c>
      <c r="E479" s="20" t="s">
        <v>793</v>
      </c>
      <c r="F479" s="10" t="s">
        <v>77</v>
      </c>
      <c r="G479" s="20" t="s">
        <v>766</v>
      </c>
      <c r="H479" s="20" t="s">
        <v>793</v>
      </c>
      <c r="I479" s="10" t="s">
        <v>77</v>
      </c>
      <c r="J479" s="20" t="s">
        <v>766</v>
      </c>
      <c r="K479" s="20" t="s">
        <v>793</v>
      </c>
      <c r="L479" s="9" t="s">
        <v>352</v>
      </c>
      <c r="M479" s="9">
        <v>5</v>
      </c>
      <c r="N479" s="9" t="s">
        <v>353</v>
      </c>
      <c r="O479" s="9" t="s">
        <v>354</v>
      </c>
      <c r="P479" s="12">
        <v>38.342489999999998</v>
      </c>
      <c r="Q479" s="12" t="s">
        <v>355</v>
      </c>
      <c r="R479" s="9" t="s">
        <v>356</v>
      </c>
      <c r="S479" s="50">
        <v>7</v>
      </c>
      <c r="T479" s="50">
        <v>7</v>
      </c>
      <c r="U479" s="14">
        <f t="shared" si="63"/>
        <v>0.90308998699194354</v>
      </c>
      <c r="V479" s="15">
        <v>25</v>
      </c>
      <c r="W479" s="12">
        <v>8.5956242999999972</v>
      </c>
      <c r="X479" s="12">
        <v>0.3</v>
      </c>
      <c r="Y479" s="13" t="s">
        <v>401</v>
      </c>
      <c r="Z479" s="9" t="s">
        <v>417</v>
      </c>
      <c r="AA479" s="10" t="s">
        <v>418</v>
      </c>
      <c r="AB479" s="9" t="s">
        <v>355</v>
      </c>
      <c r="AC479" s="15">
        <v>19</v>
      </c>
      <c r="AD479" s="14">
        <f t="shared" si="64"/>
        <v>1.2787536009528289</v>
      </c>
      <c r="AE479" s="10" t="s">
        <v>756</v>
      </c>
      <c r="AF479" s="9" t="s">
        <v>420</v>
      </c>
      <c r="AG479" s="18">
        <v>27.471011000000001</v>
      </c>
      <c r="AH479" s="7">
        <f t="shared" si="65"/>
        <v>1</v>
      </c>
      <c r="AI479" s="7">
        <f t="shared" si="66"/>
        <v>0</v>
      </c>
      <c r="AJ479" s="7">
        <f t="shared" si="67"/>
        <v>0</v>
      </c>
      <c r="AK479" s="7">
        <f t="shared" si="68"/>
        <v>0</v>
      </c>
      <c r="AL479" s="7" t="s">
        <v>4159</v>
      </c>
      <c r="AM479" s="18">
        <f t="shared" si="69"/>
        <v>1.4388746428075896</v>
      </c>
      <c r="AN479" s="18">
        <v>-27.471011000000001</v>
      </c>
      <c r="AO479" s="18">
        <v>153.023449</v>
      </c>
      <c r="AP479" s="9" t="s">
        <v>363</v>
      </c>
      <c r="AQ479" s="9" t="s">
        <v>777</v>
      </c>
      <c r="AR479" s="15">
        <v>1972</v>
      </c>
      <c r="AS479" s="19" t="s">
        <v>794</v>
      </c>
      <c r="AT479" s="20" t="s">
        <v>795</v>
      </c>
      <c r="AU479" s="40">
        <v>318857</v>
      </c>
      <c r="AV479" s="35">
        <f t="shared" si="70"/>
        <v>5.5035959556748599</v>
      </c>
      <c r="AW479" s="37" t="s">
        <v>366</v>
      </c>
      <c r="AX479" s="34" t="s">
        <v>355</v>
      </c>
      <c r="AY479" s="40" t="s">
        <v>355</v>
      </c>
      <c r="AZ479" s="15">
        <v>33</v>
      </c>
      <c r="BA479" s="14">
        <f t="shared" si="71"/>
        <v>1.5185139398778875</v>
      </c>
      <c r="BB479" s="37" t="s">
        <v>388</v>
      </c>
      <c r="BC479" s="20">
        <v>-1.9763905562224958E-3</v>
      </c>
      <c r="BD479" s="9">
        <v>29.700000000000003</v>
      </c>
      <c r="BE479" s="9" t="s">
        <v>368</v>
      </c>
      <c r="BF479" s="9">
        <v>0</v>
      </c>
    </row>
    <row r="480" spans="1:58">
      <c r="A480" s="9">
        <v>670</v>
      </c>
      <c r="B480" s="10" t="s">
        <v>76</v>
      </c>
      <c r="C480" s="10" t="s">
        <v>77</v>
      </c>
      <c r="D480" s="20" t="s">
        <v>766</v>
      </c>
      <c r="E480" s="20" t="s">
        <v>793</v>
      </c>
      <c r="F480" s="10" t="s">
        <v>77</v>
      </c>
      <c r="G480" s="20" t="s">
        <v>766</v>
      </c>
      <c r="H480" s="20" t="s">
        <v>793</v>
      </c>
      <c r="I480" s="10" t="s">
        <v>77</v>
      </c>
      <c r="J480" s="20" t="s">
        <v>766</v>
      </c>
      <c r="K480" s="20" t="s">
        <v>793</v>
      </c>
      <c r="L480" s="9" t="s">
        <v>352</v>
      </c>
      <c r="M480" s="9">
        <v>7</v>
      </c>
      <c r="N480" s="9" t="s">
        <v>353</v>
      </c>
      <c r="O480" s="9" t="s">
        <v>354</v>
      </c>
      <c r="P480" s="12">
        <v>38.374473999999999</v>
      </c>
      <c r="Q480" s="12" t="s">
        <v>355</v>
      </c>
      <c r="R480" s="9" t="s">
        <v>356</v>
      </c>
      <c r="S480" s="50">
        <v>7</v>
      </c>
      <c r="T480" s="50">
        <v>7</v>
      </c>
      <c r="U480" s="14">
        <f t="shared" si="63"/>
        <v>0.90308998699194354</v>
      </c>
      <c r="V480" s="15">
        <v>15</v>
      </c>
      <c r="W480" s="12">
        <v>10.1897983</v>
      </c>
      <c r="X480" s="12">
        <v>0.3</v>
      </c>
      <c r="Y480" s="13" t="s">
        <v>401</v>
      </c>
      <c r="Z480" s="9" t="s">
        <v>417</v>
      </c>
      <c r="AA480" s="10" t="s">
        <v>418</v>
      </c>
      <c r="AB480" s="9" t="s">
        <v>355</v>
      </c>
      <c r="AC480" s="15">
        <v>19</v>
      </c>
      <c r="AD480" s="14">
        <f t="shared" si="64"/>
        <v>1.2787536009528289</v>
      </c>
      <c r="AE480" s="10" t="s">
        <v>756</v>
      </c>
      <c r="AF480" s="9" t="s">
        <v>420</v>
      </c>
      <c r="AG480" s="18">
        <v>27.471011000000001</v>
      </c>
      <c r="AH480" s="7">
        <f t="shared" si="65"/>
        <v>1</v>
      </c>
      <c r="AI480" s="7">
        <f t="shared" si="66"/>
        <v>0</v>
      </c>
      <c r="AJ480" s="7">
        <f t="shared" si="67"/>
        <v>0</v>
      </c>
      <c r="AK480" s="7">
        <f t="shared" si="68"/>
        <v>0</v>
      </c>
      <c r="AL480" s="7" t="s">
        <v>4159</v>
      </c>
      <c r="AM480" s="18">
        <f t="shared" si="69"/>
        <v>1.4388746428075896</v>
      </c>
      <c r="AN480" s="18">
        <v>-27.471011000000001</v>
      </c>
      <c r="AO480" s="18">
        <v>153.023449</v>
      </c>
      <c r="AP480" s="9" t="s">
        <v>363</v>
      </c>
      <c r="AQ480" s="9" t="s">
        <v>786</v>
      </c>
      <c r="AR480" s="15">
        <v>1972</v>
      </c>
      <c r="AS480" s="19" t="s">
        <v>794</v>
      </c>
      <c r="AT480" s="20" t="s">
        <v>795</v>
      </c>
      <c r="AU480" s="40">
        <v>318857</v>
      </c>
      <c r="AV480" s="35">
        <f t="shared" si="70"/>
        <v>5.5035959556748599</v>
      </c>
      <c r="AW480" s="37" t="s">
        <v>366</v>
      </c>
      <c r="AX480" s="34" t="s">
        <v>355</v>
      </c>
      <c r="AY480" s="40" t="s">
        <v>355</v>
      </c>
      <c r="AZ480" s="15">
        <v>33</v>
      </c>
      <c r="BA480" s="14">
        <f t="shared" si="71"/>
        <v>1.5185139398778875</v>
      </c>
      <c r="BB480" s="37" t="s">
        <v>388</v>
      </c>
      <c r="BC480" s="20">
        <v>-1.9763905562224958E-3</v>
      </c>
      <c r="BD480" s="9">
        <v>29.700000000000003</v>
      </c>
      <c r="BE480" s="9" t="s">
        <v>368</v>
      </c>
      <c r="BF480" s="9">
        <v>0</v>
      </c>
    </row>
    <row r="481" spans="1:58">
      <c r="A481" s="9">
        <v>679</v>
      </c>
      <c r="B481" s="10" t="s">
        <v>76</v>
      </c>
      <c r="C481" s="10" t="s">
        <v>77</v>
      </c>
      <c r="D481" s="20" t="s">
        <v>766</v>
      </c>
      <c r="E481" s="20" t="s">
        <v>793</v>
      </c>
      <c r="F481" s="10" t="s">
        <v>77</v>
      </c>
      <c r="G481" s="20" t="s">
        <v>766</v>
      </c>
      <c r="H481" s="20" t="s">
        <v>793</v>
      </c>
      <c r="I481" s="10" t="s">
        <v>77</v>
      </c>
      <c r="J481" s="20" t="s">
        <v>766</v>
      </c>
      <c r="K481" s="20" t="s">
        <v>793</v>
      </c>
      <c r="L481" s="9" t="s">
        <v>352</v>
      </c>
      <c r="M481" s="9">
        <v>10</v>
      </c>
      <c r="N481" s="9" t="s">
        <v>381</v>
      </c>
      <c r="O481" s="9" t="s">
        <v>354</v>
      </c>
      <c r="P481" s="12">
        <v>38.406734</v>
      </c>
      <c r="Q481" s="12" t="s">
        <v>355</v>
      </c>
      <c r="R481" s="9" t="s">
        <v>356</v>
      </c>
      <c r="S481" s="50">
        <v>7</v>
      </c>
      <c r="T481" s="50">
        <v>7</v>
      </c>
      <c r="U481" s="14">
        <f t="shared" si="63"/>
        <v>0.90308998699194354</v>
      </c>
      <c r="V481" s="15">
        <v>25</v>
      </c>
      <c r="W481" s="12">
        <v>8.6598682999999994</v>
      </c>
      <c r="X481" s="12">
        <v>0.3</v>
      </c>
      <c r="Y481" s="13" t="s">
        <v>401</v>
      </c>
      <c r="Z481" s="9" t="s">
        <v>417</v>
      </c>
      <c r="AA481" s="10" t="s">
        <v>418</v>
      </c>
      <c r="AB481" s="9" t="s">
        <v>355</v>
      </c>
      <c r="AC481" s="15">
        <v>19</v>
      </c>
      <c r="AD481" s="14">
        <f t="shared" si="64"/>
        <v>1.2787536009528289</v>
      </c>
      <c r="AE481" s="10" t="s">
        <v>756</v>
      </c>
      <c r="AF481" s="9" t="s">
        <v>420</v>
      </c>
      <c r="AG481" s="18">
        <v>27.471011000000001</v>
      </c>
      <c r="AH481" s="7">
        <f t="shared" si="65"/>
        <v>1</v>
      </c>
      <c r="AI481" s="7">
        <f t="shared" si="66"/>
        <v>0</v>
      </c>
      <c r="AJ481" s="7">
        <f t="shared" si="67"/>
        <v>0</v>
      </c>
      <c r="AK481" s="7">
        <f t="shared" si="68"/>
        <v>0</v>
      </c>
      <c r="AL481" s="7" t="s">
        <v>4159</v>
      </c>
      <c r="AM481" s="18">
        <f t="shared" si="69"/>
        <v>1.4388746428075896</v>
      </c>
      <c r="AN481" s="18">
        <v>-27.471011000000001</v>
      </c>
      <c r="AO481" s="18">
        <v>153.023449</v>
      </c>
      <c r="AP481" s="9" t="s">
        <v>363</v>
      </c>
      <c r="AQ481" s="9" t="s">
        <v>798</v>
      </c>
      <c r="AR481" s="15">
        <v>1972</v>
      </c>
      <c r="AS481" s="19" t="s">
        <v>794</v>
      </c>
      <c r="AT481" s="20" t="s">
        <v>795</v>
      </c>
      <c r="AU481" s="40">
        <v>318857</v>
      </c>
      <c r="AV481" s="35">
        <f t="shared" si="70"/>
        <v>5.5035959556748599</v>
      </c>
      <c r="AW481" s="37" t="s">
        <v>366</v>
      </c>
      <c r="AX481" s="34" t="s">
        <v>355</v>
      </c>
      <c r="AY481" s="40" t="s">
        <v>355</v>
      </c>
      <c r="AZ481" s="15">
        <v>33</v>
      </c>
      <c r="BA481" s="14">
        <f t="shared" si="71"/>
        <v>1.5185139398778875</v>
      </c>
      <c r="BB481" s="37" t="s">
        <v>388</v>
      </c>
      <c r="BC481" s="20">
        <v>-1.9763905562224958E-3</v>
      </c>
      <c r="BD481" s="9">
        <v>29.700000000000003</v>
      </c>
      <c r="BE481" s="9" t="s">
        <v>368</v>
      </c>
      <c r="BF481" s="9">
        <v>0</v>
      </c>
    </row>
    <row r="482" spans="1:58">
      <c r="A482" s="9">
        <v>681</v>
      </c>
      <c r="B482" s="10" t="s">
        <v>76</v>
      </c>
      <c r="C482" s="10" t="s">
        <v>77</v>
      </c>
      <c r="D482" s="20" t="s">
        <v>766</v>
      </c>
      <c r="E482" s="20" t="s">
        <v>793</v>
      </c>
      <c r="F482" s="10" t="s">
        <v>77</v>
      </c>
      <c r="G482" s="20" t="s">
        <v>766</v>
      </c>
      <c r="H482" s="20" t="s">
        <v>793</v>
      </c>
      <c r="I482" s="10" t="s">
        <v>77</v>
      </c>
      <c r="J482" s="20" t="s">
        <v>766</v>
      </c>
      <c r="K482" s="20" t="s">
        <v>793</v>
      </c>
      <c r="L482" s="9" t="s">
        <v>352</v>
      </c>
      <c r="M482" s="9">
        <v>9</v>
      </c>
      <c r="N482" s="9" t="s">
        <v>353</v>
      </c>
      <c r="O482" s="9" t="s">
        <v>354</v>
      </c>
      <c r="P482" s="12">
        <v>38.614544000000002</v>
      </c>
      <c r="Q482" s="12" t="s">
        <v>355</v>
      </c>
      <c r="R482" s="9" t="s">
        <v>356</v>
      </c>
      <c r="S482" s="50">
        <v>7</v>
      </c>
      <c r="T482" s="50">
        <v>7</v>
      </c>
      <c r="U482" s="14">
        <f t="shared" si="63"/>
        <v>0.90308998699194354</v>
      </c>
      <c r="V482" s="15">
        <v>25</v>
      </c>
      <c r="W482" s="12">
        <v>8.8676783000000015</v>
      </c>
      <c r="X482" s="12">
        <v>0.3</v>
      </c>
      <c r="Y482" s="13" t="s">
        <v>401</v>
      </c>
      <c r="Z482" s="9" t="s">
        <v>417</v>
      </c>
      <c r="AA482" s="10" t="s">
        <v>418</v>
      </c>
      <c r="AB482" s="9" t="s">
        <v>355</v>
      </c>
      <c r="AC482" s="15">
        <v>19</v>
      </c>
      <c r="AD482" s="14">
        <f t="shared" si="64"/>
        <v>1.2787536009528289</v>
      </c>
      <c r="AE482" s="10" t="s">
        <v>756</v>
      </c>
      <c r="AF482" s="9" t="s">
        <v>420</v>
      </c>
      <c r="AG482" s="18">
        <v>27.471011000000001</v>
      </c>
      <c r="AH482" s="7">
        <f t="shared" si="65"/>
        <v>1</v>
      </c>
      <c r="AI482" s="7">
        <f t="shared" si="66"/>
        <v>0</v>
      </c>
      <c r="AJ482" s="7">
        <f t="shared" si="67"/>
        <v>0</v>
      </c>
      <c r="AK482" s="7">
        <f t="shared" si="68"/>
        <v>0</v>
      </c>
      <c r="AL482" s="7" t="s">
        <v>4159</v>
      </c>
      <c r="AM482" s="18">
        <f t="shared" si="69"/>
        <v>1.4388746428075896</v>
      </c>
      <c r="AN482" s="18">
        <v>-27.471011000000001</v>
      </c>
      <c r="AO482" s="18">
        <v>153.023449</v>
      </c>
      <c r="AP482" s="9" t="s">
        <v>363</v>
      </c>
      <c r="AQ482" s="9" t="s">
        <v>799</v>
      </c>
      <c r="AR482" s="15">
        <v>1972</v>
      </c>
      <c r="AS482" s="19" t="s">
        <v>794</v>
      </c>
      <c r="AT482" s="20" t="s">
        <v>795</v>
      </c>
      <c r="AU482" s="40">
        <v>318857</v>
      </c>
      <c r="AV482" s="35">
        <f t="shared" si="70"/>
        <v>5.5035959556748599</v>
      </c>
      <c r="AW482" s="37" t="s">
        <v>366</v>
      </c>
      <c r="AX482" s="34" t="s">
        <v>355</v>
      </c>
      <c r="AY482" s="40" t="s">
        <v>355</v>
      </c>
      <c r="AZ482" s="15">
        <v>33</v>
      </c>
      <c r="BA482" s="14">
        <f t="shared" si="71"/>
        <v>1.5185139398778875</v>
      </c>
      <c r="BB482" s="37" t="s">
        <v>388</v>
      </c>
      <c r="BC482" s="20">
        <v>-1.9763905562224958E-3</v>
      </c>
      <c r="BD482" s="9">
        <v>29.700000000000003</v>
      </c>
      <c r="BE482" s="9" t="s">
        <v>368</v>
      </c>
      <c r="BF482" s="9">
        <v>0</v>
      </c>
    </row>
    <row r="483" spans="1:58">
      <c r="A483" s="9">
        <v>680</v>
      </c>
      <c r="B483" s="10" t="s">
        <v>76</v>
      </c>
      <c r="C483" s="10" t="s">
        <v>77</v>
      </c>
      <c r="D483" s="20" t="s">
        <v>766</v>
      </c>
      <c r="E483" s="20" t="s">
        <v>793</v>
      </c>
      <c r="F483" s="10" t="s">
        <v>77</v>
      </c>
      <c r="G483" s="20" t="s">
        <v>766</v>
      </c>
      <c r="H483" s="20" t="s">
        <v>793</v>
      </c>
      <c r="I483" s="10" t="s">
        <v>77</v>
      </c>
      <c r="J483" s="20" t="s">
        <v>766</v>
      </c>
      <c r="K483" s="20" t="s">
        <v>793</v>
      </c>
      <c r="L483" s="9" t="s">
        <v>352</v>
      </c>
      <c r="M483" s="9">
        <v>8</v>
      </c>
      <c r="N483" s="9" t="s">
        <v>353</v>
      </c>
      <c r="O483" s="9" t="s">
        <v>354</v>
      </c>
      <c r="P483" s="12">
        <v>38.817318</v>
      </c>
      <c r="Q483" s="12" t="s">
        <v>355</v>
      </c>
      <c r="R483" s="9" t="s">
        <v>356</v>
      </c>
      <c r="S483" s="50">
        <v>7</v>
      </c>
      <c r="T483" s="50">
        <v>7</v>
      </c>
      <c r="U483" s="14">
        <f t="shared" si="63"/>
        <v>0.90308998699194354</v>
      </c>
      <c r="V483" s="15">
        <v>25</v>
      </c>
      <c r="W483" s="12">
        <v>9.0704522999999995</v>
      </c>
      <c r="X483" s="12">
        <v>0.3</v>
      </c>
      <c r="Y483" s="13" t="s">
        <v>401</v>
      </c>
      <c r="Z483" s="9" t="s">
        <v>417</v>
      </c>
      <c r="AA483" s="10" t="s">
        <v>418</v>
      </c>
      <c r="AB483" s="9" t="s">
        <v>355</v>
      </c>
      <c r="AC483" s="15">
        <v>19</v>
      </c>
      <c r="AD483" s="14">
        <f t="shared" si="64"/>
        <v>1.2787536009528289</v>
      </c>
      <c r="AE483" s="10" t="s">
        <v>756</v>
      </c>
      <c r="AF483" s="9" t="s">
        <v>420</v>
      </c>
      <c r="AG483" s="18">
        <v>27.471011000000001</v>
      </c>
      <c r="AH483" s="7">
        <f t="shared" si="65"/>
        <v>1</v>
      </c>
      <c r="AI483" s="7">
        <f t="shared" si="66"/>
        <v>0</v>
      </c>
      <c r="AJ483" s="7">
        <f t="shared" si="67"/>
        <v>0</v>
      </c>
      <c r="AK483" s="7">
        <f t="shared" si="68"/>
        <v>0</v>
      </c>
      <c r="AL483" s="7" t="s">
        <v>4159</v>
      </c>
      <c r="AM483" s="18">
        <f t="shared" si="69"/>
        <v>1.4388746428075896</v>
      </c>
      <c r="AN483" s="18">
        <v>-27.471011000000001</v>
      </c>
      <c r="AO483" s="18">
        <v>153.023449</v>
      </c>
      <c r="AP483" s="9" t="s">
        <v>363</v>
      </c>
      <c r="AQ483" s="9" t="s">
        <v>800</v>
      </c>
      <c r="AR483" s="15">
        <v>1972</v>
      </c>
      <c r="AS483" s="19" t="s">
        <v>794</v>
      </c>
      <c r="AT483" s="20" t="s">
        <v>795</v>
      </c>
      <c r="AU483" s="40">
        <v>318857</v>
      </c>
      <c r="AV483" s="35">
        <f t="shared" si="70"/>
        <v>5.5035959556748599</v>
      </c>
      <c r="AW483" s="37" t="s">
        <v>366</v>
      </c>
      <c r="AX483" s="34" t="s">
        <v>355</v>
      </c>
      <c r="AY483" s="40" t="s">
        <v>355</v>
      </c>
      <c r="AZ483" s="15">
        <v>33</v>
      </c>
      <c r="BA483" s="14">
        <f t="shared" si="71"/>
        <v>1.5185139398778875</v>
      </c>
      <c r="BB483" s="37" t="s">
        <v>388</v>
      </c>
      <c r="BC483" s="20">
        <v>-1.9763905562224958E-3</v>
      </c>
      <c r="BD483" s="9">
        <v>29.700000000000003</v>
      </c>
      <c r="BE483" s="9" t="s">
        <v>368</v>
      </c>
      <c r="BF483" s="9">
        <v>0</v>
      </c>
    </row>
    <row r="484" spans="1:58">
      <c r="A484" s="9">
        <v>684</v>
      </c>
      <c r="B484" s="10" t="s">
        <v>76</v>
      </c>
      <c r="C484" s="10" t="s">
        <v>77</v>
      </c>
      <c r="D484" s="20" t="s">
        <v>766</v>
      </c>
      <c r="E484" s="20" t="s">
        <v>793</v>
      </c>
      <c r="F484" s="10" t="s">
        <v>77</v>
      </c>
      <c r="G484" s="20" t="s">
        <v>766</v>
      </c>
      <c r="H484" s="20" t="s">
        <v>793</v>
      </c>
      <c r="I484" s="10" t="s">
        <v>77</v>
      </c>
      <c r="J484" s="20" t="s">
        <v>766</v>
      </c>
      <c r="K484" s="20" t="s">
        <v>793</v>
      </c>
      <c r="L484" s="9" t="s">
        <v>352</v>
      </c>
      <c r="M484" s="9">
        <v>8</v>
      </c>
      <c r="N484" s="9" t="s">
        <v>353</v>
      </c>
      <c r="O484" s="9" t="s">
        <v>354</v>
      </c>
      <c r="P484" s="12">
        <v>38.898426000000001</v>
      </c>
      <c r="Q484" s="12" t="s">
        <v>355</v>
      </c>
      <c r="R484" s="9" t="s">
        <v>356</v>
      </c>
      <c r="S484" s="50">
        <v>7</v>
      </c>
      <c r="T484" s="50">
        <v>7</v>
      </c>
      <c r="U484" s="14">
        <f t="shared" si="63"/>
        <v>0.90308998699194354</v>
      </c>
      <c r="V484" s="15">
        <v>25</v>
      </c>
      <c r="W484" s="12">
        <v>9.1515602999999999</v>
      </c>
      <c r="X484" s="12">
        <v>0.3</v>
      </c>
      <c r="Y484" s="13" t="s">
        <v>401</v>
      </c>
      <c r="Z484" s="9" t="s">
        <v>417</v>
      </c>
      <c r="AA484" s="10" t="s">
        <v>418</v>
      </c>
      <c r="AB484" s="9" t="s">
        <v>355</v>
      </c>
      <c r="AC484" s="15">
        <v>19</v>
      </c>
      <c r="AD484" s="14">
        <f t="shared" si="64"/>
        <v>1.2787536009528289</v>
      </c>
      <c r="AE484" s="10" t="s">
        <v>756</v>
      </c>
      <c r="AF484" s="9" t="s">
        <v>420</v>
      </c>
      <c r="AG484" s="18">
        <v>27.471011000000001</v>
      </c>
      <c r="AH484" s="7">
        <f t="shared" si="65"/>
        <v>1</v>
      </c>
      <c r="AI484" s="7">
        <f t="shared" si="66"/>
        <v>0</v>
      </c>
      <c r="AJ484" s="7">
        <f t="shared" si="67"/>
        <v>0</v>
      </c>
      <c r="AK484" s="7">
        <f t="shared" si="68"/>
        <v>0</v>
      </c>
      <c r="AL484" s="7" t="s">
        <v>4159</v>
      </c>
      <c r="AM484" s="18">
        <f t="shared" si="69"/>
        <v>1.4388746428075896</v>
      </c>
      <c r="AN484" s="18">
        <v>-27.471011000000001</v>
      </c>
      <c r="AO484" s="18">
        <v>153.023449</v>
      </c>
      <c r="AP484" s="9" t="s">
        <v>363</v>
      </c>
      <c r="AQ484" s="9" t="s">
        <v>781</v>
      </c>
      <c r="AR484" s="15">
        <v>1972</v>
      </c>
      <c r="AS484" s="19" t="s">
        <v>794</v>
      </c>
      <c r="AT484" s="20" t="s">
        <v>795</v>
      </c>
      <c r="AU484" s="40">
        <v>318857</v>
      </c>
      <c r="AV484" s="35">
        <f t="shared" si="70"/>
        <v>5.5035959556748599</v>
      </c>
      <c r="AW484" s="37" t="s">
        <v>366</v>
      </c>
      <c r="AX484" s="34" t="s">
        <v>355</v>
      </c>
      <c r="AY484" s="40" t="s">
        <v>355</v>
      </c>
      <c r="AZ484" s="15">
        <v>33</v>
      </c>
      <c r="BA484" s="14">
        <f t="shared" si="71"/>
        <v>1.5185139398778875</v>
      </c>
      <c r="BB484" s="37" t="s">
        <v>388</v>
      </c>
      <c r="BC484" s="20">
        <v>-1.9763905562224958E-3</v>
      </c>
      <c r="BD484" s="9">
        <v>29.700000000000003</v>
      </c>
      <c r="BE484" s="9" t="s">
        <v>368</v>
      </c>
      <c r="BF484" s="9">
        <v>0</v>
      </c>
    </row>
    <row r="485" spans="1:58">
      <c r="A485" s="9">
        <v>682</v>
      </c>
      <c r="B485" s="10" t="s">
        <v>76</v>
      </c>
      <c r="C485" s="10" t="s">
        <v>77</v>
      </c>
      <c r="D485" s="20" t="s">
        <v>766</v>
      </c>
      <c r="E485" s="20" t="s">
        <v>793</v>
      </c>
      <c r="F485" s="10" t="s">
        <v>77</v>
      </c>
      <c r="G485" s="20" t="s">
        <v>766</v>
      </c>
      <c r="H485" s="20" t="s">
        <v>793</v>
      </c>
      <c r="I485" s="10" t="s">
        <v>77</v>
      </c>
      <c r="J485" s="20" t="s">
        <v>766</v>
      </c>
      <c r="K485" s="20" t="s">
        <v>793</v>
      </c>
      <c r="L485" s="9" t="s">
        <v>352</v>
      </c>
      <c r="M485" s="9">
        <v>7</v>
      </c>
      <c r="N485" s="9" t="s">
        <v>353</v>
      </c>
      <c r="O485" s="9" t="s">
        <v>354</v>
      </c>
      <c r="P485" s="12">
        <v>39.080950000000001</v>
      </c>
      <c r="Q485" s="12" t="s">
        <v>355</v>
      </c>
      <c r="R485" s="9" t="s">
        <v>356</v>
      </c>
      <c r="S485" s="50">
        <v>7</v>
      </c>
      <c r="T485" s="50">
        <v>7</v>
      </c>
      <c r="U485" s="14">
        <f t="shared" si="63"/>
        <v>0.90308998699194354</v>
      </c>
      <c r="V485" s="15">
        <v>25</v>
      </c>
      <c r="W485" s="12">
        <v>9.3340843000000007</v>
      </c>
      <c r="X485" s="12">
        <v>0.3</v>
      </c>
      <c r="Y485" s="13" t="s">
        <v>401</v>
      </c>
      <c r="Z485" s="9" t="s">
        <v>417</v>
      </c>
      <c r="AA485" s="10" t="s">
        <v>418</v>
      </c>
      <c r="AB485" s="9" t="s">
        <v>355</v>
      </c>
      <c r="AC485" s="15">
        <v>19</v>
      </c>
      <c r="AD485" s="14">
        <f t="shared" si="64"/>
        <v>1.2787536009528289</v>
      </c>
      <c r="AE485" s="10" t="s">
        <v>756</v>
      </c>
      <c r="AF485" s="9" t="s">
        <v>420</v>
      </c>
      <c r="AG485" s="18">
        <v>27.471011000000001</v>
      </c>
      <c r="AH485" s="7">
        <f t="shared" si="65"/>
        <v>1</v>
      </c>
      <c r="AI485" s="7">
        <f t="shared" si="66"/>
        <v>0</v>
      </c>
      <c r="AJ485" s="7">
        <f t="shared" si="67"/>
        <v>0</v>
      </c>
      <c r="AK485" s="7">
        <f t="shared" si="68"/>
        <v>0</v>
      </c>
      <c r="AL485" s="7" t="s">
        <v>4159</v>
      </c>
      <c r="AM485" s="18">
        <f t="shared" si="69"/>
        <v>1.4388746428075896</v>
      </c>
      <c r="AN485" s="18">
        <v>-27.471011000000001</v>
      </c>
      <c r="AO485" s="18">
        <v>153.023449</v>
      </c>
      <c r="AP485" s="9" t="s">
        <v>363</v>
      </c>
      <c r="AQ485" s="9" t="s">
        <v>786</v>
      </c>
      <c r="AR485" s="15">
        <v>1972</v>
      </c>
      <c r="AS485" s="19" t="s">
        <v>794</v>
      </c>
      <c r="AT485" s="20" t="s">
        <v>795</v>
      </c>
      <c r="AU485" s="40">
        <v>318857</v>
      </c>
      <c r="AV485" s="35">
        <f t="shared" si="70"/>
        <v>5.5035959556748599</v>
      </c>
      <c r="AW485" s="37" t="s">
        <v>366</v>
      </c>
      <c r="AX485" s="34" t="s">
        <v>355</v>
      </c>
      <c r="AY485" s="40" t="s">
        <v>355</v>
      </c>
      <c r="AZ485" s="15">
        <v>33</v>
      </c>
      <c r="BA485" s="14">
        <f t="shared" si="71"/>
        <v>1.5185139398778875</v>
      </c>
      <c r="BB485" s="37" t="s">
        <v>388</v>
      </c>
      <c r="BC485" s="20">
        <v>-1.9763905562224958E-3</v>
      </c>
      <c r="BD485" s="9">
        <v>29.700000000000003</v>
      </c>
      <c r="BE485" s="9" t="s">
        <v>368</v>
      </c>
      <c r="BF485" s="9">
        <v>0</v>
      </c>
    </row>
    <row r="486" spans="1:58">
      <c r="A486" s="9">
        <v>683</v>
      </c>
      <c r="B486" s="10" t="s">
        <v>76</v>
      </c>
      <c r="C486" s="10" t="s">
        <v>77</v>
      </c>
      <c r="D486" s="20" t="s">
        <v>766</v>
      </c>
      <c r="E486" s="20" t="s">
        <v>793</v>
      </c>
      <c r="F486" s="10" t="s">
        <v>77</v>
      </c>
      <c r="G486" s="20" t="s">
        <v>766</v>
      </c>
      <c r="H486" s="20" t="s">
        <v>793</v>
      </c>
      <c r="I486" s="10" t="s">
        <v>77</v>
      </c>
      <c r="J486" s="20" t="s">
        <v>766</v>
      </c>
      <c r="K486" s="20" t="s">
        <v>793</v>
      </c>
      <c r="L486" s="9" t="s">
        <v>352</v>
      </c>
      <c r="M486" s="9">
        <v>8</v>
      </c>
      <c r="N486" s="9" t="s">
        <v>353</v>
      </c>
      <c r="O486" s="9" t="s">
        <v>354</v>
      </c>
      <c r="P486" s="12">
        <v>39.194138000000002</v>
      </c>
      <c r="Q486" s="12" t="s">
        <v>355</v>
      </c>
      <c r="R486" s="9" t="s">
        <v>356</v>
      </c>
      <c r="S486" s="50">
        <v>7</v>
      </c>
      <c r="T486" s="50">
        <v>7</v>
      </c>
      <c r="U486" s="14">
        <f t="shared" si="63"/>
        <v>0.90308998699194354</v>
      </c>
      <c r="V486" s="15">
        <v>25</v>
      </c>
      <c r="W486" s="12">
        <v>9.4472723000000016</v>
      </c>
      <c r="X486" s="12">
        <v>0.3</v>
      </c>
      <c r="Y486" s="13" t="s">
        <v>401</v>
      </c>
      <c r="Z486" s="9" t="s">
        <v>417</v>
      </c>
      <c r="AA486" s="10" t="s">
        <v>418</v>
      </c>
      <c r="AB486" s="9" t="s">
        <v>355</v>
      </c>
      <c r="AC486" s="15">
        <v>19</v>
      </c>
      <c r="AD486" s="14">
        <f t="shared" si="64"/>
        <v>1.2787536009528289</v>
      </c>
      <c r="AE486" s="10" t="s">
        <v>756</v>
      </c>
      <c r="AF486" s="9" t="s">
        <v>420</v>
      </c>
      <c r="AG486" s="18">
        <v>27.471011000000001</v>
      </c>
      <c r="AH486" s="7">
        <f t="shared" si="65"/>
        <v>1</v>
      </c>
      <c r="AI486" s="7">
        <f t="shared" si="66"/>
        <v>0</v>
      </c>
      <c r="AJ486" s="7">
        <f t="shared" si="67"/>
        <v>0</v>
      </c>
      <c r="AK486" s="7">
        <f t="shared" si="68"/>
        <v>0</v>
      </c>
      <c r="AL486" s="7" t="s">
        <v>4159</v>
      </c>
      <c r="AM486" s="18">
        <f t="shared" si="69"/>
        <v>1.4388746428075896</v>
      </c>
      <c r="AN486" s="18">
        <v>-27.471011000000001</v>
      </c>
      <c r="AO486" s="18">
        <v>153.023449</v>
      </c>
      <c r="AP486" s="9" t="s">
        <v>363</v>
      </c>
      <c r="AQ486" s="9" t="s">
        <v>785</v>
      </c>
      <c r="AR486" s="15">
        <v>1972</v>
      </c>
      <c r="AS486" s="19" t="s">
        <v>794</v>
      </c>
      <c r="AT486" s="20" t="s">
        <v>795</v>
      </c>
      <c r="AU486" s="40">
        <v>318857</v>
      </c>
      <c r="AV486" s="35">
        <f t="shared" si="70"/>
        <v>5.5035959556748599</v>
      </c>
      <c r="AW486" s="37" t="s">
        <v>366</v>
      </c>
      <c r="AX486" s="34" t="s">
        <v>355</v>
      </c>
      <c r="AY486" s="40" t="s">
        <v>355</v>
      </c>
      <c r="AZ486" s="15">
        <v>33</v>
      </c>
      <c r="BA486" s="14">
        <f t="shared" si="71"/>
        <v>1.5185139398778875</v>
      </c>
      <c r="BB486" s="37" t="s">
        <v>388</v>
      </c>
      <c r="BC486" s="20">
        <v>-1.9763905562224958E-3</v>
      </c>
      <c r="BD486" s="9">
        <v>29.700000000000003</v>
      </c>
      <c r="BE486" s="9" t="s">
        <v>368</v>
      </c>
      <c r="BF486" s="9">
        <v>0</v>
      </c>
    </row>
    <row r="487" spans="1:58">
      <c r="A487" s="9">
        <v>926</v>
      </c>
      <c r="B487" s="10" t="s">
        <v>76</v>
      </c>
      <c r="C487" s="10" t="s">
        <v>77</v>
      </c>
      <c r="D487" s="20" t="s">
        <v>501</v>
      </c>
      <c r="E487" s="20" t="s">
        <v>793</v>
      </c>
      <c r="F487" s="10" t="s">
        <v>77</v>
      </c>
      <c r="G487" s="20" t="s">
        <v>766</v>
      </c>
      <c r="H487" s="20" t="s">
        <v>793</v>
      </c>
      <c r="I487" s="10" t="s">
        <v>77</v>
      </c>
      <c r="J487" s="20" t="s">
        <v>766</v>
      </c>
      <c r="K487" s="20" t="s">
        <v>793</v>
      </c>
      <c r="L487" s="9" t="s">
        <v>352</v>
      </c>
      <c r="M487" s="9">
        <v>44</v>
      </c>
      <c r="N487" s="9" t="s">
        <v>381</v>
      </c>
      <c r="O487" s="9" t="s">
        <v>354</v>
      </c>
      <c r="P487" s="12">
        <v>37.4</v>
      </c>
      <c r="Q487" s="12" t="s">
        <v>355</v>
      </c>
      <c r="R487" s="9" t="s">
        <v>356</v>
      </c>
      <c r="S487" s="13" t="s">
        <v>684</v>
      </c>
      <c r="T487" s="13" t="s">
        <v>684</v>
      </c>
      <c r="U487" s="14">
        <f t="shared" si="63"/>
        <v>0.90308998699194354</v>
      </c>
      <c r="V487" s="15">
        <v>15</v>
      </c>
      <c r="W487" s="12">
        <v>9.3840804999999961</v>
      </c>
      <c r="X487" s="12">
        <v>0.3</v>
      </c>
      <c r="Y487" s="13" t="s">
        <v>358</v>
      </c>
      <c r="Z487" s="9" t="s">
        <v>359</v>
      </c>
      <c r="AA487" s="10" t="s">
        <v>418</v>
      </c>
      <c r="AB487" s="9" t="s">
        <v>355</v>
      </c>
      <c r="AC487" s="15">
        <v>64</v>
      </c>
      <c r="AD487" s="14">
        <f t="shared" si="64"/>
        <v>1.8061799739838871</v>
      </c>
      <c r="AE487" s="10" t="s">
        <v>756</v>
      </c>
      <c r="AF487" s="9" t="s">
        <v>420</v>
      </c>
      <c r="AG487" s="18">
        <v>27.552838000000001</v>
      </c>
      <c r="AH487" s="7">
        <f t="shared" si="65"/>
        <v>1</v>
      </c>
      <c r="AI487" s="7">
        <f t="shared" si="66"/>
        <v>0</v>
      </c>
      <c r="AJ487" s="7">
        <f t="shared" si="67"/>
        <v>0</v>
      </c>
      <c r="AK487" s="7">
        <f t="shared" si="68"/>
        <v>0</v>
      </c>
      <c r="AL487" s="7" t="s">
        <v>4159</v>
      </c>
      <c r="AM487" s="18">
        <f t="shared" si="69"/>
        <v>1.4401663387326675</v>
      </c>
      <c r="AN487" s="18">
        <v>-27.552838000000001</v>
      </c>
      <c r="AO487" s="18">
        <v>153.05550500000001</v>
      </c>
      <c r="AP487" s="9" t="s">
        <v>363</v>
      </c>
      <c r="AQ487" s="9" t="s">
        <v>355</v>
      </c>
      <c r="AR487" s="15">
        <v>1971</v>
      </c>
      <c r="AS487" s="19" t="s">
        <v>725</v>
      </c>
      <c r="AT487" s="20" t="s">
        <v>726</v>
      </c>
      <c r="AU487" s="40">
        <v>318857</v>
      </c>
      <c r="AV487" s="35">
        <f t="shared" si="70"/>
        <v>5.5035959556748599</v>
      </c>
      <c r="AW487" s="37" t="s">
        <v>366</v>
      </c>
      <c r="AX487" s="34" t="s">
        <v>355</v>
      </c>
      <c r="AY487" s="40" t="s">
        <v>355</v>
      </c>
      <c r="AZ487" s="15">
        <v>33</v>
      </c>
      <c r="BA487" s="14">
        <f t="shared" si="71"/>
        <v>1.5185139398778875</v>
      </c>
      <c r="BB487" s="37" t="s">
        <v>388</v>
      </c>
      <c r="BC487" s="20">
        <v>7.1628651460558916E-4</v>
      </c>
      <c r="BD487" s="9">
        <v>29.5</v>
      </c>
      <c r="BE487" s="9" t="s">
        <v>368</v>
      </c>
      <c r="BF487" s="9">
        <v>0</v>
      </c>
    </row>
    <row r="488" spans="1:58">
      <c r="A488" s="9">
        <v>925</v>
      </c>
      <c r="B488" s="10" t="s">
        <v>76</v>
      </c>
      <c r="C488" s="10" t="s">
        <v>77</v>
      </c>
      <c r="D488" s="20" t="s">
        <v>501</v>
      </c>
      <c r="E488" s="20" t="s">
        <v>793</v>
      </c>
      <c r="F488" s="10" t="s">
        <v>77</v>
      </c>
      <c r="G488" s="20" t="s">
        <v>766</v>
      </c>
      <c r="H488" s="20" t="s">
        <v>793</v>
      </c>
      <c r="I488" s="10" t="s">
        <v>77</v>
      </c>
      <c r="J488" s="20" t="s">
        <v>766</v>
      </c>
      <c r="K488" s="20" t="s">
        <v>793</v>
      </c>
      <c r="L488" s="9" t="s">
        <v>352</v>
      </c>
      <c r="M488" s="9">
        <v>64</v>
      </c>
      <c r="N488" s="9" t="s">
        <v>381</v>
      </c>
      <c r="O488" s="9" t="s">
        <v>354</v>
      </c>
      <c r="P488" s="12">
        <v>37.799999999999997</v>
      </c>
      <c r="Q488" s="12" t="s">
        <v>355</v>
      </c>
      <c r="R488" s="9" t="s">
        <v>356</v>
      </c>
      <c r="S488" s="13" t="s">
        <v>684</v>
      </c>
      <c r="T488" s="13" t="s">
        <v>684</v>
      </c>
      <c r="U488" s="14">
        <f t="shared" si="63"/>
        <v>0.90308998699194354</v>
      </c>
      <c r="V488" s="15">
        <v>25</v>
      </c>
      <c r="W488" s="12">
        <v>8.2218905000000007</v>
      </c>
      <c r="X488" s="12">
        <v>0.3</v>
      </c>
      <c r="Y488" s="13" t="s">
        <v>358</v>
      </c>
      <c r="Z488" s="9" t="s">
        <v>359</v>
      </c>
      <c r="AA488" s="10" t="s">
        <v>418</v>
      </c>
      <c r="AB488" s="9" t="s">
        <v>355</v>
      </c>
      <c r="AC488" s="15">
        <v>64</v>
      </c>
      <c r="AD488" s="14">
        <f t="shared" si="64"/>
        <v>1.8061799739838871</v>
      </c>
      <c r="AE488" s="10" t="s">
        <v>756</v>
      </c>
      <c r="AF488" s="9" t="s">
        <v>420</v>
      </c>
      <c r="AG488" s="18">
        <v>27.552838000000001</v>
      </c>
      <c r="AH488" s="7">
        <f t="shared" si="65"/>
        <v>1</v>
      </c>
      <c r="AI488" s="7">
        <f t="shared" si="66"/>
        <v>0</v>
      </c>
      <c r="AJ488" s="7">
        <f t="shared" si="67"/>
        <v>0</v>
      </c>
      <c r="AK488" s="7">
        <f t="shared" si="68"/>
        <v>0</v>
      </c>
      <c r="AL488" s="7" t="s">
        <v>4159</v>
      </c>
      <c r="AM488" s="18">
        <f t="shared" si="69"/>
        <v>1.4401663387326675</v>
      </c>
      <c r="AN488" s="18">
        <v>-27.552838000000001</v>
      </c>
      <c r="AO488" s="18">
        <v>153.05550500000001</v>
      </c>
      <c r="AP488" s="9" t="s">
        <v>363</v>
      </c>
      <c r="AQ488" s="9" t="s">
        <v>355</v>
      </c>
      <c r="AR488" s="15">
        <v>1971</v>
      </c>
      <c r="AS488" s="19" t="s">
        <v>725</v>
      </c>
      <c r="AT488" s="20" t="s">
        <v>726</v>
      </c>
      <c r="AU488" s="40">
        <v>318857</v>
      </c>
      <c r="AV488" s="35">
        <f t="shared" si="70"/>
        <v>5.5035959556748599</v>
      </c>
      <c r="AW488" s="37" t="s">
        <v>366</v>
      </c>
      <c r="AX488" s="34" t="s">
        <v>355</v>
      </c>
      <c r="AY488" s="40" t="s">
        <v>355</v>
      </c>
      <c r="AZ488" s="15">
        <v>33</v>
      </c>
      <c r="BA488" s="14">
        <f t="shared" si="71"/>
        <v>1.5185139398778875</v>
      </c>
      <c r="BB488" s="37" t="s">
        <v>388</v>
      </c>
      <c r="BC488" s="20">
        <v>7.1628651460558916E-4</v>
      </c>
      <c r="BD488" s="9">
        <v>29.5</v>
      </c>
      <c r="BE488" s="9" t="s">
        <v>368</v>
      </c>
      <c r="BF488" s="9">
        <v>0</v>
      </c>
    </row>
    <row r="489" spans="1:58">
      <c r="A489" s="9">
        <v>919</v>
      </c>
      <c r="B489" s="10" t="s">
        <v>76</v>
      </c>
      <c r="C489" s="10" t="s">
        <v>77</v>
      </c>
      <c r="D489" s="20" t="s">
        <v>501</v>
      </c>
      <c r="E489" s="20" t="s">
        <v>801</v>
      </c>
      <c r="F489" s="10" t="s">
        <v>77</v>
      </c>
      <c r="G489" s="20" t="s">
        <v>766</v>
      </c>
      <c r="H489" s="20" t="s">
        <v>801</v>
      </c>
      <c r="I489" s="10" t="s">
        <v>77</v>
      </c>
      <c r="J489" s="20" t="s">
        <v>766</v>
      </c>
      <c r="K489" s="20" t="s">
        <v>801</v>
      </c>
      <c r="L489" s="9" t="s">
        <v>352</v>
      </c>
      <c r="M489" s="9">
        <v>7</v>
      </c>
      <c r="N489" s="9" t="s">
        <v>353</v>
      </c>
      <c r="O489" s="9" t="s">
        <v>354</v>
      </c>
      <c r="P489" s="12">
        <v>34.700000000000003</v>
      </c>
      <c r="Q489" s="12" t="s">
        <v>355</v>
      </c>
      <c r="R489" s="9" t="s">
        <v>356</v>
      </c>
      <c r="S489" s="13" t="s">
        <v>684</v>
      </c>
      <c r="T489" s="13" t="s">
        <v>684</v>
      </c>
      <c r="U489" s="14">
        <f t="shared" si="63"/>
        <v>0.90308998699194354</v>
      </c>
      <c r="V489" s="15">
        <v>15</v>
      </c>
      <c r="W489" s="12">
        <v>6.6840805000000003</v>
      </c>
      <c r="X489" s="12">
        <v>0.3</v>
      </c>
      <c r="Y489" s="13" t="s">
        <v>358</v>
      </c>
      <c r="Z489" s="9" t="s">
        <v>359</v>
      </c>
      <c r="AA489" s="10" t="s">
        <v>418</v>
      </c>
      <c r="AB489" s="9" t="s">
        <v>355</v>
      </c>
      <c r="AC489" s="15">
        <v>117</v>
      </c>
      <c r="AD489" s="14">
        <f t="shared" si="64"/>
        <v>2.0681858617461617</v>
      </c>
      <c r="AE489" s="10" t="s">
        <v>753</v>
      </c>
      <c r="AF489" s="9" t="s">
        <v>420</v>
      </c>
      <c r="AG489" s="18">
        <v>27.372254999999999</v>
      </c>
      <c r="AH489" s="7">
        <f t="shared" si="65"/>
        <v>1</v>
      </c>
      <c r="AI489" s="7">
        <f t="shared" si="66"/>
        <v>0</v>
      </c>
      <c r="AJ489" s="7">
        <f t="shared" si="67"/>
        <v>0</v>
      </c>
      <c r="AK489" s="7">
        <f t="shared" si="68"/>
        <v>0</v>
      </c>
      <c r="AL489" s="7" t="s">
        <v>4159</v>
      </c>
      <c r="AM489" s="18">
        <f t="shared" si="69"/>
        <v>1.4373105772316617</v>
      </c>
      <c r="AN489" s="18">
        <v>-27.372254999999999</v>
      </c>
      <c r="AO489" s="18">
        <v>152.867009</v>
      </c>
      <c r="AP489" s="9" t="s">
        <v>363</v>
      </c>
      <c r="AQ489" s="9" t="s">
        <v>355</v>
      </c>
      <c r="AR489" s="15">
        <v>1971</v>
      </c>
      <c r="AS489" s="19" t="s">
        <v>725</v>
      </c>
      <c r="AT489" s="20" t="s">
        <v>726</v>
      </c>
      <c r="AU489" s="40">
        <v>766265</v>
      </c>
      <c r="AV489" s="35">
        <f t="shared" si="70"/>
        <v>5.8843789891296909</v>
      </c>
      <c r="AW489" s="37" t="s">
        <v>366</v>
      </c>
      <c r="AX489" s="34" t="s">
        <v>355</v>
      </c>
      <c r="AY489" s="40" t="s">
        <v>355</v>
      </c>
      <c r="AZ489" s="15">
        <v>55</v>
      </c>
      <c r="BA489" s="14">
        <f t="shared" si="71"/>
        <v>1.7403626894942439</v>
      </c>
      <c r="BB489" s="37" t="s">
        <v>388</v>
      </c>
      <c r="BC489" s="20">
        <v>8.5146058423372327E-3</v>
      </c>
      <c r="BD489" s="9">
        <v>29.5</v>
      </c>
      <c r="BE489" s="9" t="s">
        <v>368</v>
      </c>
      <c r="BF489" s="9">
        <v>0</v>
      </c>
    </row>
    <row r="490" spans="1:58">
      <c r="A490" s="9">
        <v>918</v>
      </c>
      <c r="B490" s="10" t="s">
        <v>76</v>
      </c>
      <c r="C490" s="10" t="s">
        <v>77</v>
      </c>
      <c r="D490" s="20" t="s">
        <v>501</v>
      </c>
      <c r="E490" s="20" t="s">
        <v>801</v>
      </c>
      <c r="F490" s="10" t="s">
        <v>77</v>
      </c>
      <c r="G490" s="20" t="s">
        <v>766</v>
      </c>
      <c r="H490" s="20" t="s">
        <v>801</v>
      </c>
      <c r="I490" s="10" t="s">
        <v>77</v>
      </c>
      <c r="J490" s="20" t="s">
        <v>766</v>
      </c>
      <c r="K490" s="20" t="s">
        <v>801</v>
      </c>
      <c r="L490" s="9" t="s">
        <v>352</v>
      </c>
      <c r="M490" s="9">
        <v>2</v>
      </c>
      <c r="N490" s="9" t="s">
        <v>353</v>
      </c>
      <c r="O490" s="9" t="s">
        <v>354</v>
      </c>
      <c r="P490" s="12">
        <v>36.799999999999997</v>
      </c>
      <c r="Q490" s="12" t="s">
        <v>355</v>
      </c>
      <c r="R490" s="9" t="s">
        <v>356</v>
      </c>
      <c r="S490" s="13" t="s">
        <v>684</v>
      </c>
      <c r="T490" s="13" t="s">
        <v>684</v>
      </c>
      <c r="U490" s="14">
        <f t="shared" si="63"/>
        <v>0.90308998699194354</v>
      </c>
      <c r="V490" s="15">
        <v>25</v>
      </c>
      <c r="W490" s="12">
        <v>7.2218905000000007</v>
      </c>
      <c r="X490" s="12">
        <v>0.3</v>
      </c>
      <c r="Y490" s="13" t="s">
        <v>358</v>
      </c>
      <c r="Z490" s="9" t="s">
        <v>359</v>
      </c>
      <c r="AA490" s="10" t="s">
        <v>418</v>
      </c>
      <c r="AB490" s="9" t="s">
        <v>355</v>
      </c>
      <c r="AC490" s="15">
        <v>117</v>
      </c>
      <c r="AD490" s="14">
        <f t="shared" si="64"/>
        <v>2.0681858617461617</v>
      </c>
      <c r="AE490" s="10" t="s">
        <v>753</v>
      </c>
      <c r="AF490" s="9" t="s">
        <v>420</v>
      </c>
      <c r="AG490" s="18">
        <v>27.372254999999999</v>
      </c>
      <c r="AH490" s="7">
        <f t="shared" si="65"/>
        <v>1</v>
      </c>
      <c r="AI490" s="7">
        <f t="shared" si="66"/>
        <v>0</v>
      </c>
      <c r="AJ490" s="7">
        <f t="shared" si="67"/>
        <v>0</v>
      </c>
      <c r="AK490" s="7">
        <f t="shared" si="68"/>
        <v>0</v>
      </c>
      <c r="AL490" s="7" t="s">
        <v>4159</v>
      </c>
      <c r="AM490" s="18">
        <f t="shared" si="69"/>
        <v>1.4373105772316617</v>
      </c>
      <c r="AN490" s="18">
        <v>-27.372254999999999</v>
      </c>
      <c r="AO490" s="18">
        <v>152.867009</v>
      </c>
      <c r="AP490" s="9" t="s">
        <v>363</v>
      </c>
      <c r="AQ490" s="9" t="s">
        <v>355</v>
      </c>
      <c r="AR490" s="15">
        <v>1971</v>
      </c>
      <c r="AS490" s="19" t="s">
        <v>725</v>
      </c>
      <c r="AT490" s="20" t="s">
        <v>726</v>
      </c>
      <c r="AU490" s="40">
        <v>766265</v>
      </c>
      <c r="AV490" s="35">
        <f t="shared" si="70"/>
        <v>5.8843789891296909</v>
      </c>
      <c r="AW490" s="37" t="s">
        <v>366</v>
      </c>
      <c r="AX490" s="34" t="s">
        <v>355</v>
      </c>
      <c r="AY490" s="40" t="s">
        <v>355</v>
      </c>
      <c r="AZ490" s="15">
        <v>55</v>
      </c>
      <c r="BA490" s="14">
        <f t="shared" si="71"/>
        <v>1.7403626894942439</v>
      </c>
      <c r="BB490" s="37" t="s">
        <v>388</v>
      </c>
      <c r="BC490" s="20">
        <v>8.5146058423372327E-3</v>
      </c>
      <c r="BD490" s="9">
        <v>29.5</v>
      </c>
      <c r="BE490" s="9" t="s">
        <v>368</v>
      </c>
      <c r="BF490" s="9">
        <v>0</v>
      </c>
    </row>
    <row r="491" spans="1:58">
      <c r="A491" s="9">
        <v>922</v>
      </c>
      <c r="B491" s="10" t="s">
        <v>76</v>
      </c>
      <c r="C491" s="10" t="s">
        <v>77</v>
      </c>
      <c r="D491" s="20" t="s">
        <v>501</v>
      </c>
      <c r="E491" s="20" t="s">
        <v>802</v>
      </c>
      <c r="F491" s="10" t="s">
        <v>77</v>
      </c>
      <c r="G491" s="20" t="s">
        <v>766</v>
      </c>
      <c r="H491" s="20" t="s">
        <v>802</v>
      </c>
      <c r="I491" s="10" t="s">
        <v>77</v>
      </c>
      <c r="J491" s="20" t="s">
        <v>766</v>
      </c>
      <c r="K491" s="20" t="s">
        <v>802</v>
      </c>
      <c r="L491" s="9" t="s">
        <v>352</v>
      </c>
      <c r="M491" s="9">
        <v>1</v>
      </c>
      <c r="N491" s="9" t="s">
        <v>353</v>
      </c>
      <c r="O491" s="9" t="s">
        <v>354</v>
      </c>
      <c r="P491" s="12">
        <v>35.9</v>
      </c>
      <c r="Q491" s="12" t="s">
        <v>355</v>
      </c>
      <c r="R491" s="9" t="s">
        <v>356</v>
      </c>
      <c r="S491" s="13" t="s">
        <v>684</v>
      </c>
      <c r="T491" s="13" t="s">
        <v>684</v>
      </c>
      <c r="U491" s="14">
        <f t="shared" si="63"/>
        <v>0.90308998699194354</v>
      </c>
      <c r="V491" s="15">
        <v>25</v>
      </c>
      <c r="W491" s="12">
        <v>6.3218905000000021</v>
      </c>
      <c r="X491" s="12">
        <v>0.3</v>
      </c>
      <c r="Y491" s="13" t="s">
        <v>358</v>
      </c>
      <c r="Z491" s="9" t="s">
        <v>359</v>
      </c>
      <c r="AA491" s="10" t="s">
        <v>418</v>
      </c>
      <c r="AB491" s="9" t="s">
        <v>355</v>
      </c>
      <c r="AC491" s="15">
        <v>64</v>
      </c>
      <c r="AD491" s="14">
        <f t="shared" si="64"/>
        <v>1.8061799739838871</v>
      </c>
      <c r="AE491" s="10" t="s">
        <v>756</v>
      </c>
      <c r="AF491" s="9" t="s">
        <v>420</v>
      </c>
      <c r="AG491" s="18">
        <v>27.552838000000001</v>
      </c>
      <c r="AH491" s="7">
        <f t="shared" si="65"/>
        <v>1</v>
      </c>
      <c r="AI491" s="7">
        <f t="shared" si="66"/>
        <v>0</v>
      </c>
      <c r="AJ491" s="7">
        <f t="shared" si="67"/>
        <v>0</v>
      </c>
      <c r="AK491" s="7">
        <f t="shared" si="68"/>
        <v>0</v>
      </c>
      <c r="AL491" s="7" t="s">
        <v>4159</v>
      </c>
      <c r="AM491" s="18">
        <f t="shared" si="69"/>
        <v>1.4401663387326675</v>
      </c>
      <c r="AN491" s="18">
        <v>-27.552838000000001</v>
      </c>
      <c r="AO491" s="18">
        <v>153.05550500000001</v>
      </c>
      <c r="AP491" s="9" t="s">
        <v>363</v>
      </c>
      <c r="AQ491" s="9" t="s">
        <v>355</v>
      </c>
      <c r="AR491" s="15">
        <v>1971</v>
      </c>
      <c r="AS491" s="19" t="s">
        <v>725</v>
      </c>
      <c r="AT491" s="20" t="s">
        <v>726</v>
      </c>
      <c r="AU491" s="40">
        <v>1125068</v>
      </c>
      <c r="AV491" s="35">
        <f t="shared" si="70"/>
        <v>6.0511787723427428</v>
      </c>
      <c r="AW491" s="37" t="s">
        <v>366</v>
      </c>
      <c r="AX491" s="34" t="s">
        <v>355</v>
      </c>
      <c r="AY491" s="40">
        <v>50</v>
      </c>
      <c r="AZ491" s="15">
        <v>55</v>
      </c>
      <c r="BA491" s="14">
        <f t="shared" si="71"/>
        <v>1.7403626894942439</v>
      </c>
      <c r="BB491" s="37" t="s">
        <v>388</v>
      </c>
      <c r="BC491" s="20">
        <v>7.1628651460558916E-4</v>
      </c>
      <c r="BD491" s="9">
        <v>29.5</v>
      </c>
      <c r="BE491" s="9" t="s">
        <v>368</v>
      </c>
      <c r="BF491" s="9">
        <v>0</v>
      </c>
    </row>
    <row r="492" spans="1:58">
      <c r="A492" s="9">
        <v>923</v>
      </c>
      <c r="B492" s="10" t="s">
        <v>76</v>
      </c>
      <c r="C492" s="10" t="s">
        <v>77</v>
      </c>
      <c r="D492" s="20" t="s">
        <v>501</v>
      </c>
      <c r="E492" s="20" t="s">
        <v>803</v>
      </c>
      <c r="F492" s="10" t="s">
        <v>77</v>
      </c>
      <c r="G492" s="20" t="s">
        <v>766</v>
      </c>
      <c r="H492" s="20" t="s">
        <v>803</v>
      </c>
      <c r="I492" s="10" t="s">
        <v>77</v>
      </c>
      <c r="J492" s="20" t="s">
        <v>766</v>
      </c>
      <c r="K492" s="20" t="s">
        <v>803</v>
      </c>
      <c r="L492" s="9" t="s">
        <v>352</v>
      </c>
      <c r="M492" s="9">
        <v>19</v>
      </c>
      <c r="N492" s="9" t="s">
        <v>381</v>
      </c>
      <c r="O492" s="9" t="s">
        <v>354</v>
      </c>
      <c r="P492" s="12">
        <v>38.5</v>
      </c>
      <c r="Q492" s="12" t="s">
        <v>355</v>
      </c>
      <c r="R492" s="9" t="s">
        <v>356</v>
      </c>
      <c r="S492" s="13" t="s">
        <v>684</v>
      </c>
      <c r="T492" s="13" t="s">
        <v>684</v>
      </c>
      <c r="U492" s="14">
        <f t="shared" si="63"/>
        <v>0.90308998699194354</v>
      </c>
      <c r="V492" s="15">
        <v>25</v>
      </c>
      <c r="W492" s="12">
        <v>6.9811942000000009</v>
      </c>
      <c r="X492" s="12">
        <v>0.3</v>
      </c>
      <c r="Y492" s="13" t="s">
        <v>358</v>
      </c>
      <c r="Z492" s="9" t="s">
        <v>359</v>
      </c>
      <c r="AA492" s="10" t="s">
        <v>418</v>
      </c>
      <c r="AB492" s="9" t="s">
        <v>355</v>
      </c>
      <c r="AC492" s="15">
        <v>14</v>
      </c>
      <c r="AD492" s="14">
        <f t="shared" si="64"/>
        <v>1.146128035678238</v>
      </c>
      <c r="AE492" s="10" t="s">
        <v>771</v>
      </c>
      <c r="AF492" s="9" t="s">
        <v>408</v>
      </c>
      <c r="AG492" s="18">
        <v>20.401418</v>
      </c>
      <c r="AH492" s="7">
        <f t="shared" si="65"/>
        <v>1</v>
      </c>
      <c r="AI492" s="7">
        <f t="shared" si="66"/>
        <v>0</v>
      </c>
      <c r="AJ492" s="7">
        <f t="shared" si="67"/>
        <v>0</v>
      </c>
      <c r="AK492" s="7">
        <f t="shared" si="68"/>
        <v>0</v>
      </c>
      <c r="AL492" s="7" t="s">
        <v>4159</v>
      </c>
      <c r="AM492" s="18">
        <f t="shared" si="69"/>
        <v>1.3096603541010572</v>
      </c>
      <c r="AN492" s="18">
        <v>-20.401418</v>
      </c>
      <c r="AO492" s="18">
        <v>148.579746</v>
      </c>
      <c r="AP492" s="9" t="s">
        <v>363</v>
      </c>
      <c r="AQ492" s="9" t="s">
        <v>355</v>
      </c>
      <c r="AR492" s="15">
        <v>1971</v>
      </c>
      <c r="AS492" s="19" t="s">
        <v>725</v>
      </c>
      <c r="AT492" s="20" t="s">
        <v>726</v>
      </c>
      <c r="AU492" s="40">
        <v>164718</v>
      </c>
      <c r="AV492" s="35">
        <f t="shared" si="70"/>
        <v>5.2167410604540922</v>
      </c>
      <c r="AW492" s="37" t="s">
        <v>366</v>
      </c>
      <c r="AX492" s="34" t="s">
        <v>355</v>
      </c>
      <c r="AY492" s="40">
        <v>250</v>
      </c>
      <c r="AZ492" s="15">
        <v>33</v>
      </c>
      <c r="BA492" s="14">
        <f t="shared" si="71"/>
        <v>1.5185139398778875</v>
      </c>
      <c r="BB492" s="37" t="s">
        <v>388</v>
      </c>
      <c r="BC492" s="20">
        <v>7.4945978391355705E-3</v>
      </c>
      <c r="BD492" s="9">
        <v>31.8</v>
      </c>
      <c r="BE492" s="9" t="s">
        <v>368</v>
      </c>
      <c r="BF492" s="9">
        <v>0</v>
      </c>
    </row>
    <row r="493" spans="1:58">
      <c r="A493" s="9">
        <v>917</v>
      </c>
      <c r="B493" s="10" t="s">
        <v>76</v>
      </c>
      <c r="C493" s="10" t="s">
        <v>77</v>
      </c>
      <c r="D493" s="20" t="s">
        <v>501</v>
      </c>
      <c r="E493" s="20" t="s">
        <v>804</v>
      </c>
      <c r="F493" s="10" t="s">
        <v>77</v>
      </c>
      <c r="G493" s="20" t="s">
        <v>766</v>
      </c>
      <c r="H493" s="20" t="s">
        <v>804</v>
      </c>
      <c r="I493" s="10" t="s">
        <v>77</v>
      </c>
      <c r="J493" s="20" t="s">
        <v>766</v>
      </c>
      <c r="K493" s="20" t="s">
        <v>804</v>
      </c>
      <c r="L493" s="9" t="s">
        <v>352</v>
      </c>
      <c r="M493" s="9">
        <v>8</v>
      </c>
      <c r="N493" s="9" t="s">
        <v>353</v>
      </c>
      <c r="O493" s="9" t="s">
        <v>354</v>
      </c>
      <c r="P493" s="12">
        <v>33.200000000000003</v>
      </c>
      <c r="Q493" s="12" t="s">
        <v>355</v>
      </c>
      <c r="R493" s="9" t="s">
        <v>356</v>
      </c>
      <c r="S493" s="13" t="s">
        <v>684</v>
      </c>
      <c r="T493" s="13" t="s">
        <v>684</v>
      </c>
      <c r="U493" s="14">
        <f t="shared" si="63"/>
        <v>0.90308998699194354</v>
      </c>
      <c r="V493" s="15">
        <v>15</v>
      </c>
      <c r="W493" s="12">
        <v>6.4497520000000037</v>
      </c>
      <c r="X493" s="12">
        <v>0.3</v>
      </c>
      <c r="Y493" s="13" t="s">
        <v>358</v>
      </c>
      <c r="Z493" s="9" t="s">
        <v>359</v>
      </c>
      <c r="AA493" s="10" t="s">
        <v>418</v>
      </c>
      <c r="AB493" s="9" t="s">
        <v>355</v>
      </c>
      <c r="AC493" s="15">
        <v>412</v>
      </c>
      <c r="AD493" s="14">
        <f t="shared" si="64"/>
        <v>2.6148972160331345</v>
      </c>
      <c r="AE493" s="10" t="s">
        <v>805</v>
      </c>
      <c r="AF493" s="9" t="s">
        <v>420</v>
      </c>
      <c r="AG493" s="18">
        <v>27.33427</v>
      </c>
      <c r="AH493" s="7">
        <f t="shared" si="65"/>
        <v>1</v>
      </c>
      <c r="AI493" s="7">
        <f t="shared" si="66"/>
        <v>0</v>
      </c>
      <c r="AJ493" s="7">
        <f t="shared" si="67"/>
        <v>0</v>
      </c>
      <c r="AK493" s="7">
        <f t="shared" si="68"/>
        <v>0</v>
      </c>
      <c r="AL493" s="7" t="s">
        <v>4159</v>
      </c>
      <c r="AM493" s="18">
        <f t="shared" si="69"/>
        <v>1.436707479939477</v>
      </c>
      <c r="AN493" s="18">
        <v>-27.33427</v>
      </c>
      <c r="AO493" s="18">
        <v>152.767763</v>
      </c>
      <c r="AP493" s="9" t="s">
        <v>363</v>
      </c>
      <c r="AQ493" s="9" t="s">
        <v>355</v>
      </c>
      <c r="AR493" s="15">
        <v>1971</v>
      </c>
      <c r="AS493" s="19" t="s">
        <v>725</v>
      </c>
      <c r="AT493" s="20" t="s">
        <v>726</v>
      </c>
      <c r="AU493" s="40">
        <v>36630</v>
      </c>
      <c r="AV493" s="35">
        <f t="shared" si="70"/>
        <v>4.5638369186645447</v>
      </c>
      <c r="AW493" s="37" t="s">
        <v>366</v>
      </c>
      <c r="AX493" s="40">
        <v>200</v>
      </c>
      <c r="AY493" s="40">
        <v>1000</v>
      </c>
      <c r="AZ493" s="15">
        <v>33</v>
      </c>
      <c r="BA493" s="14">
        <f t="shared" si="71"/>
        <v>1.5185139398778875</v>
      </c>
      <c r="BB493" s="37" t="s">
        <v>388</v>
      </c>
      <c r="BC493" s="20">
        <v>8.5146058423372327E-3</v>
      </c>
      <c r="BD493" s="9">
        <v>28</v>
      </c>
      <c r="BE493" s="9" t="s">
        <v>459</v>
      </c>
      <c r="BF493" s="9">
        <v>1</v>
      </c>
    </row>
    <row r="494" spans="1:58">
      <c r="A494" s="9">
        <v>916</v>
      </c>
      <c r="B494" s="10" t="s">
        <v>76</v>
      </c>
      <c r="C494" s="10" t="s">
        <v>77</v>
      </c>
      <c r="D494" s="20" t="s">
        <v>501</v>
      </c>
      <c r="E494" s="20" t="s">
        <v>806</v>
      </c>
      <c r="F494" s="10" t="s">
        <v>77</v>
      </c>
      <c r="G494" s="20" t="s">
        <v>766</v>
      </c>
      <c r="H494" s="20" t="s">
        <v>755</v>
      </c>
      <c r="I494" s="10" t="s">
        <v>77</v>
      </c>
      <c r="J494" s="20" t="s">
        <v>766</v>
      </c>
      <c r="K494" s="20" t="s">
        <v>755</v>
      </c>
      <c r="L494" s="9" t="s">
        <v>352</v>
      </c>
      <c r="M494" s="9">
        <v>5</v>
      </c>
      <c r="N494" s="9" t="s">
        <v>353</v>
      </c>
      <c r="O494" s="9" t="s">
        <v>354</v>
      </c>
      <c r="P494" s="12">
        <v>37.299999999999997</v>
      </c>
      <c r="Q494" s="12" t="s">
        <v>355</v>
      </c>
      <c r="R494" s="9" t="s">
        <v>356</v>
      </c>
      <c r="S494" s="13" t="s">
        <v>684</v>
      </c>
      <c r="T494" s="13" t="s">
        <v>684</v>
      </c>
      <c r="U494" s="14">
        <f t="shared" si="63"/>
        <v>0.90308998699194354</v>
      </c>
      <c r="V494" s="15">
        <v>25</v>
      </c>
      <c r="W494" s="12">
        <v>7.7218905000000007</v>
      </c>
      <c r="X494" s="12">
        <v>0.3</v>
      </c>
      <c r="Y494" s="13" t="s">
        <v>358</v>
      </c>
      <c r="Z494" s="9" t="s">
        <v>359</v>
      </c>
      <c r="AA494" s="10" t="s">
        <v>418</v>
      </c>
      <c r="AB494" s="9" t="s">
        <v>355</v>
      </c>
      <c r="AC494" s="15">
        <v>64</v>
      </c>
      <c r="AD494" s="14">
        <f t="shared" si="64"/>
        <v>1.8061799739838871</v>
      </c>
      <c r="AE494" s="10" t="s">
        <v>756</v>
      </c>
      <c r="AF494" s="9" t="s">
        <v>420</v>
      </c>
      <c r="AG494" s="18">
        <v>27.552838000000001</v>
      </c>
      <c r="AH494" s="7">
        <f t="shared" si="65"/>
        <v>1</v>
      </c>
      <c r="AI494" s="7">
        <f t="shared" si="66"/>
        <v>0</v>
      </c>
      <c r="AJ494" s="7">
        <f t="shared" si="67"/>
        <v>0</v>
      </c>
      <c r="AK494" s="7">
        <f t="shared" si="68"/>
        <v>0</v>
      </c>
      <c r="AL494" s="7" t="s">
        <v>4159</v>
      </c>
      <c r="AM494" s="18">
        <f t="shared" si="69"/>
        <v>1.4401663387326675</v>
      </c>
      <c r="AN494" s="18">
        <v>-27.552838000000001</v>
      </c>
      <c r="AO494" s="18">
        <v>153.05550500000001</v>
      </c>
      <c r="AP494" s="9" t="s">
        <v>363</v>
      </c>
      <c r="AQ494" s="9" t="s">
        <v>355</v>
      </c>
      <c r="AR494" s="15">
        <v>1971</v>
      </c>
      <c r="AS494" s="19" t="s">
        <v>725</v>
      </c>
      <c r="AT494" s="20" t="s">
        <v>726</v>
      </c>
      <c r="AU494" s="40">
        <v>1026992</v>
      </c>
      <c r="AV494" s="35">
        <f t="shared" si="70"/>
        <v>6.0115670605696367</v>
      </c>
      <c r="AW494" s="37" t="s">
        <v>366</v>
      </c>
      <c r="AX494" s="34" t="s">
        <v>355</v>
      </c>
      <c r="AY494" s="40" t="s">
        <v>355</v>
      </c>
      <c r="AZ494" s="15">
        <v>55</v>
      </c>
      <c r="BA494" s="14">
        <f t="shared" si="71"/>
        <v>1.7403626894942439</v>
      </c>
      <c r="BB494" s="37" t="s">
        <v>472</v>
      </c>
      <c r="BC494" s="20">
        <v>7.1628651460558916E-4</v>
      </c>
      <c r="BD494" s="9">
        <v>29.5</v>
      </c>
      <c r="BE494" s="9" t="s">
        <v>368</v>
      </c>
      <c r="BF494" s="9">
        <v>0</v>
      </c>
    </row>
    <row r="495" spans="1:58">
      <c r="A495" s="9">
        <v>924</v>
      </c>
      <c r="B495" s="10" t="s">
        <v>76</v>
      </c>
      <c r="C495" s="10" t="s">
        <v>77</v>
      </c>
      <c r="D495" s="20" t="s">
        <v>501</v>
      </c>
      <c r="E495" s="20" t="s">
        <v>807</v>
      </c>
      <c r="F495" s="10" t="s">
        <v>77</v>
      </c>
      <c r="G495" s="20" t="s">
        <v>766</v>
      </c>
      <c r="H495" s="20" t="s">
        <v>807</v>
      </c>
      <c r="I495" s="10" t="s">
        <v>77</v>
      </c>
      <c r="J495" s="20" t="s">
        <v>766</v>
      </c>
      <c r="K495" s="20" t="s">
        <v>807</v>
      </c>
      <c r="L495" s="9" t="s">
        <v>352</v>
      </c>
      <c r="M495" s="9">
        <v>6</v>
      </c>
      <c r="N495" s="9" t="s">
        <v>353</v>
      </c>
      <c r="O495" s="9" t="s">
        <v>354</v>
      </c>
      <c r="P495" s="12">
        <v>39.5</v>
      </c>
      <c r="Q495" s="12" t="s">
        <v>355</v>
      </c>
      <c r="R495" s="9" t="s">
        <v>356</v>
      </c>
      <c r="S495" s="13" t="s">
        <v>684</v>
      </c>
      <c r="T495" s="13" t="s">
        <v>684</v>
      </c>
      <c r="U495" s="14">
        <f t="shared" si="63"/>
        <v>0.90308998699194354</v>
      </c>
      <c r="V495" s="15">
        <v>25</v>
      </c>
      <c r="W495" s="12">
        <v>8.571840899999998</v>
      </c>
      <c r="X495" s="12">
        <v>0.3</v>
      </c>
      <c r="Y495" s="13" t="s">
        <v>358</v>
      </c>
      <c r="Z495" s="9" t="s">
        <v>359</v>
      </c>
      <c r="AA495" s="10" t="s">
        <v>418</v>
      </c>
      <c r="AB495" s="9" t="s">
        <v>355</v>
      </c>
      <c r="AC495" s="15">
        <v>111</v>
      </c>
      <c r="AD495" s="14">
        <f t="shared" si="64"/>
        <v>2.0453229787866576</v>
      </c>
      <c r="AE495" s="10" t="s">
        <v>724</v>
      </c>
      <c r="AF495" s="9" t="s">
        <v>420</v>
      </c>
      <c r="AG495" s="18">
        <v>27.558771</v>
      </c>
      <c r="AH495" s="7">
        <f t="shared" si="65"/>
        <v>1</v>
      </c>
      <c r="AI495" s="7">
        <f t="shared" si="66"/>
        <v>0</v>
      </c>
      <c r="AJ495" s="7">
        <f t="shared" si="67"/>
        <v>0</v>
      </c>
      <c r="AK495" s="7">
        <f t="shared" si="68"/>
        <v>0</v>
      </c>
      <c r="AL495" s="7" t="s">
        <v>4159</v>
      </c>
      <c r="AM495" s="18">
        <f t="shared" si="69"/>
        <v>1.4402598460432992</v>
      </c>
      <c r="AN495" s="18">
        <v>-27.558771</v>
      </c>
      <c r="AO495" s="18">
        <v>152.27574000000001</v>
      </c>
      <c r="AP495" s="9" t="s">
        <v>363</v>
      </c>
      <c r="AQ495" s="9" t="s">
        <v>355</v>
      </c>
      <c r="AR495" s="15">
        <v>1971</v>
      </c>
      <c r="AS495" s="19" t="s">
        <v>725</v>
      </c>
      <c r="AT495" s="20" t="s">
        <v>726</v>
      </c>
      <c r="AU495" s="40">
        <v>4776229</v>
      </c>
      <c r="AV495" s="35">
        <f t="shared" si="70"/>
        <v>6.6790851412059302</v>
      </c>
      <c r="AW495" s="37" t="s">
        <v>366</v>
      </c>
      <c r="AX495" s="40">
        <v>50</v>
      </c>
      <c r="AY495" s="40">
        <v>1000</v>
      </c>
      <c r="AZ495" s="15">
        <v>33</v>
      </c>
      <c r="BA495" s="14">
        <f t="shared" si="71"/>
        <v>1.5185139398778875</v>
      </c>
      <c r="BB495" s="37" t="s">
        <v>388</v>
      </c>
      <c r="BC495" s="20">
        <v>1.8453381352540738E-2</v>
      </c>
      <c r="BD495" s="9">
        <v>31.1</v>
      </c>
      <c r="BE495" s="9" t="s">
        <v>368</v>
      </c>
      <c r="BF495" s="9">
        <v>0</v>
      </c>
    </row>
    <row r="496" spans="1:58">
      <c r="A496" s="9">
        <v>939</v>
      </c>
      <c r="B496" s="10" t="s">
        <v>76</v>
      </c>
      <c r="C496" s="10" t="s">
        <v>721</v>
      </c>
      <c r="D496" s="20" t="s">
        <v>808</v>
      </c>
      <c r="E496" s="20" t="s">
        <v>809</v>
      </c>
      <c r="F496" s="10" t="s">
        <v>721</v>
      </c>
      <c r="G496" s="20" t="s">
        <v>808</v>
      </c>
      <c r="H496" s="20" t="s">
        <v>809</v>
      </c>
      <c r="I496" s="10" t="s">
        <v>721</v>
      </c>
      <c r="J496" s="20" t="s">
        <v>808</v>
      </c>
      <c r="K496" s="20" t="s">
        <v>809</v>
      </c>
      <c r="L496" s="9" t="s">
        <v>352</v>
      </c>
      <c r="M496" s="9">
        <v>20</v>
      </c>
      <c r="N496" s="9" t="s">
        <v>381</v>
      </c>
      <c r="O496" s="9" t="s">
        <v>354</v>
      </c>
      <c r="P496" s="12">
        <v>31.5</v>
      </c>
      <c r="Q496" s="12" t="s">
        <v>355</v>
      </c>
      <c r="R496" s="9" t="s">
        <v>356</v>
      </c>
      <c r="S496" s="13" t="s">
        <v>684</v>
      </c>
      <c r="T496" s="13" t="s">
        <v>684</v>
      </c>
      <c r="U496" s="14">
        <f t="shared" si="63"/>
        <v>0.90308998699194354</v>
      </c>
      <c r="V496" s="15">
        <v>15</v>
      </c>
      <c r="W496" s="12">
        <v>4.7497520000000009</v>
      </c>
      <c r="X496" s="12">
        <v>0.3</v>
      </c>
      <c r="Y496" s="13" t="s">
        <v>358</v>
      </c>
      <c r="Z496" s="9" t="s">
        <v>359</v>
      </c>
      <c r="AA496" s="10" t="s">
        <v>418</v>
      </c>
      <c r="AB496" s="9" t="s">
        <v>355</v>
      </c>
      <c r="AC496" s="15">
        <v>412</v>
      </c>
      <c r="AD496" s="14">
        <f t="shared" si="64"/>
        <v>2.6148972160331345</v>
      </c>
      <c r="AE496" s="10" t="s">
        <v>805</v>
      </c>
      <c r="AF496" s="9" t="s">
        <v>420</v>
      </c>
      <c r="AG496" s="18">
        <v>27.33427</v>
      </c>
      <c r="AH496" s="7">
        <f t="shared" si="65"/>
        <v>1</v>
      </c>
      <c r="AI496" s="7">
        <f t="shared" si="66"/>
        <v>0</v>
      </c>
      <c r="AJ496" s="7">
        <f t="shared" si="67"/>
        <v>0</v>
      </c>
      <c r="AK496" s="7">
        <f t="shared" si="68"/>
        <v>0</v>
      </c>
      <c r="AL496" s="7" t="s">
        <v>4159</v>
      </c>
      <c r="AM496" s="18">
        <f t="shared" si="69"/>
        <v>1.436707479939477</v>
      </c>
      <c r="AN496" s="18">
        <v>-27.33427</v>
      </c>
      <c r="AO496" s="18">
        <v>152.767763</v>
      </c>
      <c r="AP496" s="9" t="s">
        <v>363</v>
      </c>
      <c r="AQ496" s="9" t="s">
        <v>355</v>
      </c>
      <c r="AR496" s="15">
        <v>1971</v>
      </c>
      <c r="AS496" s="19" t="s">
        <v>725</v>
      </c>
      <c r="AT496" s="20" t="s">
        <v>726</v>
      </c>
      <c r="AU496" s="40">
        <v>213790</v>
      </c>
      <c r="AV496" s="35">
        <f t="shared" si="70"/>
        <v>5.3299873872788028</v>
      </c>
      <c r="AW496" s="37" t="s">
        <v>366</v>
      </c>
      <c r="AX496" s="34" t="s">
        <v>355</v>
      </c>
      <c r="AY496" s="40" t="s">
        <v>355</v>
      </c>
      <c r="AZ496" s="15">
        <v>113</v>
      </c>
      <c r="BA496" s="14">
        <f t="shared" si="71"/>
        <v>2.0530784434834195</v>
      </c>
      <c r="BB496" s="37" t="s">
        <v>388</v>
      </c>
      <c r="BC496" s="20">
        <v>8.5146058423372327E-3</v>
      </c>
      <c r="BD496" s="9">
        <v>28</v>
      </c>
      <c r="BE496" s="9" t="s">
        <v>368</v>
      </c>
      <c r="BF496" s="9">
        <v>0</v>
      </c>
    </row>
    <row r="497" spans="1:58">
      <c r="A497" s="9">
        <v>938</v>
      </c>
      <c r="B497" s="10" t="s">
        <v>76</v>
      </c>
      <c r="C497" s="10" t="s">
        <v>721</v>
      </c>
      <c r="D497" s="20" t="s">
        <v>810</v>
      </c>
      <c r="E497" s="20" t="s">
        <v>811</v>
      </c>
      <c r="F497" s="20" t="s">
        <v>101</v>
      </c>
      <c r="G497" s="20" t="s">
        <v>810</v>
      </c>
      <c r="H497" s="20" t="s">
        <v>811</v>
      </c>
      <c r="I497" s="20" t="s">
        <v>101</v>
      </c>
      <c r="J497" s="20" t="s">
        <v>810</v>
      </c>
      <c r="K497" s="20" t="s">
        <v>811</v>
      </c>
      <c r="L497" s="9" t="s">
        <v>352</v>
      </c>
      <c r="M497" s="9">
        <v>5</v>
      </c>
      <c r="N497" s="9" t="s">
        <v>353</v>
      </c>
      <c r="O497" s="9" t="s">
        <v>354</v>
      </c>
      <c r="P497" s="12">
        <v>33.700000000000003</v>
      </c>
      <c r="Q497" s="12" t="s">
        <v>355</v>
      </c>
      <c r="R497" s="9" t="s">
        <v>356</v>
      </c>
      <c r="S497" s="13" t="s">
        <v>684</v>
      </c>
      <c r="T497" s="13" t="s">
        <v>684</v>
      </c>
      <c r="U497" s="14">
        <f t="shared" si="63"/>
        <v>0.90308998699194354</v>
      </c>
      <c r="V497" s="15">
        <v>25</v>
      </c>
      <c r="W497" s="12">
        <v>4.8812934000000041</v>
      </c>
      <c r="X497" s="12">
        <v>0.3</v>
      </c>
      <c r="Y497" s="13" t="s">
        <v>358</v>
      </c>
      <c r="Z497" s="9" t="s">
        <v>359</v>
      </c>
      <c r="AA497" s="10" t="s">
        <v>418</v>
      </c>
      <c r="AB497" s="9" t="s">
        <v>355</v>
      </c>
      <c r="AC497" s="15">
        <v>50</v>
      </c>
      <c r="AD497" s="14">
        <f t="shared" si="64"/>
        <v>1.6989700043360187</v>
      </c>
      <c r="AE497" s="10" t="s">
        <v>759</v>
      </c>
      <c r="AF497" s="9" t="s">
        <v>420</v>
      </c>
      <c r="AG497" s="18">
        <v>34.928621</v>
      </c>
      <c r="AH497" s="7">
        <f t="shared" si="65"/>
        <v>1</v>
      </c>
      <c r="AI497" s="7">
        <f t="shared" si="66"/>
        <v>1</v>
      </c>
      <c r="AJ497" s="7">
        <f t="shared" si="67"/>
        <v>0</v>
      </c>
      <c r="AK497" s="7">
        <f t="shared" si="68"/>
        <v>0</v>
      </c>
      <c r="AL497" s="7" t="s">
        <v>4157</v>
      </c>
      <c r="AM497" s="18">
        <f t="shared" si="69"/>
        <v>1.5431814398056205</v>
      </c>
      <c r="AN497" s="18">
        <v>-34.928621</v>
      </c>
      <c r="AO497" s="18">
        <v>138.59995900000001</v>
      </c>
      <c r="AP497" s="9" t="s">
        <v>363</v>
      </c>
      <c r="AQ497" s="9" t="s">
        <v>355</v>
      </c>
      <c r="AR497" s="15">
        <v>1971</v>
      </c>
      <c r="AS497" s="19" t="s">
        <v>725</v>
      </c>
      <c r="AT497" s="20" t="s">
        <v>726</v>
      </c>
      <c r="AU497" s="40">
        <v>310223</v>
      </c>
      <c r="AV497" s="35">
        <f t="shared" si="70"/>
        <v>5.4916739933576304</v>
      </c>
      <c r="AW497" s="37" t="s">
        <v>366</v>
      </c>
      <c r="AX497" s="40">
        <v>50</v>
      </c>
      <c r="AY497" s="40">
        <v>400</v>
      </c>
      <c r="AZ497" s="15">
        <v>55</v>
      </c>
      <c r="BA497" s="14">
        <f t="shared" si="71"/>
        <v>1.7403626894942439</v>
      </c>
      <c r="BB497" s="37" t="s">
        <v>367</v>
      </c>
      <c r="BC497" s="20">
        <v>1.5214085634253638E-2</v>
      </c>
      <c r="BD497" s="9">
        <v>28.6</v>
      </c>
      <c r="BE497" s="9" t="s">
        <v>368</v>
      </c>
      <c r="BF497" s="9">
        <v>0</v>
      </c>
    </row>
    <row r="498" spans="1:58">
      <c r="A498" s="9">
        <v>937</v>
      </c>
      <c r="B498" s="10" t="s">
        <v>76</v>
      </c>
      <c r="C498" s="10" t="s">
        <v>721</v>
      </c>
      <c r="D498" s="20" t="s">
        <v>810</v>
      </c>
      <c r="E498" s="20" t="s">
        <v>812</v>
      </c>
      <c r="F498" s="20" t="s">
        <v>101</v>
      </c>
      <c r="G498" s="20" t="s">
        <v>810</v>
      </c>
      <c r="H498" s="20" t="s">
        <v>812</v>
      </c>
      <c r="I498" s="20" t="s">
        <v>101</v>
      </c>
      <c r="J498" s="20" t="s">
        <v>810</v>
      </c>
      <c r="K498" s="20" t="s">
        <v>812</v>
      </c>
      <c r="L498" s="9" t="s">
        <v>352</v>
      </c>
      <c r="M498" s="9">
        <v>4</v>
      </c>
      <c r="N498" s="9" t="s">
        <v>353</v>
      </c>
      <c r="O498" s="9" t="s">
        <v>354</v>
      </c>
      <c r="P498" s="12">
        <v>34.799999999999997</v>
      </c>
      <c r="Q498" s="12" t="s">
        <v>355</v>
      </c>
      <c r="R498" s="9" t="s">
        <v>356</v>
      </c>
      <c r="S498" s="13" t="s">
        <v>684</v>
      </c>
      <c r="T498" s="13" t="s">
        <v>684</v>
      </c>
      <c r="U498" s="14">
        <f t="shared" si="63"/>
        <v>0.90308998699194354</v>
      </c>
      <c r="V498" s="15">
        <v>25</v>
      </c>
      <c r="W498" s="12">
        <v>-1.3596013000000085</v>
      </c>
      <c r="X498" s="12">
        <v>0.3</v>
      </c>
      <c r="Y498" s="13" t="s">
        <v>358</v>
      </c>
      <c r="Z498" s="9" t="s">
        <v>359</v>
      </c>
      <c r="AA498" s="10" t="s">
        <v>418</v>
      </c>
      <c r="AB498" s="9" t="s">
        <v>355</v>
      </c>
      <c r="AC498" s="15">
        <v>44</v>
      </c>
      <c r="AD498" s="14">
        <f t="shared" si="64"/>
        <v>1.6434526764861874</v>
      </c>
      <c r="AE498" s="10" t="s">
        <v>813</v>
      </c>
      <c r="AF498" s="9" t="s">
        <v>420</v>
      </c>
      <c r="AG498" s="18">
        <v>29.646376</v>
      </c>
      <c r="AH498" s="7">
        <f t="shared" si="65"/>
        <v>1</v>
      </c>
      <c r="AI498" s="7">
        <f t="shared" si="66"/>
        <v>0</v>
      </c>
      <c r="AJ498" s="7">
        <f t="shared" si="67"/>
        <v>0</v>
      </c>
      <c r="AK498" s="7">
        <f t="shared" si="68"/>
        <v>0</v>
      </c>
      <c r="AL498" s="7" t="s">
        <v>4159</v>
      </c>
      <c r="AM498" s="18">
        <f t="shared" si="69"/>
        <v>1.4719716123918511</v>
      </c>
      <c r="AN498" s="18">
        <v>-29.646376</v>
      </c>
      <c r="AO498" s="18">
        <v>138.07117400000001</v>
      </c>
      <c r="AP498" s="9" t="s">
        <v>363</v>
      </c>
      <c r="AQ498" s="9" t="s">
        <v>355</v>
      </c>
      <c r="AR498" s="15">
        <v>1971</v>
      </c>
      <c r="AS498" s="19" t="s">
        <v>725</v>
      </c>
      <c r="AT498" s="20" t="s">
        <v>726</v>
      </c>
      <c r="AU498" s="40">
        <v>987430</v>
      </c>
      <c r="AV498" s="35">
        <f t="shared" si="70"/>
        <v>5.9945063177756888</v>
      </c>
      <c r="AW498" s="37" t="s">
        <v>366</v>
      </c>
      <c r="AX498" s="34" t="s">
        <v>355</v>
      </c>
      <c r="AY498" s="40" t="s">
        <v>355</v>
      </c>
      <c r="AZ498" s="15">
        <v>33</v>
      </c>
      <c r="BA498" s="14">
        <f t="shared" si="71"/>
        <v>1.5185139398778875</v>
      </c>
      <c r="BB498" s="37" t="s">
        <v>367</v>
      </c>
      <c r="BC498" s="20">
        <v>2.8795118047218921E-2</v>
      </c>
      <c r="BD498" s="9">
        <v>37.300000000000004</v>
      </c>
      <c r="BE498" s="9" t="s">
        <v>368</v>
      </c>
      <c r="BF498" s="9">
        <v>0</v>
      </c>
    </row>
    <row r="499" spans="1:58">
      <c r="A499" s="9">
        <v>718</v>
      </c>
      <c r="B499" s="10" t="s">
        <v>348</v>
      </c>
      <c r="C499" s="10" t="s">
        <v>622</v>
      </c>
      <c r="D499" s="20" t="s">
        <v>683</v>
      </c>
      <c r="E499" s="20" t="s">
        <v>682</v>
      </c>
      <c r="F499" s="10" t="s">
        <v>622</v>
      </c>
      <c r="G499" s="20" t="s">
        <v>683</v>
      </c>
      <c r="H499" s="20" t="s">
        <v>682</v>
      </c>
      <c r="I499" s="10" t="s">
        <v>622</v>
      </c>
      <c r="J499" s="20" t="s">
        <v>683</v>
      </c>
      <c r="K499" s="20" t="s">
        <v>682</v>
      </c>
      <c r="L499" s="9" t="s">
        <v>352</v>
      </c>
      <c r="M499" s="9">
        <v>156</v>
      </c>
      <c r="N499" s="9" t="s">
        <v>17</v>
      </c>
      <c r="O499" s="9" t="s">
        <v>354</v>
      </c>
      <c r="P499" s="12">
        <v>37.080624</v>
      </c>
      <c r="Q499" s="12" t="s">
        <v>355</v>
      </c>
      <c r="R499" s="9" t="s">
        <v>356</v>
      </c>
      <c r="S499" s="13" t="s">
        <v>684</v>
      </c>
      <c r="T499" s="13" t="s">
        <v>684</v>
      </c>
      <c r="U499" s="14">
        <f t="shared" si="63"/>
        <v>0.90308998699194354</v>
      </c>
      <c r="V499" s="15">
        <v>15</v>
      </c>
      <c r="W499" s="12">
        <v>11.849181799999997</v>
      </c>
      <c r="X499" s="12">
        <v>1</v>
      </c>
      <c r="Y499" s="13" t="s">
        <v>358</v>
      </c>
      <c r="Z499" s="9" t="s">
        <v>417</v>
      </c>
      <c r="AA499" s="10" t="s">
        <v>418</v>
      </c>
      <c r="AB499" s="9" t="s">
        <v>355</v>
      </c>
      <c r="AC499" s="43">
        <v>910</v>
      </c>
      <c r="AD499" s="14">
        <f t="shared" si="64"/>
        <v>2.9590413923210934</v>
      </c>
      <c r="AE499" s="10" t="s">
        <v>402</v>
      </c>
      <c r="AF499" s="44" t="s">
        <v>420</v>
      </c>
      <c r="AG499" s="18">
        <v>37.951037499999998</v>
      </c>
      <c r="AH499" s="7">
        <f t="shared" si="65"/>
        <v>1</v>
      </c>
      <c r="AI499" s="7">
        <f t="shared" si="66"/>
        <v>1</v>
      </c>
      <c r="AJ499" s="7">
        <f t="shared" si="67"/>
        <v>0</v>
      </c>
      <c r="AK499" s="7">
        <f t="shared" si="68"/>
        <v>0</v>
      </c>
      <c r="AL499" s="7" t="s">
        <v>4157</v>
      </c>
      <c r="AM499" s="18">
        <f t="shared" si="69"/>
        <v>1.5792236530738171</v>
      </c>
      <c r="AN499" s="45">
        <v>37.951037499999998</v>
      </c>
      <c r="AO499" s="45">
        <v>-79.057617499999992</v>
      </c>
      <c r="AP499" s="9" t="s">
        <v>402</v>
      </c>
      <c r="AQ499" s="9" t="s">
        <v>403</v>
      </c>
      <c r="AR499" s="15">
        <v>1980</v>
      </c>
      <c r="AS499" s="19" t="s">
        <v>761</v>
      </c>
      <c r="AT499" s="20" t="s">
        <v>762</v>
      </c>
      <c r="AU499" s="34">
        <v>3437299</v>
      </c>
      <c r="AV499" s="35">
        <f t="shared" si="70"/>
        <v>6.5362173117130542</v>
      </c>
      <c r="AW499" s="36" t="s">
        <v>366</v>
      </c>
      <c r="AX499" s="34" t="s">
        <v>355</v>
      </c>
      <c r="AY499" s="34" t="s">
        <v>355</v>
      </c>
      <c r="AZ499" s="15">
        <v>78</v>
      </c>
      <c r="BA499" s="14">
        <f t="shared" si="71"/>
        <v>1.8920946026904804</v>
      </c>
      <c r="BB499" s="36" t="s">
        <v>388</v>
      </c>
      <c r="BC499" s="20">
        <v>1.0535814325730043E-2</v>
      </c>
      <c r="BD499" s="9">
        <v>26.200000000000003</v>
      </c>
      <c r="BE499" s="9" t="s">
        <v>368</v>
      </c>
      <c r="BF499" s="9">
        <v>0</v>
      </c>
    </row>
    <row r="500" spans="1:58">
      <c r="A500" s="9">
        <v>645</v>
      </c>
      <c r="B500" s="10" t="s">
        <v>76</v>
      </c>
      <c r="C500" s="10" t="s">
        <v>77</v>
      </c>
      <c r="D500" s="20" t="s">
        <v>814</v>
      </c>
      <c r="E500" s="20" t="s">
        <v>815</v>
      </c>
      <c r="F500" s="10" t="s">
        <v>77</v>
      </c>
      <c r="G500" s="20" t="s">
        <v>814</v>
      </c>
      <c r="H500" s="20" t="s">
        <v>815</v>
      </c>
      <c r="I500" s="10" t="s">
        <v>77</v>
      </c>
      <c r="J500" s="20" t="s">
        <v>814</v>
      </c>
      <c r="K500" s="20" t="s">
        <v>815</v>
      </c>
      <c r="L500" s="9" t="s">
        <v>352</v>
      </c>
      <c r="M500" s="9">
        <v>3</v>
      </c>
      <c r="N500" s="9" t="s">
        <v>353</v>
      </c>
      <c r="O500" s="9" t="s">
        <v>354</v>
      </c>
      <c r="P500" s="12">
        <v>39</v>
      </c>
      <c r="Q500" s="12" t="s">
        <v>355</v>
      </c>
      <c r="R500" s="9" t="s">
        <v>356</v>
      </c>
      <c r="S500" s="13" t="s">
        <v>684</v>
      </c>
      <c r="T500" s="13" t="s">
        <v>684</v>
      </c>
      <c r="U500" s="14">
        <f t="shared" si="63"/>
        <v>0.90308998699194354</v>
      </c>
      <c r="V500" s="15">
        <v>21.5</v>
      </c>
      <c r="W500" s="12">
        <v>8.4498512000000012</v>
      </c>
      <c r="X500" s="12">
        <v>1</v>
      </c>
      <c r="Y500" s="13" t="s">
        <v>355</v>
      </c>
      <c r="Z500" s="9" t="s">
        <v>359</v>
      </c>
      <c r="AA500" s="10" t="s">
        <v>372</v>
      </c>
      <c r="AB500" s="9" t="s">
        <v>355</v>
      </c>
      <c r="AC500" s="15">
        <v>11</v>
      </c>
      <c r="AD500" s="14">
        <f t="shared" si="64"/>
        <v>1.0413926851582251</v>
      </c>
      <c r="AE500" s="10" t="s">
        <v>816</v>
      </c>
      <c r="AF500" s="9" t="s">
        <v>420</v>
      </c>
      <c r="AG500" s="18">
        <v>25.761679999999998</v>
      </c>
      <c r="AH500" s="7">
        <f t="shared" si="65"/>
        <v>1</v>
      </c>
      <c r="AI500" s="7">
        <f t="shared" si="66"/>
        <v>0</v>
      </c>
      <c r="AJ500" s="7">
        <f t="shared" si="67"/>
        <v>0</v>
      </c>
      <c r="AK500" s="7">
        <f t="shared" si="68"/>
        <v>0</v>
      </c>
      <c r="AL500" s="7" t="s">
        <v>4159</v>
      </c>
      <c r="AM500" s="18">
        <f t="shared" si="69"/>
        <v>1.4109741813173882</v>
      </c>
      <c r="AN500" s="18">
        <v>25.761679999999998</v>
      </c>
      <c r="AO500" s="18">
        <v>-80.191789999999997</v>
      </c>
      <c r="AP500" s="9" t="s">
        <v>363</v>
      </c>
      <c r="AQ500" s="9" t="s">
        <v>355</v>
      </c>
      <c r="AR500" s="15">
        <v>1988</v>
      </c>
      <c r="AS500" s="19" t="s">
        <v>694</v>
      </c>
      <c r="AT500" s="20" t="s">
        <v>695</v>
      </c>
      <c r="AU500" s="40">
        <v>135294</v>
      </c>
      <c r="AV500" s="35">
        <f t="shared" si="70"/>
        <v>5.131278536991779</v>
      </c>
      <c r="AW500" s="37" t="s">
        <v>338</v>
      </c>
      <c r="AX500" s="34" t="s">
        <v>355</v>
      </c>
      <c r="AY500" s="40">
        <v>1110</v>
      </c>
      <c r="AZ500" s="15">
        <v>87</v>
      </c>
      <c r="BA500" s="14">
        <f t="shared" si="71"/>
        <v>1.9395192526186185</v>
      </c>
      <c r="BB500" s="37" t="s">
        <v>388</v>
      </c>
      <c r="BC500" s="20">
        <v>2.0770308123249051E-2</v>
      </c>
      <c r="BD500" s="9">
        <v>31.3</v>
      </c>
      <c r="BE500" s="9" t="s">
        <v>368</v>
      </c>
      <c r="BF500" s="9">
        <v>0</v>
      </c>
    </row>
    <row r="501" spans="1:58">
      <c r="A501" s="9">
        <v>176</v>
      </c>
      <c r="B501" s="10" t="s">
        <v>348</v>
      </c>
      <c r="C501" s="10" t="s">
        <v>349</v>
      </c>
      <c r="D501" s="20" t="s">
        <v>817</v>
      </c>
      <c r="E501" s="20" t="s">
        <v>818</v>
      </c>
      <c r="F501" s="10" t="s">
        <v>349</v>
      </c>
      <c r="G501" s="20" t="s">
        <v>817</v>
      </c>
      <c r="H501" s="20" t="s">
        <v>818</v>
      </c>
      <c r="I501" s="10" t="s">
        <v>349</v>
      </c>
      <c r="J501" s="20" t="s">
        <v>817</v>
      </c>
      <c r="K501" s="20" t="s">
        <v>818</v>
      </c>
      <c r="L501" s="9" t="s">
        <v>352</v>
      </c>
      <c r="M501" s="9">
        <v>10</v>
      </c>
      <c r="N501" s="9" t="s">
        <v>355</v>
      </c>
      <c r="O501" s="9" t="s">
        <v>558</v>
      </c>
      <c r="P501" s="12">
        <v>31.5</v>
      </c>
      <c r="Q501" s="12" t="s">
        <v>355</v>
      </c>
      <c r="R501" s="9" t="s">
        <v>356</v>
      </c>
      <c r="S501" s="13">
        <v>7</v>
      </c>
      <c r="T501" s="13">
        <v>7</v>
      </c>
      <c r="U501" s="14">
        <f t="shared" si="63"/>
        <v>0.90308998699194354</v>
      </c>
      <c r="V501" s="15">
        <v>13.5</v>
      </c>
      <c r="W501" s="12">
        <v>10.299900799999996</v>
      </c>
      <c r="X501" s="12" t="s">
        <v>355</v>
      </c>
      <c r="Y501" s="13" t="s">
        <v>355</v>
      </c>
      <c r="Z501" s="9" t="s">
        <v>359</v>
      </c>
      <c r="AA501" s="10" t="s">
        <v>372</v>
      </c>
      <c r="AB501" s="9" t="s">
        <v>355</v>
      </c>
      <c r="AC501" s="43">
        <v>390</v>
      </c>
      <c r="AD501" s="14">
        <f t="shared" si="64"/>
        <v>2.5910646070264991</v>
      </c>
      <c r="AE501" s="10" t="s">
        <v>355</v>
      </c>
      <c r="AF501" s="44" t="s">
        <v>362</v>
      </c>
      <c r="AG501" s="18">
        <v>46.5926635</v>
      </c>
      <c r="AH501" s="7">
        <f t="shared" si="65"/>
        <v>1</v>
      </c>
      <c r="AI501" s="7">
        <f t="shared" si="66"/>
        <v>1</v>
      </c>
      <c r="AJ501" s="7">
        <f t="shared" si="67"/>
        <v>1</v>
      </c>
      <c r="AK501" s="7">
        <f t="shared" si="68"/>
        <v>0</v>
      </c>
      <c r="AL501" s="7" t="s">
        <v>4158</v>
      </c>
      <c r="AM501" s="18">
        <f t="shared" si="69"/>
        <v>1.6683175378852015</v>
      </c>
      <c r="AN501" s="45">
        <v>46.5926635</v>
      </c>
      <c r="AO501" s="45">
        <v>-124.650879</v>
      </c>
      <c r="AP501" s="9" t="s">
        <v>363</v>
      </c>
      <c r="AQ501" s="9" t="s">
        <v>403</v>
      </c>
      <c r="AR501" s="15">
        <v>1963</v>
      </c>
      <c r="AS501" s="19" t="s">
        <v>709</v>
      </c>
      <c r="AT501" s="20" t="s">
        <v>710</v>
      </c>
      <c r="AU501" s="34">
        <v>73434</v>
      </c>
      <c r="AV501" s="35">
        <f t="shared" si="70"/>
        <v>4.865897185168377</v>
      </c>
      <c r="AW501" s="36" t="s">
        <v>366</v>
      </c>
      <c r="AX501" s="34">
        <v>0</v>
      </c>
      <c r="AY501" s="34">
        <v>1000</v>
      </c>
      <c r="AZ501" s="15">
        <v>154</v>
      </c>
      <c r="BA501" s="14">
        <f t="shared" si="71"/>
        <v>2.1875207208364631</v>
      </c>
      <c r="BB501" s="36" t="s">
        <v>367</v>
      </c>
      <c r="BC501" s="20"/>
      <c r="BD501" s="9">
        <v>21.700000000000003</v>
      </c>
      <c r="BE501" s="9" t="s">
        <v>368</v>
      </c>
      <c r="BF501" s="9">
        <v>0</v>
      </c>
    </row>
    <row r="502" spans="1:58">
      <c r="A502" s="9">
        <v>177</v>
      </c>
      <c r="B502" s="10" t="s">
        <v>348</v>
      </c>
      <c r="C502" s="10" t="s">
        <v>349</v>
      </c>
      <c r="D502" s="20" t="s">
        <v>817</v>
      </c>
      <c r="E502" s="20" t="s">
        <v>819</v>
      </c>
      <c r="F502" s="10" t="s">
        <v>349</v>
      </c>
      <c r="G502" s="20" t="s">
        <v>817</v>
      </c>
      <c r="H502" s="20" t="s">
        <v>819</v>
      </c>
      <c r="I502" s="10" t="s">
        <v>349</v>
      </c>
      <c r="J502" s="20" t="s">
        <v>817</v>
      </c>
      <c r="K502" s="20" t="s">
        <v>819</v>
      </c>
      <c r="L502" s="9" t="s">
        <v>352</v>
      </c>
      <c r="M502" s="9">
        <v>10</v>
      </c>
      <c r="N502" s="9" t="s">
        <v>355</v>
      </c>
      <c r="O502" s="9" t="s">
        <v>558</v>
      </c>
      <c r="P502" s="12">
        <v>30.8</v>
      </c>
      <c r="Q502" s="12" t="s">
        <v>355</v>
      </c>
      <c r="R502" s="9" t="s">
        <v>356</v>
      </c>
      <c r="S502" s="13">
        <v>7</v>
      </c>
      <c r="T502" s="13">
        <v>7</v>
      </c>
      <c r="U502" s="14">
        <f t="shared" si="63"/>
        <v>0.90308998699194354</v>
      </c>
      <c r="V502" s="15">
        <v>13.5</v>
      </c>
      <c r="W502" s="12">
        <v>9.5999007999999968</v>
      </c>
      <c r="X502" s="12" t="s">
        <v>355</v>
      </c>
      <c r="Y502" s="13" t="s">
        <v>355</v>
      </c>
      <c r="Z502" s="9" t="s">
        <v>359</v>
      </c>
      <c r="AA502" s="10" t="s">
        <v>372</v>
      </c>
      <c r="AB502" s="9" t="s">
        <v>355</v>
      </c>
      <c r="AC502" s="43">
        <v>390</v>
      </c>
      <c r="AD502" s="14">
        <f t="shared" si="64"/>
        <v>2.5910646070264991</v>
      </c>
      <c r="AE502" s="10" t="s">
        <v>355</v>
      </c>
      <c r="AF502" s="44" t="s">
        <v>362</v>
      </c>
      <c r="AG502" s="18">
        <v>46.5926635</v>
      </c>
      <c r="AH502" s="7">
        <f t="shared" si="65"/>
        <v>1</v>
      </c>
      <c r="AI502" s="7">
        <f t="shared" si="66"/>
        <v>1</v>
      </c>
      <c r="AJ502" s="7">
        <f t="shared" si="67"/>
        <v>1</v>
      </c>
      <c r="AK502" s="7">
        <f t="shared" si="68"/>
        <v>0</v>
      </c>
      <c r="AL502" s="7" t="s">
        <v>4158</v>
      </c>
      <c r="AM502" s="18">
        <f t="shared" si="69"/>
        <v>1.6683175378852015</v>
      </c>
      <c r="AN502" s="45">
        <v>46.5926635</v>
      </c>
      <c r="AO502" s="45">
        <v>-124.650879</v>
      </c>
      <c r="AP502" s="9" t="s">
        <v>363</v>
      </c>
      <c r="AQ502" s="9" t="s">
        <v>403</v>
      </c>
      <c r="AR502" s="15">
        <v>1963</v>
      </c>
      <c r="AS502" s="19" t="s">
        <v>709</v>
      </c>
      <c r="AT502" s="20" t="s">
        <v>710</v>
      </c>
      <c r="AU502" s="34">
        <v>165662</v>
      </c>
      <c r="AV502" s="35">
        <f t="shared" si="70"/>
        <v>5.2192229001939836</v>
      </c>
      <c r="AW502" s="36" t="s">
        <v>366</v>
      </c>
      <c r="AX502" s="34">
        <v>0</v>
      </c>
      <c r="AY502" s="34">
        <v>1250</v>
      </c>
      <c r="AZ502" s="15">
        <v>78</v>
      </c>
      <c r="BA502" s="14">
        <f t="shared" si="71"/>
        <v>1.8920946026904804</v>
      </c>
      <c r="BB502" s="36" t="s">
        <v>367</v>
      </c>
      <c r="BC502" s="20"/>
      <c r="BD502" s="9">
        <v>21.700000000000003</v>
      </c>
      <c r="BE502" s="9" t="s">
        <v>368</v>
      </c>
      <c r="BF502" s="9">
        <v>0</v>
      </c>
    </row>
    <row r="503" spans="1:58">
      <c r="A503" s="9">
        <v>651</v>
      </c>
      <c r="B503" s="10" t="s">
        <v>76</v>
      </c>
      <c r="C503" s="10" t="s">
        <v>77</v>
      </c>
      <c r="D503" s="20" t="s">
        <v>501</v>
      </c>
      <c r="E503" s="20" t="s">
        <v>643</v>
      </c>
      <c r="F503" s="10" t="s">
        <v>77</v>
      </c>
      <c r="G503" s="20" t="s">
        <v>503</v>
      </c>
      <c r="H503" s="20" t="s">
        <v>643</v>
      </c>
      <c r="I503" s="10" t="s">
        <v>77</v>
      </c>
      <c r="J503" s="20" t="s">
        <v>503</v>
      </c>
      <c r="K503" s="20" t="s">
        <v>643</v>
      </c>
      <c r="L503" s="9" t="s">
        <v>352</v>
      </c>
      <c r="M503" s="9">
        <v>3</v>
      </c>
      <c r="N503" s="9" t="s">
        <v>353</v>
      </c>
      <c r="O503" s="9" t="s">
        <v>354</v>
      </c>
      <c r="P503" s="12">
        <v>34.799999999999997</v>
      </c>
      <c r="Q503" s="12" t="s">
        <v>355</v>
      </c>
      <c r="R503" s="9" t="s">
        <v>356</v>
      </c>
      <c r="S503" s="13" t="s">
        <v>684</v>
      </c>
      <c r="T503" s="13" t="s">
        <v>684</v>
      </c>
      <c r="U503" s="14">
        <f t="shared" si="63"/>
        <v>0.90308998699194354</v>
      </c>
      <c r="V503" s="15">
        <v>21.5</v>
      </c>
      <c r="W503" s="12">
        <v>5.9374131999999982</v>
      </c>
      <c r="X503" s="12">
        <v>1</v>
      </c>
      <c r="Y503" s="13" t="s">
        <v>355</v>
      </c>
      <c r="Z503" s="9" t="s">
        <v>359</v>
      </c>
      <c r="AA503" s="10" t="s">
        <v>372</v>
      </c>
      <c r="AB503" s="9" t="s">
        <v>355</v>
      </c>
      <c r="AC503" s="15">
        <v>24</v>
      </c>
      <c r="AD503" s="14">
        <f t="shared" si="64"/>
        <v>1.3802112417116059</v>
      </c>
      <c r="AE503" s="10" t="s">
        <v>749</v>
      </c>
      <c r="AF503" s="9" t="s">
        <v>362</v>
      </c>
      <c r="AG503" s="18">
        <v>39.965254999999999</v>
      </c>
      <c r="AH503" s="7">
        <f t="shared" si="65"/>
        <v>1</v>
      </c>
      <c r="AI503" s="7">
        <f t="shared" si="66"/>
        <v>1</v>
      </c>
      <c r="AJ503" s="7">
        <f t="shared" si="67"/>
        <v>0</v>
      </c>
      <c r="AK503" s="7">
        <f t="shared" si="68"/>
        <v>0</v>
      </c>
      <c r="AL503" s="7" t="s">
        <v>4157</v>
      </c>
      <c r="AM503" s="18">
        <f t="shared" si="69"/>
        <v>1.601682588349048</v>
      </c>
      <c r="AN503" s="18">
        <v>39.965254999999999</v>
      </c>
      <c r="AO503" s="18">
        <v>-74.311820999999995</v>
      </c>
      <c r="AP503" s="9" t="s">
        <v>363</v>
      </c>
      <c r="AQ503" s="9" t="s">
        <v>355</v>
      </c>
      <c r="AR503" s="15">
        <v>1988</v>
      </c>
      <c r="AS503" s="19" t="s">
        <v>694</v>
      </c>
      <c r="AT503" s="20" t="s">
        <v>695</v>
      </c>
      <c r="AU503" s="40">
        <v>4033541</v>
      </c>
      <c r="AV503" s="35">
        <f t="shared" si="70"/>
        <v>6.6056864758031582</v>
      </c>
      <c r="AW503" s="37" t="s">
        <v>366</v>
      </c>
      <c r="AX503" s="34" t="s">
        <v>355</v>
      </c>
      <c r="AY503" s="40" t="s">
        <v>355</v>
      </c>
      <c r="AZ503" s="15">
        <v>33</v>
      </c>
      <c r="BA503" s="14">
        <f t="shared" si="71"/>
        <v>1.5185139398778875</v>
      </c>
      <c r="BB503" s="37" t="s">
        <v>367</v>
      </c>
      <c r="BC503" s="20">
        <v>2.2801920768307712E-2</v>
      </c>
      <c r="BD503" s="9">
        <v>29.3</v>
      </c>
      <c r="BE503" s="9" t="s">
        <v>368</v>
      </c>
      <c r="BF503" s="9">
        <v>0</v>
      </c>
    </row>
    <row r="504" spans="1:58">
      <c r="A504" s="9">
        <v>650</v>
      </c>
      <c r="B504" s="10" t="s">
        <v>76</v>
      </c>
      <c r="C504" s="10" t="s">
        <v>77</v>
      </c>
      <c r="D504" s="20" t="s">
        <v>503</v>
      </c>
      <c r="E504" s="20" t="s">
        <v>507</v>
      </c>
      <c r="F504" s="10" t="s">
        <v>77</v>
      </c>
      <c r="G504" s="20" t="s">
        <v>503</v>
      </c>
      <c r="H504" s="20" t="s">
        <v>507</v>
      </c>
      <c r="I504" s="10" t="s">
        <v>77</v>
      </c>
      <c r="J504" s="20" t="s">
        <v>503</v>
      </c>
      <c r="K504" s="20" t="s">
        <v>507</v>
      </c>
      <c r="L504" s="9" t="s">
        <v>352</v>
      </c>
      <c r="M504" s="9">
        <v>2</v>
      </c>
      <c r="N504" s="9" t="s">
        <v>353</v>
      </c>
      <c r="O504" s="9" t="s">
        <v>354</v>
      </c>
      <c r="P504" s="12">
        <v>35.799999999999997</v>
      </c>
      <c r="Q504" s="12" t="s">
        <v>355</v>
      </c>
      <c r="R504" s="9" t="s">
        <v>356</v>
      </c>
      <c r="S504" s="13" t="s">
        <v>684</v>
      </c>
      <c r="T504" s="13" t="s">
        <v>684</v>
      </c>
      <c r="U504" s="14">
        <f t="shared" si="63"/>
        <v>0.90308998699194354</v>
      </c>
      <c r="V504" s="15">
        <v>21.5</v>
      </c>
      <c r="W504" s="12">
        <v>6.5155226999999947</v>
      </c>
      <c r="X504" s="12">
        <v>1</v>
      </c>
      <c r="Y504" s="13" t="s">
        <v>355</v>
      </c>
      <c r="Z504" s="9" t="s">
        <v>359</v>
      </c>
      <c r="AA504" s="10" t="s">
        <v>372</v>
      </c>
      <c r="AB504" s="9" t="s">
        <v>355</v>
      </c>
      <c r="AC504" s="15">
        <v>29</v>
      </c>
      <c r="AD504" s="14">
        <f t="shared" si="64"/>
        <v>1.4623979978989561</v>
      </c>
      <c r="AE504" s="10" t="s">
        <v>820</v>
      </c>
      <c r="AF504" s="9" t="s">
        <v>362</v>
      </c>
      <c r="AG504" s="18">
        <v>40.529209999999999</v>
      </c>
      <c r="AH504" s="7">
        <f t="shared" si="65"/>
        <v>1</v>
      </c>
      <c r="AI504" s="7">
        <f t="shared" si="66"/>
        <v>1</v>
      </c>
      <c r="AJ504" s="7">
        <f t="shared" si="67"/>
        <v>0</v>
      </c>
      <c r="AK504" s="7">
        <f t="shared" si="68"/>
        <v>0</v>
      </c>
      <c r="AL504" s="7" t="s">
        <v>4157</v>
      </c>
      <c r="AM504" s="18">
        <f t="shared" si="69"/>
        <v>1.607768138506448</v>
      </c>
      <c r="AN504" s="18">
        <v>40.529209999999999</v>
      </c>
      <c r="AO504" s="18">
        <v>-74.640043000000006</v>
      </c>
      <c r="AP504" s="9" t="s">
        <v>363</v>
      </c>
      <c r="AQ504" s="9" t="s">
        <v>355</v>
      </c>
      <c r="AR504" s="15">
        <v>1988</v>
      </c>
      <c r="AS504" s="19" t="s">
        <v>694</v>
      </c>
      <c r="AT504" s="20" t="s">
        <v>695</v>
      </c>
      <c r="AU504" s="40">
        <v>3425336</v>
      </c>
      <c r="AV504" s="35">
        <f t="shared" si="70"/>
        <v>6.5347031789784316</v>
      </c>
      <c r="AW504" s="37" t="s">
        <v>366</v>
      </c>
      <c r="AX504" s="34" t="s">
        <v>355</v>
      </c>
      <c r="AY504" s="40" t="s">
        <v>355</v>
      </c>
      <c r="AZ504" s="15">
        <v>33</v>
      </c>
      <c r="BA504" s="14">
        <f t="shared" si="71"/>
        <v>1.5185139398778875</v>
      </c>
      <c r="BB504" s="37" t="s">
        <v>367</v>
      </c>
      <c r="BC504" s="20">
        <v>2.3767907162865191E-2</v>
      </c>
      <c r="BD504" s="9">
        <v>29.8</v>
      </c>
      <c r="BE504" s="9" t="s">
        <v>368</v>
      </c>
      <c r="BF504" s="9">
        <v>0</v>
      </c>
    </row>
    <row r="505" spans="1:58">
      <c r="A505" s="9">
        <v>932</v>
      </c>
      <c r="B505" s="10" t="s">
        <v>76</v>
      </c>
      <c r="C505" s="10" t="s">
        <v>721</v>
      </c>
      <c r="D505" s="20" t="s">
        <v>821</v>
      </c>
      <c r="E505" s="20" t="s">
        <v>822</v>
      </c>
      <c r="F505" s="10" t="s">
        <v>721</v>
      </c>
      <c r="G505" s="20" t="s">
        <v>821</v>
      </c>
      <c r="H505" s="20" t="s">
        <v>822</v>
      </c>
      <c r="I505" s="10" t="s">
        <v>721</v>
      </c>
      <c r="J505" s="20" t="s">
        <v>821</v>
      </c>
      <c r="K505" s="10" t="s">
        <v>823</v>
      </c>
      <c r="L505" s="9" t="s">
        <v>352</v>
      </c>
      <c r="M505" s="9">
        <v>1</v>
      </c>
      <c r="N505" s="9" t="s">
        <v>353</v>
      </c>
      <c r="O505" s="9" t="s">
        <v>354</v>
      </c>
      <c r="P505" s="12">
        <v>32.200000000000003</v>
      </c>
      <c r="Q505" s="12" t="s">
        <v>355</v>
      </c>
      <c r="R505" s="9" t="s">
        <v>356</v>
      </c>
      <c r="S505" s="13" t="s">
        <v>684</v>
      </c>
      <c r="T505" s="13" t="s">
        <v>684</v>
      </c>
      <c r="U505" s="14">
        <f t="shared" si="63"/>
        <v>0.90308998699194354</v>
      </c>
      <c r="V505" s="15">
        <v>15</v>
      </c>
      <c r="W505" s="12">
        <v>4.1840805000000003</v>
      </c>
      <c r="X505" s="12">
        <v>0.3</v>
      </c>
      <c r="Y505" s="13" t="s">
        <v>358</v>
      </c>
      <c r="Z505" s="9" t="s">
        <v>359</v>
      </c>
      <c r="AA505" s="10" t="s">
        <v>418</v>
      </c>
      <c r="AB505" s="9" t="s">
        <v>355</v>
      </c>
      <c r="AC505" s="15">
        <v>64</v>
      </c>
      <c r="AD505" s="14">
        <f t="shared" si="64"/>
        <v>1.8061799739838871</v>
      </c>
      <c r="AE505" s="10" t="s">
        <v>756</v>
      </c>
      <c r="AF505" s="9" t="s">
        <v>420</v>
      </c>
      <c r="AG505" s="18">
        <v>27.552838000000001</v>
      </c>
      <c r="AH505" s="7">
        <f t="shared" si="65"/>
        <v>1</v>
      </c>
      <c r="AI505" s="7">
        <f t="shared" si="66"/>
        <v>0</v>
      </c>
      <c r="AJ505" s="7">
        <f t="shared" si="67"/>
        <v>0</v>
      </c>
      <c r="AK505" s="7">
        <f t="shared" si="68"/>
        <v>0</v>
      </c>
      <c r="AL505" s="7" t="s">
        <v>4159</v>
      </c>
      <c r="AM505" s="18">
        <f t="shared" si="69"/>
        <v>1.4401663387326675</v>
      </c>
      <c r="AN505" s="18">
        <v>-27.552838000000001</v>
      </c>
      <c r="AO505" s="18">
        <v>153.05550500000001</v>
      </c>
      <c r="AP505" s="9" t="s">
        <v>363</v>
      </c>
      <c r="AQ505" s="9" t="s">
        <v>355</v>
      </c>
      <c r="AR505" s="15">
        <v>1971</v>
      </c>
      <c r="AS505" s="19" t="s">
        <v>725</v>
      </c>
      <c r="AT505" s="20" t="s">
        <v>726</v>
      </c>
      <c r="AU505" s="40">
        <v>668570</v>
      </c>
      <c r="AV505" s="35">
        <f t="shared" si="70"/>
        <v>5.8251468850792136</v>
      </c>
      <c r="AW505" s="37" t="s">
        <v>366</v>
      </c>
      <c r="AX505" s="40">
        <v>20</v>
      </c>
      <c r="AY505" s="40">
        <v>1000</v>
      </c>
      <c r="AZ505" s="15">
        <v>33</v>
      </c>
      <c r="BA505" s="14">
        <f t="shared" si="71"/>
        <v>1.5185139398778875</v>
      </c>
      <c r="BB505" s="37" t="s">
        <v>367</v>
      </c>
      <c r="BC505" s="20">
        <v>7.1628651460558916E-4</v>
      </c>
      <c r="BD505" s="9">
        <v>29.5</v>
      </c>
      <c r="BE505" s="9" t="s">
        <v>459</v>
      </c>
      <c r="BF505" s="9">
        <v>1</v>
      </c>
    </row>
    <row r="506" spans="1:58">
      <c r="A506" s="9">
        <v>933</v>
      </c>
      <c r="B506" s="10" t="s">
        <v>76</v>
      </c>
      <c r="C506" s="10" t="s">
        <v>721</v>
      </c>
      <c r="D506" s="20" t="s">
        <v>821</v>
      </c>
      <c r="E506" s="20" t="s">
        <v>824</v>
      </c>
      <c r="F506" s="10" t="s">
        <v>721</v>
      </c>
      <c r="G506" s="20" t="s">
        <v>821</v>
      </c>
      <c r="H506" s="20" t="s">
        <v>824</v>
      </c>
      <c r="I506" s="10" t="s">
        <v>721</v>
      </c>
      <c r="J506" s="20" t="s">
        <v>821</v>
      </c>
      <c r="K506" s="20" t="s">
        <v>824</v>
      </c>
      <c r="L506" s="9" t="s">
        <v>352</v>
      </c>
      <c r="M506" s="9">
        <v>4</v>
      </c>
      <c r="N506" s="9" t="s">
        <v>353</v>
      </c>
      <c r="O506" s="9" t="s">
        <v>354</v>
      </c>
      <c r="P506" s="12">
        <v>33</v>
      </c>
      <c r="Q506" s="12" t="s">
        <v>355</v>
      </c>
      <c r="R506" s="9" t="s">
        <v>356</v>
      </c>
      <c r="S506" s="13" t="s">
        <v>684</v>
      </c>
      <c r="T506" s="13" t="s">
        <v>684</v>
      </c>
      <c r="U506" s="14">
        <f t="shared" si="63"/>
        <v>0.90308998699194354</v>
      </c>
      <c r="V506" s="15">
        <v>15</v>
      </c>
      <c r="W506" s="12">
        <v>4.9840804999999975</v>
      </c>
      <c r="X506" s="12">
        <v>0.3</v>
      </c>
      <c r="Y506" s="13" t="s">
        <v>358</v>
      </c>
      <c r="Z506" s="9" t="s">
        <v>359</v>
      </c>
      <c r="AA506" s="10" t="s">
        <v>418</v>
      </c>
      <c r="AB506" s="9" t="s">
        <v>355</v>
      </c>
      <c r="AC506" s="15">
        <v>64</v>
      </c>
      <c r="AD506" s="14">
        <f t="shared" si="64"/>
        <v>1.8061799739838871</v>
      </c>
      <c r="AE506" s="10" t="s">
        <v>756</v>
      </c>
      <c r="AF506" s="9" t="s">
        <v>420</v>
      </c>
      <c r="AG506" s="18">
        <v>27.552838000000001</v>
      </c>
      <c r="AH506" s="7">
        <f t="shared" si="65"/>
        <v>1</v>
      </c>
      <c r="AI506" s="7">
        <f t="shared" si="66"/>
        <v>0</v>
      </c>
      <c r="AJ506" s="7">
        <f t="shared" si="67"/>
        <v>0</v>
      </c>
      <c r="AK506" s="7">
        <f t="shared" si="68"/>
        <v>0</v>
      </c>
      <c r="AL506" s="7" t="s">
        <v>4159</v>
      </c>
      <c r="AM506" s="18">
        <f t="shared" si="69"/>
        <v>1.4401663387326675</v>
      </c>
      <c r="AN506" s="18">
        <v>-27.552838000000001</v>
      </c>
      <c r="AO506" s="18">
        <v>153.05550500000001</v>
      </c>
      <c r="AP506" s="9" t="s">
        <v>363</v>
      </c>
      <c r="AQ506" s="9" t="s">
        <v>355</v>
      </c>
      <c r="AR506" s="15">
        <v>1971</v>
      </c>
      <c r="AS506" s="19" t="s">
        <v>725</v>
      </c>
      <c r="AT506" s="20" t="s">
        <v>726</v>
      </c>
      <c r="AU506" s="40">
        <v>126800</v>
      </c>
      <c r="AV506" s="35">
        <f t="shared" si="70"/>
        <v>5.1031192535457137</v>
      </c>
      <c r="AW506" s="37" t="s">
        <v>366</v>
      </c>
      <c r="AX506" s="34" t="s">
        <v>355</v>
      </c>
      <c r="AY506" s="40" t="s">
        <v>355</v>
      </c>
      <c r="AZ506" s="15">
        <v>33</v>
      </c>
      <c r="BA506" s="14">
        <f t="shared" si="71"/>
        <v>1.5185139398778875</v>
      </c>
      <c r="BB506" s="37" t="s">
        <v>367</v>
      </c>
      <c r="BC506" s="20">
        <v>7.1628651460558916E-4</v>
      </c>
      <c r="BD506" s="9">
        <v>29.5</v>
      </c>
      <c r="BE506" s="9" t="s">
        <v>368</v>
      </c>
      <c r="BF506" s="9">
        <v>0</v>
      </c>
    </row>
    <row r="507" spans="1:58">
      <c r="A507" s="9">
        <v>934</v>
      </c>
      <c r="B507" s="10" t="s">
        <v>76</v>
      </c>
      <c r="C507" s="10" t="s">
        <v>721</v>
      </c>
      <c r="D507" s="20" t="s">
        <v>821</v>
      </c>
      <c r="E507" s="20" t="s">
        <v>825</v>
      </c>
      <c r="F507" s="10" t="s">
        <v>721</v>
      </c>
      <c r="G507" s="20" t="s">
        <v>821</v>
      </c>
      <c r="H507" s="20" t="s">
        <v>825</v>
      </c>
      <c r="I507" s="10" t="s">
        <v>721</v>
      </c>
      <c r="J507" s="20" t="s">
        <v>821</v>
      </c>
      <c r="K507" s="20" t="s">
        <v>825</v>
      </c>
      <c r="L507" s="9" t="s">
        <v>352</v>
      </c>
      <c r="M507" s="9">
        <v>3</v>
      </c>
      <c r="N507" s="9" t="s">
        <v>353</v>
      </c>
      <c r="O507" s="9" t="s">
        <v>354</v>
      </c>
      <c r="P507" s="12">
        <v>33.700000000000003</v>
      </c>
      <c r="Q507" s="12" t="s">
        <v>355</v>
      </c>
      <c r="R507" s="9" t="s">
        <v>356</v>
      </c>
      <c r="S507" s="13" t="s">
        <v>684</v>
      </c>
      <c r="T507" s="13" t="s">
        <v>684</v>
      </c>
      <c r="U507" s="14">
        <f t="shared" si="63"/>
        <v>0.90308998699194354</v>
      </c>
      <c r="V507" s="15">
        <v>15</v>
      </c>
      <c r="W507" s="12">
        <v>6.4434833999999981</v>
      </c>
      <c r="X507" s="12">
        <v>0.3</v>
      </c>
      <c r="Y507" s="13" t="s">
        <v>358</v>
      </c>
      <c r="Z507" s="9" t="s">
        <v>359</v>
      </c>
      <c r="AA507" s="10" t="s">
        <v>418</v>
      </c>
      <c r="AB507" s="9" t="s">
        <v>355</v>
      </c>
      <c r="AC507" s="15">
        <v>50</v>
      </c>
      <c r="AD507" s="14">
        <f t="shared" si="64"/>
        <v>1.6989700043360187</v>
      </c>
      <c r="AE507" s="10" t="s">
        <v>759</v>
      </c>
      <c r="AF507" s="9" t="s">
        <v>420</v>
      </c>
      <c r="AG507" s="18">
        <v>34.928621</v>
      </c>
      <c r="AH507" s="7">
        <f t="shared" si="65"/>
        <v>1</v>
      </c>
      <c r="AI507" s="7">
        <f t="shared" si="66"/>
        <v>1</v>
      </c>
      <c r="AJ507" s="7">
        <f t="shared" si="67"/>
        <v>0</v>
      </c>
      <c r="AK507" s="7">
        <f t="shared" si="68"/>
        <v>0</v>
      </c>
      <c r="AL507" s="7" t="s">
        <v>4157</v>
      </c>
      <c r="AM507" s="18">
        <f t="shared" si="69"/>
        <v>1.5431814398056205</v>
      </c>
      <c r="AN507" s="18">
        <v>-34.928621</v>
      </c>
      <c r="AO507" s="18">
        <v>138.59995900000001</v>
      </c>
      <c r="AP507" s="9" t="s">
        <v>363</v>
      </c>
      <c r="AQ507" s="9" t="s">
        <v>355</v>
      </c>
      <c r="AR507" s="15">
        <v>1971</v>
      </c>
      <c r="AS507" s="19" t="s">
        <v>725</v>
      </c>
      <c r="AT507" s="20" t="s">
        <v>726</v>
      </c>
      <c r="AU507" s="40">
        <v>108650</v>
      </c>
      <c r="AV507" s="35">
        <f t="shared" si="70"/>
        <v>5.0360297306565434</v>
      </c>
      <c r="AW507" s="37" t="s">
        <v>366</v>
      </c>
      <c r="AX507" s="34" t="s">
        <v>355</v>
      </c>
      <c r="AY507" s="40" t="s">
        <v>355</v>
      </c>
      <c r="AZ507" s="15">
        <v>33</v>
      </c>
      <c r="BA507" s="14">
        <f t="shared" si="71"/>
        <v>1.5185139398778875</v>
      </c>
      <c r="BB507" s="37" t="s">
        <v>367</v>
      </c>
      <c r="BC507" s="20">
        <v>1.5214085634253638E-2</v>
      </c>
      <c r="BD507" s="9">
        <v>28.6</v>
      </c>
      <c r="BE507" s="9" t="s">
        <v>368</v>
      </c>
      <c r="BF507" s="9">
        <v>0</v>
      </c>
    </row>
    <row r="508" spans="1:58">
      <c r="A508" s="9">
        <v>902</v>
      </c>
      <c r="B508" s="10" t="s">
        <v>76</v>
      </c>
      <c r="C508" s="10" t="s">
        <v>582</v>
      </c>
      <c r="D508" s="20" t="s">
        <v>826</v>
      </c>
      <c r="E508" s="20" t="s">
        <v>827</v>
      </c>
      <c r="F508" s="20" t="s">
        <v>369</v>
      </c>
      <c r="G508" s="20" t="s">
        <v>826</v>
      </c>
      <c r="H508" s="20" t="s">
        <v>827</v>
      </c>
      <c r="I508" s="10" t="s">
        <v>582</v>
      </c>
      <c r="J508" s="20" t="s">
        <v>828</v>
      </c>
      <c r="K508" s="20" t="s">
        <v>827</v>
      </c>
      <c r="L508" s="9" t="s">
        <v>352</v>
      </c>
      <c r="M508" s="9">
        <v>7</v>
      </c>
      <c r="N508" s="9" t="s">
        <v>353</v>
      </c>
      <c r="O508" s="9" t="s">
        <v>354</v>
      </c>
      <c r="P508" s="12">
        <v>41.6</v>
      </c>
      <c r="Q508" s="12" t="s">
        <v>355</v>
      </c>
      <c r="R508" s="9" t="s">
        <v>356</v>
      </c>
      <c r="S508" s="13" t="s">
        <v>684</v>
      </c>
      <c r="T508" s="13" t="s">
        <v>684</v>
      </c>
      <c r="U508" s="14">
        <f t="shared" si="63"/>
        <v>0.90308998699194354</v>
      </c>
      <c r="V508" s="15">
        <v>19</v>
      </c>
      <c r="W508" s="12">
        <v>9.8372147999999981</v>
      </c>
      <c r="X508" s="12">
        <v>0.5</v>
      </c>
      <c r="Y508" s="13" t="s">
        <v>358</v>
      </c>
      <c r="Z508" s="9" t="s">
        <v>359</v>
      </c>
      <c r="AA508" s="10" t="s">
        <v>372</v>
      </c>
      <c r="AB508" s="9" t="s">
        <v>355</v>
      </c>
      <c r="AC508" s="15">
        <v>132</v>
      </c>
      <c r="AD508" s="14">
        <f t="shared" si="64"/>
        <v>2.12057393120585</v>
      </c>
      <c r="AE508" s="10" t="s">
        <v>829</v>
      </c>
      <c r="AF508" s="9" t="s">
        <v>420</v>
      </c>
      <c r="AG508" s="18">
        <v>28.72</v>
      </c>
      <c r="AH508" s="7">
        <f t="shared" si="65"/>
        <v>1</v>
      </c>
      <c r="AI508" s="7">
        <f t="shared" si="66"/>
        <v>0</v>
      </c>
      <c r="AJ508" s="7">
        <f t="shared" si="67"/>
        <v>0</v>
      </c>
      <c r="AK508" s="7">
        <f t="shared" si="68"/>
        <v>0</v>
      </c>
      <c r="AL508" s="7" t="s">
        <v>4159</v>
      </c>
      <c r="AM508" s="18">
        <f t="shared" si="69"/>
        <v>1.4581844355702627</v>
      </c>
      <c r="AN508" s="18">
        <v>28.72</v>
      </c>
      <c r="AO508" s="18">
        <v>113.58</v>
      </c>
      <c r="AP508" s="9" t="s">
        <v>363</v>
      </c>
      <c r="AQ508" s="9" t="s">
        <v>355</v>
      </c>
      <c r="AR508" s="15">
        <v>2010</v>
      </c>
      <c r="AS508" s="19" t="s">
        <v>830</v>
      </c>
      <c r="AT508" s="20" t="s">
        <v>831</v>
      </c>
      <c r="AU508" s="40">
        <v>1157988</v>
      </c>
      <c r="AV508" s="35">
        <f t="shared" si="70"/>
        <v>6.0637040589071463</v>
      </c>
      <c r="AW508" s="37" t="s">
        <v>366</v>
      </c>
      <c r="AX508" s="40">
        <v>200</v>
      </c>
      <c r="AY508" s="40">
        <v>1500</v>
      </c>
      <c r="AZ508" s="15">
        <v>113</v>
      </c>
      <c r="BA508" s="14">
        <f t="shared" si="71"/>
        <v>2.0530784434834195</v>
      </c>
      <c r="BB508" s="41" t="s">
        <v>343</v>
      </c>
      <c r="BC508" s="20">
        <v>2.2001600640255966E-2</v>
      </c>
      <c r="BD508" s="9">
        <v>33.200000000000003</v>
      </c>
      <c r="BE508" s="9" t="s">
        <v>459</v>
      </c>
      <c r="BF508" s="9">
        <v>1</v>
      </c>
    </row>
    <row r="509" spans="1:58">
      <c r="A509" s="9">
        <v>897</v>
      </c>
      <c r="B509" s="10" t="s">
        <v>76</v>
      </c>
      <c r="C509" s="10" t="s">
        <v>582</v>
      </c>
      <c r="D509" s="20" t="s">
        <v>826</v>
      </c>
      <c r="E509" s="20" t="s">
        <v>827</v>
      </c>
      <c r="F509" s="20" t="s">
        <v>369</v>
      </c>
      <c r="G509" s="20" t="s">
        <v>826</v>
      </c>
      <c r="H509" s="20" t="s">
        <v>827</v>
      </c>
      <c r="I509" s="10" t="s">
        <v>582</v>
      </c>
      <c r="J509" s="20" t="s">
        <v>828</v>
      </c>
      <c r="K509" s="20" t="s">
        <v>827</v>
      </c>
      <c r="L509" s="9" t="s">
        <v>352</v>
      </c>
      <c r="M509" s="9">
        <v>8</v>
      </c>
      <c r="N509" s="9" t="s">
        <v>353</v>
      </c>
      <c r="O509" s="9" t="s">
        <v>354</v>
      </c>
      <c r="P509" s="12">
        <v>42.1</v>
      </c>
      <c r="Q509" s="12" t="s">
        <v>355</v>
      </c>
      <c r="R509" s="9" t="s">
        <v>356</v>
      </c>
      <c r="S509" s="13" t="s">
        <v>684</v>
      </c>
      <c r="T509" s="13" t="s">
        <v>684</v>
      </c>
      <c r="U509" s="14">
        <f t="shared" si="63"/>
        <v>0.90308998699194354</v>
      </c>
      <c r="V509" s="15">
        <v>19</v>
      </c>
      <c r="W509" s="12">
        <v>10.590349100000005</v>
      </c>
      <c r="X509" s="12">
        <v>0.5</v>
      </c>
      <c r="Y509" s="13" t="s">
        <v>358</v>
      </c>
      <c r="Z509" s="9" t="s">
        <v>359</v>
      </c>
      <c r="AA509" s="10" t="s">
        <v>372</v>
      </c>
      <c r="AB509" s="9" t="s">
        <v>355</v>
      </c>
      <c r="AC509" s="15">
        <v>225</v>
      </c>
      <c r="AD509" s="14">
        <f t="shared" si="64"/>
        <v>2.3521825181113627</v>
      </c>
      <c r="AE509" s="10" t="s">
        <v>832</v>
      </c>
      <c r="AF509" s="9" t="s">
        <v>420</v>
      </c>
      <c r="AG509" s="18">
        <v>24.48</v>
      </c>
      <c r="AH509" s="7">
        <f t="shared" si="65"/>
        <v>1</v>
      </c>
      <c r="AI509" s="7">
        <f t="shared" si="66"/>
        <v>0</v>
      </c>
      <c r="AJ509" s="7">
        <f t="shared" si="67"/>
        <v>0</v>
      </c>
      <c r="AK509" s="7">
        <f t="shared" si="68"/>
        <v>0</v>
      </c>
      <c r="AL509" s="7" t="s">
        <v>4159</v>
      </c>
      <c r="AM509" s="18">
        <f t="shared" si="69"/>
        <v>1.3888114134735237</v>
      </c>
      <c r="AN509" s="18">
        <v>24.48</v>
      </c>
      <c r="AO509" s="18">
        <v>112.63</v>
      </c>
      <c r="AP509" s="9" t="s">
        <v>363</v>
      </c>
      <c r="AQ509" s="9" t="s">
        <v>355</v>
      </c>
      <c r="AR509" s="15">
        <v>2010</v>
      </c>
      <c r="AS509" s="19" t="s">
        <v>830</v>
      </c>
      <c r="AT509" s="20" t="s">
        <v>831</v>
      </c>
      <c r="AU509" s="40">
        <v>1157988</v>
      </c>
      <c r="AV509" s="35">
        <f t="shared" si="70"/>
        <v>6.0637040589071463</v>
      </c>
      <c r="AW509" s="37" t="s">
        <v>366</v>
      </c>
      <c r="AX509" s="40">
        <v>200</v>
      </c>
      <c r="AY509" s="40">
        <v>1500</v>
      </c>
      <c r="AZ509" s="15">
        <v>113</v>
      </c>
      <c r="BA509" s="14">
        <f t="shared" si="71"/>
        <v>2.0530784434834195</v>
      </c>
      <c r="BB509" s="41" t="s">
        <v>343</v>
      </c>
      <c r="BC509" s="20">
        <v>1.2074829931973088E-2</v>
      </c>
      <c r="BD509" s="9">
        <v>32.9</v>
      </c>
      <c r="BE509" s="9" t="s">
        <v>459</v>
      </c>
      <c r="BF509" s="9">
        <v>1</v>
      </c>
    </row>
    <row r="510" spans="1:58">
      <c r="A510" s="9">
        <v>900</v>
      </c>
      <c r="B510" s="10" t="s">
        <v>76</v>
      </c>
      <c r="C510" s="10" t="s">
        <v>582</v>
      </c>
      <c r="D510" s="20" t="s">
        <v>826</v>
      </c>
      <c r="E510" s="20" t="s">
        <v>827</v>
      </c>
      <c r="F510" s="20" t="s">
        <v>369</v>
      </c>
      <c r="G510" s="20" t="s">
        <v>826</v>
      </c>
      <c r="H510" s="20" t="s">
        <v>827</v>
      </c>
      <c r="I510" s="10" t="s">
        <v>582</v>
      </c>
      <c r="J510" s="20" t="s">
        <v>828</v>
      </c>
      <c r="K510" s="20" t="s">
        <v>827</v>
      </c>
      <c r="L510" s="9" t="s">
        <v>352</v>
      </c>
      <c r="M510" s="9">
        <v>10</v>
      </c>
      <c r="N510" s="9" t="s">
        <v>381</v>
      </c>
      <c r="O510" s="9" t="s">
        <v>354</v>
      </c>
      <c r="P510" s="12">
        <v>43</v>
      </c>
      <c r="Q510" s="12" t="s">
        <v>355</v>
      </c>
      <c r="R510" s="9" t="s">
        <v>356</v>
      </c>
      <c r="S510" s="13" t="s">
        <v>684</v>
      </c>
      <c r="T510" s="13" t="s">
        <v>684</v>
      </c>
      <c r="U510" s="14">
        <f t="shared" si="63"/>
        <v>0.90308998699194354</v>
      </c>
      <c r="V510" s="15">
        <v>19</v>
      </c>
      <c r="W510" s="12">
        <v>12.165373899999999</v>
      </c>
      <c r="X510" s="12">
        <v>0.5</v>
      </c>
      <c r="Y510" s="13" t="s">
        <v>358</v>
      </c>
      <c r="Z510" s="9" t="s">
        <v>359</v>
      </c>
      <c r="AA510" s="10" t="s">
        <v>372</v>
      </c>
      <c r="AB510" s="9" t="s">
        <v>355</v>
      </c>
      <c r="AC510" s="15">
        <v>302</v>
      </c>
      <c r="AD510" s="14">
        <f t="shared" si="64"/>
        <v>2.4800069429571505</v>
      </c>
      <c r="AE510" s="10" t="s">
        <v>833</v>
      </c>
      <c r="AF510" s="9" t="s">
        <v>420</v>
      </c>
      <c r="AG510" s="18">
        <v>27.27</v>
      </c>
      <c r="AH510" s="7">
        <f t="shared" si="65"/>
        <v>1</v>
      </c>
      <c r="AI510" s="7">
        <f t="shared" si="66"/>
        <v>0</v>
      </c>
      <c r="AJ510" s="7">
        <f t="shared" si="67"/>
        <v>0</v>
      </c>
      <c r="AK510" s="7">
        <f t="shared" si="68"/>
        <v>0</v>
      </c>
      <c r="AL510" s="7" t="s">
        <v>4159</v>
      </c>
      <c r="AM510" s="18">
        <f t="shared" si="69"/>
        <v>1.4356851379416298</v>
      </c>
      <c r="AN510" s="18">
        <v>27.27</v>
      </c>
      <c r="AO510" s="18">
        <v>118.01</v>
      </c>
      <c r="AP510" s="9" t="s">
        <v>363</v>
      </c>
      <c r="AQ510" s="9" t="s">
        <v>355</v>
      </c>
      <c r="AR510" s="15">
        <v>2010</v>
      </c>
      <c r="AS510" s="19" t="s">
        <v>830</v>
      </c>
      <c r="AT510" s="20" t="s">
        <v>831</v>
      </c>
      <c r="AU510" s="40">
        <v>1157988</v>
      </c>
      <c r="AV510" s="35">
        <f t="shared" si="70"/>
        <v>6.0637040589071463</v>
      </c>
      <c r="AW510" s="37" t="s">
        <v>366</v>
      </c>
      <c r="AX510" s="40">
        <v>200</v>
      </c>
      <c r="AY510" s="40">
        <v>1500</v>
      </c>
      <c r="AZ510" s="15">
        <v>113</v>
      </c>
      <c r="BA510" s="14">
        <f t="shared" si="71"/>
        <v>2.0530784434834195</v>
      </c>
      <c r="BB510" s="41" t="s">
        <v>343</v>
      </c>
      <c r="BC510" s="20">
        <v>1.8601040416166698E-2</v>
      </c>
      <c r="BD510" s="9">
        <v>32.1</v>
      </c>
      <c r="BE510" s="9" t="s">
        <v>459</v>
      </c>
      <c r="BF510" s="9">
        <v>1</v>
      </c>
    </row>
    <row r="511" spans="1:58">
      <c r="A511" s="9">
        <v>898</v>
      </c>
      <c r="B511" s="10" t="s">
        <v>76</v>
      </c>
      <c r="C511" s="10" t="s">
        <v>582</v>
      </c>
      <c r="D511" s="20" t="s">
        <v>826</v>
      </c>
      <c r="E511" s="20" t="s">
        <v>827</v>
      </c>
      <c r="F511" s="20" t="s">
        <v>369</v>
      </c>
      <c r="G511" s="20" t="s">
        <v>826</v>
      </c>
      <c r="H511" s="20" t="s">
        <v>827</v>
      </c>
      <c r="I511" s="10" t="s">
        <v>582</v>
      </c>
      <c r="J511" s="20" t="s">
        <v>828</v>
      </c>
      <c r="K511" s="20" t="s">
        <v>827</v>
      </c>
      <c r="L511" s="9" t="s">
        <v>352</v>
      </c>
      <c r="M511" s="9">
        <v>8</v>
      </c>
      <c r="N511" s="9" t="s">
        <v>353</v>
      </c>
      <c r="O511" s="9" t="s">
        <v>354</v>
      </c>
      <c r="P511" s="12">
        <v>43.4</v>
      </c>
      <c r="Q511" s="12" t="s">
        <v>355</v>
      </c>
      <c r="R511" s="9" t="s">
        <v>356</v>
      </c>
      <c r="S511" s="13" t="s">
        <v>684</v>
      </c>
      <c r="T511" s="13" t="s">
        <v>684</v>
      </c>
      <c r="U511" s="14">
        <f t="shared" si="63"/>
        <v>0.90308998699194354</v>
      </c>
      <c r="V511" s="15">
        <v>19</v>
      </c>
      <c r="W511" s="12">
        <v>13.409154899999997</v>
      </c>
      <c r="X511" s="12">
        <v>0.5</v>
      </c>
      <c r="Y511" s="13" t="s">
        <v>358</v>
      </c>
      <c r="Z511" s="9" t="s">
        <v>359</v>
      </c>
      <c r="AA511" s="10" t="s">
        <v>372</v>
      </c>
      <c r="AB511" s="9" t="s">
        <v>355</v>
      </c>
      <c r="AC511" s="15">
        <v>478</v>
      </c>
      <c r="AD511" s="14">
        <f t="shared" si="64"/>
        <v>2.6794278966121188</v>
      </c>
      <c r="AE511" s="10" t="s">
        <v>834</v>
      </c>
      <c r="AF511" s="9" t="s">
        <v>420</v>
      </c>
      <c r="AG511" s="18">
        <v>25.82</v>
      </c>
      <c r="AH511" s="7">
        <f t="shared" si="65"/>
        <v>1</v>
      </c>
      <c r="AI511" s="7">
        <f t="shared" si="66"/>
        <v>0</v>
      </c>
      <c r="AJ511" s="7">
        <f t="shared" si="67"/>
        <v>0</v>
      </c>
      <c r="AK511" s="7">
        <f t="shared" si="68"/>
        <v>0</v>
      </c>
      <c r="AL511" s="7" t="s">
        <v>4159</v>
      </c>
      <c r="AM511" s="18">
        <f t="shared" si="69"/>
        <v>1.4119562379304016</v>
      </c>
      <c r="AN511" s="18">
        <v>25.82</v>
      </c>
      <c r="AO511" s="18">
        <v>109.98</v>
      </c>
      <c r="AP511" s="9" t="s">
        <v>363</v>
      </c>
      <c r="AQ511" s="9" t="s">
        <v>355</v>
      </c>
      <c r="AR511" s="15">
        <v>2010</v>
      </c>
      <c r="AS511" s="19" t="s">
        <v>830</v>
      </c>
      <c r="AT511" s="20" t="s">
        <v>831</v>
      </c>
      <c r="AU511" s="40">
        <v>1157988</v>
      </c>
      <c r="AV511" s="35">
        <f t="shared" si="70"/>
        <v>6.0637040589071463</v>
      </c>
      <c r="AW511" s="37" t="s">
        <v>366</v>
      </c>
      <c r="AX511" s="40">
        <v>200</v>
      </c>
      <c r="AY511" s="40">
        <v>1500</v>
      </c>
      <c r="AZ511" s="15">
        <v>113</v>
      </c>
      <c r="BA511" s="14">
        <f t="shared" si="71"/>
        <v>2.0530784434834195</v>
      </c>
      <c r="BB511" s="41" t="s">
        <v>343</v>
      </c>
      <c r="BC511" s="20">
        <v>1.2264505802321048E-2</v>
      </c>
      <c r="BD511" s="9">
        <v>31.1</v>
      </c>
      <c r="BE511" s="9" t="s">
        <v>459</v>
      </c>
      <c r="BF511" s="9">
        <v>1</v>
      </c>
    </row>
    <row r="512" spans="1:58">
      <c r="A512" s="9">
        <v>901</v>
      </c>
      <c r="B512" s="10" t="s">
        <v>76</v>
      </c>
      <c r="C512" s="10" t="s">
        <v>582</v>
      </c>
      <c r="D512" s="20" t="s">
        <v>826</v>
      </c>
      <c r="E512" s="20" t="s">
        <v>827</v>
      </c>
      <c r="F512" s="20" t="s">
        <v>369</v>
      </c>
      <c r="G512" s="20" t="s">
        <v>826</v>
      </c>
      <c r="H512" s="20" t="s">
        <v>827</v>
      </c>
      <c r="I512" s="10" t="s">
        <v>582</v>
      </c>
      <c r="J512" s="20" t="s">
        <v>828</v>
      </c>
      <c r="K512" s="20" t="s">
        <v>827</v>
      </c>
      <c r="L512" s="9" t="s">
        <v>352</v>
      </c>
      <c r="M512" s="9">
        <v>7</v>
      </c>
      <c r="N512" s="9" t="s">
        <v>353</v>
      </c>
      <c r="O512" s="9" t="s">
        <v>354</v>
      </c>
      <c r="P512" s="12">
        <v>43.7</v>
      </c>
      <c r="Q512" s="12" t="s">
        <v>355</v>
      </c>
      <c r="R512" s="9" t="s">
        <v>356</v>
      </c>
      <c r="S512" s="13" t="s">
        <v>684</v>
      </c>
      <c r="T512" s="13" t="s">
        <v>684</v>
      </c>
      <c r="U512" s="14">
        <f t="shared" si="63"/>
        <v>0.90308998699194354</v>
      </c>
      <c r="V512" s="15">
        <v>19</v>
      </c>
      <c r="W512" s="12">
        <v>14.806070200000004</v>
      </c>
      <c r="X512" s="12">
        <v>0.5</v>
      </c>
      <c r="Y512" s="13" t="s">
        <v>358</v>
      </c>
      <c r="Z512" s="9" t="s">
        <v>359</v>
      </c>
      <c r="AA512" s="10" t="s">
        <v>372</v>
      </c>
      <c r="AB512" s="9" t="s">
        <v>355</v>
      </c>
      <c r="AC512" s="15">
        <v>749</v>
      </c>
      <c r="AD512" s="14">
        <f t="shared" si="64"/>
        <v>2.8744818176994666</v>
      </c>
      <c r="AE512" s="10" t="s">
        <v>835</v>
      </c>
      <c r="AF512" s="9" t="s">
        <v>420</v>
      </c>
      <c r="AG512" s="18">
        <v>28.27</v>
      </c>
      <c r="AH512" s="7">
        <f t="shared" si="65"/>
        <v>1</v>
      </c>
      <c r="AI512" s="7">
        <f t="shared" si="66"/>
        <v>0</v>
      </c>
      <c r="AJ512" s="7">
        <f t="shared" si="67"/>
        <v>0</v>
      </c>
      <c r="AK512" s="7">
        <f t="shared" si="68"/>
        <v>0</v>
      </c>
      <c r="AL512" s="7" t="s">
        <v>4159</v>
      </c>
      <c r="AM512" s="18">
        <f t="shared" si="69"/>
        <v>1.4513258084895195</v>
      </c>
      <c r="AN512" s="18">
        <v>28.27</v>
      </c>
      <c r="AO512" s="18">
        <v>119.54</v>
      </c>
      <c r="AP512" s="9" t="s">
        <v>363</v>
      </c>
      <c r="AQ512" s="9" t="s">
        <v>355</v>
      </c>
      <c r="AR512" s="15">
        <v>2010</v>
      </c>
      <c r="AS512" s="19" t="s">
        <v>830</v>
      </c>
      <c r="AT512" s="20" t="s">
        <v>831</v>
      </c>
      <c r="AU512" s="40">
        <v>1157988</v>
      </c>
      <c r="AV512" s="35">
        <f t="shared" si="70"/>
        <v>6.0637040589071463</v>
      </c>
      <c r="AW512" s="37" t="s">
        <v>366</v>
      </c>
      <c r="AX512" s="40">
        <v>200</v>
      </c>
      <c r="AY512" s="40">
        <v>1500</v>
      </c>
      <c r="AZ512" s="15">
        <v>113</v>
      </c>
      <c r="BA512" s="14">
        <f t="shared" si="71"/>
        <v>2.0530784434834195</v>
      </c>
      <c r="BB512" s="41" t="s">
        <v>343</v>
      </c>
      <c r="BC512" s="20">
        <v>1.7985994397758717E-2</v>
      </c>
      <c r="BD512" s="9">
        <v>29.8</v>
      </c>
      <c r="BE512" s="9" t="s">
        <v>459</v>
      </c>
      <c r="BF512" s="9">
        <v>1</v>
      </c>
    </row>
    <row r="513" spans="1:58">
      <c r="A513" s="9">
        <v>899</v>
      </c>
      <c r="B513" s="10" t="s">
        <v>76</v>
      </c>
      <c r="C513" s="10" t="s">
        <v>582</v>
      </c>
      <c r="D513" s="20" t="s">
        <v>826</v>
      </c>
      <c r="E513" s="20" t="s">
        <v>827</v>
      </c>
      <c r="F513" s="20" t="s">
        <v>369</v>
      </c>
      <c r="G513" s="20" t="s">
        <v>826</v>
      </c>
      <c r="H513" s="20" t="s">
        <v>827</v>
      </c>
      <c r="I513" s="10" t="s">
        <v>582</v>
      </c>
      <c r="J513" s="20" t="s">
        <v>828</v>
      </c>
      <c r="K513" s="20" t="s">
        <v>827</v>
      </c>
      <c r="L513" s="9" t="s">
        <v>352</v>
      </c>
      <c r="M513" s="9">
        <v>7</v>
      </c>
      <c r="N513" s="9" t="s">
        <v>353</v>
      </c>
      <c r="O513" s="9" t="s">
        <v>354</v>
      </c>
      <c r="P513" s="12">
        <v>42.5</v>
      </c>
      <c r="Q513" s="12" t="s">
        <v>355</v>
      </c>
      <c r="R513" s="9" t="s">
        <v>356</v>
      </c>
      <c r="S513" s="13" t="s">
        <v>684</v>
      </c>
      <c r="T513" s="13" t="s">
        <v>684</v>
      </c>
      <c r="U513" s="14">
        <f t="shared" si="63"/>
        <v>0.90308998699194354</v>
      </c>
      <c r="V513" s="15">
        <v>19</v>
      </c>
      <c r="W513" s="12">
        <v>13.774826400000002</v>
      </c>
      <c r="X513" s="12">
        <v>0.5</v>
      </c>
      <c r="Y513" s="13" t="s">
        <v>358</v>
      </c>
      <c r="Z513" s="9" t="s">
        <v>359</v>
      </c>
      <c r="AA513" s="10" t="s">
        <v>372</v>
      </c>
      <c r="AB513" s="9" t="s">
        <v>355</v>
      </c>
      <c r="AC513" s="15">
        <v>809</v>
      </c>
      <c r="AD513" s="14">
        <f t="shared" si="64"/>
        <v>2.9079485216122722</v>
      </c>
      <c r="AE513" s="10" t="s">
        <v>836</v>
      </c>
      <c r="AF513" s="9" t="s">
        <v>420</v>
      </c>
      <c r="AG513" s="18">
        <v>26.34</v>
      </c>
      <c r="AH513" s="7">
        <f t="shared" si="65"/>
        <v>1</v>
      </c>
      <c r="AI513" s="7">
        <f t="shared" si="66"/>
        <v>0</v>
      </c>
      <c r="AJ513" s="7">
        <f t="shared" si="67"/>
        <v>0</v>
      </c>
      <c r="AK513" s="7">
        <f t="shared" si="68"/>
        <v>0</v>
      </c>
      <c r="AL513" s="7" t="s">
        <v>4159</v>
      </c>
      <c r="AM513" s="18">
        <f t="shared" si="69"/>
        <v>1.4206157706257649</v>
      </c>
      <c r="AN513" s="18">
        <v>26.34</v>
      </c>
      <c r="AO513" s="18">
        <v>114.1</v>
      </c>
      <c r="AP513" s="9" t="s">
        <v>363</v>
      </c>
      <c r="AQ513" s="9" t="s">
        <v>355</v>
      </c>
      <c r="AR513" s="15">
        <v>2010</v>
      </c>
      <c r="AS513" s="19" t="s">
        <v>830</v>
      </c>
      <c r="AT513" s="20" t="s">
        <v>831</v>
      </c>
      <c r="AU513" s="40">
        <v>1157988</v>
      </c>
      <c r="AV513" s="35">
        <f t="shared" si="70"/>
        <v>6.0637040589071463</v>
      </c>
      <c r="AW513" s="37" t="s">
        <v>366</v>
      </c>
      <c r="AX513" s="40">
        <v>200</v>
      </c>
      <c r="AY513" s="40">
        <v>1500</v>
      </c>
      <c r="AZ513" s="15">
        <v>113</v>
      </c>
      <c r="BA513" s="14">
        <f t="shared" si="71"/>
        <v>2.0530784434834195</v>
      </c>
      <c r="BB513" s="41" t="s">
        <v>343</v>
      </c>
      <c r="BC513" s="20">
        <v>1.9816726690676134E-2</v>
      </c>
      <c r="BD513" s="9">
        <v>29.6</v>
      </c>
      <c r="BE513" s="9" t="s">
        <v>459</v>
      </c>
      <c r="BF513" s="9">
        <v>1</v>
      </c>
    </row>
    <row r="514" spans="1:58">
      <c r="A514" s="9">
        <v>888</v>
      </c>
      <c r="B514" s="10" t="s">
        <v>76</v>
      </c>
      <c r="C514" s="10" t="s">
        <v>369</v>
      </c>
      <c r="D514" s="20" t="s">
        <v>370</v>
      </c>
      <c r="E514" s="20" t="s">
        <v>371</v>
      </c>
      <c r="F514" s="10" t="s">
        <v>369</v>
      </c>
      <c r="G514" s="20" t="s">
        <v>370</v>
      </c>
      <c r="H514" s="20" t="s">
        <v>371</v>
      </c>
      <c r="I514" s="10" t="s">
        <v>369</v>
      </c>
      <c r="J514" s="20" t="s">
        <v>370</v>
      </c>
      <c r="K514" s="20" t="s">
        <v>371</v>
      </c>
      <c r="L514" s="9" t="s">
        <v>380</v>
      </c>
      <c r="M514" s="9">
        <v>12</v>
      </c>
      <c r="N514" s="9" t="s">
        <v>381</v>
      </c>
      <c r="O514" s="9" t="s">
        <v>382</v>
      </c>
      <c r="P514" s="12">
        <v>39</v>
      </c>
      <c r="Q514" s="12" t="s">
        <v>355</v>
      </c>
      <c r="R514" s="9" t="s">
        <v>356</v>
      </c>
      <c r="S514" s="13" t="s">
        <v>684</v>
      </c>
      <c r="T514" s="13" t="s">
        <v>684</v>
      </c>
      <c r="U514" s="14">
        <f t="shared" si="63"/>
        <v>0.90308998699194354</v>
      </c>
      <c r="V514" s="15">
        <v>10</v>
      </c>
      <c r="W514" s="12"/>
      <c r="X514" s="12">
        <v>1</v>
      </c>
      <c r="Y514" s="13" t="s">
        <v>358</v>
      </c>
      <c r="Z514" s="9" t="s">
        <v>417</v>
      </c>
      <c r="AA514" s="10" t="s">
        <v>837</v>
      </c>
      <c r="AB514" s="9" t="s">
        <v>355</v>
      </c>
      <c r="AC514" s="15">
        <v>278</v>
      </c>
      <c r="AD514" s="14">
        <f t="shared" si="64"/>
        <v>2.4440447959180762</v>
      </c>
      <c r="AE514" s="10" t="s">
        <v>838</v>
      </c>
      <c r="AF514" s="9" t="s">
        <v>420</v>
      </c>
      <c r="AG514" s="18">
        <v>37.621295000000003</v>
      </c>
      <c r="AH514" s="7">
        <f t="shared" si="65"/>
        <v>1</v>
      </c>
      <c r="AI514" s="7">
        <f t="shared" si="66"/>
        <v>1</v>
      </c>
      <c r="AJ514" s="7">
        <f t="shared" si="67"/>
        <v>0</v>
      </c>
      <c r="AK514" s="7">
        <f t="shared" si="68"/>
        <v>0</v>
      </c>
      <c r="AL514" s="7" t="s">
        <v>4157</v>
      </c>
      <c r="AM514" s="18">
        <f t="shared" si="69"/>
        <v>1.575433740753815</v>
      </c>
      <c r="AN514" s="18">
        <v>37.621295000000003</v>
      </c>
      <c r="AO514" s="18">
        <v>-84.198892000000001</v>
      </c>
      <c r="AP514" s="9" t="s">
        <v>363</v>
      </c>
      <c r="AQ514" s="9" t="s">
        <v>839</v>
      </c>
      <c r="AR514" s="15">
        <v>1982</v>
      </c>
      <c r="AS514" s="19" t="s">
        <v>840</v>
      </c>
      <c r="AT514" s="20" t="s">
        <v>841</v>
      </c>
      <c r="AU514" s="40">
        <v>3826484</v>
      </c>
      <c r="AV514" s="35">
        <f t="shared" si="70"/>
        <v>6.5827999017171539</v>
      </c>
      <c r="AW514" s="37" t="s">
        <v>338</v>
      </c>
      <c r="AX514" s="34" t="s">
        <v>355</v>
      </c>
      <c r="AY514" s="40" t="s">
        <v>355</v>
      </c>
      <c r="AZ514" s="36">
        <v>87</v>
      </c>
      <c r="BA514" s="14">
        <f t="shared" si="71"/>
        <v>1.9395192526186185</v>
      </c>
      <c r="BB514" s="41" t="s">
        <v>343</v>
      </c>
      <c r="BC514" s="20">
        <v>2.206562625050016E-2</v>
      </c>
      <c r="BD514" s="9">
        <v>30.3</v>
      </c>
      <c r="BE514" s="9" t="s">
        <v>368</v>
      </c>
      <c r="BF514" s="9">
        <v>0</v>
      </c>
    </row>
    <row r="515" spans="1:58">
      <c r="A515" s="9">
        <v>882</v>
      </c>
      <c r="B515" s="10" t="s">
        <v>76</v>
      </c>
      <c r="C515" s="10" t="s">
        <v>369</v>
      </c>
      <c r="D515" s="20" t="s">
        <v>370</v>
      </c>
      <c r="E515" s="20" t="s">
        <v>371</v>
      </c>
      <c r="F515" s="10" t="s">
        <v>369</v>
      </c>
      <c r="G515" s="20" t="s">
        <v>370</v>
      </c>
      <c r="H515" s="20" t="s">
        <v>371</v>
      </c>
      <c r="I515" s="10" t="s">
        <v>369</v>
      </c>
      <c r="J515" s="20" t="s">
        <v>370</v>
      </c>
      <c r="K515" s="20" t="s">
        <v>371</v>
      </c>
      <c r="L515" s="9" t="s">
        <v>380</v>
      </c>
      <c r="M515" s="9">
        <v>12</v>
      </c>
      <c r="N515" s="9" t="s">
        <v>381</v>
      </c>
      <c r="O515" s="9" t="s">
        <v>382</v>
      </c>
      <c r="P515" s="12">
        <v>39.35257</v>
      </c>
      <c r="Q515" s="12" t="s">
        <v>355</v>
      </c>
      <c r="R515" s="9" t="s">
        <v>356</v>
      </c>
      <c r="S515" s="13" t="s">
        <v>684</v>
      </c>
      <c r="T515" s="13" t="s">
        <v>684</v>
      </c>
      <c r="U515" s="14">
        <f t="shared" si="63"/>
        <v>0.90308998699194354</v>
      </c>
      <c r="V515" s="15">
        <v>25</v>
      </c>
      <c r="W515" s="12"/>
      <c r="X515" s="12">
        <v>1</v>
      </c>
      <c r="Y515" s="13" t="s">
        <v>358</v>
      </c>
      <c r="Z515" s="9" t="s">
        <v>417</v>
      </c>
      <c r="AA515" s="10" t="s">
        <v>837</v>
      </c>
      <c r="AB515" s="9" t="s">
        <v>355</v>
      </c>
      <c r="AC515" s="15">
        <v>278</v>
      </c>
      <c r="AD515" s="14">
        <f t="shared" si="64"/>
        <v>2.4440447959180762</v>
      </c>
      <c r="AE515" s="10" t="s">
        <v>838</v>
      </c>
      <c r="AF515" s="9" t="s">
        <v>420</v>
      </c>
      <c r="AG515" s="18">
        <v>37.621295000000003</v>
      </c>
      <c r="AH515" s="7">
        <f t="shared" si="65"/>
        <v>1</v>
      </c>
      <c r="AI515" s="7">
        <f t="shared" si="66"/>
        <v>1</v>
      </c>
      <c r="AJ515" s="7">
        <f t="shared" si="67"/>
        <v>0</v>
      </c>
      <c r="AK515" s="7">
        <f t="shared" si="68"/>
        <v>0</v>
      </c>
      <c r="AL515" s="7" t="s">
        <v>4157</v>
      </c>
      <c r="AM515" s="18">
        <f t="shared" si="69"/>
        <v>1.575433740753815</v>
      </c>
      <c r="AN515" s="18">
        <v>37.621295000000003</v>
      </c>
      <c r="AO515" s="18">
        <v>-84.198892000000001</v>
      </c>
      <c r="AP515" s="9" t="s">
        <v>363</v>
      </c>
      <c r="AQ515" s="9" t="s">
        <v>842</v>
      </c>
      <c r="AR515" s="15">
        <v>1982</v>
      </c>
      <c r="AS515" s="19" t="s">
        <v>840</v>
      </c>
      <c r="AT515" s="20" t="s">
        <v>841</v>
      </c>
      <c r="AU515" s="40">
        <v>3826484</v>
      </c>
      <c r="AV515" s="35">
        <f t="shared" si="70"/>
        <v>6.5827999017171539</v>
      </c>
      <c r="AW515" s="37" t="s">
        <v>338</v>
      </c>
      <c r="AX515" s="34" t="s">
        <v>355</v>
      </c>
      <c r="AY515" s="40" t="s">
        <v>355</v>
      </c>
      <c r="AZ515" s="36">
        <v>87</v>
      </c>
      <c r="BA515" s="14">
        <f t="shared" si="71"/>
        <v>1.9395192526186185</v>
      </c>
      <c r="BB515" s="41" t="s">
        <v>343</v>
      </c>
      <c r="BC515" s="20">
        <v>2.206562625050016E-2</v>
      </c>
      <c r="BD515" s="9">
        <v>30.3</v>
      </c>
      <c r="BE515" s="9" t="s">
        <v>368</v>
      </c>
      <c r="BF515" s="9">
        <v>0</v>
      </c>
    </row>
    <row r="516" spans="1:58">
      <c r="A516" s="9">
        <v>889</v>
      </c>
      <c r="B516" s="10" t="s">
        <v>76</v>
      </c>
      <c r="C516" s="10" t="s">
        <v>369</v>
      </c>
      <c r="D516" s="20" t="s">
        <v>370</v>
      </c>
      <c r="E516" s="20" t="s">
        <v>371</v>
      </c>
      <c r="F516" s="10" t="s">
        <v>369</v>
      </c>
      <c r="G516" s="20" t="s">
        <v>370</v>
      </c>
      <c r="H516" s="20" t="s">
        <v>371</v>
      </c>
      <c r="I516" s="10" t="s">
        <v>369</v>
      </c>
      <c r="J516" s="20" t="s">
        <v>370</v>
      </c>
      <c r="K516" s="20" t="s">
        <v>371</v>
      </c>
      <c r="L516" s="9" t="s">
        <v>380</v>
      </c>
      <c r="M516" s="9">
        <v>12</v>
      </c>
      <c r="N516" s="9" t="s">
        <v>381</v>
      </c>
      <c r="O516" s="9" t="s">
        <v>382</v>
      </c>
      <c r="P516" s="12">
        <v>39.4</v>
      </c>
      <c r="Q516" s="12" t="s">
        <v>355</v>
      </c>
      <c r="R516" s="9" t="s">
        <v>356</v>
      </c>
      <c r="S516" s="13" t="s">
        <v>684</v>
      </c>
      <c r="T516" s="13" t="s">
        <v>684</v>
      </c>
      <c r="U516" s="14">
        <f t="shared" si="63"/>
        <v>0.90308998699194354</v>
      </c>
      <c r="V516" s="15">
        <v>20</v>
      </c>
      <c r="W516" s="12"/>
      <c r="X516" s="12">
        <v>1</v>
      </c>
      <c r="Y516" s="13" t="s">
        <v>358</v>
      </c>
      <c r="Z516" s="9" t="s">
        <v>417</v>
      </c>
      <c r="AA516" s="10" t="s">
        <v>837</v>
      </c>
      <c r="AB516" s="9" t="s">
        <v>355</v>
      </c>
      <c r="AC516" s="15">
        <v>278</v>
      </c>
      <c r="AD516" s="14">
        <f t="shared" si="64"/>
        <v>2.4440447959180762</v>
      </c>
      <c r="AE516" s="10" t="s">
        <v>838</v>
      </c>
      <c r="AF516" s="9" t="s">
        <v>420</v>
      </c>
      <c r="AG516" s="18">
        <v>37.621295000000003</v>
      </c>
      <c r="AH516" s="7">
        <f t="shared" si="65"/>
        <v>1</v>
      </c>
      <c r="AI516" s="7">
        <f t="shared" si="66"/>
        <v>1</v>
      </c>
      <c r="AJ516" s="7">
        <f t="shared" si="67"/>
        <v>0</v>
      </c>
      <c r="AK516" s="7">
        <f t="shared" si="68"/>
        <v>0</v>
      </c>
      <c r="AL516" s="7" t="s">
        <v>4157</v>
      </c>
      <c r="AM516" s="18">
        <f t="shared" si="69"/>
        <v>1.575433740753815</v>
      </c>
      <c r="AN516" s="18">
        <v>37.621295000000003</v>
      </c>
      <c r="AO516" s="18">
        <v>-84.198892000000001</v>
      </c>
      <c r="AP516" s="9" t="s">
        <v>363</v>
      </c>
      <c r="AQ516" s="9" t="s">
        <v>843</v>
      </c>
      <c r="AR516" s="15">
        <v>1982</v>
      </c>
      <c r="AS516" s="19" t="s">
        <v>840</v>
      </c>
      <c r="AT516" s="20" t="s">
        <v>841</v>
      </c>
      <c r="AU516" s="40">
        <v>3826484</v>
      </c>
      <c r="AV516" s="35">
        <f t="shared" si="70"/>
        <v>6.5827999017171539</v>
      </c>
      <c r="AW516" s="37" t="s">
        <v>338</v>
      </c>
      <c r="AX516" s="34" t="s">
        <v>355</v>
      </c>
      <c r="AY516" s="40" t="s">
        <v>355</v>
      </c>
      <c r="AZ516" s="36">
        <v>87</v>
      </c>
      <c r="BA516" s="14">
        <f t="shared" si="71"/>
        <v>1.9395192526186185</v>
      </c>
      <c r="BB516" s="41" t="s">
        <v>343</v>
      </c>
      <c r="BC516" s="20">
        <v>2.206562625050016E-2</v>
      </c>
      <c r="BD516" s="9">
        <v>30.3</v>
      </c>
      <c r="BE516" s="9" t="s">
        <v>368</v>
      </c>
      <c r="BF516" s="9">
        <v>0</v>
      </c>
    </row>
    <row r="517" spans="1:58">
      <c r="A517" s="9">
        <v>887</v>
      </c>
      <c r="B517" s="10" t="s">
        <v>76</v>
      </c>
      <c r="C517" s="10" t="s">
        <v>369</v>
      </c>
      <c r="D517" s="20" t="s">
        <v>370</v>
      </c>
      <c r="E517" s="20" t="s">
        <v>371</v>
      </c>
      <c r="F517" s="10" t="s">
        <v>369</v>
      </c>
      <c r="G517" s="20" t="s">
        <v>370</v>
      </c>
      <c r="H517" s="20" t="s">
        <v>371</v>
      </c>
      <c r="I517" s="10" t="s">
        <v>369</v>
      </c>
      <c r="J517" s="20" t="s">
        <v>370</v>
      </c>
      <c r="K517" s="20" t="s">
        <v>371</v>
      </c>
      <c r="L517" s="9" t="s">
        <v>380</v>
      </c>
      <c r="M517" s="9">
        <v>12</v>
      </c>
      <c r="N517" s="9" t="s">
        <v>381</v>
      </c>
      <c r="O517" s="9" t="s">
        <v>382</v>
      </c>
      <c r="P517" s="12">
        <v>39.630540000000003</v>
      </c>
      <c r="Q517" s="12" t="s">
        <v>355</v>
      </c>
      <c r="R517" s="9" t="s">
        <v>356</v>
      </c>
      <c r="S517" s="13" t="s">
        <v>684</v>
      </c>
      <c r="T517" s="13" t="s">
        <v>684</v>
      </c>
      <c r="U517" s="14">
        <f t="shared" ref="U517:U580" si="72">LOG(T517+1)</f>
        <v>0.90308998699194354</v>
      </c>
      <c r="V517" s="15">
        <v>25</v>
      </c>
      <c r="W517" s="12"/>
      <c r="X517" s="12">
        <v>1</v>
      </c>
      <c r="Y517" s="13" t="s">
        <v>358</v>
      </c>
      <c r="Z517" s="9" t="s">
        <v>417</v>
      </c>
      <c r="AA517" s="10" t="s">
        <v>837</v>
      </c>
      <c r="AB517" s="9" t="s">
        <v>355</v>
      </c>
      <c r="AC517" s="15">
        <v>278</v>
      </c>
      <c r="AD517" s="14">
        <f t="shared" ref="AD517:AD580" si="73">LOG(AC517)</f>
        <v>2.4440447959180762</v>
      </c>
      <c r="AE517" s="10" t="s">
        <v>838</v>
      </c>
      <c r="AF517" s="9" t="s">
        <v>420</v>
      </c>
      <c r="AG517" s="18">
        <v>37.621295000000003</v>
      </c>
      <c r="AH517" s="7">
        <f t="shared" ref="AH517:AH580" si="74">IF(AG517&gt;15,1,0)</f>
        <v>1</v>
      </c>
      <c r="AI517" s="7">
        <f t="shared" ref="AI517:AI580" si="75">IF(AG517&gt;30,1,0)</f>
        <v>1</v>
      </c>
      <c r="AJ517" s="7">
        <f t="shared" ref="AJ517:AJ580" si="76">IF(AG517&gt;45,1,0)</f>
        <v>0</v>
      </c>
      <c r="AK517" s="7">
        <f t="shared" ref="AK517:AK580" si="77">IF(AG517&gt;60,1,0)</f>
        <v>0</v>
      </c>
      <c r="AL517" s="7" t="s">
        <v>4157</v>
      </c>
      <c r="AM517" s="18">
        <f t="shared" ref="AM517:AM580" si="78">LOG(AG517)</f>
        <v>1.575433740753815</v>
      </c>
      <c r="AN517" s="18">
        <v>37.621295000000003</v>
      </c>
      <c r="AO517" s="18">
        <v>-84.198892000000001</v>
      </c>
      <c r="AP517" s="9" t="s">
        <v>363</v>
      </c>
      <c r="AQ517" s="9" t="s">
        <v>844</v>
      </c>
      <c r="AR517" s="15">
        <v>1982</v>
      </c>
      <c r="AS517" s="19" t="s">
        <v>840</v>
      </c>
      <c r="AT517" s="20" t="s">
        <v>841</v>
      </c>
      <c r="AU517" s="40">
        <v>3826484</v>
      </c>
      <c r="AV517" s="35">
        <f t="shared" ref="AV517:AV580" si="79">LOG(AU517)</f>
        <v>6.5827999017171539</v>
      </c>
      <c r="AW517" s="37" t="s">
        <v>338</v>
      </c>
      <c r="AX517" s="34" t="s">
        <v>355</v>
      </c>
      <c r="AY517" s="40" t="s">
        <v>355</v>
      </c>
      <c r="AZ517" s="36">
        <v>87</v>
      </c>
      <c r="BA517" s="14">
        <f t="shared" ref="BA517:BA580" si="80">LOG(AZ517)</f>
        <v>1.9395192526186185</v>
      </c>
      <c r="BB517" s="41" t="s">
        <v>343</v>
      </c>
      <c r="BC517" s="20">
        <v>2.206562625050016E-2</v>
      </c>
      <c r="BD517" s="9">
        <v>30.3</v>
      </c>
      <c r="BE517" s="9" t="s">
        <v>368</v>
      </c>
      <c r="BF517" s="9">
        <v>0</v>
      </c>
    </row>
    <row r="518" spans="1:58">
      <c r="A518" s="9">
        <v>886</v>
      </c>
      <c r="B518" s="10" t="s">
        <v>76</v>
      </c>
      <c r="C518" s="10" t="s">
        <v>369</v>
      </c>
      <c r="D518" s="20" t="s">
        <v>370</v>
      </c>
      <c r="E518" s="20" t="s">
        <v>371</v>
      </c>
      <c r="F518" s="10" t="s">
        <v>369</v>
      </c>
      <c r="G518" s="20" t="s">
        <v>370</v>
      </c>
      <c r="H518" s="20" t="s">
        <v>371</v>
      </c>
      <c r="I518" s="10" t="s">
        <v>369</v>
      </c>
      <c r="J518" s="20" t="s">
        <v>370</v>
      </c>
      <c r="K518" s="20" t="s">
        <v>371</v>
      </c>
      <c r="L518" s="9" t="s">
        <v>380</v>
      </c>
      <c r="M518" s="9">
        <v>12</v>
      </c>
      <c r="N518" s="9" t="s">
        <v>381</v>
      </c>
      <c r="O518" s="9" t="s">
        <v>382</v>
      </c>
      <c r="P518" s="12">
        <v>39.782043000000002</v>
      </c>
      <c r="Q518" s="12" t="s">
        <v>355</v>
      </c>
      <c r="R518" s="9" t="s">
        <v>356</v>
      </c>
      <c r="S518" s="13" t="s">
        <v>684</v>
      </c>
      <c r="T518" s="13" t="s">
        <v>684</v>
      </c>
      <c r="U518" s="14">
        <f t="shared" si="72"/>
        <v>0.90308998699194354</v>
      </c>
      <c r="V518" s="15">
        <v>25</v>
      </c>
      <c r="W518" s="12"/>
      <c r="X518" s="12">
        <v>1</v>
      </c>
      <c r="Y518" s="13" t="s">
        <v>358</v>
      </c>
      <c r="Z518" s="9" t="s">
        <v>417</v>
      </c>
      <c r="AA518" s="10" t="s">
        <v>837</v>
      </c>
      <c r="AB518" s="9" t="s">
        <v>355</v>
      </c>
      <c r="AC518" s="15">
        <v>278</v>
      </c>
      <c r="AD518" s="14">
        <f t="shared" si="73"/>
        <v>2.4440447959180762</v>
      </c>
      <c r="AE518" s="10" t="s">
        <v>838</v>
      </c>
      <c r="AF518" s="9" t="s">
        <v>420</v>
      </c>
      <c r="AG518" s="18">
        <v>37.621295000000003</v>
      </c>
      <c r="AH518" s="7">
        <f t="shared" si="74"/>
        <v>1</v>
      </c>
      <c r="AI518" s="7">
        <f t="shared" si="75"/>
        <v>1</v>
      </c>
      <c r="AJ518" s="7">
        <f t="shared" si="76"/>
        <v>0</v>
      </c>
      <c r="AK518" s="7">
        <f t="shared" si="77"/>
        <v>0</v>
      </c>
      <c r="AL518" s="7" t="s">
        <v>4157</v>
      </c>
      <c r="AM518" s="18">
        <f t="shared" si="78"/>
        <v>1.575433740753815</v>
      </c>
      <c r="AN518" s="18">
        <v>37.621295000000003</v>
      </c>
      <c r="AO518" s="18">
        <v>-84.198892000000001</v>
      </c>
      <c r="AP518" s="9" t="s">
        <v>363</v>
      </c>
      <c r="AQ518" s="9" t="s">
        <v>845</v>
      </c>
      <c r="AR518" s="15">
        <v>1982</v>
      </c>
      <c r="AS518" s="19" t="s">
        <v>840</v>
      </c>
      <c r="AT518" s="20" t="s">
        <v>841</v>
      </c>
      <c r="AU518" s="40">
        <v>3826484</v>
      </c>
      <c r="AV518" s="35">
        <f t="shared" si="79"/>
        <v>6.5827999017171539</v>
      </c>
      <c r="AW518" s="37" t="s">
        <v>338</v>
      </c>
      <c r="AX518" s="34" t="s">
        <v>355</v>
      </c>
      <c r="AY518" s="40" t="s">
        <v>355</v>
      </c>
      <c r="AZ518" s="36">
        <v>87</v>
      </c>
      <c r="BA518" s="14">
        <f t="shared" si="80"/>
        <v>1.9395192526186185</v>
      </c>
      <c r="BB518" s="41" t="s">
        <v>343</v>
      </c>
      <c r="BC518" s="20">
        <v>2.206562625050016E-2</v>
      </c>
      <c r="BD518" s="9">
        <v>30.3</v>
      </c>
      <c r="BE518" s="9" t="s">
        <v>368</v>
      </c>
      <c r="BF518" s="9">
        <v>0</v>
      </c>
    </row>
    <row r="519" spans="1:58">
      <c r="A519" s="9">
        <v>883</v>
      </c>
      <c r="B519" s="10" t="s">
        <v>76</v>
      </c>
      <c r="C519" s="10" t="s">
        <v>369</v>
      </c>
      <c r="D519" s="20" t="s">
        <v>370</v>
      </c>
      <c r="E519" s="20" t="s">
        <v>371</v>
      </c>
      <c r="F519" s="10" t="s">
        <v>369</v>
      </c>
      <c r="G519" s="20" t="s">
        <v>370</v>
      </c>
      <c r="H519" s="20" t="s">
        <v>371</v>
      </c>
      <c r="I519" s="10" t="s">
        <v>369</v>
      </c>
      <c r="J519" s="20" t="s">
        <v>370</v>
      </c>
      <c r="K519" s="20" t="s">
        <v>371</v>
      </c>
      <c r="L519" s="9" t="s">
        <v>380</v>
      </c>
      <c r="M519" s="9">
        <v>12</v>
      </c>
      <c r="N519" s="9" t="s">
        <v>381</v>
      </c>
      <c r="O519" s="9" t="s">
        <v>382</v>
      </c>
      <c r="P519" s="12">
        <v>40.030700000000003</v>
      </c>
      <c r="Q519" s="12" t="s">
        <v>355</v>
      </c>
      <c r="R519" s="9" t="s">
        <v>356</v>
      </c>
      <c r="S519" s="13" t="s">
        <v>684</v>
      </c>
      <c r="T519" s="13" t="s">
        <v>684</v>
      </c>
      <c r="U519" s="14">
        <f t="shared" si="72"/>
        <v>0.90308998699194354</v>
      </c>
      <c r="V519" s="15">
        <v>25</v>
      </c>
      <c r="W519" s="12"/>
      <c r="X519" s="12">
        <v>1</v>
      </c>
      <c r="Y519" s="13" t="s">
        <v>358</v>
      </c>
      <c r="Z519" s="9" t="s">
        <v>417</v>
      </c>
      <c r="AA519" s="10" t="s">
        <v>837</v>
      </c>
      <c r="AB519" s="9" t="s">
        <v>355</v>
      </c>
      <c r="AC519" s="15">
        <v>278</v>
      </c>
      <c r="AD519" s="14">
        <f t="shared" si="73"/>
        <v>2.4440447959180762</v>
      </c>
      <c r="AE519" s="10" t="s">
        <v>838</v>
      </c>
      <c r="AF519" s="9" t="s">
        <v>420</v>
      </c>
      <c r="AG519" s="18">
        <v>37.621295000000003</v>
      </c>
      <c r="AH519" s="7">
        <f t="shared" si="74"/>
        <v>1</v>
      </c>
      <c r="AI519" s="7">
        <f t="shared" si="75"/>
        <v>1</v>
      </c>
      <c r="AJ519" s="7">
        <f t="shared" si="76"/>
        <v>0</v>
      </c>
      <c r="AK519" s="7">
        <f t="shared" si="77"/>
        <v>0</v>
      </c>
      <c r="AL519" s="7" t="s">
        <v>4157</v>
      </c>
      <c r="AM519" s="18">
        <f t="shared" si="78"/>
        <v>1.575433740753815</v>
      </c>
      <c r="AN519" s="18">
        <v>37.621295000000003</v>
      </c>
      <c r="AO519" s="18">
        <v>-84.198892000000001</v>
      </c>
      <c r="AP519" s="9" t="s">
        <v>363</v>
      </c>
      <c r="AQ519" s="9" t="s">
        <v>846</v>
      </c>
      <c r="AR519" s="15">
        <v>1982</v>
      </c>
      <c r="AS519" s="19" t="s">
        <v>840</v>
      </c>
      <c r="AT519" s="20" t="s">
        <v>841</v>
      </c>
      <c r="AU519" s="40">
        <v>3826484</v>
      </c>
      <c r="AV519" s="35">
        <f t="shared" si="79"/>
        <v>6.5827999017171539</v>
      </c>
      <c r="AW519" s="37" t="s">
        <v>338</v>
      </c>
      <c r="AX519" s="34" t="s">
        <v>355</v>
      </c>
      <c r="AY519" s="40" t="s">
        <v>355</v>
      </c>
      <c r="AZ519" s="36">
        <v>87</v>
      </c>
      <c r="BA519" s="14">
        <f t="shared" si="80"/>
        <v>1.9395192526186185</v>
      </c>
      <c r="BB519" s="41" t="s">
        <v>343</v>
      </c>
      <c r="BC519" s="20">
        <v>2.206562625050016E-2</v>
      </c>
      <c r="BD519" s="9">
        <v>30.3</v>
      </c>
      <c r="BE519" s="9" t="s">
        <v>368</v>
      </c>
      <c r="BF519" s="9">
        <v>0</v>
      </c>
    </row>
    <row r="520" spans="1:58">
      <c r="A520" s="9">
        <v>885</v>
      </c>
      <c r="B520" s="10" t="s">
        <v>76</v>
      </c>
      <c r="C520" s="10" t="s">
        <v>369</v>
      </c>
      <c r="D520" s="20" t="s">
        <v>370</v>
      </c>
      <c r="E520" s="20" t="s">
        <v>371</v>
      </c>
      <c r="F520" s="10" t="s">
        <v>369</v>
      </c>
      <c r="G520" s="20" t="s">
        <v>370</v>
      </c>
      <c r="H520" s="20" t="s">
        <v>371</v>
      </c>
      <c r="I520" s="10" t="s">
        <v>369</v>
      </c>
      <c r="J520" s="20" t="s">
        <v>370</v>
      </c>
      <c r="K520" s="20" t="s">
        <v>371</v>
      </c>
      <c r="L520" s="9" t="s">
        <v>380</v>
      </c>
      <c r="M520" s="9">
        <v>12</v>
      </c>
      <c r="N520" s="9" t="s">
        <v>381</v>
      </c>
      <c r="O520" s="9" t="s">
        <v>382</v>
      </c>
      <c r="P520" s="12">
        <v>40.145899999999997</v>
      </c>
      <c r="Q520" s="12" t="s">
        <v>355</v>
      </c>
      <c r="R520" s="9" t="s">
        <v>356</v>
      </c>
      <c r="S520" s="13" t="s">
        <v>684</v>
      </c>
      <c r="T520" s="13" t="s">
        <v>684</v>
      </c>
      <c r="U520" s="14">
        <f t="shared" si="72"/>
        <v>0.90308998699194354</v>
      </c>
      <c r="V520" s="15">
        <v>25</v>
      </c>
      <c r="W520" s="12"/>
      <c r="X520" s="12">
        <v>1</v>
      </c>
      <c r="Y520" s="13" t="s">
        <v>358</v>
      </c>
      <c r="Z520" s="9" t="s">
        <v>417</v>
      </c>
      <c r="AA520" s="10" t="s">
        <v>837</v>
      </c>
      <c r="AB520" s="9" t="s">
        <v>355</v>
      </c>
      <c r="AC520" s="15">
        <v>278</v>
      </c>
      <c r="AD520" s="14">
        <f t="shared" si="73"/>
        <v>2.4440447959180762</v>
      </c>
      <c r="AE520" s="10" t="s">
        <v>838</v>
      </c>
      <c r="AF520" s="9" t="s">
        <v>420</v>
      </c>
      <c r="AG520" s="18">
        <v>37.621295000000003</v>
      </c>
      <c r="AH520" s="7">
        <f t="shared" si="74"/>
        <v>1</v>
      </c>
      <c r="AI520" s="7">
        <f t="shared" si="75"/>
        <v>1</v>
      </c>
      <c r="AJ520" s="7">
        <f t="shared" si="76"/>
        <v>0</v>
      </c>
      <c r="AK520" s="7">
        <f t="shared" si="77"/>
        <v>0</v>
      </c>
      <c r="AL520" s="7" t="s">
        <v>4157</v>
      </c>
      <c r="AM520" s="18">
        <f t="shared" si="78"/>
        <v>1.575433740753815</v>
      </c>
      <c r="AN520" s="18">
        <v>37.621295000000003</v>
      </c>
      <c r="AO520" s="18">
        <v>-84.198892000000001</v>
      </c>
      <c r="AP520" s="9" t="s">
        <v>363</v>
      </c>
      <c r="AQ520" s="9" t="s">
        <v>847</v>
      </c>
      <c r="AR520" s="15">
        <v>1982</v>
      </c>
      <c r="AS520" s="19" t="s">
        <v>840</v>
      </c>
      <c r="AT520" s="20" t="s">
        <v>841</v>
      </c>
      <c r="AU520" s="40">
        <v>3826484</v>
      </c>
      <c r="AV520" s="35">
        <f t="shared" si="79"/>
        <v>6.5827999017171539</v>
      </c>
      <c r="AW520" s="37" t="s">
        <v>338</v>
      </c>
      <c r="AX520" s="34" t="s">
        <v>355</v>
      </c>
      <c r="AY520" s="40" t="s">
        <v>355</v>
      </c>
      <c r="AZ520" s="36">
        <v>87</v>
      </c>
      <c r="BA520" s="14">
        <f t="shared" si="80"/>
        <v>1.9395192526186185</v>
      </c>
      <c r="BB520" s="41" t="s">
        <v>343</v>
      </c>
      <c r="BC520" s="20">
        <v>2.206562625050016E-2</v>
      </c>
      <c r="BD520" s="9">
        <v>30.3</v>
      </c>
      <c r="BE520" s="9" t="s">
        <v>368</v>
      </c>
      <c r="BF520" s="9">
        <v>0</v>
      </c>
    </row>
    <row r="521" spans="1:58">
      <c r="A521" s="9">
        <v>884</v>
      </c>
      <c r="B521" s="10" t="s">
        <v>76</v>
      </c>
      <c r="C521" s="10" t="s">
        <v>369</v>
      </c>
      <c r="D521" s="20" t="s">
        <v>370</v>
      </c>
      <c r="E521" s="20" t="s">
        <v>371</v>
      </c>
      <c r="F521" s="10" t="s">
        <v>369</v>
      </c>
      <c r="G521" s="20" t="s">
        <v>370</v>
      </c>
      <c r="H521" s="20" t="s">
        <v>371</v>
      </c>
      <c r="I521" s="10" t="s">
        <v>369</v>
      </c>
      <c r="J521" s="20" t="s">
        <v>370</v>
      </c>
      <c r="K521" s="20" t="s">
        <v>371</v>
      </c>
      <c r="L521" s="9" t="s">
        <v>380</v>
      </c>
      <c r="M521" s="9">
        <v>12</v>
      </c>
      <c r="N521" s="9" t="s">
        <v>381</v>
      </c>
      <c r="O521" s="9" t="s">
        <v>382</v>
      </c>
      <c r="P521" s="12">
        <v>40.184531999999997</v>
      </c>
      <c r="Q521" s="12" t="s">
        <v>355</v>
      </c>
      <c r="R521" s="9" t="s">
        <v>356</v>
      </c>
      <c r="S521" s="13" t="s">
        <v>684</v>
      </c>
      <c r="T521" s="13" t="s">
        <v>684</v>
      </c>
      <c r="U521" s="14">
        <f t="shared" si="72"/>
        <v>0.90308998699194354</v>
      </c>
      <c r="V521" s="15">
        <v>25</v>
      </c>
      <c r="W521" s="12"/>
      <c r="X521" s="12">
        <v>1</v>
      </c>
      <c r="Y521" s="13" t="s">
        <v>358</v>
      </c>
      <c r="Z521" s="9" t="s">
        <v>417</v>
      </c>
      <c r="AA521" s="10" t="s">
        <v>837</v>
      </c>
      <c r="AB521" s="9" t="s">
        <v>355</v>
      </c>
      <c r="AC521" s="15">
        <v>278</v>
      </c>
      <c r="AD521" s="14">
        <f t="shared" si="73"/>
        <v>2.4440447959180762</v>
      </c>
      <c r="AE521" s="10" t="s">
        <v>838</v>
      </c>
      <c r="AF521" s="9" t="s">
        <v>420</v>
      </c>
      <c r="AG521" s="18">
        <v>37.621295000000003</v>
      </c>
      <c r="AH521" s="7">
        <f t="shared" si="74"/>
        <v>1</v>
      </c>
      <c r="AI521" s="7">
        <f t="shared" si="75"/>
        <v>1</v>
      </c>
      <c r="AJ521" s="7">
        <f t="shared" si="76"/>
        <v>0</v>
      </c>
      <c r="AK521" s="7">
        <f t="shared" si="77"/>
        <v>0</v>
      </c>
      <c r="AL521" s="7" t="s">
        <v>4157</v>
      </c>
      <c r="AM521" s="18">
        <f t="shared" si="78"/>
        <v>1.575433740753815</v>
      </c>
      <c r="AN521" s="18">
        <v>37.621295000000003</v>
      </c>
      <c r="AO521" s="18">
        <v>-84.198892000000001</v>
      </c>
      <c r="AP521" s="9" t="s">
        <v>363</v>
      </c>
      <c r="AQ521" s="9" t="s">
        <v>848</v>
      </c>
      <c r="AR521" s="15">
        <v>1982</v>
      </c>
      <c r="AS521" s="19" t="s">
        <v>840</v>
      </c>
      <c r="AT521" s="20" t="s">
        <v>841</v>
      </c>
      <c r="AU521" s="40">
        <v>3826484</v>
      </c>
      <c r="AV521" s="35">
        <f t="shared" si="79"/>
        <v>6.5827999017171539</v>
      </c>
      <c r="AW521" s="37" t="s">
        <v>338</v>
      </c>
      <c r="AX521" s="34" t="s">
        <v>355</v>
      </c>
      <c r="AY521" s="40" t="s">
        <v>355</v>
      </c>
      <c r="AZ521" s="36">
        <v>87</v>
      </c>
      <c r="BA521" s="14">
        <f t="shared" si="80"/>
        <v>1.9395192526186185</v>
      </c>
      <c r="BB521" s="41" t="s">
        <v>343</v>
      </c>
      <c r="BC521" s="20">
        <v>2.206562625050016E-2</v>
      </c>
      <c r="BD521" s="9">
        <v>30.3</v>
      </c>
      <c r="BE521" s="9" t="s">
        <v>368</v>
      </c>
      <c r="BF521" s="9">
        <v>0</v>
      </c>
    </row>
    <row r="522" spans="1:58">
      <c r="A522" s="9">
        <v>890</v>
      </c>
      <c r="B522" s="10" t="s">
        <v>76</v>
      </c>
      <c r="C522" s="10" t="s">
        <v>369</v>
      </c>
      <c r="D522" s="20" t="s">
        <v>370</v>
      </c>
      <c r="E522" s="20" t="s">
        <v>371</v>
      </c>
      <c r="F522" s="10" t="s">
        <v>369</v>
      </c>
      <c r="G522" s="20" t="s">
        <v>370</v>
      </c>
      <c r="H522" s="20" t="s">
        <v>371</v>
      </c>
      <c r="I522" s="10" t="s">
        <v>369</v>
      </c>
      <c r="J522" s="20" t="s">
        <v>370</v>
      </c>
      <c r="K522" s="20" t="s">
        <v>371</v>
      </c>
      <c r="L522" s="9" t="s">
        <v>380</v>
      </c>
      <c r="M522" s="9">
        <v>12</v>
      </c>
      <c r="N522" s="9" t="s">
        <v>381</v>
      </c>
      <c r="O522" s="9" t="s">
        <v>382</v>
      </c>
      <c r="P522" s="12">
        <v>40.4</v>
      </c>
      <c r="Q522" s="12" t="s">
        <v>355</v>
      </c>
      <c r="R522" s="9" t="s">
        <v>356</v>
      </c>
      <c r="S522" s="13" t="s">
        <v>684</v>
      </c>
      <c r="T522" s="13" t="s">
        <v>684</v>
      </c>
      <c r="U522" s="14">
        <f t="shared" si="72"/>
        <v>0.90308998699194354</v>
      </c>
      <c r="V522" s="15">
        <v>30</v>
      </c>
      <c r="W522" s="12"/>
      <c r="X522" s="12">
        <v>1</v>
      </c>
      <c r="Y522" s="13" t="s">
        <v>358</v>
      </c>
      <c r="Z522" s="9" t="s">
        <v>417</v>
      </c>
      <c r="AA522" s="10" t="s">
        <v>837</v>
      </c>
      <c r="AB522" s="9" t="s">
        <v>355</v>
      </c>
      <c r="AC522" s="15">
        <v>278</v>
      </c>
      <c r="AD522" s="14">
        <f t="shared" si="73"/>
        <v>2.4440447959180762</v>
      </c>
      <c r="AE522" s="10" t="s">
        <v>838</v>
      </c>
      <c r="AF522" s="9" t="s">
        <v>420</v>
      </c>
      <c r="AG522" s="18">
        <v>37.621295000000003</v>
      </c>
      <c r="AH522" s="7">
        <f t="shared" si="74"/>
        <v>1</v>
      </c>
      <c r="AI522" s="7">
        <f t="shared" si="75"/>
        <v>1</v>
      </c>
      <c r="AJ522" s="7">
        <f t="shared" si="76"/>
        <v>0</v>
      </c>
      <c r="AK522" s="7">
        <f t="shared" si="77"/>
        <v>0</v>
      </c>
      <c r="AL522" s="7" t="s">
        <v>4157</v>
      </c>
      <c r="AM522" s="18">
        <f t="shared" si="78"/>
        <v>1.575433740753815</v>
      </c>
      <c r="AN522" s="18">
        <v>37.621295000000003</v>
      </c>
      <c r="AO522" s="18">
        <v>-84.198892000000001</v>
      </c>
      <c r="AP522" s="9" t="s">
        <v>363</v>
      </c>
      <c r="AQ522" s="9" t="s">
        <v>849</v>
      </c>
      <c r="AR522" s="15">
        <v>1982</v>
      </c>
      <c r="AS522" s="19" t="s">
        <v>840</v>
      </c>
      <c r="AT522" s="20" t="s">
        <v>841</v>
      </c>
      <c r="AU522" s="40">
        <v>3826484</v>
      </c>
      <c r="AV522" s="35">
        <f t="shared" si="79"/>
        <v>6.5827999017171539</v>
      </c>
      <c r="AW522" s="37" t="s">
        <v>338</v>
      </c>
      <c r="AX522" s="34" t="s">
        <v>355</v>
      </c>
      <c r="AY522" s="40" t="s">
        <v>355</v>
      </c>
      <c r="AZ522" s="36">
        <v>87</v>
      </c>
      <c r="BA522" s="14">
        <f t="shared" si="80"/>
        <v>1.9395192526186185</v>
      </c>
      <c r="BB522" s="41" t="s">
        <v>343</v>
      </c>
      <c r="BC522" s="20">
        <v>2.206562625050016E-2</v>
      </c>
      <c r="BD522" s="9">
        <v>30.3</v>
      </c>
      <c r="BE522" s="9" t="s">
        <v>368</v>
      </c>
      <c r="BF522" s="9">
        <v>0</v>
      </c>
    </row>
    <row r="523" spans="1:58">
      <c r="A523" s="9">
        <v>173</v>
      </c>
      <c r="B523" s="10" t="s">
        <v>76</v>
      </c>
      <c r="C523" s="10" t="s">
        <v>850</v>
      </c>
      <c r="D523" s="20" t="s">
        <v>851</v>
      </c>
      <c r="E523" s="20" t="s">
        <v>852</v>
      </c>
      <c r="F523" s="10" t="s">
        <v>850</v>
      </c>
      <c r="G523" s="20" t="s">
        <v>851</v>
      </c>
      <c r="H523" s="20" t="s">
        <v>852</v>
      </c>
      <c r="I523" s="10" t="s">
        <v>850</v>
      </c>
      <c r="J523" s="20" t="s">
        <v>851</v>
      </c>
      <c r="K523" s="20" t="s">
        <v>852</v>
      </c>
      <c r="L523" s="9" t="s">
        <v>352</v>
      </c>
      <c r="M523" s="9">
        <v>8</v>
      </c>
      <c r="N523" s="9" t="s">
        <v>353</v>
      </c>
      <c r="O523" s="9" t="s">
        <v>354</v>
      </c>
      <c r="P523" s="12">
        <v>28.3</v>
      </c>
      <c r="Q523" s="12" t="s">
        <v>355</v>
      </c>
      <c r="R523" s="9" t="s">
        <v>356</v>
      </c>
      <c r="S523" s="13">
        <v>7</v>
      </c>
      <c r="T523" s="13">
        <v>7</v>
      </c>
      <c r="U523" s="14">
        <f t="shared" si="72"/>
        <v>0.90308998699194354</v>
      </c>
      <c r="V523" s="15">
        <v>13.5</v>
      </c>
      <c r="W523" s="12">
        <v>8.1968160999999995</v>
      </c>
      <c r="X523" s="12" t="s">
        <v>355</v>
      </c>
      <c r="Y523" s="13" t="s">
        <v>355</v>
      </c>
      <c r="Z523" s="9" t="s">
        <v>359</v>
      </c>
      <c r="AA523" s="10" t="s">
        <v>372</v>
      </c>
      <c r="AB523" s="9" t="s">
        <v>355</v>
      </c>
      <c r="AC523" s="43">
        <v>661</v>
      </c>
      <c r="AD523" s="14">
        <f t="shared" si="73"/>
        <v>2.8202014594856402</v>
      </c>
      <c r="AE523" s="10" t="s">
        <v>355</v>
      </c>
      <c r="AF523" s="44" t="s">
        <v>362</v>
      </c>
      <c r="AG523" s="18">
        <v>47.590189000000002</v>
      </c>
      <c r="AH523" s="7">
        <f t="shared" si="74"/>
        <v>1</v>
      </c>
      <c r="AI523" s="7">
        <f t="shared" si="75"/>
        <v>1</v>
      </c>
      <c r="AJ523" s="7">
        <f t="shared" si="76"/>
        <v>1</v>
      </c>
      <c r="AK523" s="7">
        <f t="shared" si="77"/>
        <v>0</v>
      </c>
      <c r="AL523" s="7" t="s">
        <v>4158</v>
      </c>
      <c r="AM523" s="18">
        <f t="shared" si="78"/>
        <v>1.677517429562239</v>
      </c>
      <c r="AN523" s="45">
        <v>47.590189000000002</v>
      </c>
      <c r="AO523" s="45">
        <v>-123.64563</v>
      </c>
      <c r="AP523" s="9" t="s">
        <v>363</v>
      </c>
      <c r="AQ523" s="9" t="s">
        <v>403</v>
      </c>
      <c r="AR523" s="15">
        <v>1963</v>
      </c>
      <c r="AS523" s="19" t="s">
        <v>709</v>
      </c>
      <c r="AT523" s="20" t="s">
        <v>710</v>
      </c>
      <c r="AU523" s="34">
        <v>16155</v>
      </c>
      <c r="AV523" s="35">
        <f t="shared" si="79"/>
        <v>4.2083069623536629</v>
      </c>
      <c r="AW523" s="36" t="s">
        <v>366</v>
      </c>
      <c r="AX523" s="34" t="s">
        <v>355</v>
      </c>
      <c r="AY523" s="34" t="s">
        <v>355</v>
      </c>
      <c r="AZ523" s="15">
        <v>115</v>
      </c>
      <c r="BA523" s="14">
        <f t="shared" si="80"/>
        <v>2.0606978403536118</v>
      </c>
      <c r="BB523" s="36" t="s">
        <v>388</v>
      </c>
      <c r="BC523" s="20">
        <v>8.9179671868751774E-3</v>
      </c>
      <c r="BD523" s="9">
        <v>20.400000000000002</v>
      </c>
      <c r="BE523" s="9" t="s">
        <v>459</v>
      </c>
      <c r="BF523" s="9">
        <v>1</v>
      </c>
    </row>
    <row r="524" spans="1:58">
      <c r="A524" s="9">
        <v>8</v>
      </c>
      <c r="B524" s="10" t="s">
        <v>76</v>
      </c>
      <c r="C524" s="10" t="s">
        <v>850</v>
      </c>
      <c r="D524" s="20" t="s">
        <v>851</v>
      </c>
      <c r="E524" s="20" t="s">
        <v>853</v>
      </c>
      <c r="F524" s="10" t="s">
        <v>850</v>
      </c>
      <c r="G524" s="20" t="s">
        <v>851</v>
      </c>
      <c r="H524" s="20" t="s">
        <v>853</v>
      </c>
      <c r="I524" s="10" t="s">
        <v>850</v>
      </c>
      <c r="J524" s="20" t="s">
        <v>851</v>
      </c>
      <c r="K524" s="20" t="s">
        <v>853</v>
      </c>
      <c r="L524" s="9" t="s">
        <v>352</v>
      </c>
      <c r="M524" s="9">
        <v>8</v>
      </c>
      <c r="N524" s="9" t="s">
        <v>353</v>
      </c>
      <c r="O524" s="9" t="s">
        <v>354</v>
      </c>
      <c r="P524" s="12">
        <v>27.9</v>
      </c>
      <c r="Q524" s="12" t="s">
        <v>355</v>
      </c>
      <c r="R524" s="9" t="s">
        <v>356</v>
      </c>
      <c r="S524" s="13" t="s">
        <v>684</v>
      </c>
      <c r="T524" s="13" t="s">
        <v>684</v>
      </c>
      <c r="U524" s="14">
        <f t="shared" si="72"/>
        <v>0.90308998699194354</v>
      </c>
      <c r="V524" s="15">
        <v>11</v>
      </c>
      <c r="W524" s="12">
        <v>6.8373139999999992</v>
      </c>
      <c r="X524" s="12" t="s">
        <v>355</v>
      </c>
      <c r="Y524" s="13" t="s">
        <v>854</v>
      </c>
      <c r="Z524" s="9" t="s">
        <v>359</v>
      </c>
      <c r="AA524" s="10" t="s">
        <v>855</v>
      </c>
      <c r="AB524" s="9" t="s">
        <v>355</v>
      </c>
      <c r="AC524" s="15">
        <v>700</v>
      </c>
      <c r="AD524" s="14">
        <f t="shared" si="73"/>
        <v>2.8450980400142569</v>
      </c>
      <c r="AE524" s="10" t="s">
        <v>856</v>
      </c>
      <c r="AF524" s="9" t="s">
        <v>362</v>
      </c>
      <c r="AG524" s="18">
        <v>44.504286999999998</v>
      </c>
      <c r="AH524" s="7">
        <f t="shared" si="74"/>
        <v>1</v>
      </c>
      <c r="AI524" s="7">
        <f t="shared" si="75"/>
        <v>1</v>
      </c>
      <c r="AJ524" s="7">
        <f t="shared" si="76"/>
        <v>0</v>
      </c>
      <c r="AK524" s="7">
        <f t="shared" si="77"/>
        <v>0</v>
      </c>
      <c r="AL524" s="7" t="s">
        <v>4157</v>
      </c>
      <c r="AM524" s="18">
        <f t="shared" si="78"/>
        <v>1.6484018476274149</v>
      </c>
      <c r="AN524" s="18">
        <v>44.504286999999998</v>
      </c>
      <c r="AO524" s="18">
        <v>-123.55121699999999</v>
      </c>
      <c r="AP524" s="9" t="s">
        <v>363</v>
      </c>
      <c r="AQ524" s="9" t="s">
        <v>355</v>
      </c>
      <c r="AR524" s="15">
        <v>2008</v>
      </c>
      <c r="AS524" s="19" t="s">
        <v>857</v>
      </c>
      <c r="AT524" s="20" t="s">
        <v>858</v>
      </c>
      <c r="AU524" s="34">
        <v>47682</v>
      </c>
      <c r="AV524" s="35">
        <f t="shared" si="79"/>
        <v>4.6783544634005372</v>
      </c>
      <c r="AW524" s="36" t="s">
        <v>366</v>
      </c>
      <c r="AX524" s="34" t="s">
        <v>355</v>
      </c>
      <c r="AY524" s="34" t="s">
        <v>355</v>
      </c>
      <c r="AZ524" s="15">
        <v>115</v>
      </c>
      <c r="BA524" s="14">
        <f t="shared" si="80"/>
        <v>2.0606978403536118</v>
      </c>
      <c r="BB524" s="36" t="s">
        <v>388</v>
      </c>
      <c r="BC524" s="20">
        <v>4.3057222889152863E-3</v>
      </c>
      <c r="BD524" s="9">
        <v>22</v>
      </c>
      <c r="BE524" s="9" t="s">
        <v>368</v>
      </c>
      <c r="BF524" s="9">
        <v>0</v>
      </c>
    </row>
    <row r="525" spans="1:58">
      <c r="A525" s="9">
        <v>946</v>
      </c>
      <c r="B525" s="10" t="s">
        <v>76</v>
      </c>
      <c r="C525" s="10" t="s">
        <v>721</v>
      </c>
      <c r="D525" s="20" t="s">
        <v>859</v>
      </c>
      <c r="E525" s="20" t="s">
        <v>860</v>
      </c>
      <c r="F525" s="20" t="s">
        <v>721</v>
      </c>
      <c r="G525" s="20" t="s">
        <v>859</v>
      </c>
      <c r="H525" s="20" t="s">
        <v>860</v>
      </c>
      <c r="I525" s="20" t="s">
        <v>721</v>
      </c>
      <c r="J525" s="20" t="s">
        <v>859</v>
      </c>
      <c r="K525" s="20" t="s">
        <v>860</v>
      </c>
      <c r="L525" s="9" t="s">
        <v>352</v>
      </c>
      <c r="M525" s="9">
        <v>62</v>
      </c>
      <c r="N525" s="9" t="s">
        <v>381</v>
      </c>
      <c r="O525" s="9" t="s">
        <v>354</v>
      </c>
      <c r="P525" s="12">
        <v>31.1</v>
      </c>
      <c r="Q525" s="12" t="s">
        <v>355</v>
      </c>
      <c r="R525" s="9" t="s">
        <v>356</v>
      </c>
      <c r="S525" s="13" t="s">
        <v>684</v>
      </c>
      <c r="T525" s="13" t="s">
        <v>684</v>
      </c>
      <c r="U525" s="14">
        <f t="shared" si="72"/>
        <v>0.90308998699194354</v>
      </c>
      <c r="V525" s="15">
        <v>15</v>
      </c>
      <c r="W525" s="12">
        <v>4.3497520000000023</v>
      </c>
      <c r="X525" s="12">
        <v>0.3</v>
      </c>
      <c r="Y525" s="13" t="s">
        <v>358</v>
      </c>
      <c r="Z525" s="9" t="s">
        <v>359</v>
      </c>
      <c r="AA525" s="10" t="s">
        <v>418</v>
      </c>
      <c r="AB525" s="9" t="s">
        <v>355</v>
      </c>
      <c r="AC525" s="15">
        <v>412</v>
      </c>
      <c r="AD525" s="14">
        <f t="shared" si="73"/>
        <v>2.6148972160331345</v>
      </c>
      <c r="AE525" s="10" t="s">
        <v>805</v>
      </c>
      <c r="AF525" s="9" t="s">
        <v>420</v>
      </c>
      <c r="AG525" s="18">
        <v>27.33427</v>
      </c>
      <c r="AH525" s="7">
        <f t="shared" si="74"/>
        <v>1</v>
      </c>
      <c r="AI525" s="7">
        <f t="shared" si="75"/>
        <v>0</v>
      </c>
      <c r="AJ525" s="7">
        <f t="shared" si="76"/>
        <v>0</v>
      </c>
      <c r="AK525" s="7">
        <f t="shared" si="77"/>
        <v>0</v>
      </c>
      <c r="AL525" s="7" t="s">
        <v>4159</v>
      </c>
      <c r="AM525" s="18">
        <f t="shared" si="78"/>
        <v>1.436707479939477</v>
      </c>
      <c r="AN525" s="18">
        <v>-27.33427</v>
      </c>
      <c r="AO525" s="18">
        <v>152.767763</v>
      </c>
      <c r="AP525" s="9" t="s">
        <v>363</v>
      </c>
      <c r="AQ525" s="9" t="s">
        <v>355</v>
      </c>
      <c r="AR525" s="15">
        <v>1971</v>
      </c>
      <c r="AS525" s="19" t="s">
        <v>725</v>
      </c>
      <c r="AT525" s="20" t="s">
        <v>726</v>
      </c>
      <c r="AU525" s="40">
        <v>3829</v>
      </c>
      <c r="AV525" s="35">
        <f t="shared" si="79"/>
        <v>3.5830853663476878</v>
      </c>
      <c r="AW525" s="41" t="s">
        <v>366</v>
      </c>
      <c r="AX525" s="40">
        <v>350</v>
      </c>
      <c r="AY525" s="40">
        <v>800</v>
      </c>
      <c r="AZ525" s="15">
        <v>33</v>
      </c>
      <c r="BA525" s="14">
        <f t="shared" si="80"/>
        <v>1.5185139398778875</v>
      </c>
      <c r="BB525" s="37" t="s">
        <v>388</v>
      </c>
      <c r="BC525" s="20">
        <v>8.5146058423372327E-3</v>
      </c>
      <c r="BD525" s="9">
        <v>28</v>
      </c>
      <c r="BE525" s="9" t="s">
        <v>861</v>
      </c>
      <c r="BF525" s="9">
        <v>1</v>
      </c>
    </row>
    <row r="526" spans="1:58">
      <c r="A526" s="9">
        <v>664</v>
      </c>
      <c r="B526" s="10" t="s">
        <v>76</v>
      </c>
      <c r="C526" s="10" t="s">
        <v>721</v>
      </c>
      <c r="D526" s="20" t="s">
        <v>859</v>
      </c>
      <c r="E526" s="20" t="s">
        <v>860</v>
      </c>
      <c r="F526" s="10" t="s">
        <v>721</v>
      </c>
      <c r="G526" s="20" t="s">
        <v>859</v>
      </c>
      <c r="H526" s="20" t="s">
        <v>860</v>
      </c>
      <c r="I526" s="10" t="s">
        <v>721</v>
      </c>
      <c r="J526" s="20" t="s">
        <v>859</v>
      </c>
      <c r="K526" s="20" t="s">
        <v>860</v>
      </c>
      <c r="L526" s="9" t="s">
        <v>352</v>
      </c>
      <c r="M526" s="9">
        <v>62</v>
      </c>
      <c r="N526" s="9" t="s">
        <v>381</v>
      </c>
      <c r="O526" s="9" t="s">
        <v>354</v>
      </c>
      <c r="P526" s="12">
        <v>31.1</v>
      </c>
      <c r="Q526" s="12" t="s">
        <v>355</v>
      </c>
      <c r="R526" s="9" t="s">
        <v>356</v>
      </c>
      <c r="S526" s="50">
        <v>7</v>
      </c>
      <c r="T526" s="50">
        <v>7</v>
      </c>
      <c r="U526" s="14">
        <f t="shared" si="72"/>
        <v>0.90308998699194354</v>
      </c>
      <c r="V526" s="15">
        <v>15</v>
      </c>
      <c r="W526" s="12">
        <v>4.3497520000000023</v>
      </c>
      <c r="X526" s="12">
        <v>0.33</v>
      </c>
      <c r="Y526" s="13" t="s">
        <v>401</v>
      </c>
      <c r="Z526" s="9" t="s">
        <v>359</v>
      </c>
      <c r="AA526" s="10" t="s">
        <v>372</v>
      </c>
      <c r="AB526" s="9" t="s">
        <v>355</v>
      </c>
      <c r="AC526" s="15">
        <v>610</v>
      </c>
      <c r="AD526" s="14">
        <f t="shared" si="73"/>
        <v>2.7853298350107671</v>
      </c>
      <c r="AE526" s="10" t="s">
        <v>805</v>
      </c>
      <c r="AF526" s="9" t="s">
        <v>420</v>
      </c>
      <c r="AG526" s="18">
        <v>27.33427</v>
      </c>
      <c r="AH526" s="7">
        <f t="shared" si="74"/>
        <v>1</v>
      </c>
      <c r="AI526" s="7">
        <f t="shared" si="75"/>
        <v>0</v>
      </c>
      <c r="AJ526" s="7">
        <f t="shared" si="76"/>
        <v>0</v>
      </c>
      <c r="AK526" s="7">
        <f t="shared" si="77"/>
        <v>0</v>
      </c>
      <c r="AL526" s="7" t="s">
        <v>4159</v>
      </c>
      <c r="AM526" s="18">
        <f t="shared" si="78"/>
        <v>1.436707479939477</v>
      </c>
      <c r="AN526" s="18">
        <v>-27.33427</v>
      </c>
      <c r="AO526" s="18">
        <v>152.767763</v>
      </c>
      <c r="AP526" s="9" t="s">
        <v>363</v>
      </c>
      <c r="AQ526" s="9" t="s">
        <v>355</v>
      </c>
      <c r="AR526" s="15">
        <v>1971</v>
      </c>
      <c r="AS526" s="19" t="s">
        <v>862</v>
      </c>
      <c r="AT526" s="20" t="s">
        <v>863</v>
      </c>
      <c r="AU526" s="40">
        <v>3829</v>
      </c>
      <c r="AV526" s="35">
        <f t="shared" si="79"/>
        <v>3.5830853663476878</v>
      </c>
      <c r="AW526" s="41" t="s">
        <v>366</v>
      </c>
      <c r="AX526" s="40">
        <v>350</v>
      </c>
      <c r="AY526" s="40">
        <v>800</v>
      </c>
      <c r="AZ526" s="15">
        <v>33</v>
      </c>
      <c r="BA526" s="14">
        <f t="shared" si="80"/>
        <v>1.5185139398778875</v>
      </c>
      <c r="BB526" s="37" t="s">
        <v>388</v>
      </c>
      <c r="BC526" s="20">
        <v>8.5146058423372327E-3</v>
      </c>
      <c r="BD526" s="9">
        <v>28</v>
      </c>
      <c r="BE526" s="9" t="s">
        <v>861</v>
      </c>
      <c r="BF526" s="9">
        <v>1</v>
      </c>
    </row>
    <row r="527" spans="1:58">
      <c r="A527" s="9">
        <v>930</v>
      </c>
      <c r="B527" s="10" t="s">
        <v>76</v>
      </c>
      <c r="C527" s="10" t="s">
        <v>721</v>
      </c>
      <c r="D527" s="20" t="s">
        <v>864</v>
      </c>
      <c r="E527" s="20" t="s">
        <v>865</v>
      </c>
      <c r="F527" s="10" t="s">
        <v>721</v>
      </c>
      <c r="G527" s="20" t="s">
        <v>864</v>
      </c>
      <c r="H527" s="20" t="s">
        <v>865</v>
      </c>
      <c r="I527" s="10" t="s">
        <v>721</v>
      </c>
      <c r="J527" s="20" t="s">
        <v>864</v>
      </c>
      <c r="K527" s="20" t="s">
        <v>865</v>
      </c>
      <c r="L527" s="9" t="s">
        <v>352</v>
      </c>
      <c r="M527" s="9">
        <v>2</v>
      </c>
      <c r="N527" s="9" t="s">
        <v>353</v>
      </c>
      <c r="O527" s="9" t="s">
        <v>354</v>
      </c>
      <c r="P527" s="12">
        <v>34.4</v>
      </c>
      <c r="Q527" s="12" t="s">
        <v>355</v>
      </c>
      <c r="R527" s="9" t="s">
        <v>356</v>
      </c>
      <c r="S527" s="13" t="s">
        <v>684</v>
      </c>
      <c r="T527" s="13" t="s">
        <v>684</v>
      </c>
      <c r="U527" s="14">
        <f t="shared" si="72"/>
        <v>0.90308998699194354</v>
      </c>
      <c r="V527" s="15">
        <v>25</v>
      </c>
      <c r="W527" s="12">
        <v>4.8218905000000021</v>
      </c>
      <c r="X527" s="12">
        <v>0.3</v>
      </c>
      <c r="Y527" s="13" t="s">
        <v>358</v>
      </c>
      <c r="Z527" s="9" t="s">
        <v>359</v>
      </c>
      <c r="AA527" s="10" t="s">
        <v>418</v>
      </c>
      <c r="AB527" s="9" t="s">
        <v>355</v>
      </c>
      <c r="AC527" s="15">
        <v>64</v>
      </c>
      <c r="AD527" s="14">
        <f t="shared" si="73"/>
        <v>1.8061799739838871</v>
      </c>
      <c r="AE527" s="10" t="s">
        <v>756</v>
      </c>
      <c r="AF527" s="9" t="s">
        <v>420</v>
      </c>
      <c r="AG527" s="18">
        <v>27.552838000000001</v>
      </c>
      <c r="AH527" s="7">
        <f t="shared" si="74"/>
        <v>1</v>
      </c>
      <c r="AI527" s="7">
        <f t="shared" si="75"/>
        <v>0</v>
      </c>
      <c r="AJ527" s="7">
        <f t="shared" si="76"/>
        <v>0</v>
      </c>
      <c r="AK527" s="7">
        <f t="shared" si="77"/>
        <v>0</v>
      </c>
      <c r="AL527" s="7" t="s">
        <v>4159</v>
      </c>
      <c r="AM527" s="18">
        <f t="shared" si="78"/>
        <v>1.4401663387326675</v>
      </c>
      <c r="AN527" s="18">
        <v>-27.552838000000001</v>
      </c>
      <c r="AO527" s="18">
        <v>153.05550500000001</v>
      </c>
      <c r="AP527" s="9" t="s">
        <v>363</v>
      </c>
      <c r="AQ527" s="9" t="s">
        <v>355</v>
      </c>
      <c r="AR527" s="15">
        <v>1971</v>
      </c>
      <c r="AS527" s="19" t="s">
        <v>725</v>
      </c>
      <c r="AT527" s="20" t="s">
        <v>726</v>
      </c>
      <c r="AU527" s="40">
        <v>442444</v>
      </c>
      <c r="AV527" s="35">
        <f t="shared" si="79"/>
        <v>5.6458583099942059</v>
      </c>
      <c r="AW527" s="41" t="s">
        <v>366</v>
      </c>
      <c r="AX527" s="40">
        <v>0</v>
      </c>
      <c r="AY527" s="40" t="s">
        <v>355</v>
      </c>
      <c r="AZ527" s="15">
        <v>33</v>
      </c>
      <c r="BA527" s="14">
        <f t="shared" si="80"/>
        <v>1.5185139398778875</v>
      </c>
      <c r="BB527" s="37" t="s">
        <v>388</v>
      </c>
      <c r="BC527" s="20">
        <v>7.1628651460558916E-4</v>
      </c>
      <c r="BD527" s="9">
        <v>29.5</v>
      </c>
      <c r="BE527" s="9" t="s">
        <v>368</v>
      </c>
      <c r="BF527" s="9">
        <v>0</v>
      </c>
    </row>
    <row r="528" spans="1:58">
      <c r="A528" s="9">
        <v>931</v>
      </c>
      <c r="B528" s="10" t="s">
        <v>76</v>
      </c>
      <c r="C528" s="10" t="s">
        <v>721</v>
      </c>
      <c r="D528" s="20" t="s">
        <v>864</v>
      </c>
      <c r="E528" s="20" t="s">
        <v>866</v>
      </c>
      <c r="F528" s="10" t="s">
        <v>721</v>
      </c>
      <c r="G528" s="20" t="s">
        <v>864</v>
      </c>
      <c r="H528" s="20" t="s">
        <v>866</v>
      </c>
      <c r="I528" s="10" t="s">
        <v>721</v>
      </c>
      <c r="J528" s="20" t="s">
        <v>864</v>
      </c>
      <c r="K528" s="20" t="s">
        <v>866</v>
      </c>
      <c r="L528" s="9" t="s">
        <v>352</v>
      </c>
      <c r="M528" s="9">
        <v>12</v>
      </c>
      <c r="N528" s="9" t="s">
        <v>381</v>
      </c>
      <c r="O528" s="9" t="s">
        <v>354</v>
      </c>
      <c r="P528" s="12">
        <v>34.4</v>
      </c>
      <c r="Q528" s="12" t="s">
        <v>355</v>
      </c>
      <c r="R528" s="9" t="s">
        <v>356</v>
      </c>
      <c r="S528" s="13" t="s">
        <v>684</v>
      </c>
      <c r="T528" s="13" t="s">
        <v>684</v>
      </c>
      <c r="U528" s="14">
        <f t="shared" si="72"/>
        <v>0.90308998699194354</v>
      </c>
      <c r="V528" s="15">
        <v>25</v>
      </c>
      <c r="W528" s="12">
        <v>4.8218905000000021</v>
      </c>
      <c r="X528" s="12">
        <v>0.3</v>
      </c>
      <c r="Y528" s="13" t="s">
        <v>358</v>
      </c>
      <c r="Z528" s="9" t="s">
        <v>359</v>
      </c>
      <c r="AA528" s="10" t="s">
        <v>418</v>
      </c>
      <c r="AB528" s="9" t="s">
        <v>355</v>
      </c>
      <c r="AC528" s="15">
        <v>64</v>
      </c>
      <c r="AD528" s="14">
        <f t="shared" si="73"/>
        <v>1.8061799739838871</v>
      </c>
      <c r="AE528" s="10" t="s">
        <v>753</v>
      </c>
      <c r="AF528" s="9" t="s">
        <v>420</v>
      </c>
      <c r="AG528" s="18">
        <v>27.552838000000001</v>
      </c>
      <c r="AH528" s="7">
        <f t="shared" si="74"/>
        <v>1</v>
      </c>
      <c r="AI528" s="7">
        <f t="shared" si="75"/>
        <v>0</v>
      </c>
      <c r="AJ528" s="7">
        <f t="shared" si="76"/>
        <v>0</v>
      </c>
      <c r="AK528" s="7">
        <f t="shared" si="77"/>
        <v>0</v>
      </c>
      <c r="AL528" s="7" t="s">
        <v>4159</v>
      </c>
      <c r="AM528" s="18">
        <f t="shared" si="78"/>
        <v>1.4401663387326675</v>
      </c>
      <c r="AN528" s="18">
        <v>-27.552838000000001</v>
      </c>
      <c r="AO528" s="18">
        <v>153.05550500000001</v>
      </c>
      <c r="AP528" s="9" t="s">
        <v>363</v>
      </c>
      <c r="AQ528" s="9" t="s">
        <v>355</v>
      </c>
      <c r="AR528" s="15">
        <v>1971</v>
      </c>
      <c r="AS528" s="19" t="s">
        <v>725</v>
      </c>
      <c r="AT528" s="20" t="s">
        <v>726</v>
      </c>
      <c r="AU528" s="40">
        <v>7742</v>
      </c>
      <c r="AV528" s="35">
        <f t="shared" si="79"/>
        <v>3.8888531669829365</v>
      </c>
      <c r="AW528" s="41" t="s">
        <v>366</v>
      </c>
      <c r="AX528" s="49" t="s">
        <v>355</v>
      </c>
      <c r="AY528" s="49" t="s">
        <v>355</v>
      </c>
      <c r="AZ528" s="15">
        <v>33</v>
      </c>
      <c r="BA528" s="14">
        <f t="shared" si="80"/>
        <v>1.5185139398778875</v>
      </c>
      <c r="BB528" s="37" t="s">
        <v>388</v>
      </c>
      <c r="BC528" s="20">
        <v>7.1628651460558916E-4</v>
      </c>
      <c r="BD528" s="9">
        <v>29.5</v>
      </c>
      <c r="BE528" s="9" t="s">
        <v>355</v>
      </c>
      <c r="BF528" s="9"/>
    </row>
    <row r="529" spans="1:58">
      <c r="A529" s="9">
        <v>929</v>
      </c>
      <c r="B529" s="10" t="s">
        <v>76</v>
      </c>
      <c r="C529" s="10" t="s">
        <v>721</v>
      </c>
      <c r="D529" s="20" t="s">
        <v>864</v>
      </c>
      <c r="E529" s="20" t="s">
        <v>867</v>
      </c>
      <c r="F529" s="10" t="s">
        <v>721</v>
      </c>
      <c r="G529" s="20" t="s">
        <v>864</v>
      </c>
      <c r="H529" s="20" t="s">
        <v>867</v>
      </c>
      <c r="I529" s="10" t="s">
        <v>721</v>
      </c>
      <c r="J529" s="20" t="s">
        <v>864</v>
      </c>
      <c r="K529" s="20" t="s">
        <v>867</v>
      </c>
      <c r="L529" s="9" t="s">
        <v>352</v>
      </c>
      <c r="M529" s="9">
        <v>3</v>
      </c>
      <c r="N529" s="9" t="s">
        <v>353</v>
      </c>
      <c r="O529" s="9" t="s">
        <v>354</v>
      </c>
      <c r="P529" s="12">
        <v>36</v>
      </c>
      <c r="Q529" s="12" t="s">
        <v>355</v>
      </c>
      <c r="R529" s="9" t="s">
        <v>356</v>
      </c>
      <c r="S529" s="13" t="s">
        <v>684</v>
      </c>
      <c r="T529" s="13" t="s">
        <v>684</v>
      </c>
      <c r="U529" s="14">
        <f t="shared" si="72"/>
        <v>0.90308998699194354</v>
      </c>
      <c r="V529" s="15">
        <v>25</v>
      </c>
      <c r="W529" s="12">
        <v>6.4218905000000035</v>
      </c>
      <c r="X529" s="12">
        <v>0.3</v>
      </c>
      <c r="Y529" s="13" t="s">
        <v>358</v>
      </c>
      <c r="Z529" s="9" t="s">
        <v>359</v>
      </c>
      <c r="AA529" s="10" t="s">
        <v>418</v>
      </c>
      <c r="AB529" s="9" t="s">
        <v>355</v>
      </c>
      <c r="AC529" s="15">
        <v>64</v>
      </c>
      <c r="AD529" s="14">
        <f t="shared" si="73"/>
        <v>1.8061799739838871</v>
      </c>
      <c r="AE529" s="10" t="s">
        <v>753</v>
      </c>
      <c r="AF529" s="9" t="s">
        <v>420</v>
      </c>
      <c r="AG529" s="18">
        <v>27.552838000000001</v>
      </c>
      <c r="AH529" s="7">
        <f t="shared" si="74"/>
        <v>1</v>
      </c>
      <c r="AI529" s="7">
        <f t="shared" si="75"/>
        <v>0</v>
      </c>
      <c r="AJ529" s="7">
        <f t="shared" si="76"/>
        <v>0</v>
      </c>
      <c r="AK529" s="7">
        <f t="shared" si="77"/>
        <v>0</v>
      </c>
      <c r="AL529" s="7" t="s">
        <v>4159</v>
      </c>
      <c r="AM529" s="18">
        <f t="shared" si="78"/>
        <v>1.4401663387326675</v>
      </c>
      <c r="AN529" s="18">
        <v>-27.552838000000001</v>
      </c>
      <c r="AO529" s="18">
        <v>153.05550500000001</v>
      </c>
      <c r="AP529" s="9" t="s">
        <v>363</v>
      </c>
      <c r="AQ529" s="9" t="s">
        <v>355</v>
      </c>
      <c r="AR529" s="15">
        <v>1971</v>
      </c>
      <c r="AS529" s="19" t="s">
        <v>725</v>
      </c>
      <c r="AT529" s="20" t="s">
        <v>726</v>
      </c>
      <c r="AU529" s="40">
        <v>962875</v>
      </c>
      <c r="AV529" s="35">
        <f t="shared" si="79"/>
        <v>5.9835699108692593</v>
      </c>
      <c r="AW529" s="41" t="s">
        <v>366</v>
      </c>
      <c r="AX529" s="34" t="s">
        <v>355</v>
      </c>
      <c r="AY529" s="40" t="s">
        <v>355</v>
      </c>
      <c r="AZ529" s="15">
        <v>33</v>
      </c>
      <c r="BA529" s="14">
        <f t="shared" si="80"/>
        <v>1.5185139398778875</v>
      </c>
      <c r="BB529" s="37" t="s">
        <v>388</v>
      </c>
      <c r="BC529" s="20">
        <v>7.1628651460558916E-4</v>
      </c>
      <c r="BD529" s="9">
        <v>29.5</v>
      </c>
      <c r="BE529" s="9" t="s">
        <v>368</v>
      </c>
      <c r="BF529" s="9">
        <v>0</v>
      </c>
    </row>
    <row r="530" spans="1:58">
      <c r="A530" s="9">
        <v>867</v>
      </c>
      <c r="B530" s="10" t="s">
        <v>76</v>
      </c>
      <c r="C530" s="10" t="s">
        <v>389</v>
      </c>
      <c r="D530" s="20" t="s">
        <v>390</v>
      </c>
      <c r="E530" s="20" t="s">
        <v>435</v>
      </c>
      <c r="F530" s="10" t="s">
        <v>389</v>
      </c>
      <c r="G530" s="20" t="s">
        <v>390</v>
      </c>
      <c r="H530" s="20" t="s">
        <v>435</v>
      </c>
      <c r="I530" s="10" t="s">
        <v>389</v>
      </c>
      <c r="J530" s="20" t="s">
        <v>392</v>
      </c>
      <c r="K530" s="20" t="s">
        <v>435</v>
      </c>
      <c r="L530" s="9" t="s">
        <v>352</v>
      </c>
      <c r="M530" s="9">
        <v>10</v>
      </c>
      <c r="N530" s="9" t="s">
        <v>381</v>
      </c>
      <c r="O530" s="9" t="s">
        <v>354</v>
      </c>
      <c r="P530" s="12">
        <v>39.295074</v>
      </c>
      <c r="Q530" s="12" t="s">
        <v>355</v>
      </c>
      <c r="R530" s="9" t="s">
        <v>356</v>
      </c>
      <c r="S530" s="13" t="s">
        <v>868</v>
      </c>
      <c r="T530" s="13" t="s">
        <v>868</v>
      </c>
      <c r="U530" s="14">
        <f t="shared" si="72"/>
        <v>0.95424250943932487</v>
      </c>
      <c r="V530" s="15">
        <v>21</v>
      </c>
      <c r="W530" s="12">
        <v>12.029402499999996</v>
      </c>
      <c r="X530" s="12">
        <v>1</v>
      </c>
      <c r="Y530" s="13" t="s">
        <v>358</v>
      </c>
      <c r="Z530" s="9" t="s">
        <v>359</v>
      </c>
      <c r="AA530" s="10" t="s">
        <v>869</v>
      </c>
      <c r="AB530" s="9" t="s">
        <v>355</v>
      </c>
      <c r="AC530" s="15">
        <v>252</v>
      </c>
      <c r="AD530" s="14">
        <f t="shared" si="73"/>
        <v>2.4014005407815442</v>
      </c>
      <c r="AE530" s="10" t="s">
        <v>870</v>
      </c>
      <c r="AF530" s="9" t="s">
        <v>362</v>
      </c>
      <c r="AG530" s="18">
        <v>42.878135</v>
      </c>
      <c r="AH530" s="7">
        <f t="shared" si="74"/>
        <v>1</v>
      </c>
      <c r="AI530" s="7">
        <f t="shared" si="75"/>
        <v>1</v>
      </c>
      <c r="AJ530" s="7">
        <f t="shared" si="76"/>
        <v>0</v>
      </c>
      <c r="AK530" s="7">
        <f t="shared" si="77"/>
        <v>0</v>
      </c>
      <c r="AL530" s="7" t="s">
        <v>4157</v>
      </c>
      <c r="AM530" s="18">
        <f t="shared" si="78"/>
        <v>1.6322358872998435</v>
      </c>
      <c r="AN530" s="18">
        <v>42.878135</v>
      </c>
      <c r="AO530" s="18">
        <v>-73.196774000000005</v>
      </c>
      <c r="AP530" s="9" t="s">
        <v>363</v>
      </c>
      <c r="AQ530" s="9" t="s">
        <v>355</v>
      </c>
      <c r="AR530" s="15">
        <v>2003</v>
      </c>
      <c r="AS530" s="19" t="s">
        <v>871</v>
      </c>
      <c r="AT530" s="20" t="s">
        <v>872</v>
      </c>
      <c r="AU530" s="40">
        <v>5638611</v>
      </c>
      <c r="AV530" s="35">
        <f t="shared" si="79"/>
        <v>6.7511721342441762</v>
      </c>
      <c r="AW530" s="37" t="s">
        <v>366</v>
      </c>
      <c r="AX530" s="34" t="s">
        <v>355</v>
      </c>
      <c r="AY530" s="40" t="s">
        <v>355</v>
      </c>
      <c r="AZ530" s="15">
        <v>113</v>
      </c>
      <c r="BA530" s="14">
        <f t="shared" si="80"/>
        <v>2.0530784434834195</v>
      </c>
      <c r="BB530" s="37" t="s">
        <v>367</v>
      </c>
      <c r="BC530" s="20">
        <v>2.2845538215286652E-2</v>
      </c>
      <c r="BD530" s="9">
        <v>27.5</v>
      </c>
      <c r="BE530" s="9" t="s">
        <v>368</v>
      </c>
      <c r="BF530" s="9">
        <v>0</v>
      </c>
    </row>
    <row r="531" spans="1:58">
      <c r="A531" s="9">
        <v>868</v>
      </c>
      <c r="B531" s="10" t="s">
        <v>76</v>
      </c>
      <c r="C531" s="10" t="s">
        <v>389</v>
      </c>
      <c r="D531" s="20" t="s">
        <v>390</v>
      </c>
      <c r="E531" s="20" t="s">
        <v>435</v>
      </c>
      <c r="F531" s="10" t="s">
        <v>389</v>
      </c>
      <c r="G531" s="20" t="s">
        <v>390</v>
      </c>
      <c r="H531" s="20" t="s">
        <v>435</v>
      </c>
      <c r="I531" s="10" t="s">
        <v>389</v>
      </c>
      <c r="J531" s="20" t="s">
        <v>392</v>
      </c>
      <c r="K531" s="20" t="s">
        <v>435</v>
      </c>
      <c r="L531" s="9" t="s">
        <v>352</v>
      </c>
      <c r="M531" s="9">
        <v>7</v>
      </c>
      <c r="N531" s="9" t="s">
        <v>353</v>
      </c>
      <c r="O531" s="9" t="s">
        <v>354</v>
      </c>
      <c r="P531" s="12">
        <v>39.781579999999998</v>
      </c>
      <c r="Q531" s="12" t="s">
        <v>355</v>
      </c>
      <c r="R531" s="9" t="s">
        <v>356</v>
      </c>
      <c r="S531" s="13" t="s">
        <v>868</v>
      </c>
      <c r="T531" s="13" t="s">
        <v>868</v>
      </c>
      <c r="U531" s="14">
        <f t="shared" si="72"/>
        <v>0.95424250943932487</v>
      </c>
      <c r="V531" s="15">
        <v>21</v>
      </c>
      <c r="W531" s="12">
        <v>12.515908499999995</v>
      </c>
      <c r="X531" s="12">
        <v>1</v>
      </c>
      <c r="Y531" s="13" t="s">
        <v>358</v>
      </c>
      <c r="Z531" s="9" t="s">
        <v>359</v>
      </c>
      <c r="AA531" s="10" t="s">
        <v>869</v>
      </c>
      <c r="AB531" s="9" t="s">
        <v>355</v>
      </c>
      <c r="AC531" s="15">
        <v>252</v>
      </c>
      <c r="AD531" s="14">
        <f t="shared" si="73"/>
        <v>2.4014005407815442</v>
      </c>
      <c r="AE531" s="10" t="s">
        <v>870</v>
      </c>
      <c r="AF531" s="9" t="s">
        <v>362</v>
      </c>
      <c r="AG531" s="18">
        <v>42.878135</v>
      </c>
      <c r="AH531" s="7">
        <f t="shared" si="74"/>
        <v>1</v>
      </c>
      <c r="AI531" s="7">
        <f t="shared" si="75"/>
        <v>1</v>
      </c>
      <c r="AJ531" s="7">
        <f t="shared" si="76"/>
        <v>0</v>
      </c>
      <c r="AK531" s="7">
        <f t="shared" si="77"/>
        <v>0</v>
      </c>
      <c r="AL531" s="7" t="s">
        <v>4157</v>
      </c>
      <c r="AM531" s="18">
        <f t="shared" si="78"/>
        <v>1.6322358872998435</v>
      </c>
      <c r="AN531" s="18">
        <v>42.878135</v>
      </c>
      <c r="AO531" s="18">
        <v>-73.196774000000005</v>
      </c>
      <c r="AP531" s="9" t="s">
        <v>363</v>
      </c>
      <c r="AQ531" s="9" t="s">
        <v>355</v>
      </c>
      <c r="AR531" s="15">
        <v>2003</v>
      </c>
      <c r="AS531" s="19" t="s">
        <v>871</v>
      </c>
      <c r="AT531" s="20" t="s">
        <v>872</v>
      </c>
      <c r="AU531" s="40">
        <v>5638611</v>
      </c>
      <c r="AV531" s="35">
        <f t="shared" si="79"/>
        <v>6.7511721342441762</v>
      </c>
      <c r="AW531" s="37" t="s">
        <v>366</v>
      </c>
      <c r="AX531" s="34" t="s">
        <v>355</v>
      </c>
      <c r="AY531" s="40" t="s">
        <v>355</v>
      </c>
      <c r="AZ531" s="15">
        <v>113</v>
      </c>
      <c r="BA531" s="14">
        <f t="shared" si="80"/>
        <v>2.0530784434834195</v>
      </c>
      <c r="BB531" s="37" t="s">
        <v>367</v>
      </c>
      <c r="BC531" s="20">
        <v>2.2845538215286652E-2</v>
      </c>
      <c r="BD531" s="9">
        <v>27.5</v>
      </c>
      <c r="BE531" s="9" t="s">
        <v>368</v>
      </c>
      <c r="BF531" s="9">
        <v>0</v>
      </c>
    </row>
    <row r="532" spans="1:58">
      <c r="A532" s="9">
        <v>869</v>
      </c>
      <c r="B532" s="10" t="s">
        <v>76</v>
      </c>
      <c r="C532" s="10" t="s">
        <v>389</v>
      </c>
      <c r="D532" s="20" t="s">
        <v>390</v>
      </c>
      <c r="E532" s="20" t="s">
        <v>435</v>
      </c>
      <c r="F532" s="10" t="s">
        <v>389</v>
      </c>
      <c r="G532" s="20" t="s">
        <v>390</v>
      </c>
      <c r="H532" s="20" t="s">
        <v>435</v>
      </c>
      <c r="I532" s="10" t="s">
        <v>389</v>
      </c>
      <c r="J532" s="20" t="s">
        <v>392</v>
      </c>
      <c r="K532" s="20" t="s">
        <v>435</v>
      </c>
      <c r="L532" s="9" t="s">
        <v>352</v>
      </c>
      <c r="M532" s="9">
        <v>7</v>
      </c>
      <c r="N532" s="9" t="s">
        <v>353</v>
      </c>
      <c r="O532" s="9" t="s">
        <v>354</v>
      </c>
      <c r="P532" s="12">
        <v>39.873959999999997</v>
      </c>
      <c r="Q532" s="12" t="s">
        <v>355</v>
      </c>
      <c r="R532" s="9" t="s">
        <v>356</v>
      </c>
      <c r="S532" s="13" t="s">
        <v>868</v>
      </c>
      <c r="T532" s="13" t="s">
        <v>868</v>
      </c>
      <c r="U532" s="14">
        <f t="shared" si="72"/>
        <v>0.95424250943932487</v>
      </c>
      <c r="V532" s="15">
        <v>21</v>
      </c>
      <c r="W532" s="12">
        <v>12.608288499999993</v>
      </c>
      <c r="X532" s="12">
        <v>1</v>
      </c>
      <c r="Y532" s="13" t="s">
        <v>358</v>
      </c>
      <c r="Z532" s="9" t="s">
        <v>359</v>
      </c>
      <c r="AA532" s="10" t="s">
        <v>869</v>
      </c>
      <c r="AB532" s="9" t="s">
        <v>355</v>
      </c>
      <c r="AC532" s="15">
        <v>252</v>
      </c>
      <c r="AD532" s="14">
        <f t="shared" si="73"/>
        <v>2.4014005407815442</v>
      </c>
      <c r="AE532" s="10" t="s">
        <v>870</v>
      </c>
      <c r="AF532" s="9" t="s">
        <v>362</v>
      </c>
      <c r="AG532" s="18">
        <v>42.878135</v>
      </c>
      <c r="AH532" s="7">
        <f t="shared" si="74"/>
        <v>1</v>
      </c>
      <c r="AI532" s="7">
        <f t="shared" si="75"/>
        <v>1</v>
      </c>
      <c r="AJ532" s="7">
        <f t="shared" si="76"/>
        <v>0</v>
      </c>
      <c r="AK532" s="7">
        <f t="shared" si="77"/>
        <v>0</v>
      </c>
      <c r="AL532" s="7" t="s">
        <v>4157</v>
      </c>
      <c r="AM532" s="18">
        <f t="shared" si="78"/>
        <v>1.6322358872998435</v>
      </c>
      <c r="AN532" s="18">
        <v>42.878135</v>
      </c>
      <c r="AO532" s="18">
        <v>-73.196774000000005</v>
      </c>
      <c r="AP532" s="9" t="s">
        <v>363</v>
      </c>
      <c r="AQ532" s="9" t="s">
        <v>355</v>
      </c>
      <c r="AR532" s="15">
        <v>2003</v>
      </c>
      <c r="AS532" s="19" t="s">
        <v>871</v>
      </c>
      <c r="AT532" s="20" t="s">
        <v>872</v>
      </c>
      <c r="AU532" s="40">
        <v>5638611</v>
      </c>
      <c r="AV532" s="35">
        <f t="shared" si="79"/>
        <v>6.7511721342441762</v>
      </c>
      <c r="AW532" s="37" t="s">
        <v>366</v>
      </c>
      <c r="AX532" s="34" t="s">
        <v>355</v>
      </c>
      <c r="AY532" s="40" t="s">
        <v>355</v>
      </c>
      <c r="AZ532" s="15">
        <v>113</v>
      </c>
      <c r="BA532" s="14">
        <f t="shared" si="80"/>
        <v>2.0530784434834195</v>
      </c>
      <c r="BB532" s="37" t="s">
        <v>367</v>
      </c>
      <c r="BC532" s="20">
        <v>2.2845538215286652E-2</v>
      </c>
      <c r="BD532" s="9">
        <v>27.5</v>
      </c>
      <c r="BE532" s="9" t="s">
        <v>368</v>
      </c>
      <c r="BF532" s="9">
        <v>0</v>
      </c>
    </row>
    <row r="533" spans="1:58">
      <c r="A533" s="9">
        <v>866</v>
      </c>
      <c r="B533" s="10" t="s">
        <v>76</v>
      </c>
      <c r="C533" s="10" t="s">
        <v>389</v>
      </c>
      <c r="D533" s="20" t="s">
        <v>390</v>
      </c>
      <c r="E533" s="20" t="s">
        <v>435</v>
      </c>
      <c r="F533" s="10" t="s">
        <v>389</v>
      </c>
      <c r="G533" s="20" t="s">
        <v>390</v>
      </c>
      <c r="H533" s="20" t="s">
        <v>435</v>
      </c>
      <c r="I533" s="10" t="s">
        <v>389</v>
      </c>
      <c r="J533" s="20" t="s">
        <v>392</v>
      </c>
      <c r="K533" s="20" t="s">
        <v>435</v>
      </c>
      <c r="L533" s="9" t="s">
        <v>352</v>
      </c>
      <c r="M533" s="9">
        <v>7</v>
      </c>
      <c r="N533" s="9" t="s">
        <v>353</v>
      </c>
      <c r="O533" s="9" t="s">
        <v>354</v>
      </c>
      <c r="P533" s="12">
        <v>39.89508</v>
      </c>
      <c r="Q533" s="12" t="s">
        <v>355</v>
      </c>
      <c r="R533" s="9" t="s">
        <v>356</v>
      </c>
      <c r="S533" s="13" t="s">
        <v>868</v>
      </c>
      <c r="T533" s="13" t="s">
        <v>868</v>
      </c>
      <c r="U533" s="14">
        <f t="shared" si="72"/>
        <v>0.95424250943932487</v>
      </c>
      <c r="V533" s="15">
        <v>21</v>
      </c>
      <c r="W533" s="12">
        <v>12.629408499999997</v>
      </c>
      <c r="X533" s="12">
        <v>1</v>
      </c>
      <c r="Y533" s="13" t="s">
        <v>358</v>
      </c>
      <c r="Z533" s="9" t="s">
        <v>359</v>
      </c>
      <c r="AA533" s="10" t="s">
        <v>869</v>
      </c>
      <c r="AB533" s="9" t="s">
        <v>355</v>
      </c>
      <c r="AC533" s="15">
        <v>252</v>
      </c>
      <c r="AD533" s="14">
        <f t="shared" si="73"/>
        <v>2.4014005407815442</v>
      </c>
      <c r="AE533" s="10" t="s">
        <v>870</v>
      </c>
      <c r="AF533" s="9" t="s">
        <v>362</v>
      </c>
      <c r="AG533" s="18">
        <v>42.878135</v>
      </c>
      <c r="AH533" s="7">
        <f t="shared" si="74"/>
        <v>1</v>
      </c>
      <c r="AI533" s="7">
        <f t="shared" si="75"/>
        <v>1</v>
      </c>
      <c r="AJ533" s="7">
        <f t="shared" si="76"/>
        <v>0</v>
      </c>
      <c r="AK533" s="7">
        <f t="shared" si="77"/>
        <v>0</v>
      </c>
      <c r="AL533" s="7" t="s">
        <v>4157</v>
      </c>
      <c r="AM533" s="18">
        <f t="shared" si="78"/>
        <v>1.6322358872998435</v>
      </c>
      <c r="AN533" s="18">
        <v>42.878135</v>
      </c>
      <c r="AO533" s="18">
        <v>-73.196774000000005</v>
      </c>
      <c r="AP533" s="9" t="s">
        <v>363</v>
      </c>
      <c r="AQ533" s="9" t="s">
        <v>355</v>
      </c>
      <c r="AR533" s="15">
        <v>2003</v>
      </c>
      <c r="AS533" s="19" t="s">
        <v>871</v>
      </c>
      <c r="AT533" s="20" t="s">
        <v>872</v>
      </c>
      <c r="AU533" s="40">
        <v>5638611</v>
      </c>
      <c r="AV533" s="35">
        <f t="shared" si="79"/>
        <v>6.7511721342441762</v>
      </c>
      <c r="AW533" s="37" t="s">
        <v>366</v>
      </c>
      <c r="AX533" s="34" t="s">
        <v>355</v>
      </c>
      <c r="AY533" s="40" t="s">
        <v>355</v>
      </c>
      <c r="AZ533" s="15">
        <v>113</v>
      </c>
      <c r="BA533" s="14">
        <f t="shared" si="80"/>
        <v>2.0530784434834195</v>
      </c>
      <c r="BB533" s="37" t="s">
        <v>367</v>
      </c>
      <c r="BC533" s="20">
        <v>2.2845538215286652E-2</v>
      </c>
      <c r="BD533" s="9">
        <v>27.5</v>
      </c>
      <c r="BE533" s="9" t="s">
        <v>368</v>
      </c>
      <c r="BF533" s="9">
        <v>0</v>
      </c>
    </row>
    <row r="534" spans="1:58">
      <c r="A534" s="9">
        <v>864</v>
      </c>
      <c r="B534" s="10" t="s">
        <v>76</v>
      </c>
      <c r="C534" s="10" t="s">
        <v>389</v>
      </c>
      <c r="D534" s="20" t="s">
        <v>390</v>
      </c>
      <c r="E534" s="20" t="s">
        <v>435</v>
      </c>
      <c r="F534" s="10" t="s">
        <v>389</v>
      </c>
      <c r="G534" s="20" t="s">
        <v>390</v>
      </c>
      <c r="H534" s="20" t="s">
        <v>435</v>
      </c>
      <c r="I534" s="10" t="s">
        <v>389</v>
      </c>
      <c r="J534" s="20" t="s">
        <v>392</v>
      </c>
      <c r="K534" s="20" t="s">
        <v>435</v>
      </c>
      <c r="L534" s="9" t="s">
        <v>352</v>
      </c>
      <c r="M534" s="9">
        <v>6</v>
      </c>
      <c r="N534" s="9" t="s">
        <v>353</v>
      </c>
      <c r="O534" s="9" t="s">
        <v>354</v>
      </c>
      <c r="P534" s="12">
        <v>40.296936000000002</v>
      </c>
      <c r="Q534" s="12" t="s">
        <v>355</v>
      </c>
      <c r="R534" s="9" t="s">
        <v>356</v>
      </c>
      <c r="S534" s="13" t="s">
        <v>868</v>
      </c>
      <c r="T534" s="13" t="s">
        <v>868</v>
      </c>
      <c r="U534" s="14">
        <f t="shared" si="72"/>
        <v>0.95424250943932487</v>
      </c>
      <c r="V534" s="15">
        <v>21</v>
      </c>
      <c r="W534" s="12">
        <v>13.031264499999999</v>
      </c>
      <c r="X534" s="12">
        <v>1</v>
      </c>
      <c r="Y534" s="13" t="s">
        <v>358</v>
      </c>
      <c r="Z534" s="9" t="s">
        <v>359</v>
      </c>
      <c r="AA534" s="10" t="s">
        <v>869</v>
      </c>
      <c r="AB534" s="9" t="s">
        <v>355</v>
      </c>
      <c r="AC534" s="15">
        <v>252</v>
      </c>
      <c r="AD534" s="14">
        <f t="shared" si="73"/>
        <v>2.4014005407815442</v>
      </c>
      <c r="AE534" s="10" t="s">
        <v>870</v>
      </c>
      <c r="AF534" s="9" t="s">
        <v>362</v>
      </c>
      <c r="AG534" s="18">
        <v>42.878135</v>
      </c>
      <c r="AH534" s="7">
        <f t="shared" si="74"/>
        <v>1</v>
      </c>
      <c r="AI534" s="7">
        <f t="shared" si="75"/>
        <v>1</v>
      </c>
      <c r="AJ534" s="7">
        <f t="shared" si="76"/>
        <v>0</v>
      </c>
      <c r="AK534" s="7">
        <f t="shared" si="77"/>
        <v>0</v>
      </c>
      <c r="AL534" s="7" t="s">
        <v>4157</v>
      </c>
      <c r="AM534" s="18">
        <f t="shared" si="78"/>
        <v>1.6322358872998435</v>
      </c>
      <c r="AN534" s="18">
        <v>42.878135</v>
      </c>
      <c r="AO534" s="18">
        <v>-73.196774000000005</v>
      </c>
      <c r="AP534" s="9" t="s">
        <v>363</v>
      </c>
      <c r="AQ534" s="9" t="s">
        <v>355</v>
      </c>
      <c r="AR534" s="15">
        <v>2003</v>
      </c>
      <c r="AS534" s="19" t="s">
        <v>871</v>
      </c>
      <c r="AT534" s="20" t="s">
        <v>872</v>
      </c>
      <c r="AU534" s="40">
        <v>5638611</v>
      </c>
      <c r="AV534" s="35">
        <f t="shared" si="79"/>
        <v>6.7511721342441762</v>
      </c>
      <c r="AW534" s="37" t="s">
        <v>366</v>
      </c>
      <c r="AX534" s="34" t="s">
        <v>355</v>
      </c>
      <c r="AY534" s="40" t="s">
        <v>355</v>
      </c>
      <c r="AZ534" s="15">
        <v>113</v>
      </c>
      <c r="BA534" s="14">
        <f t="shared" si="80"/>
        <v>2.0530784434834195</v>
      </c>
      <c r="BB534" s="37" t="s">
        <v>367</v>
      </c>
      <c r="BC534" s="20">
        <v>2.2845538215286652E-2</v>
      </c>
      <c r="BD534" s="9">
        <v>27.5</v>
      </c>
      <c r="BE534" s="9" t="s">
        <v>368</v>
      </c>
      <c r="BF534" s="9">
        <v>0</v>
      </c>
    </row>
    <row r="535" spans="1:58">
      <c r="A535" s="9">
        <v>865</v>
      </c>
      <c r="B535" s="10" t="s">
        <v>76</v>
      </c>
      <c r="C535" s="10" t="s">
        <v>389</v>
      </c>
      <c r="D535" s="20" t="s">
        <v>390</v>
      </c>
      <c r="E535" s="20" t="s">
        <v>435</v>
      </c>
      <c r="F535" s="10" t="s">
        <v>389</v>
      </c>
      <c r="G535" s="20" t="s">
        <v>390</v>
      </c>
      <c r="H535" s="20" t="s">
        <v>435</v>
      </c>
      <c r="I535" s="10" t="s">
        <v>389</v>
      </c>
      <c r="J535" s="20" t="s">
        <v>392</v>
      </c>
      <c r="K535" s="20" t="s">
        <v>435</v>
      </c>
      <c r="L535" s="9" t="s">
        <v>352</v>
      </c>
      <c r="M535" s="9">
        <v>18</v>
      </c>
      <c r="N535" s="9" t="s">
        <v>381</v>
      </c>
      <c r="O535" s="9" t="s">
        <v>354</v>
      </c>
      <c r="P535" s="12">
        <v>40.696939999999998</v>
      </c>
      <c r="Q535" s="12" t="s">
        <v>355</v>
      </c>
      <c r="R535" s="9" t="s">
        <v>356</v>
      </c>
      <c r="S535" s="13" t="s">
        <v>868</v>
      </c>
      <c r="T535" s="13" t="s">
        <v>868</v>
      </c>
      <c r="U535" s="14">
        <f t="shared" si="72"/>
        <v>0.95424250943932487</v>
      </c>
      <c r="V535" s="15">
        <v>21</v>
      </c>
      <c r="W535" s="12">
        <v>13.431268499999995</v>
      </c>
      <c r="X535" s="12">
        <v>1</v>
      </c>
      <c r="Y535" s="13" t="s">
        <v>358</v>
      </c>
      <c r="Z535" s="9" t="s">
        <v>359</v>
      </c>
      <c r="AA535" s="10" t="s">
        <v>869</v>
      </c>
      <c r="AB535" s="9" t="s">
        <v>355</v>
      </c>
      <c r="AC535" s="15">
        <v>252</v>
      </c>
      <c r="AD535" s="14">
        <f t="shared" si="73"/>
        <v>2.4014005407815442</v>
      </c>
      <c r="AE535" s="10" t="s">
        <v>870</v>
      </c>
      <c r="AF535" s="9" t="s">
        <v>362</v>
      </c>
      <c r="AG535" s="18">
        <v>42.878135</v>
      </c>
      <c r="AH535" s="7">
        <f t="shared" si="74"/>
        <v>1</v>
      </c>
      <c r="AI535" s="7">
        <f t="shared" si="75"/>
        <v>1</v>
      </c>
      <c r="AJ535" s="7">
        <f t="shared" si="76"/>
        <v>0</v>
      </c>
      <c r="AK535" s="7">
        <f t="shared" si="77"/>
        <v>0</v>
      </c>
      <c r="AL535" s="7" t="s">
        <v>4157</v>
      </c>
      <c r="AM535" s="18">
        <f t="shared" si="78"/>
        <v>1.6322358872998435</v>
      </c>
      <c r="AN535" s="18">
        <v>42.878135</v>
      </c>
      <c r="AO535" s="18">
        <v>-73.196774000000005</v>
      </c>
      <c r="AP535" s="9" t="s">
        <v>363</v>
      </c>
      <c r="AQ535" s="9" t="s">
        <v>355</v>
      </c>
      <c r="AR535" s="15">
        <v>2003</v>
      </c>
      <c r="AS535" s="19" t="s">
        <v>871</v>
      </c>
      <c r="AT535" s="20" t="s">
        <v>872</v>
      </c>
      <c r="AU535" s="40">
        <v>5638611</v>
      </c>
      <c r="AV535" s="35">
        <f t="shared" si="79"/>
        <v>6.7511721342441762</v>
      </c>
      <c r="AW535" s="37" t="s">
        <v>366</v>
      </c>
      <c r="AX535" s="34" t="s">
        <v>355</v>
      </c>
      <c r="AY535" s="40" t="s">
        <v>355</v>
      </c>
      <c r="AZ535" s="15">
        <v>113</v>
      </c>
      <c r="BA535" s="14">
        <f t="shared" si="80"/>
        <v>2.0530784434834195</v>
      </c>
      <c r="BB535" s="37" t="s">
        <v>367</v>
      </c>
      <c r="BC535" s="20">
        <v>2.2845538215286652E-2</v>
      </c>
      <c r="BD535" s="9">
        <v>27.5</v>
      </c>
      <c r="BE535" s="9" t="s">
        <v>368</v>
      </c>
      <c r="BF535" s="9">
        <v>0</v>
      </c>
    </row>
    <row r="536" spans="1:58">
      <c r="A536" s="9">
        <v>874</v>
      </c>
      <c r="B536" s="10" t="s">
        <v>76</v>
      </c>
      <c r="C536" s="10" t="s">
        <v>873</v>
      </c>
      <c r="D536" s="20" t="s">
        <v>874</v>
      </c>
      <c r="E536" s="20" t="s">
        <v>595</v>
      </c>
      <c r="F536" s="10" t="s">
        <v>873</v>
      </c>
      <c r="G536" s="20" t="s">
        <v>874</v>
      </c>
      <c r="H536" s="20" t="s">
        <v>595</v>
      </c>
      <c r="I536" s="10" t="s">
        <v>873</v>
      </c>
      <c r="J536" s="20" t="s">
        <v>874</v>
      </c>
      <c r="K536" s="20" t="s">
        <v>595</v>
      </c>
      <c r="L536" s="9" t="s">
        <v>352</v>
      </c>
      <c r="M536" s="9">
        <v>9</v>
      </c>
      <c r="N536" s="9" t="s">
        <v>353</v>
      </c>
      <c r="O536" s="9" t="s">
        <v>354</v>
      </c>
      <c r="P536" s="12">
        <v>35.503951999999998</v>
      </c>
      <c r="Q536" s="12" t="s">
        <v>355</v>
      </c>
      <c r="R536" s="9" t="s">
        <v>356</v>
      </c>
      <c r="S536" s="13" t="s">
        <v>868</v>
      </c>
      <c r="T536" s="13" t="s">
        <v>868</v>
      </c>
      <c r="U536" s="14">
        <f t="shared" si="72"/>
        <v>0.95424250943932487</v>
      </c>
      <c r="V536" s="15">
        <v>21</v>
      </c>
      <c r="W536" s="12">
        <v>3.5974849999999989</v>
      </c>
      <c r="X536" s="12">
        <v>1</v>
      </c>
      <c r="Y536" s="13" t="s">
        <v>358</v>
      </c>
      <c r="Z536" s="9" t="s">
        <v>359</v>
      </c>
      <c r="AA536" s="10" t="s">
        <v>869</v>
      </c>
      <c r="AB536" s="9" t="s">
        <v>355</v>
      </c>
      <c r="AC536" s="43">
        <v>993</v>
      </c>
      <c r="AD536" s="14">
        <f t="shared" si="73"/>
        <v>2.996949248495381</v>
      </c>
      <c r="AE536" s="10" t="s">
        <v>402</v>
      </c>
      <c r="AF536" s="44" t="s">
        <v>408</v>
      </c>
      <c r="AG536" s="18">
        <v>22.088820999999999</v>
      </c>
      <c r="AH536" s="7">
        <f t="shared" si="74"/>
        <v>1</v>
      </c>
      <c r="AI536" s="7">
        <f t="shared" si="75"/>
        <v>0</v>
      </c>
      <c r="AJ536" s="7">
        <f t="shared" si="76"/>
        <v>0</v>
      </c>
      <c r="AK536" s="7">
        <f t="shared" si="77"/>
        <v>0</v>
      </c>
      <c r="AL536" s="7" t="s">
        <v>4159</v>
      </c>
      <c r="AM536" s="18">
        <f t="shared" si="78"/>
        <v>1.3441725358416063</v>
      </c>
      <c r="AN536" s="45">
        <v>-22.088820999999999</v>
      </c>
      <c r="AO536" s="45">
        <v>24.334717000000001</v>
      </c>
      <c r="AP536" s="9" t="s">
        <v>402</v>
      </c>
      <c r="AQ536" s="9" t="s">
        <v>403</v>
      </c>
      <c r="AR536" s="15">
        <v>2003</v>
      </c>
      <c r="AS536" s="19" t="s">
        <v>871</v>
      </c>
      <c r="AT536" s="20" t="s">
        <v>872</v>
      </c>
      <c r="AU536" s="40">
        <v>5943427</v>
      </c>
      <c r="AV536" s="35">
        <f t="shared" si="79"/>
        <v>6.7740369328633072</v>
      </c>
      <c r="AW536" s="37" t="s">
        <v>338</v>
      </c>
      <c r="AX536" s="34" t="s">
        <v>355</v>
      </c>
      <c r="AY536" s="40">
        <v>3000</v>
      </c>
      <c r="AZ536" s="15">
        <v>113</v>
      </c>
      <c r="BA536" s="14">
        <f t="shared" si="80"/>
        <v>2.0530784434834195</v>
      </c>
      <c r="BB536" s="37" t="s">
        <v>388</v>
      </c>
      <c r="BC536" s="20">
        <v>3.6160064025610339E-2</v>
      </c>
      <c r="BD536" s="9">
        <v>33</v>
      </c>
      <c r="BE536" s="9" t="s">
        <v>368</v>
      </c>
      <c r="BF536" s="9">
        <v>0</v>
      </c>
    </row>
    <row r="537" spans="1:58">
      <c r="A537" s="9">
        <v>873</v>
      </c>
      <c r="B537" s="10" t="s">
        <v>76</v>
      </c>
      <c r="C537" s="10" t="s">
        <v>873</v>
      </c>
      <c r="D537" s="20" t="s">
        <v>874</v>
      </c>
      <c r="E537" s="20" t="s">
        <v>595</v>
      </c>
      <c r="F537" s="10" t="s">
        <v>873</v>
      </c>
      <c r="G537" s="20" t="s">
        <v>874</v>
      </c>
      <c r="H537" s="20" t="s">
        <v>595</v>
      </c>
      <c r="I537" s="10" t="s">
        <v>873</v>
      </c>
      <c r="J537" s="20" t="s">
        <v>874</v>
      </c>
      <c r="K537" s="20" t="s">
        <v>595</v>
      </c>
      <c r="L537" s="9" t="s">
        <v>352</v>
      </c>
      <c r="M537" s="9">
        <v>9</v>
      </c>
      <c r="N537" s="9" t="s">
        <v>353</v>
      </c>
      <c r="O537" s="9" t="s">
        <v>354</v>
      </c>
      <c r="P537" s="12">
        <v>36.501975999999999</v>
      </c>
      <c r="Q537" s="12" t="s">
        <v>355</v>
      </c>
      <c r="R537" s="9" t="s">
        <v>356</v>
      </c>
      <c r="S537" s="13" t="s">
        <v>868</v>
      </c>
      <c r="T537" s="13" t="s">
        <v>868</v>
      </c>
      <c r="U537" s="14">
        <f t="shared" si="72"/>
        <v>0.95424250943932487</v>
      </c>
      <c r="V537" s="15">
        <v>21</v>
      </c>
      <c r="W537" s="12">
        <v>4.5955089999999998</v>
      </c>
      <c r="X537" s="12">
        <v>1</v>
      </c>
      <c r="Y537" s="13" t="s">
        <v>358</v>
      </c>
      <c r="Z537" s="9" t="s">
        <v>359</v>
      </c>
      <c r="AA537" s="10" t="s">
        <v>869</v>
      </c>
      <c r="AB537" s="9" t="s">
        <v>355</v>
      </c>
      <c r="AC537" s="43">
        <v>993</v>
      </c>
      <c r="AD537" s="14">
        <f t="shared" si="73"/>
        <v>2.996949248495381</v>
      </c>
      <c r="AE537" s="10" t="s">
        <v>402</v>
      </c>
      <c r="AF537" s="44" t="s">
        <v>408</v>
      </c>
      <c r="AG537" s="18">
        <v>22.088820999999999</v>
      </c>
      <c r="AH537" s="7">
        <f t="shared" si="74"/>
        <v>1</v>
      </c>
      <c r="AI537" s="7">
        <f t="shared" si="75"/>
        <v>0</v>
      </c>
      <c r="AJ537" s="7">
        <f t="shared" si="76"/>
        <v>0</v>
      </c>
      <c r="AK537" s="7">
        <f t="shared" si="77"/>
        <v>0</v>
      </c>
      <c r="AL537" s="7" t="s">
        <v>4159</v>
      </c>
      <c r="AM537" s="18">
        <f t="shared" si="78"/>
        <v>1.3441725358416063</v>
      </c>
      <c r="AN537" s="45">
        <v>-22.088820999999999</v>
      </c>
      <c r="AO537" s="45">
        <v>24.334717000000001</v>
      </c>
      <c r="AP537" s="9" t="s">
        <v>402</v>
      </c>
      <c r="AQ537" s="9" t="s">
        <v>403</v>
      </c>
      <c r="AR537" s="15">
        <v>2003</v>
      </c>
      <c r="AS537" s="19" t="s">
        <v>871</v>
      </c>
      <c r="AT537" s="20" t="s">
        <v>872</v>
      </c>
      <c r="AU537" s="40">
        <v>5943427</v>
      </c>
      <c r="AV537" s="35">
        <f t="shared" si="79"/>
        <v>6.7740369328633072</v>
      </c>
      <c r="AW537" s="37" t="s">
        <v>338</v>
      </c>
      <c r="AX537" s="34" t="s">
        <v>355</v>
      </c>
      <c r="AY537" s="40">
        <v>3000</v>
      </c>
      <c r="AZ537" s="15">
        <v>113</v>
      </c>
      <c r="BA537" s="14">
        <f t="shared" si="80"/>
        <v>2.0530784434834195</v>
      </c>
      <c r="BB537" s="37" t="s">
        <v>388</v>
      </c>
      <c r="BC537" s="20">
        <v>3.6160064025610339E-2</v>
      </c>
      <c r="BD537" s="9">
        <v>33</v>
      </c>
      <c r="BE537" s="9" t="s">
        <v>368</v>
      </c>
      <c r="BF537" s="9">
        <v>0</v>
      </c>
    </row>
    <row r="538" spans="1:58">
      <c r="A538" s="9">
        <v>871</v>
      </c>
      <c r="B538" s="10" t="s">
        <v>76</v>
      </c>
      <c r="C538" s="10" t="s">
        <v>873</v>
      </c>
      <c r="D538" s="20" t="s">
        <v>874</v>
      </c>
      <c r="E538" s="20" t="s">
        <v>595</v>
      </c>
      <c r="F538" s="10" t="s">
        <v>873</v>
      </c>
      <c r="G538" s="20" t="s">
        <v>874</v>
      </c>
      <c r="H538" s="20" t="s">
        <v>595</v>
      </c>
      <c r="I538" s="10" t="s">
        <v>873</v>
      </c>
      <c r="J538" s="20" t="s">
        <v>874</v>
      </c>
      <c r="K538" s="20" t="s">
        <v>595</v>
      </c>
      <c r="L538" s="9" t="s">
        <v>352</v>
      </c>
      <c r="M538" s="9">
        <v>12</v>
      </c>
      <c r="N538" s="9" t="s">
        <v>381</v>
      </c>
      <c r="O538" s="9" t="s">
        <v>354</v>
      </c>
      <c r="P538" s="12">
        <v>37.005927999999997</v>
      </c>
      <c r="Q538" s="12" t="s">
        <v>355</v>
      </c>
      <c r="R538" s="9" t="s">
        <v>356</v>
      </c>
      <c r="S538" s="13" t="s">
        <v>868</v>
      </c>
      <c r="T538" s="13" t="s">
        <v>868</v>
      </c>
      <c r="U538" s="14">
        <f t="shared" si="72"/>
        <v>0.95424250943932487</v>
      </c>
      <c r="V538" s="15">
        <v>21</v>
      </c>
      <c r="W538" s="12">
        <v>5.099460999999998</v>
      </c>
      <c r="X538" s="12">
        <v>1</v>
      </c>
      <c r="Y538" s="13" t="s">
        <v>358</v>
      </c>
      <c r="Z538" s="9" t="s">
        <v>359</v>
      </c>
      <c r="AA538" s="10" t="s">
        <v>869</v>
      </c>
      <c r="AB538" s="9" t="s">
        <v>355</v>
      </c>
      <c r="AC538" s="43">
        <v>993</v>
      </c>
      <c r="AD538" s="14">
        <f t="shared" si="73"/>
        <v>2.996949248495381</v>
      </c>
      <c r="AE538" s="10" t="s">
        <v>402</v>
      </c>
      <c r="AF538" s="44" t="s">
        <v>408</v>
      </c>
      <c r="AG538" s="18">
        <v>22.088820999999999</v>
      </c>
      <c r="AH538" s="7">
        <f t="shared" si="74"/>
        <v>1</v>
      </c>
      <c r="AI538" s="7">
        <f t="shared" si="75"/>
        <v>0</v>
      </c>
      <c r="AJ538" s="7">
        <f t="shared" si="76"/>
        <v>0</v>
      </c>
      <c r="AK538" s="7">
        <f t="shared" si="77"/>
        <v>0</v>
      </c>
      <c r="AL538" s="7" t="s">
        <v>4159</v>
      </c>
      <c r="AM538" s="18">
        <f t="shared" si="78"/>
        <v>1.3441725358416063</v>
      </c>
      <c r="AN538" s="45">
        <v>-22.088820999999999</v>
      </c>
      <c r="AO538" s="45">
        <v>24.334717000000001</v>
      </c>
      <c r="AP538" s="9" t="s">
        <v>402</v>
      </c>
      <c r="AQ538" s="9" t="s">
        <v>403</v>
      </c>
      <c r="AR538" s="15">
        <v>2003</v>
      </c>
      <c r="AS538" s="19" t="s">
        <v>871</v>
      </c>
      <c r="AT538" s="20" t="s">
        <v>872</v>
      </c>
      <c r="AU538" s="40">
        <v>5943427</v>
      </c>
      <c r="AV538" s="35">
        <f t="shared" si="79"/>
        <v>6.7740369328633072</v>
      </c>
      <c r="AW538" s="37" t="s">
        <v>338</v>
      </c>
      <c r="AX538" s="34" t="s">
        <v>355</v>
      </c>
      <c r="AY538" s="40">
        <v>3000</v>
      </c>
      <c r="AZ538" s="15">
        <v>113</v>
      </c>
      <c r="BA538" s="14">
        <f t="shared" si="80"/>
        <v>2.0530784434834195</v>
      </c>
      <c r="BB538" s="37" t="s">
        <v>388</v>
      </c>
      <c r="BC538" s="20">
        <v>3.6160064025610339E-2</v>
      </c>
      <c r="BD538" s="9">
        <v>33</v>
      </c>
      <c r="BE538" s="9" t="s">
        <v>368</v>
      </c>
      <c r="BF538" s="9">
        <v>0</v>
      </c>
    </row>
    <row r="539" spans="1:58">
      <c r="A539" s="9">
        <v>876</v>
      </c>
      <c r="B539" s="10" t="s">
        <v>76</v>
      </c>
      <c r="C539" s="10" t="s">
        <v>873</v>
      </c>
      <c r="D539" s="20" t="s">
        <v>874</v>
      </c>
      <c r="E539" s="20" t="s">
        <v>595</v>
      </c>
      <c r="F539" s="10" t="s">
        <v>873</v>
      </c>
      <c r="G539" s="20" t="s">
        <v>874</v>
      </c>
      <c r="H539" s="20" t="s">
        <v>595</v>
      </c>
      <c r="I539" s="10" t="s">
        <v>873</v>
      </c>
      <c r="J539" s="20" t="s">
        <v>874</v>
      </c>
      <c r="K539" s="20" t="s">
        <v>595</v>
      </c>
      <c r="L539" s="9" t="s">
        <v>352</v>
      </c>
      <c r="M539" s="9">
        <v>7</v>
      </c>
      <c r="N539" s="9" t="s">
        <v>353</v>
      </c>
      <c r="O539" s="9" t="s">
        <v>354</v>
      </c>
      <c r="P539" s="12">
        <v>37.203555999999999</v>
      </c>
      <c r="Q539" s="12" t="s">
        <v>355</v>
      </c>
      <c r="R539" s="9" t="s">
        <v>356</v>
      </c>
      <c r="S539" s="13" t="s">
        <v>868</v>
      </c>
      <c r="T539" s="13" t="s">
        <v>868</v>
      </c>
      <c r="U539" s="14">
        <f t="shared" si="72"/>
        <v>0.95424250943932487</v>
      </c>
      <c r="V539" s="15">
        <v>21</v>
      </c>
      <c r="W539" s="12">
        <v>5.2970889999999997</v>
      </c>
      <c r="X539" s="12">
        <v>1</v>
      </c>
      <c r="Y539" s="13" t="s">
        <v>358</v>
      </c>
      <c r="Z539" s="9" t="s">
        <v>359</v>
      </c>
      <c r="AA539" s="10" t="s">
        <v>869</v>
      </c>
      <c r="AB539" s="9" t="s">
        <v>355</v>
      </c>
      <c r="AC539" s="43">
        <v>993</v>
      </c>
      <c r="AD539" s="14">
        <f t="shared" si="73"/>
        <v>2.996949248495381</v>
      </c>
      <c r="AE539" s="10" t="s">
        <v>402</v>
      </c>
      <c r="AF539" s="44" t="s">
        <v>408</v>
      </c>
      <c r="AG539" s="18">
        <v>22.088820999999999</v>
      </c>
      <c r="AH539" s="7">
        <f t="shared" si="74"/>
        <v>1</v>
      </c>
      <c r="AI539" s="7">
        <f t="shared" si="75"/>
        <v>0</v>
      </c>
      <c r="AJ539" s="7">
        <f t="shared" si="76"/>
        <v>0</v>
      </c>
      <c r="AK539" s="7">
        <f t="shared" si="77"/>
        <v>0</v>
      </c>
      <c r="AL539" s="7" t="s">
        <v>4159</v>
      </c>
      <c r="AM539" s="18">
        <f t="shared" si="78"/>
        <v>1.3441725358416063</v>
      </c>
      <c r="AN539" s="45">
        <v>-22.088820999999999</v>
      </c>
      <c r="AO539" s="45">
        <v>24.334717000000001</v>
      </c>
      <c r="AP539" s="9" t="s">
        <v>402</v>
      </c>
      <c r="AQ539" s="9" t="s">
        <v>403</v>
      </c>
      <c r="AR539" s="15">
        <v>2003</v>
      </c>
      <c r="AS539" s="19" t="s">
        <v>871</v>
      </c>
      <c r="AT539" s="20" t="s">
        <v>872</v>
      </c>
      <c r="AU539" s="40">
        <v>5943427</v>
      </c>
      <c r="AV539" s="35">
        <f t="shared" si="79"/>
        <v>6.7740369328633072</v>
      </c>
      <c r="AW539" s="37" t="s">
        <v>338</v>
      </c>
      <c r="AX539" s="34" t="s">
        <v>355</v>
      </c>
      <c r="AY539" s="40">
        <v>3000</v>
      </c>
      <c r="AZ539" s="15">
        <v>113</v>
      </c>
      <c r="BA539" s="14">
        <f t="shared" si="80"/>
        <v>2.0530784434834195</v>
      </c>
      <c r="BB539" s="37" t="s">
        <v>388</v>
      </c>
      <c r="BC539" s="20">
        <v>3.6160064025610339E-2</v>
      </c>
      <c r="BD539" s="9">
        <v>33</v>
      </c>
      <c r="BE539" s="9" t="s">
        <v>368</v>
      </c>
      <c r="BF539" s="9">
        <v>0</v>
      </c>
    </row>
    <row r="540" spans="1:58">
      <c r="A540" s="9">
        <v>875</v>
      </c>
      <c r="B540" s="10" t="s">
        <v>76</v>
      </c>
      <c r="C540" s="10" t="s">
        <v>873</v>
      </c>
      <c r="D540" s="20" t="s">
        <v>874</v>
      </c>
      <c r="E540" s="20" t="s">
        <v>595</v>
      </c>
      <c r="F540" s="10" t="s">
        <v>873</v>
      </c>
      <c r="G540" s="20" t="s">
        <v>874</v>
      </c>
      <c r="H540" s="20" t="s">
        <v>595</v>
      </c>
      <c r="I540" s="10" t="s">
        <v>873</v>
      </c>
      <c r="J540" s="20" t="s">
        <v>874</v>
      </c>
      <c r="K540" s="20" t="s">
        <v>595</v>
      </c>
      <c r="L540" s="9" t="s">
        <v>352</v>
      </c>
      <c r="M540" s="9">
        <v>12</v>
      </c>
      <c r="N540" s="9" t="s">
        <v>381</v>
      </c>
      <c r="O540" s="9" t="s">
        <v>354</v>
      </c>
      <c r="P540" s="12">
        <v>37.302371999999998</v>
      </c>
      <c r="Q540" s="12" t="s">
        <v>355</v>
      </c>
      <c r="R540" s="9" t="s">
        <v>356</v>
      </c>
      <c r="S540" s="13" t="s">
        <v>868</v>
      </c>
      <c r="T540" s="13" t="s">
        <v>868</v>
      </c>
      <c r="U540" s="14">
        <f t="shared" si="72"/>
        <v>0.95424250943932487</v>
      </c>
      <c r="V540" s="15">
        <v>21</v>
      </c>
      <c r="W540" s="12">
        <v>5.3959049999999991</v>
      </c>
      <c r="X540" s="12">
        <v>1</v>
      </c>
      <c r="Y540" s="13" t="s">
        <v>358</v>
      </c>
      <c r="Z540" s="9" t="s">
        <v>359</v>
      </c>
      <c r="AA540" s="10" t="s">
        <v>869</v>
      </c>
      <c r="AB540" s="9" t="s">
        <v>355</v>
      </c>
      <c r="AC540" s="43">
        <v>993</v>
      </c>
      <c r="AD540" s="14">
        <f t="shared" si="73"/>
        <v>2.996949248495381</v>
      </c>
      <c r="AE540" s="10" t="s">
        <v>402</v>
      </c>
      <c r="AF540" s="44" t="s">
        <v>408</v>
      </c>
      <c r="AG540" s="18">
        <v>22.088820999999999</v>
      </c>
      <c r="AH540" s="7">
        <f t="shared" si="74"/>
        <v>1</v>
      </c>
      <c r="AI540" s="7">
        <f t="shared" si="75"/>
        <v>0</v>
      </c>
      <c r="AJ540" s="7">
        <f t="shared" si="76"/>
        <v>0</v>
      </c>
      <c r="AK540" s="7">
        <f t="shared" si="77"/>
        <v>0</v>
      </c>
      <c r="AL540" s="7" t="s">
        <v>4159</v>
      </c>
      <c r="AM540" s="18">
        <f t="shared" si="78"/>
        <v>1.3441725358416063</v>
      </c>
      <c r="AN540" s="45">
        <v>-22.088820999999999</v>
      </c>
      <c r="AO540" s="45">
        <v>24.334717000000001</v>
      </c>
      <c r="AP540" s="9" t="s">
        <v>402</v>
      </c>
      <c r="AQ540" s="9" t="s">
        <v>403</v>
      </c>
      <c r="AR540" s="15">
        <v>2003</v>
      </c>
      <c r="AS540" s="19" t="s">
        <v>871</v>
      </c>
      <c r="AT540" s="20" t="s">
        <v>872</v>
      </c>
      <c r="AU540" s="40">
        <v>5943427</v>
      </c>
      <c r="AV540" s="35">
        <f t="shared" si="79"/>
        <v>6.7740369328633072</v>
      </c>
      <c r="AW540" s="37" t="s">
        <v>338</v>
      </c>
      <c r="AX540" s="34" t="s">
        <v>355</v>
      </c>
      <c r="AY540" s="40">
        <v>3000</v>
      </c>
      <c r="AZ540" s="15">
        <v>113</v>
      </c>
      <c r="BA540" s="14">
        <f t="shared" si="80"/>
        <v>2.0530784434834195</v>
      </c>
      <c r="BB540" s="37" t="s">
        <v>388</v>
      </c>
      <c r="BC540" s="20">
        <v>3.6160064025610339E-2</v>
      </c>
      <c r="BD540" s="9">
        <v>33</v>
      </c>
      <c r="BE540" s="9" t="s">
        <v>368</v>
      </c>
      <c r="BF540" s="9">
        <v>0</v>
      </c>
    </row>
    <row r="541" spans="1:58">
      <c r="A541" s="9">
        <v>870</v>
      </c>
      <c r="B541" s="10" t="s">
        <v>76</v>
      </c>
      <c r="C541" s="10" t="s">
        <v>873</v>
      </c>
      <c r="D541" s="20" t="s">
        <v>874</v>
      </c>
      <c r="E541" s="20" t="s">
        <v>595</v>
      </c>
      <c r="F541" s="10" t="s">
        <v>873</v>
      </c>
      <c r="G541" s="20" t="s">
        <v>874</v>
      </c>
      <c r="H541" s="20" t="s">
        <v>595</v>
      </c>
      <c r="I541" s="10" t="s">
        <v>873</v>
      </c>
      <c r="J541" s="20" t="s">
        <v>874</v>
      </c>
      <c r="K541" s="20" t="s">
        <v>595</v>
      </c>
      <c r="L541" s="9" t="s">
        <v>352</v>
      </c>
      <c r="M541" s="9">
        <v>8</v>
      </c>
      <c r="N541" s="9" t="s">
        <v>353</v>
      </c>
      <c r="O541" s="9" t="s">
        <v>354</v>
      </c>
      <c r="P541" s="12">
        <v>37.588932</v>
      </c>
      <c r="Q541" s="12" t="s">
        <v>355</v>
      </c>
      <c r="R541" s="9" t="s">
        <v>356</v>
      </c>
      <c r="S541" s="13" t="s">
        <v>868</v>
      </c>
      <c r="T541" s="13" t="s">
        <v>868</v>
      </c>
      <c r="U541" s="14">
        <f t="shared" si="72"/>
        <v>0.95424250943932487</v>
      </c>
      <c r="V541" s="15">
        <v>21</v>
      </c>
      <c r="W541" s="12">
        <v>5.6824650000000005</v>
      </c>
      <c r="X541" s="12">
        <v>1</v>
      </c>
      <c r="Y541" s="13" t="s">
        <v>358</v>
      </c>
      <c r="Z541" s="9" t="s">
        <v>359</v>
      </c>
      <c r="AA541" s="10" t="s">
        <v>869</v>
      </c>
      <c r="AB541" s="9" t="s">
        <v>355</v>
      </c>
      <c r="AC541" s="43">
        <v>993</v>
      </c>
      <c r="AD541" s="14">
        <f t="shared" si="73"/>
        <v>2.996949248495381</v>
      </c>
      <c r="AE541" s="10" t="s">
        <v>402</v>
      </c>
      <c r="AF541" s="44" t="s">
        <v>408</v>
      </c>
      <c r="AG541" s="18">
        <v>22.088820999999999</v>
      </c>
      <c r="AH541" s="7">
        <f t="shared" si="74"/>
        <v>1</v>
      </c>
      <c r="AI541" s="7">
        <f t="shared" si="75"/>
        <v>0</v>
      </c>
      <c r="AJ541" s="7">
        <f t="shared" si="76"/>
        <v>0</v>
      </c>
      <c r="AK541" s="7">
        <f t="shared" si="77"/>
        <v>0</v>
      </c>
      <c r="AL541" s="7" t="s">
        <v>4159</v>
      </c>
      <c r="AM541" s="18">
        <f t="shared" si="78"/>
        <v>1.3441725358416063</v>
      </c>
      <c r="AN541" s="45">
        <v>-22.088820999999999</v>
      </c>
      <c r="AO541" s="45">
        <v>24.334717000000001</v>
      </c>
      <c r="AP541" s="9" t="s">
        <v>402</v>
      </c>
      <c r="AQ541" s="9" t="s">
        <v>403</v>
      </c>
      <c r="AR541" s="15">
        <v>2003</v>
      </c>
      <c r="AS541" s="19" t="s">
        <v>871</v>
      </c>
      <c r="AT541" s="20" t="s">
        <v>872</v>
      </c>
      <c r="AU541" s="40">
        <v>5943427</v>
      </c>
      <c r="AV541" s="35">
        <f t="shared" si="79"/>
        <v>6.7740369328633072</v>
      </c>
      <c r="AW541" s="37" t="s">
        <v>338</v>
      </c>
      <c r="AX541" s="34" t="s">
        <v>355</v>
      </c>
      <c r="AY541" s="40">
        <v>3000</v>
      </c>
      <c r="AZ541" s="15">
        <v>113</v>
      </c>
      <c r="BA541" s="14">
        <f t="shared" si="80"/>
        <v>2.0530784434834195</v>
      </c>
      <c r="BB541" s="37" t="s">
        <v>388</v>
      </c>
      <c r="BC541" s="20">
        <v>3.6160064025610339E-2</v>
      </c>
      <c r="BD541" s="9">
        <v>33</v>
      </c>
      <c r="BE541" s="9" t="s">
        <v>368</v>
      </c>
      <c r="BF541" s="9">
        <v>0</v>
      </c>
    </row>
    <row r="542" spans="1:58">
      <c r="A542" s="9">
        <v>872</v>
      </c>
      <c r="B542" s="10" t="s">
        <v>76</v>
      </c>
      <c r="C542" s="10" t="s">
        <v>873</v>
      </c>
      <c r="D542" s="20" t="s">
        <v>874</v>
      </c>
      <c r="E542" s="20" t="s">
        <v>595</v>
      </c>
      <c r="F542" s="10" t="s">
        <v>873</v>
      </c>
      <c r="G542" s="20" t="s">
        <v>874</v>
      </c>
      <c r="H542" s="20" t="s">
        <v>595</v>
      </c>
      <c r="I542" s="10" t="s">
        <v>873</v>
      </c>
      <c r="J542" s="20" t="s">
        <v>874</v>
      </c>
      <c r="K542" s="20" t="s">
        <v>595</v>
      </c>
      <c r="L542" s="9" t="s">
        <v>352</v>
      </c>
      <c r="M542" s="9">
        <v>13</v>
      </c>
      <c r="N542" s="9" t="s">
        <v>381</v>
      </c>
      <c r="O542" s="9" t="s">
        <v>354</v>
      </c>
      <c r="P542" s="12">
        <v>37.598815999999999</v>
      </c>
      <c r="Q542" s="12" t="s">
        <v>355</v>
      </c>
      <c r="R542" s="9" t="s">
        <v>356</v>
      </c>
      <c r="S542" s="13" t="s">
        <v>868</v>
      </c>
      <c r="T542" s="13" t="s">
        <v>868</v>
      </c>
      <c r="U542" s="14">
        <f t="shared" si="72"/>
        <v>0.95424250943932487</v>
      </c>
      <c r="V542" s="15">
        <v>21</v>
      </c>
      <c r="W542" s="12">
        <v>5.6923490000000001</v>
      </c>
      <c r="X542" s="12">
        <v>1</v>
      </c>
      <c r="Y542" s="13" t="s">
        <v>358</v>
      </c>
      <c r="Z542" s="9" t="s">
        <v>359</v>
      </c>
      <c r="AA542" s="10" t="s">
        <v>869</v>
      </c>
      <c r="AB542" s="9" t="s">
        <v>355</v>
      </c>
      <c r="AC542" s="43">
        <v>993</v>
      </c>
      <c r="AD542" s="14">
        <f t="shared" si="73"/>
        <v>2.996949248495381</v>
      </c>
      <c r="AE542" s="10" t="s">
        <v>402</v>
      </c>
      <c r="AF542" s="44" t="s">
        <v>408</v>
      </c>
      <c r="AG542" s="18">
        <v>22.088820999999999</v>
      </c>
      <c r="AH542" s="7">
        <f t="shared" si="74"/>
        <v>1</v>
      </c>
      <c r="AI542" s="7">
        <f t="shared" si="75"/>
        <v>0</v>
      </c>
      <c r="AJ542" s="7">
        <f t="shared" si="76"/>
        <v>0</v>
      </c>
      <c r="AK542" s="7">
        <f t="shared" si="77"/>
        <v>0</v>
      </c>
      <c r="AL542" s="7" t="s">
        <v>4159</v>
      </c>
      <c r="AM542" s="18">
        <f t="shared" si="78"/>
        <v>1.3441725358416063</v>
      </c>
      <c r="AN542" s="45">
        <v>-22.088820999999999</v>
      </c>
      <c r="AO542" s="45">
        <v>24.334717000000001</v>
      </c>
      <c r="AP542" s="9" t="s">
        <v>402</v>
      </c>
      <c r="AQ542" s="9" t="s">
        <v>403</v>
      </c>
      <c r="AR542" s="15">
        <v>2003</v>
      </c>
      <c r="AS542" s="19" t="s">
        <v>871</v>
      </c>
      <c r="AT542" s="20" t="s">
        <v>872</v>
      </c>
      <c r="AU542" s="40">
        <v>5943427</v>
      </c>
      <c r="AV542" s="35">
        <f t="shared" si="79"/>
        <v>6.7740369328633072</v>
      </c>
      <c r="AW542" s="37" t="s">
        <v>338</v>
      </c>
      <c r="AX542" s="34" t="s">
        <v>355</v>
      </c>
      <c r="AY542" s="40">
        <v>3000</v>
      </c>
      <c r="AZ542" s="15">
        <v>113</v>
      </c>
      <c r="BA542" s="14">
        <f t="shared" si="80"/>
        <v>2.0530784434834195</v>
      </c>
      <c r="BB542" s="37" t="s">
        <v>388</v>
      </c>
      <c r="BC542" s="20">
        <v>3.6160064025610339E-2</v>
      </c>
      <c r="BD542" s="9">
        <v>33</v>
      </c>
      <c r="BE542" s="9" t="s">
        <v>368</v>
      </c>
      <c r="BF542" s="9">
        <v>0</v>
      </c>
    </row>
    <row r="543" spans="1:58">
      <c r="A543" s="9">
        <v>427</v>
      </c>
      <c r="B543" s="10" t="s">
        <v>348</v>
      </c>
      <c r="C543" s="10" t="s">
        <v>377</v>
      </c>
      <c r="D543" s="20" t="s">
        <v>378</v>
      </c>
      <c r="E543" s="20" t="s">
        <v>696</v>
      </c>
      <c r="F543" s="10" t="s">
        <v>377</v>
      </c>
      <c r="G543" s="20" t="s">
        <v>378</v>
      </c>
      <c r="H543" s="20" t="s">
        <v>696</v>
      </c>
      <c r="I543" s="10" t="s">
        <v>377</v>
      </c>
      <c r="J543" s="20" t="s">
        <v>378</v>
      </c>
      <c r="K543" s="20" t="s">
        <v>696</v>
      </c>
      <c r="L543" s="9" t="s">
        <v>352</v>
      </c>
      <c r="M543" s="9">
        <v>10</v>
      </c>
      <c r="N543" s="9" t="s">
        <v>381</v>
      </c>
      <c r="O543" s="9" t="s">
        <v>354</v>
      </c>
      <c r="P543" s="12">
        <v>34.127899999999997</v>
      </c>
      <c r="Q543" s="12" t="s">
        <v>355</v>
      </c>
      <c r="R543" s="9" t="s">
        <v>356</v>
      </c>
      <c r="S543" s="13">
        <v>10</v>
      </c>
      <c r="T543" s="13">
        <v>10</v>
      </c>
      <c r="U543" s="14">
        <f t="shared" si="72"/>
        <v>1.0413926851582251</v>
      </c>
      <c r="V543" s="15">
        <v>15</v>
      </c>
      <c r="W543" s="12">
        <v>5.6057118999999958</v>
      </c>
      <c r="X543" s="12">
        <v>0.6</v>
      </c>
      <c r="Y543" s="13" t="s">
        <v>401</v>
      </c>
      <c r="Z543" s="9" t="s">
        <v>359</v>
      </c>
      <c r="AA543" s="10" t="s">
        <v>372</v>
      </c>
      <c r="AB543" s="9" t="s">
        <v>355</v>
      </c>
      <c r="AC543" s="15">
        <v>182</v>
      </c>
      <c r="AD543" s="14">
        <f t="shared" si="73"/>
        <v>2.2600713879850747</v>
      </c>
      <c r="AE543" s="10" t="s">
        <v>875</v>
      </c>
      <c r="AF543" s="9" t="s">
        <v>362</v>
      </c>
      <c r="AG543" s="18">
        <v>39.288600000000002</v>
      </c>
      <c r="AH543" s="7">
        <f t="shared" si="74"/>
        <v>1</v>
      </c>
      <c r="AI543" s="7">
        <f t="shared" si="75"/>
        <v>1</v>
      </c>
      <c r="AJ543" s="7">
        <f t="shared" si="76"/>
        <v>0</v>
      </c>
      <c r="AK543" s="7">
        <f t="shared" si="77"/>
        <v>0</v>
      </c>
      <c r="AL543" s="7" t="s">
        <v>4157</v>
      </c>
      <c r="AM543" s="18">
        <f t="shared" si="78"/>
        <v>1.5942665535481917</v>
      </c>
      <c r="AN543" s="18">
        <v>39.288600000000002</v>
      </c>
      <c r="AO543" s="18">
        <v>-86.773118999999994</v>
      </c>
      <c r="AP543" s="9" t="s">
        <v>363</v>
      </c>
      <c r="AQ543" s="9" t="s">
        <v>355</v>
      </c>
      <c r="AR543" s="15">
        <v>1977</v>
      </c>
      <c r="AS543" s="19" t="s">
        <v>876</v>
      </c>
      <c r="AT543" s="20" t="s">
        <v>877</v>
      </c>
      <c r="AU543" s="34">
        <v>470127</v>
      </c>
      <c r="AV543" s="35">
        <f t="shared" si="79"/>
        <v>5.6722151939967755</v>
      </c>
      <c r="AW543" s="36" t="s">
        <v>366</v>
      </c>
      <c r="AX543" s="34" t="s">
        <v>355</v>
      </c>
      <c r="AY543" s="34" t="s">
        <v>355</v>
      </c>
      <c r="AZ543" s="15">
        <v>154</v>
      </c>
      <c r="BA543" s="14">
        <f t="shared" si="80"/>
        <v>2.1875207208364631</v>
      </c>
      <c r="BB543" s="36" t="s">
        <v>388</v>
      </c>
      <c r="BC543" s="20">
        <v>8.0688275310123909E-3</v>
      </c>
      <c r="BD543" s="9">
        <v>30.1</v>
      </c>
      <c r="BE543" s="9" t="s">
        <v>368</v>
      </c>
      <c r="BF543" s="9">
        <v>0</v>
      </c>
    </row>
    <row r="544" spans="1:58">
      <c r="A544" s="9">
        <v>428</v>
      </c>
      <c r="B544" s="10" t="s">
        <v>348</v>
      </c>
      <c r="C544" s="10" t="s">
        <v>377</v>
      </c>
      <c r="D544" s="20" t="s">
        <v>378</v>
      </c>
      <c r="E544" s="20" t="s">
        <v>696</v>
      </c>
      <c r="F544" s="10" t="s">
        <v>377</v>
      </c>
      <c r="G544" s="20" t="s">
        <v>378</v>
      </c>
      <c r="H544" s="20" t="s">
        <v>696</v>
      </c>
      <c r="I544" s="10" t="s">
        <v>377</v>
      </c>
      <c r="J544" s="20" t="s">
        <v>378</v>
      </c>
      <c r="K544" s="20" t="s">
        <v>696</v>
      </c>
      <c r="L544" s="9" t="s">
        <v>352</v>
      </c>
      <c r="M544" s="9">
        <v>10</v>
      </c>
      <c r="N544" s="9" t="s">
        <v>381</v>
      </c>
      <c r="O544" s="9" t="s">
        <v>354</v>
      </c>
      <c r="P544" s="12">
        <v>34.647390000000001</v>
      </c>
      <c r="Q544" s="12" t="s">
        <v>355</v>
      </c>
      <c r="R544" s="9" t="s">
        <v>356</v>
      </c>
      <c r="S544" s="13">
        <v>10</v>
      </c>
      <c r="T544" s="13">
        <v>10</v>
      </c>
      <c r="U544" s="14">
        <f t="shared" si="72"/>
        <v>1.0413926851582251</v>
      </c>
      <c r="V544" s="15">
        <v>15</v>
      </c>
      <c r="W544" s="12">
        <v>6.6314704999999989</v>
      </c>
      <c r="X544" s="12">
        <v>0.6</v>
      </c>
      <c r="Y544" s="13" t="s">
        <v>401</v>
      </c>
      <c r="Z544" s="9" t="s">
        <v>359</v>
      </c>
      <c r="AA544" s="10" t="s">
        <v>372</v>
      </c>
      <c r="AB544" s="9" t="s">
        <v>355</v>
      </c>
      <c r="AC544" s="15">
        <v>251</v>
      </c>
      <c r="AD544" s="14">
        <f t="shared" si="73"/>
        <v>2.399673721481038</v>
      </c>
      <c r="AE544" s="10" t="s">
        <v>878</v>
      </c>
      <c r="AF544" s="9" t="s">
        <v>362</v>
      </c>
      <c r="AG544" s="18">
        <v>39.424142000000003</v>
      </c>
      <c r="AH544" s="7">
        <f t="shared" si="74"/>
        <v>1</v>
      </c>
      <c r="AI544" s="7">
        <f t="shared" si="75"/>
        <v>1</v>
      </c>
      <c r="AJ544" s="7">
        <f t="shared" si="76"/>
        <v>0</v>
      </c>
      <c r="AK544" s="7">
        <f t="shared" si="77"/>
        <v>0</v>
      </c>
      <c r="AL544" s="7" t="s">
        <v>4157</v>
      </c>
      <c r="AM544" s="18">
        <f t="shared" si="78"/>
        <v>1.5957622504164075</v>
      </c>
      <c r="AN544" s="18">
        <v>39.424142000000003</v>
      </c>
      <c r="AO544" s="18">
        <v>-84.185711999999995</v>
      </c>
      <c r="AP544" s="9" t="s">
        <v>363</v>
      </c>
      <c r="AQ544" s="9" t="s">
        <v>355</v>
      </c>
      <c r="AR544" s="15">
        <v>1977</v>
      </c>
      <c r="AS544" s="19" t="s">
        <v>876</v>
      </c>
      <c r="AT544" s="20" t="s">
        <v>877</v>
      </c>
      <c r="AU544" s="34">
        <v>470127</v>
      </c>
      <c r="AV544" s="35">
        <f t="shared" si="79"/>
        <v>5.6722151939967755</v>
      </c>
      <c r="AW544" s="36" t="s">
        <v>366</v>
      </c>
      <c r="AX544" s="34" t="s">
        <v>355</v>
      </c>
      <c r="AY544" s="34" t="s">
        <v>355</v>
      </c>
      <c r="AZ544" s="15">
        <v>154</v>
      </c>
      <c r="BA544" s="14">
        <f t="shared" si="80"/>
        <v>2.1875207208364631</v>
      </c>
      <c r="BB544" s="36" t="s">
        <v>388</v>
      </c>
      <c r="BC544" s="20">
        <v>-1.2681072428973972E-3</v>
      </c>
      <c r="BD544" s="9">
        <v>29.5</v>
      </c>
      <c r="BE544" s="9" t="s">
        <v>368</v>
      </c>
      <c r="BF544" s="9">
        <v>0</v>
      </c>
    </row>
    <row r="545" spans="1:58">
      <c r="A545" s="9">
        <v>429</v>
      </c>
      <c r="B545" s="10" t="s">
        <v>348</v>
      </c>
      <c r="C545" s="10" t="s">
        <v>377</v>
      </c>
      <c r="D545" s="20" t="s">
        <v>378</v>
      </c>
      <c r="E545" s="20" t="s">
        <v>379</v>
      </c>
      <c r="F545" s="10" t="s">
        <v>377</v>
      </c>
      <c r="G545" s="20" t="s">
        <v>378</v>
      </c>
      <c r="H545" s="20" t="s">
        <v>379</v>
      </c>
      <c r="I545" s="10" t="s">
        <v>377</v>
      </c>
      <c r="J545" s="20" t="s">
        <v>378</v>
      </c>
      <c r="K545" s="20" t="s">
        <v>379</v>
      </c>
      <c r="L545" s="9" t="s">
        <v>352</v>
      </c>
      <c r="M545" s="9">
        <v>10</v>
      </c>
      <c r="N545" s="9" t="s">
        <v>381</v>
      </c>
      <c r="O545" s="9" t="s">
        <v>354</v>
      </c>
      <c r="P545" s="12">
        <v>35.671250000000001</v>
      </c>
      <c r="Q545" s="12" t="s">
        <v>355</v>
      </c>
      <c r="R545" s="9" t="s">
        <v>356</v>
      </c>
      <c r="S545" s="13">
        <v>10</v>
      </c>
      <c r="T545" s="13">
        <v>10</v>
      </c>
      <c r="U545" s="14">
        <f t="shared" si="72"/>
        <v>1.0413926851582251</v>
      </c>
      <c r="V545" s="15">
        <v>15</v>
      </c>
      <c r="W545" s="12">
        <v>5.7990123000000011</v>
      </c>
      <c r="X545" s="12">
        <v>0.6</v>
      </c>
      <c r="Y545" s="13" t="s">
        <v>401</v>
      </c>
      <c r="Z545" s="9" t="s">
        <v>359</v>
      </c>
      <c r="AA545" s="10" t="s">
        <v>372</v>
      </c>
      <c r="AB545" s="9" t="s">
        <v>355</v>
      </c>
      <c r="AC545" s="15">
        <v>142</v>
      </c>
      <c r="AD545" s="14">
        <f t="shared" si="73"/>
        <v>2.1522883443830563</v>
      </c>
      <c r="AE545" s="10" t="s">
        <v>879</v>
      </c>
      <c r="AF545" s="9" t="s">
        <v>420</v>
      </c>
      <c r="AG545" s="18">
        <v>37.721829999999997</v>
      </c>
      <c r="AH545" s="7">
        <f t="shared" si="74"/>
        <v>1</v>
      </c>
      <c r="AI545" s="7">
        <f t="shared" si="75"/>
        <v>1</v>
      </c>
      <c r="AJ545" s="7">
        <f t="shared" si="76"/>
        <v>0</v>
      </c>
      <c r="AK545" s="7">
        <f t="shared" si="77"/>
        <v>0</v>
      </c>
      <c r="AL545" s="7" t="s">
        <v>4157</v>
      </c>
      <c r="AM545" s="18">
        <f t="shared" si="78"/>
        <v>1.5765927535144819</v>
      </c>
      <c r="AN545" s="18">
        <v>37.721829999999997</v>
      </c>
      <c r="AO545" s="18">
        <v>-89.322694999999996</v>
      </c>
      <c r="AP545" s="9" t="s">
        <v>363</v>
      </c>
      <c r="AQ545" s="9" t="s">
        <v>355</v>
      </c>
      <c r="AR545" s="15">
        <v>1977</v>
      </c>
      <c r="AS545" s="19" t="s">
        <v>876</v>
      </c>
      <c r="AT545" s="20" t="s">
        <v>877</v>
      </c>
      <c r="AU545" s="34">
        <v>4317635</v>
      </c>
      <c r="AV545" s="35">
        <f t="shared" si="79"/>
        <v>6.6352459255882987</v>
      </c>
      <c r="AW545" s="36" t="s">
        <v>366</v>
      </c>
      <c r="AX545" s="34">
        <v>0</v>
      </c>
      <c r="AY545" s="34">
        <v>3660</v>
      </c>
      <c r="AZ545" s="15">
        <v>265</v>
      </c>
      <c r="BA545" s="14">
        <f t="shared" si="80"/>
        <v>2.4232458739368079</v>
      </c>
      <c r="BB545" s="36" t="s">
        <v>388</v>
      </c>
      <c r="BC545" s="20">
        <v>2.500320128051205E-2</v>
      </c>
      <c r="BD545" s="9">
        <v>31.700000000000003</v>
      </c>
      <c r="BE545" s="9" t="s">
        <v>368</v>
      </c>
      <c r="BF545" s="9">
        <v>0</v>
      </c>
    </row>
    <row r="546" spans="1:58">
      <c r="A546" s="9">
        <v>83</v>
      </c>
      <c r="B546" s="10" t="s">
        <v>76</v>
      </c>
      <c r="C546" s="10" t="s">
        <v>369</v>
      </c>
      <c r="D546" s="20" t="s">
        <v>370</v>
      </c>
      <c r="E546" s="20" t="s">
        <v>485</v>
      </c>
      <c r="F546" s="10" t="s">
        <v>369</v>
      </c>
      <c r="G546" s="20" t="s">
        <v>370</v>
      </c>
      <c r="H546" s="20" t="s">
        <v>485</v>
      </c>
      <c r="I546" s="10" t="s">
        <v>369</v>
      </c>
      <c r="J546" s="20" t="s">
        <v>398</v>
      </c>
      <c r="K546" s="20" t="s">
        <v>486</v>
      </c>
      <c r="L546" s="9" t="s">
        <v>352</v>
      </c>
      <c r="M546" s="9">
        <v>10</v>
      </c>
      <c r="N546" s="9" t="s">
        <v>381</v>
      </c>
      <c r="O546" s="9" t="s">
        <v>354</v>
      </c>
      <c r="P546" s="12">
        <v>35.4</v>
      </c>
      <c r="Q546" s="12">
        <v>33.5</v>
      </c>
      <c r="R546" s="9" t="s">
        <v>356</v>
      </c>
      <c r="S546" s="13" t="s">
        <v>880</v>
      </c>
      <c r="T546" s="13" t="s">
        <v>880</v>
      </c>
      <c r="U546" s="14">
        <f t="shared" si="72"/>
        <v>1.0413926851582251</v>
      </c>
      <c r="V546" s="15">
        <v>15</v>
      </c>
      <c r="W546" s="12">
        <v>5.7808965999999948</v>
      </c>
      <c r="X546" s="12">
        <v>0.75</v>
      </c>
      <c r="Y546" s="13" t="s">
        <v>358</v>
      </c>
      <c r="Z546" s="9" t="s">
        <v>359</v>
      </c>
      <c r="AA546" s="10" t="s">
        <v>418</v>
      </c>
      <c r="AB546" s="9" t="s">
        <v>359</v>
      </c>
      <c r="AC546" s="15">
        <v>43</v>
      </c>
      <c r="AD546" s="14">
        <f t="shared" si="73"/>
        <v>1.6334684555795864</v>
      </c>
      <c r="AE546" s="10" t="s">
        <v>881</v>
      </c>
      <c r="AF546" s="9" t="s">
        <v>362</v>
      </c>
      <c r="AG546" s="18">
        <v>38.200000000000003</v>
      </c>
      <c r="AH546" s="7">
        <f t="shared" si="74"/>
        <v>1</v>
      </c>
      <c r="AI546" s="7">
        <f t="shared" si="75"/>
        <v>1</v>
      </c>
      <c r="AJ546" s="7">
        <f t="shared" si="76"/>
        <v>0</v>
      </c>
      <c r="AK546" s="7">
        <f t="shared" si="77"/>
        <v>0</v>
      </c>
      <c r="AL546" s="7" t="s">
        <v>4157</v>
      </c>
      <c r="AM546" s="18">
        <f t="shared" si="78"/>
        <v>1.5820633629117087</v>
      </c>
      <c r="AN546" s="18">
        <v>38.200000000000003</v>
      </c>
      <c r="AO546" s="18">
        <v>-76.849999999999994</v>
      </c>
      <c r="AP546" s="9" t="s">
        <v>363</v>
      </c>
      <c r="AQ546" s="9" t="s">
        <v>355</v>
      </c>
      <c r="AR546" s="15">
        <v>1986</v>
      </c>
      <c r="AS546" s="19" t="s">
        <v>882</v>
      </c>
      <c r="AT546" s="20" t="s">
        <v>883</v>
      </c>
      <c r="AU546" s="40">
        <v>9096515</v>
      </c>
      <c r="AV546" s="35">
        <f t="shared" si="79"/>
        <v>6.9588750399961636</v>
      </c>
      <c r="AW546" s="37" t="s">
        <v>366</v>
      </c>
      <c r="AX546" s="34" t="s">
        <v>355</v>
      </c>
      <c r="AY546" s="40" t="s">
        <v>355</v>
      </c>
      <c r="AZ546" s="15">
        <v>55</v>
      </c>
      <c r="BA546" s="14">
        <f t="shared" si="80"/>
        <v>1.7403626894942439</v>
      </c>
      <c r="BB546" s="37" t="s">
        <v>388</v>
      </c>
      <c r="BC546" s="20">
        <v>1.7669867947178685E-2</v>
      </c>
      <c r="BD546" s="9">
        <v>31.400000000000002</v>
      </c>
      <c r="BE546" s="9" t="s">
        <v>368</v>
      </c>
      <c r="BF546" s="9">
        <v>0</v>
      </c>
    </row>
    <row r="547" spans="1:58">
      <c r="A547" s="9">
        <v>82</v>
      </c>
      <c r="B547" s="10" t="s">
        <v>76</v>
      </c>
      <c r="C547" s="10" t="s">
        <v>369</v>
      </c>
      <c r="D547" s="20" t="s">
        <v>370</v>
      </c>
      <c r="E547" s="20" t="s">
        <v>485</v>
      </c>
      <c r="F547" s="10" t="s">
        <v>369</v>
      </c>
      <c r="G547" s="20" t="s">
        <v>370</v>
      </c>
      <c r="H547" s="20" t="s">
        <v>485</v>
      </c>
      <c r="I547" s="10" t="s">
        <v>369</v>
      </c>
      <c r="J547" s="20" t="s">
        <v>398</v>
      </c>
      <c r="K547" s="20" t="s">
        <v>486</v>
      </c>
      <c r="L547" s="9" t="s">
        <v>352</v>
      </c>
      <c r="M547" s="9">
        <v>11</v>
      </c>
      <c r="N547" s="9" t="s">
        <v>381</v>
      </c>
      <c r="O547" s="9" t="s">
        <v>354</v>
      </c>
      <c r="P547" s="12">
        <v>34.9</v>
      </c>
      <c r="Q547" s="12">
        <v>33.9</v>
      </c>
      <c r="R547" s="9" t="s">
        <v>356</v>
      </c>
      <c r="S547" s="13" t="s">
        <v>880</v>
      </c>
      <c r="T547" s="13" t="s">
        <v>880</v>
      </c>
      <c r="U547" s="14">
        <f t="shared" si="72"/>
        <v>1.0413926851582251</v>
      </c>
      <c r="V547" s="15">
        <v>15</v>
      </c>
      <c r="W547" s="12">
        <v>7.6434834000000009</v>
      </c>
      <c r="X547" s="12">
        <v>0.75</v>
      </c>
      <c r="Y547" s="13" t="s">
        <v>358</v>
      </c>
      <c r="Z547" s="9" t="s">
        <v>359</v>
      </c>
      <c r="AA547" s="10" t="s">
        <v>418</v>
      </c>
      <c r="AB547" s="9" t="s">
        <v>359</v>
      </c>
      <c r="AC547" s="15">
        <v>67</v>
      </c>
      <c r="AD547" s="14">
        <f t="shared" si="73"/>
        <v>1.8260748027008264</v>
      </c>
      <c r="AE547" s="10" t="s">
        <v>884</v>
      </c>
      <c r="AF547" s="9" t="s">
        <v>362</v>
      </c>
      <c r="AG547" s="18">
        <v>42.633333</v>
      </c>
      <c r="AH547" s="7">
        <f t="shared" si="74"/>
        <v>1</v>
      </c>
      <c r="AI547" s="7">
        <f t="shared" si="75"/>
        <v>1</v>
      </c>
      <c r="AJ547" s="7">
        <f t="shared" si="76"/>
        <v>0</v>
      </c>
      <c r="AK547" s="7">
        <f t="shared" si="77"/>
        <v>0</v>
      </c>
      <c r="AL547" s="7" t="s">
        <v>4157</v>
      </c>
      <c r="AM547" s="18">
        <f t="shared" si="78"/>
        <v>1.6297492863634131</v>
      </c>
      <c r="AN547" s="18">
        <v>42.633333</v>
      </c>
      <c r="AO547" s="18">
        <v>-73.849999999999994</v>
      </c>
      <c r="AP547" s="9" t="s">
        <v>363</v>
      </c>
      <c r="AQ547" s="9" t="s">
        <v>355</v>
      </c>
      <c r="AR547" s="15">
        <v>1986</v>
      </c>
      <c r="AS547" s="19" t="s">
        <v>882</v>
      </c>
      <c r="AT547" s="20" t="s">
        <v>883</v>
      </c>
      <c r="AU547" s="40">
        <v>9096515</v>
      </c>
      <c r="AV547" s="35">
        <f t="shared" si="79"/>
        <v>6.9588750399961636</v>
      </c>
      <c r="AW547" s="37" t="s">
        <v>366</v>
      </c>
      <c r="AX547" s="34" t="s">
        <v>355</v>
      </c>
      <c r="AY547" s="40" t="s">
        <v>355</v>
      </c>
      <c r="AZ547" s="15">
        <v>55</v>
      </c>
      <c r="BA547" s="14">
        <f t="shared" si="80"/>
        <v>1.7403626894942439</v>
      </c>
      <c r="BB547" s="37" t="s">
        <v>388</v>
      </c>
      <c r="BC547" s="20">
        <v>2.092276910764292E-2</v>
      </c>
      <c r="BD547" s="9">
        <v>28.6</v>
      </c>
      <c r="BE547" s="9" t="s">
        <v>368</v>
      </c>
      <c r="BF547" s="9">
        <v>0</v>
      </c>
    </row>
    <row r="548" spans="1:58">
      <c r="A548" s="9">
        <v>81</v>
      </c>
      <c r="B548" s="10" t="s">
        <v>76</v>
      </c>
      <c r="C548" s="10" t="s">
        <v>369</v>
      </c>
      <c r="D548" s="20" t="s">
        <v>370</v>
      </c>
      <c r="E548" s="20" t="s">
        <v>485</v>
      </c>
      <c r="F548" s="10" t="s">
        <v>369</v>
      </c>
      <c r="G548" s="20" t="s">
        <v>370</v>
      </c>
      <c r="H548" s="20" t="s">
        <v>485</v>
      </c>
      <c r="I548" s="10" t="s">
        <v>369</v>
      </c>
      <c r="J548" s="20" t="s">
        <v>398</v>
      </c>
      <c r="K548" s="20" t="s">
        <v>486</v>
      </c>
      <c r="L548" s="9" t="s">
        <v>352</v>
      </c>
      <c r="M548" s="9">
        <v>17</v>
      </c>
      <c r="N548" s="9" t="s">
        <v>381</v>
      </c>
      <c r="O548" s="9" t="s">
        <v>354</v>
      </c>
      <c r="P548" s="12">
        <v>35.799999999999997</v>
      </c>
      <c r="Q548" s="12">
        <v>34.4</v>
      </c>
      <c r="R548" s="9" t="s">
        <v>356</v>
      </c>
      <c r="S548" s="13" t="s">
        <v>880</v>
      </c>
      <c r="T548" s="13" t="s">
        <v>880</v>
      </c>
      <c r="U548" s="14">
        <f t="shared" si="72"/>
        <v>1.0413926851582251</v>
      </c>
      <c r="V548" s="15">
        <v>15</v>
      </c>
      <c r="W548" s="12">
        <v>7.5309461999999989</v>
      </c>
      <c r="X548" s="12">
        <v>0.75</v>
      </c>
      <c r="Y548" s="13" t="s">
        <v>358</v>
      </c>
      <c r="Z548" s="9" t="s">
        <v>359</v>
      </c>
      <c r="AA548" s="10" t="s">
        <v>418</v>
      </c>
      <c r="AB548" s="9" t="s">
        <v>359</v>
      </c>
      <c r="AC548" s="15">
        <v>250</v>
      </c>
      <c r="AD548" s="14">
        <f t="shared" si="73"/>
        <v>2.3979400086720375</v>
      </c>
      <c r="AE548" s="10" t="s">
        <v>885</v>
      </c>
      <c r="AF548" s="9" t="s">
        <v>362</v>
      </c>
      <c r="AG548" s="18">
        <v>38.799999999999997</v>
      </c>
      <c r="AH548" s="7">
        <f t="shared" si="74"/>
        <v>1</v>
      </c>
      <c r="AI548" s="7">
        <f t="shared" si="75"/>
        <v>1</v>
      </c>
      <c r="AJ548" s="7">
        <f t="shared" si="76"/>
        <v>0</v>
      </c>
      <c r="AK548" s="7">
        <f t="shared" si="77"/>
        <v>0</v>
      </c>
      <c r="AL548" s="7" t="s">
        <v>4157</v>
      </c>
      <c r="AM548" s="18">
        <f t="shared" si="78"/>
        <v>1.5888317255942073</v>
      </c>
      <c r="AN548" s="18">
        <v>38.799999999999997</v>
      </c>
      <c r="AO548" s="18">
        <v>-83.4</v>
      </c>
      <c r="AP548" s="9" t="s">
        <v>363</v>
      </c>
      <c r="AQ548" s="9" t="s">
        <v>355</v>
      </c>
      <c r="AR548" s="15">
        <v>1986</v>
      </c>
      <c r="AS548" s="19" t="s">
        <v>882</v>
      </c>
      <c r="AT548" s="20" t="s">
        <v>883</v>
      </c>
      <c r="AU548" s="40">
        <v>9096515</v>
      </c>
      <c r="AV548" s="35">
        <f t="shared" si="79"/>
        <v>6.9588750399961636</v>
      </c>
      <c r="AW548" s="37" t="s">
        <v>366</v>
      </c>
      <c r="AX548" s="34" t="s">
        <v>355</v>
      </c>
      <c r="AY548" s="40" t="s">
        <v>355</v>
      </c>
      <c r="AZ548" s="15">
        <v>55</v>
      </c>
      <c r="BA548" s="14">
        <f t="shared" si="80"/>
        <v>1.7403626894942439</v>
      </c>
      <c r="BB548" s="37" t="s">
        <v>388</v>
      </c>
      <c r="BC548" s="20">
        <v>2.7258903561424653E-3</v>
      </c>
      <c r="BD548" s="9">
        <v>29.8</v>
      </c>
      <c r="BE548" s="9" t="s">
        <v>368</v>
      </c>
      <c r="BF548" s="9">
        <v>0</v>
      </c>
    </row>
    <row r="549" spans="1:58">
      <c r="A549" s="9">
        <v>84</v>
      </c>
      <c r="B549" s="10" t="s">
        <v>76</v>
      </c>
      <c r="C549" s="10" t="s">
        <v>369</v>
      </c>
      <c r="D549" s="20" t="s">
        <v>370</v>
      </c>
      <c r="E549" s="20" t="s">
        <v>485</v>
      </c>
      <c r="F549" s="10" t="s">
        <v>369</v>
      </c>
      <c r="G549" s="20" t="s">
        <v>370</v>
      </c>
      <c r="H549" s="20" t="s">
        <v>485</v>
      </c>
      <c r="I549" s="10" t="s">
        <v>369</v>
      </c>
      <c r="J549" s="20" t="s">
        <v>398</v>
      </c>
      <c r="K549" s="20" t="s">
        <v>486</v>
      </c>
      <c r="L549" s="9" t="s">
        <v>352</v>
      </c>
      <c r="M549" s="9">
        <v>9</v>
      </c>
      <c r="N549" s="9" t="s">
        <v>353</v>
      </c>
      <c r="O549" s="9" t="s">
        <v>354</v>
      </c>
      <c r="P549" s="12">
        <v>34.5</v>
      </c>
      <c r="Q549" s="12">
        <v>33.299999999999997</v>
      </c>
      <c r="R549" s="9" t="s">
        <v>356</v>
      </c>
      <c r="S549" s="13" t="s">
        <v>880</v>
      </c>
      <c r="T549" s="13" t="s">
        <v>880</v>
      </c>
      <c r="U549" s="14">
        <f t="shared" si="72"/>
        <v>1.0413926851582251</v>
      </c>
      <c r="V549" s="15">
        <v>15</v>
      </c>
      <c r="W549" s="12">
        <v>7.4122395999999959</v>
      </c>
      <c r="X549" s="12">
        <v>0.75</v>
      </c>
      <c r="Y549" s="13" t="s">
        <v>358</v>
      </c>
      <c r="Z549" s="9" t="s">
        <v>359</v>
      </c>
      <c r="AA549" s="10" t="s">
        <v>418</v>
      </c>
      <c r="AB549" s="9" t="s">
        <v>359</v>
      </c>
      <c r="AC549" s="15">
        <v>262</v>
      </c>
      <c r="AD549" s="14">
        <f t="shared" si="73"/>
        <v>2.4183012913197452</v>
      </c>
      <c r="AE549" s="10" t="s">
        <v>886</v>
      </c>
      <c r="AF549" s="9" t="s">
        <v>362</v>
      </c>
      <c r="AG549" s="18">
        <v>42.75</v>
      </c>
      <c r="AH549" s="7">
        <f t="shared" si="74"/>
        <v>1</v>
      </c>
      <c r="AI549" s="7">
        <f t="shared" si="75"/>
        <v>1</v>
      </c>
      <c r="AJ549" s="7">
        <f t="shared" si="76"/>
        <v>0</v>
      </c>
      <c r="AK549" s="7">
        <f t="shared" si="77"/>
        <v>0</v>
      </c>
      <c r="AL549" s="7" t="s">
        <v>4157</v>
      </c>
      <c r="AM549" s="18">
        <f t="shared" si="78"/>
        <v>1.6309361190641913</v>
      </c>
      <c r="AN549" s="18">
        <v>42.75</v>
      </c>
      <c r="AO549" s="18">
        <v>-83.216667000000001</v>
      </c>
      <c r="AP549" s="9" t="s">
        <v>363</v>
      </c>
      <c r="AQ549" s="9" t="s">
        <v>355</v>
      </c>
      <c r="AR549" s="15">
        <v>1986</v>
      </c>
      <c r="AS549" s="19" t="s">
        <v>882</v>
      </c>
      <c r="AT549" s="20" t="s">
        <v>883</v>
      </c>
      <c r="AU549" s="40">
        <v>9096515</v>
      </c>
      <c r="AV549" s="35">
        <f t="shared" si="79"/>
        <v>6.9588750399961636</v>
      </c>
      <c r="AW549" s="37" t="s">
        <v>366</v>
      </c>
      <c r="AX549" s="34" t="s">
        <v>355</v>
      </c>
      <c r="AY549" s="40" t="s">
        <v>355</v>
      </c>
      <c r="AZ549" s="15">
        <v>55</v>
      </c>
      <c r="BA549" s="14">
        <f t="shared" si="80"/>
        <v>1.7403626894942439</v>
      </c>
      <c r="BB549" s="37" t="s">
        <v>388</v>
      </c>
      <c r="BC549" s="20">
        <v>2.3402561024410035E-2</v>
      </c>
      <c r="BD549" s="9">
        <v>28.400000000000002</v>
      </c>
      <c r="BE549" s="9" t="s">
        <v>368</v>
      </c>
      <c r="BF549" s="9">
        <v>0</v>
      </c>
    </row>
    <row r="550" spans="1:58">
      <c r="A550" s="9">
        <v>80</v>
      </c>
      <c r="B550" s="10" t="s">
        <v>76</v>
      </c>
      <c r="C550" s="10" t="s">
        <v>369</v>
      </c>
      <c r="D550" s="20" t="s">
        <v>370</v>
      </c>
      <c r="E550" s="20" t="s">
        <v>485</v>
      </c>
      <c r="F550" s="10" t="s">
        <v>369</v>
      </c>
      <c r="G550" s="20" t="s">
        <v>370</v>
      </c>
      <c r="H550" s="20" t="s">
        <v>485</v>
      </c>
      <c r="I550" s="10" t="s">
        <v>369</v>
      </c>
      <c r="J550" s="20" t="s">
        <v>398</v>
      </c>
      <c r="K550" s="20" t="s">
        <v>486</v>
      </c>
      <c r="L550" s="9" t="s">
        <v>352</v>
      </c>
      <c r="M550" s="9">
        <v>20</v>
      </c>
      <c r="N550" s="9" t="s">
        <v>381</v>
      </c>
      <c r="O550" s="9" t="s">
        <v>354</v>
      </c>
      <c r="P550" s="12">
        <v>36.4</v>
      </c>
      <c r="Q550" s="12">
        <v>34.5</v>
      </c>
      <c r="R550" s="9" t="s">
        <v>356</v>
      </c>
      <c r="S550" s="13" t="s">
        <v>880</v>
      </c>
      <c r="T550" s="13" t="s">
        <v>880</v>
      </c>
      <c r="U550" s="14">
        <f t="shared" si="72"/>
        <v>1.0413926851582251</v>
      </c>
      <c r="V550" s="15">
        <v>15</v>
      </c>
      <c r="W550" s="12">
        <v>7.7934337999999954</v>
      </c>
      <c r="X550" s="12">
        <v>0.75</v>
      </c>
      <c r="Y550" s="13" t="s">
        <v>358</v>
      </c>
      <c r="Z550" s="9" t="s">
        <v>359</v>
      </c>
      <c r="AA550" s="10" t="s">
        <v>418</v>
      </c>
      <c r="AB550" s="9" t="s">
        <v>359</v>
      </c>
      <c r="AC550" s="15">
        <v>326</v>
      </c>
      <c r="AD550" s="14">
        <f t="shared" si="73"/>
        <v>2.5132176000679389</v>
      </c>
      <c r="AE550" s="10" t="s">
        <v>887</v>
      </c>
      <c r="AF550" s="9" t="s">
        <v>420</v>
      </c>
      <c r="AG550" s="18">
        <v>37.566667000000002</v>
      </c>
      <c r="AH550" s="7">
        <f t="shared" si="74"/>
        <v>1</v>
      </c>
      <c r="AI550" s="7">
        <f t="shared" si="75"/>
        <v>1</v>
      </c>
      <c r="AJ550" s="7">
        <f t="shared" si="76"/>
        <v>0</v>
      </c>
      <c r="AK550" s="7">
        <f t="shared" si="77"/>
        <v>0</v>
      </c>
      <c r="AL550" s="7" t="s">
        <v>4157</v>
      </c>
      <c r="AM550" s="18">
        <f t="shared" si="78"/>
        <v>1.5748026651799887</v>
      </c>
      <c r="AN550" s="18">
        <v>37.566667000000002</v>
      </c>
      <c r="AO550" s="18">
        <v>-84.3</v>
      </c>
      <c r="AP550" s="9" t="s">
        <v>363</v>
      </c>
      <c r="AQ550" s="9" t="s">
        <v>355</v>
      </c>
      <c r="AR550" s="15">
        <v>1986</v>
      </c>
      <c r="AS550" s="19" t="s">
        <v>882</v>
      </c>
      <c r="AT550" s="20" t="s">
        <v>883</v>
      </c>
      <c r="AU550" s="40">
        <v>9096515</v>
      </c>
      <c r="AV550" s="35">
        <f t="shared" si="79"/>
        <v>6.9588750399961636</v>
      </c>
      <c r="AW550" s="37" t="s">
        <v>366</v>
      </c>
      <c r="AX550" s="34" t="s">
        <v>355</v>
      </c>
      <c r="AY550" s="40" t="s">
        <v>355</v>
      </c>
      <c r="AZ550" s="15">
        <v>55</v>
      </c>
      <c r="BA550" s="14">
        <f t="shared" si="80"/>
        <v>1.7403626894942439</v>
      </c>
      <c r="BB550" s="37" t="s">
        <v>388</v>
      </c>
      <c r="BC550" s="20">
        <v>2.206562625050016E-2</v>
      </c>
      <c r="BD550" s="9">
        <v>30.200000000000003</v>
      </c>
      <c r="BE550" s="9" t="s">
        <v>368</v>
      </c>
      <c r="BF550" s="9">
        <v>0</v>
      </c>
    </row>
    <row r="551" spans="1:58">
      <c r="A551" s="9">
        <v>641</v>
      </c>
      <c r="B551" s="10" t="s">
        <v>348</v>
      </c>
      <c r="C551" s="10" t="s">
        <v>888</v>
      </c>
      <c r="D551" s="20" t="s">
        <v>889</v>
      </c>
      <c r="E551" s="20" t="s">
        <v>890</v>
      </c>
      <c r="F551" s="10" t="s">
        <v>888</v>
      </c>
      <c r="G551" s="20" t="s">
        <v>889</v>
      </c>
      <c r="H551" s="20" t="s">
        <v>890</v>
      </c>
      <c r="I551" s="10" t="s">
        <v>888</v>
      </c>
      <c r="J551" s="20" t="s">
        <v>889</v>
      </c>
      <c r="K551" s="20" t="s">
        <v>890</v>
      </c>
      <c r="L551" s="9" t="s">
        <v>352</v>
      </c>
      <c r="M551" s="9">
        <v>13</v>
      </c>
      <c r="N551" s="9" t="s">
        <v>381</v>
      </c>
      <c r="O551" s="9" t="s">
        <v>354</v>
      </c>
      <c r="P551" s="12">
        <v>32.25</v>
      </c>
      <c r="Q551" s="12" t="s">
        <v>355</v>
      </c>
      <c r="R551" s="9" t="s">
        <v>356</v>
      </c>
      <c r="S551" s="13" t="s">
        <v>891</v>
      </c>
      <c r="T551" s="13" t="s">
        <v>891</v>
      </c>
      <c r="U551" s="14">
        <f t="shared" si="72"/>
        <v>1.0791812460476249</v>
      </c>
      <c r="V551" s="15">
        <v>5</v>
      </c>
      <c r="W551" s="12">
        <v>9.002638300000001</v>
      </c>
      <c r="X551" s="12">
        <v>1</v>
      </c>
      <c r="Y551" s="13" t="s">
        <v>358</v>
      </c>
      <c r="Z551" s="9" t="s">
        <v>417</v>
      </c>
      <c r="AA551" s="10" t="s">
        <v>418</v>
      </c>
      <c r="AB551" s="9" t="s">
        <v>355</v>
      </c>
      <c r="AC551" s="15">
        <v>522</v>
      </c>
      <c r="AD551" s="14">
        <f t="shared" si="73"/>
        <v>2.7176705030022621</v>
      </c>
      <c r="AE551" s="10" t="s">
        <v>892</v>
      </c>
      <c r="AF551" s="9" t="s">
        <v>362</v>
      </c>
      <c r="AG551" s="18">
        <v>45.442269000000003</v>
      </c>
      <c r="AH551" s="7">
        <f t="shared" si="74"/>
        <v>1</v>
      </c>
      <c r="AI551" s="7">
        <f t="shared" si="75"/>
        <v>1</v>
      </c>
      <c r="AJ551" s="7">
        <f t="shared" si="76"/>
        <v>1</v>
      </c>
      <c r="AK551" s="7">
        <f t="shared" si="77"/>
        <v>0</v>
      </c>
      <c r="AL551" s="7" t="s">
        <v>4158</v>
      </c>
      <c r="AM551" s="18">
        <f t="shared" si="78"/>
        <v>1.6574600082130293</v>
      </c>
      <c r="AN551" s="18">
        <v>45.442269000000003</v>
      </c>
      <c r="AO551" s="18">
        <v>-90.128200000000007</v>
      </c>
      <c r="AP551" s="9" t="s">
        <v>363</v>
      </c>
      <c r="AQ551" s="9" t="s">
        <v>355</v>
      </c>
      <c r="AR551" s="15">
        <v>1975</v>
      </c>
      <c r="AS551" s="19" t="s">
        <v>893</v>
      </c>
      <c r="AT551" s="10" t="s">
        <v>894</v>
      </c>
      <c r="AU551" s="34">
        <v>1881755</v>
      </c>
      <c r="AV551" s="35">
        <f t="shared" si="79"/>
        <v>6.2745630786691242</v>
      </c>
      <c r="AW551" s="36" t="s">
        <v>366</v>
      </c>
      <c r="AX551" s="34">
        <v>0</v>
      </c>
      <c r="AY551" s="34" t="s">
        <v>355</v>
      </c>
      <c r="AZ551" s="15">
        <v>265</v>
      </c>
      <c r="BA551" s="14">
        <f t="shared" si="80"/>
        <v>2.4232458739368079</v>
      </c>
      <c r="BB551" s="36" t="s">
        <v>343</v>
      </c>
      <c r="BC551" s="20">
        <v>2.2386554621849075E-2</v>
      </c>
      <c r="BD551" s="9">
        <v>25.700000000000003</v>
      </c>
      <c r="BE551" s="9" t="s">
        <v>368</v>
      </c>
      <c r="BF551" s="9">
        <v>0</v>
      </c>
    </row>
    <row r="552" spans="1:58">
      <c r="A552" s="9">
        <v>642</v>
      </c>
      <c r="B552" s="10" t="s">
        <v>348</v>
      </c>
      <c r="C552" s="10" t="s">
        <v>888</v>
      </c>
      <c r="D552" s="20" t="s">
        <v>889</v>
      </c>
      <c r="E552" s="20" t="s">
        <v>890</v>
      </c>
      <c r="F552" s="10" t="s">
        <v>888</v>
      </c>
      <c r="G552" s="20" t="s">
        <v>889</v>
      </c>
      <c r="H552" s="20" t="s">
        <v>890</v>
      </c>
      <c r="I552" s="10" t="s">
        <v>888</v>
      </c>
      <c r="J552" s="20" t="s">
        <v>889</v>
      </c>
      <c r="K552" s="20" t="s">
        <v>890</v>
      </c>
      <c r="L552" s="9" t="s">
        <v>352</v>
      </c>
      <c r="M552" s="9">
        <v>10</v>
      </c>
      <c r="N552" s="9" t="s">
        <v>381</v>
      </c>
      <c r="O552" s="9" t="s">
        <v>354</v>
      </c>
      <c r="P552" s="12">
        <v>34.47</v>
      </c>
      <c r="Q552" s="12" t="s">
        <v>355</v>
      </c>
      <c r="R552" s="9" t="s">
        <v>356</v>
      </c>
      <c r="S552" s="13" t="s">
        <v>891</v>
      </c>
      <c r="T552" s="13" t="s">
        <v>891</v>
      </c>
      <c r="U552" s="14">
        <f t="shared" si="72"/>
        <v>1.0791812460476249</v>
      </c>
      <c r="V552" s="15">
        <v>15</v>
      </c>
      <c r="W552" s="12">
        <v>9.6604482999999988</v>
      </c>
      <c r="X552" s="12">
        <v>1</v>
      </c>
      <c r="Y552" s="13" t="s">
        <v>358</v>
      </c>
      <c r="Z552" s="9" t="s">
        <v>417</v>
      </c>
      <c r="AA552" s="10" t="s">
        <v>418</v>
      </c>
      <c r="AB552" s="9" t="s">
        <v>355</v>
      </c>
      <c r="AC552" s="15">
        <v>522</v>
      </c>
      <c r="AD552" s="14">
        <f t="shared" si="73"/>
        <v>2.7176705030022621</v>
      </c>
      <c r="AE552" s="10" t="s">
        <v>892</v>
      </c>
      <c r="AF552" s="9" t="s">
        <v>362</v>
      </c>
      <c r="AG552" s="18">
        <v>45.442269000000003</v>
      </c>
      <c r="AH552" s="7">
        <f t="shared" si="74"/>
        <v>1</v>
      </c>
      <c r="AI552" s="7">
        <f t="shared" si="75"/>
        <v>1</v>
      </c>
      <c r="AJ552" s="7">
        <f t="shared" si="76"/>
        <v>1</v>
      </c>
      <c r="AK552" s="7">
        <f t="shared" si="77"/>
        <v>0</v>
      </c>
      <c r="AL552" s="7" t="s">
        <v>4158</v>
      </c>
      <c r="AM552" s="18">
        <f t="shared" si="78"/>
        <v>1.6574600082130293</v>
      </c>
      <c r="AN552" s="18">
        <v>45.442269000000003</v>
      </c>
      <c r="AO552" s="18">
        <v>-90.128200000000007</v>
      </c>
      <c r="AP552" s="9" t="s">
        <v>363</v>
      </c>
      <c r="AQ552" s="9" t="s">
        <v>355</v>
      </c>
      <c r="AR552" s="15">
        <v>1975</v>
      </c>
      <c r="AS552" s="19" t="s">
        <v>893</v>
      </c>
      <c r="AT552" s="10" t="s">
        <v>894</v>
      </c>
      <c r="AU552" s="34">
        <v>1881755</v>
      </c>
      <c r="AV552" s="35">
        <f t="shared" si="79"/>
        <v>6.2745630786691242</v>
      </c>
      <c r="AW552" s="36" t="s">
        <v>366</v>
      </c>
      <c r="AX552" s="34">
        <v>0</v>
      </c>
      <c r="AY552" s="34" t="s">
        <v>355</v>
      </c>
      <c r="AZ552" s="15">
        <v>265</v>
      </c>
      <c r="BA552" s="14">
        <f t="shared" si="80"/>
        <v>2.4232458739368079</v>
      </c>
      <c r="BB552" s="36" t="s">
        <v>343</v>
      </c>
      <c r="BC552" s="20">
        <v>2.2386554621849075E-2</v>
      </c>
      <c r="BD552" s="9">
        <v>25.700000000000003</v>
      </c>
      <c r="BE552" s="9" t="s">
        <v>368</v>
      </c>
      <c r="BF552" s="9">
        <v>0</v>
      </c>
    </row>
    <row r="553" spans="1:58">
      <c r="A553" s="9">
        <v>643</v>
      </c>
      <c r="B553" s="10" t="s">
        <v>348</v>
      </c>
      <c r="C553" s="10" t="s">
        <v>888</v>
      </c>
      <c r="D553" s="20" t="s">
        <v>889</v>
      </c>
      <c r="E553" s="20" t="s">
        <v>890</v>
      </c>
      <c r="F553" s="10" t="s">
        <v>888</v>
      </c>
      <c r="G553" s="20" t="s">
        <v>889</v>
      </c>
      <c r="H553" s="20" t="s">
        <v>890</v>
      </c>
      <c r="I553" s="10" t="s">
        <v>888</v>
      </c>
      <c r="J553" s="20" t="s">
        <v>889</v>
      </c>
      <c r="K553" s="20" t="s">
        <v>890</v>
      </c>
      <c r="L553" s="9" t="s">
        <v>352</v>
      </c>
      <c r="M553" s="9">
        <v>15</v>
      </c>
      <c r="N553" s="9" t="s">
        <v>381</v>
      </c>
      <c r="O553" s="9" t="s">
        <v>354</v>
      </c>
      <c r="P553" s="12">
        <v>35.67</v>
      </c>
      <c r="Q553" s="12" t="s">
        <v>355</v>
      </c>
      <c r="R553" s="9" t="s">
        <v>356</v>
      </c>
      <c r="S553" s="13" t="s">
        <v>891</v>
      </c>
      <c r="T553" s="13" t="s">
        <v>891</v>
      </c>
      <c r="U553" s="14">
        <f t="shared" si="72"/>
        <v>1.0791812460476249</v>
      </c>
      <c r="V553" s="15">
        <v>25</v>
      </c>
      <c r="W553" s="12">
        <v>9.2982583000000005</v>
      </c>
      <c r="X553" s="12">
        <v>1</v>
      </c>
      <c r="Y553" s="13" t="s">
        <v>358</v>
      </c>
      <c r="Z553" s="9" t="s">
        <v>417</v>
      </c>
      <c r="AA553" s="10" t="s">
        <v>418</v>
      </c>
      <c r="AB553" s="9" t="s">
        <v>355</v>
      </c>
      <c r="AC553" s="15">
        <v>522</v>
      </c>
      <c r="AD553" s="14">
        <f t="shared" si="73"/>
        <v>2.7176705030022621</v>
      </c>
      <c r="AE553" s="10" t="s">
        <v>892</v>
      </c>
      <c r="AF553" s="9" t="s">
        <v>362</v>
      </c>
      <c r="AG553" s="18">
        <v>45.442269000000003</v>
      </c>
      <c r="AH553" s="7">
        <f t="shared" si="74"/>
        <v>1</v>
      </c>
      <c r="AI553" s="7">
        <f t="shared" si="75"/>
        <v>1</v>
      </c>
      <c r="AJ553" s="7">
        <f t="shared" si="76"/>
        <v>1</v>
      </c>
      <c r="AK553" s="7">
        <f t="shared" si="77"/>
        <v>0</v>
      </c>
      <c r="AL553" s="7" t="s">
        <v>4158</v>
      </c>
      <c r="AM553" s="18">
        <f t="shared" si="78"/>
        <v>1.6574600082130293</v>
      </c>
      <c r="AN553" s="18">
        <v>45.442269000000003</v>
      </c>
      <c r="AO553" s="18">
        <v>-90.128200000000007</v>
      </c>
      <c r="AP553" s="9" t="s">
        <v>363</v>
      </c>
      <c r="AQ553" s="9" t="s">
        <v>355</v>
      </c>
      <c r="AR553" s="15">
        <v>1975</v>
      </c>
      <c r="AS553" s="19" t="s">
        <v>893</v>
      </c>
      <c r="AT553" s="10" t="s">
        <v>894</v>
      </c>
      <c r="AU553" s="34">
        <v>1881755</v>
      </c>
      <c r="AV553" s="35">
        <f t="shared" si="79"/>
        <v>6.2745630786691242</v>
      </c>
      <c r="AW553" s="36" t="s">
        <v>366</v>
      </c>
      <c r="AX553" s="34">
        <v>0</v>
      </c>
      <c r="AY553" s="34" t="s">
        <v>355</v>
      </c>
      <c r="AZ553" s="15">
        <v>265</v>
      </c>
      <c r="BA553" s="14">
        <f t="shared" si="80"/>
        <v>2.4232458739368079</v>
      </c>
      <c r="BB553" s="36" t="s">
        <v>343</v>
      </c>
      <c r="BC553" s="20">
        <v>2.2386554621849075E-2</v>
      </c>
      <c r="BD553" s="9">
        <v>25.700000000000003</v>
      </c>
      <c r="BE553" s="9" t="s">
        <v>368</v>
      </c>
      <c r="BF553" s="9">
        <v>0</v>
      </c>
    </row>
    <row r="554" spans="1:58">
      <c r="A554" s="9">
        <v>317</v>
      </c>
      <c r="B554" s="10" t="s">
        <v>76</v>
      </c>
      <c r="C554" s="10" t="s">
        <v>721</v>
      </c>
      <c r="D554" s="10" t="s">
        <v>895</v>
      </c>
      <c r="E554" s="10" t="s">
        <v>896</v>
      </c>
      <c r="F554" s="10" t="s">
        <v>721</v>
      </c>
      <c r="G554" s="10" t="s">
        <v>895</v>
      </c>
      <c r="H554" s="10" t="s">
        <v>896</v>
      </c>
      <c r="I554" s="10" t="s">
        <v>101</v>
      </c>
      <c r="J554" s="10" t="s">
        <v>895</v>
      </c>
      <c r="K554" s="10" t="s">
        <v>896</v>
      </c>
      <c r="L554" s="9" t="s">
        <v>352</v>
      </c>
      <c r="M554" s="9">
        <v>8</v>
      </c>
      <c r="N554" s="9" t="s">
        <v>353</v>
      </c>
      <c r="O554" s="9" t="s">
        <v>354</v>
      </c>
      <c r="P554" s="12">
        <v>31.2</v>
      </c>
      <c r="Q554" s="12">
        <v>33.1</v>
      </c>
      <c r="R554" s="9" t="s">
        <v>356</v>
      </c>
      <c r="S554" s="13">
        <v>14</v>
      </c>
      <c r="T554" s="13">
        <v>14</v>
      </c>
      <c r="U554" s="14">
        <f t="shared" si="72"/>
        <v>1.1760912590556813</v>
      </c>
      <c r="V554" s="15">
        <v>5</v>
      </c>
      <c r="W554" s="12">
        <v>7.1932353999999989</v>
      </c>
      <c r="X554" s="12">
        <v>1</v>
      </c>
      <c r="Y554" s="13" t="s">
        <v>384</v>
      </c>
      <c r="Z554" s="9" t="s">
        <v>359</v>
      </c>
      <c r="AA554" s="10" t="s">
        <v>372</v>
      </c>
      <c r="AB554" s="9" t="s">
        <v>417</v>
      </c>
      <c r="AC554" s="15">
        <v>304.7851264858275</v>
      </c>
      <c r="AD554" s="14">
        <f t="shared" si="73"/>
        <v>2.4839937696139525</v>
      </c>
      <c r="AE554" s="10" t="s">
        <v>897</v>
      </c>
      <c r="AF554" s="9" t="s">
        <v>420</v>
      </c>
      <c r="AG554" s="18">
        <v>33.425020000000004</v>
      </c>
      <c r="AH554" s="7">
        <f t="shared" si="74"/>
        <v>1</v>
      </c>
      <c r="AI554" s="7">
        <f t="shared" si="75"/>
        <v>1</v>
      </c>
      <c r="AJ554" s="7">
        <f t="shared" si="76"/>
        <v>0</v>
      </c>
      <c r="AK554" s="7">
        <f t="shared" si="77"/>
        <v>0</v>
      </c>
      <c r="AL554" s="7" t="s">
        <v>4157</v>
      </c>
      <c r="AM554" s="18">
        <f t="shared" si="78"/>
        <v>1.5240716757960127</v>
      </c>
      <c r="AN554" s="18">
        <v>-33.425020000000004</v>
      </c>
      <c r="AO554" s="18">
        <v>151.342219</v>
      </c>
      <c r="AP554" s="9" t="s">
        <v>363</v>
      </c>
      <c r="AQ554" s="9" t="s">
        <v>355</v>
      </c>
      <c r="AR554" s="15">
        <v>1970</v>
      </c>
      <c r="AS554" s="19" t="s">
        <v>898</v>
      </c>
      <c r="AT554" s="10" t="s">
        <v>899</v>
      </c>
      <c r="AU554" s="40">
        <v>479217</v>
      </c>
      <c r="AV554" s="35">
        <f t="shared" si="79"/>
        <v>5.6805322160491105</v>
      </c>
      <c r="AW554" s="37" t="s">
        <v>366</v>
      </c>
      <c r="AX554" s="34" t="s">
        <v>355</v>
      </c>
      <c r="AY554" s="40">
        <v>400</v>
      </c>
      <c r="AZ554" s="15">
        <v>33</v>
      </c>
      <c r="BA554" s="14">
        <f t="shared" si="80"/>
        <v>1.5185139398778875</v>
      </c>
      <c r="BB554" s="37" t="s">
        <v>388</v>
      </c>
      <c r="BC554" s="20">
        <v>7.0504201680672398E-3</v>
      </c>
      <c r="BD554" s="9">
        <v>26.6</v>
      </c>
      <c r="BE554" s="9" t="s">
        <v>459</v>
      </c>
      <c r="BF554" s="9">
        <v>1</v>
      </c>
    </row>
    <row r="555" spans="1:58">
      <c r="A555" s="9">
        <v>271</v>
      </c>
      <c r="B555" s="10" t="s">
        <v>76</v>
      </c>
      <c r="C555" s="10" t="s">
        <v>77</v>
      </c>
      <c r="D555" s="20" t="s">
        <v>609</v>
      </c>
      <c r="E555" s="20" t="s">
        <v>900</v>
      </c>
      <c r="F555" s="10" t="s">
        <v>77</v>
      </c>
      <c r="G555" s="20" t="s">
        <v>901</v>
      </c>
      <c r="H555" s="20" t="s">
        <v>900</v>
      </c>
      <c r="I555" s="10" t="s">
        <v>77</v>
      </c>
      <c r="J555" s="20" t="s">
        <v>902</v>
      </c>
      <c r="K555" s="20" t="s">
        <v>900</v>
      </c>
      <c r="L555" s="9" t="s">
        <v>352</v>
      </c>
      <c r="M555" s="9">
        <v>10</v>
      </c>
      <c r="N555" s="9" t="s">
        <v>381</v>
      </c>
      <c r="O555" s="9" t="s">
        <v>455</v>
      </c>
      <c r="P555" s="12">
        <v>28.8</v>
      </c>
      <c r="Q555" s="12" t="s">
        <v>355</v>
      </c>
      <c r="R555" s="9" t="s">
        <v>356</v>
      </c>
      <c r="S555" s="13" t="s">
        <v>903</v>
      </c>
      <c r="T555" s="13" t="s">
        <v>903</v>
      </c>
      <c r="U555" s="14">
        <f t="shared" si="72"/>
        <v>1.1760912590556813</v>
      </c>
      <c r="V555" s="15">
        <v>5</v>
      </c>
      <c r="W555" s="12">
        <v>-3.4758184000000014</v>
      </c>
      <c r="X555" s="12">
        <v>1</v>
      </c>
      <c r="Y555" s="13" t="s">
        <v>904</v>
      </c>
      <c r="Z555" s="9" t="s">
        <v>359</v>
      </c>
      <c r="AA555" s="10" t="s">
        <v>372</v>
      </c>
      <c r="AB555" s="9" t="s">
        <v>355</v>
      </c>
      <c r="AC555" s="15">
        <v>305</v>
      </c>
      <c r="AD555" s="14">
        <f t="shared" si="73"/>
        <v>2.4842998393467859</v>
      </c>
      <c r="AE555" s="10" t="s">
        <v>905</v>
      </c>
      <c r="AF555" s="9" t="s">
        <v>420</v>
      </c>
      <c r="AG555" s="18">
        <v>24</v>
      </c>
      <c r="AH555" s="7">
        <f t="shared" si="74"/>
        <v>1</v>
      </c>
      <c r="AI555" s="7">
        <f t="shared" si="75"/>
        <v>0</v>
      </c>
      <c r="AJ555" s="7">
        <f t="shared" si="76"/>
        <v>0</v>
      </c>
      <c r="AK555" s="7">
        <f t="shared" si="77"/>
        <v>0</v>
      </c>
      <c r="AL555" s="7" t="s">
        <v>4159</v>
      </c>
      <c r="AM555" s="18">
        <f t="shared" si="78"/>
        <v>1.3802112417116059</v>
      </c>
      <c r="AN555" s="18">
        <v>24</v>
      </c>
      <c r="AO555" s="18">
        <v>-106.5</v>
      </c>
      <c r="AP555" s="9" t="s">
        <v>363</v>
      </c>
      <c r="AQ555" s="9" t="s">
        <v>355</v>
      </c>
      <c r="AR555" s="15">
        <v>1968</v>
      </c>
      <c r="AS555" s="19" t="s">
        <v>906</v>
      </c>
      <c r="AT555" s="20" t="s">
        <v>907</v>
      </c>
      <c r="AU555" s="40">
        <v>140251</v>
      </c>
      <c r="AV555" s="35">
        <f t="shared" si="79"/>
        <v>5.1469059664910057</v>
      </c>
      <c r="AW555" s="37" t="s">
        <v>366</v>
      </c>
      <c r="AX555" s="34" t="s">
        <v>355</v>
      </c>
      <c r="AY555" s="40">
        <v>1000</v>
      </c>
      <c r="AZ555" s="15">
        <v>55</v>
      </c>
      <c r="BA555" s="14">
        <f t="shared" si="80"/>
        <v>1.7403626894942439</v>
      </c>
      <c r="BB555" s="37" t="s">
        <v>388</v>
      </c>
      <c r="BC555" s="20">
        <v>2.8510604241696637E-2</v>
      </c>
      <c r="BD555" s="9">
        <v>36.4</v>
      </c>
      <c r="BE555" s="9" t="s">
        <v>368</v>
      </c>
      <c r="BF555" s="9">
        <v>0</v>
      </c>
    </row>
    <row r="556" spans="1:58">
      <c r="A556" s="9">
        <v>632</v>
      </c>
      <c r="B556" s="10" t="s">
        <v>348</v>
      </c>
      <c r="C556" s="10" t="s">
        <v>377</v>
      </c>
      <c r="D556" s="20" t="s">
        <v>378</v>
      </c>
      <c r="E556" s="20" t="s">
        <v>908</v>
      </c>
      <c r="F556" s="10" t="s">
        <v>377</v>
      </c>
      <c r="G556" s="20" t="s">
        <v>378</v>
      </c>
      <c r="H556" s="20" t="s">
        <v>908</v>
      </c>
      <c r="I556" s="10" t="s">
        <v>377</v>
      </c>
      <c r="J556" s="20" t="s">
        <v>378</v>
      </c>
      <c r="K556" s="20" t="s">
        <v>908</v>
      </c>
      <c r="L556" s="9" t="s">
        <v>352</v>
      </c>
      <c r="M556" s="9">
        <v>15</v>
      </c>
      <c r="N556" s="9" t="s">
        <v>381</v>
      </c>
      <c r="O556" s="9" t="s">
        <v>354</v>
      </c>
      <c r="P556" s="12">
        <v>33.4</v>
      </c>
      <c r="Q556" s="12" t="s">
        <v>355</v>
      </c>
      <c r="R556" s="9" t="s">
        <v>356</v>
      </c>
      <c r="S556" s="13">
        <v>14</v>
      </c>
      <c r="T556" s="13">
        <v>14</v>
      </c>
      <c r="U556" s="14">
        <f t="shared" si="72"/>
        <v>1.1760912590556813</v>
      </c>
      <c r="V556" s="15">
        <v>8</v>
      </c>
      <c r="W556" s="12">
        <v>4.1994047999999964</v>
      </c>
      <c r="X556" s="12">
        <v>0.5</v>
      </c>
      <c r="Y556" s="13" t="s">
        <v>355</v>
      </c>
      <c r="Z556" s="9" t="s">
        <v>909</v>
      </c>
      <c r="AA556" s="10" t="s">
        <v>910</v>
      </c>
      <c r="AB556" s="9" t="s">
        <v>355</v>
      </c>
      <c r="AC556" s="15">
        <v>420</v>
      </c>
      <c r="AD556" s="14">
        <f t="shared" si="73"/>
        <v>2.6232492903979003</v>
      </c>
      <c r="AE556" s="10" t="s">
        <v>911</v>
      </c>
      <c r="AF556" s="9" t="s">
        <v>362</v>
      </c>
      <c r="AG556" s="18">
        <v>46.400409000000003</v>
      </c>
      <c r="AH556" s="7">
        <f t="shared" si="74"/>
        <v>1</v>
      </c>
      <c r="AI556" s="7">
        <f t="shared" si="75"/>
        <v>1</v>
      </c>
      <c r="AJ556" s="7">
        <f t="shared" si="76"/>
        <v>1</v>
      </c>
      <c r="AK556" s="7">
        <f t="shared" si="77"/>
        <v>0</v>
      </c>
      <c r="AL556" s="7" t="s">
        <v>4158</v>
      </c>
      <c r="AM556" s="18">
        <f t="shared" si="78"/>
        <v>1.6665218086941103</v>
      </c>
      <c r="AN556" s="18">
        <v>46.400409000000003</v>
      </c>
      <c r="AO556" s="18">
        <v>-117.001189</v>
      </c>
      <c r="AP556" s="9" t="s">
        <v>363</v>
      </c>
      <c r="AQ556" s="9" t="s">
        <v>355</v>
      </c>
      <c r="AR556" s="15">
        <v>1983</v>
      </c>
      <c r="AS556" s="19" t="s">
        <v>912</v>
      </c>
      <c r="AT556" s="63" t="s">
        <v>913</v>
      </c>
      <c r="AU556" s="34">
        <v>1438503</v>
      </c>
      <c r="AV556" s="35">
        <f t="shared" si="79"/>
        <v>6.1579107719490329</v>
      </c>
      <c r="AW556" s="36" t="s">
        <v>366</v>
      </c>
      <c r="AX556" s="34">
        <v>0</v>
      </c>
      <c r="AY556" s="34">
        <v>3050</v>
      </c>
      <c r="AZ556" s="15">
        <v>115</v>
      </c>
      <c r="BA556" s="14">
        <f t="shared" si="80"/>
        <v>2.0606978403536118</v>
      </c>
      <c r="BB556" s="36" t="s">
        <v>388</v>
      </c>
      <c r="BC556" s="20">
        <v>1.190916366546633E-2</v>
      </c>
      <c r="BD556" s="9">
        <v>32.200000000000003</v>
      </c>
      <c r="BE556" s="9" t="s">
        <v>368</v>
      </c>
      <c r="BF556" s="9">
        <v>0</v>
      </c>
    </row>
    <row r="557" spans="1:58">
      <c r="A557" s="9">
        <v>633</v>
      </c>
      <c r="B557" s="10" t="s">
        <v>348</v>
      </c>
      <c r="C557" s="10" t="s">
        <v>377</v>
      </c>
      <c r="D557" s="20" t="s">
        <v>378</v>
      </c>
      <c r="E557" s="20" t="s">
        <v>908</v>
      </c>
      <c r="F557" s="10" t="s">
        <v>377</v>
      </c>
      <c r="G557" s="20" t="s">
        <v>378</v>
      </c>
      <c r="H557" s="20" t="s">
        <v>908</v>
      </c>
      <c r="I557" s="10" t="s">
        <v>377</v>
      </c>
      <c r="J557" s="20" t="s">
        <v>378</v>
      </c>
      <c r="K557" s="20" t="s">
        <v>908</v>
      </c>
      <c r="L557" s="9" t="s">
        <v>352</v>
      </c>
      <c r="M557" s="9">
        <v>15</v>
      </c>
      <c r="N557" s="9" t="s">
        <v>381</v>
      </c>
      <c r="O557" s="9" t="s">
        <v>354</v>
      </c>
      <c r="P557" s="12">
        <v>34.9</v>
      </c>
      <c r="Q557" s="12" t="s">
        <v>355</v>
      </c>
      <c r="R557" s="9" t="s">
        <v>356</v>
      </c>
      <c r="S557" s="13">
        <v>14</v>
      </c>
      <c r="T557" s="13">
        <v>14</v>
      </c>
      <c r="U557" s="14">
        <f t="shared" si="72"/>
        <v>1.1760912590556813</v>
      </c>
      <c r="V557" s="15">
        <v>20</v>
      </c>
      <c r="W557" s="12">
        <v>3.8247767999999951</v>
      </c>
      <c r="X557" s="12">
        <v>0.5</v>
      </c>
      <c r="Y557" s="13" t="s">
        <v>355</v>
      </c>
      <c r="Z557" s="9" t="s">
        <v>909</v>
      </c>
      <c r="AA557" s="10" t="s">
        <v>910</v>
      </c>
      <c r="AB557" s="9" t="s">
        <v>355</v>
      </c>
      <c r="AC557" s="15">
        <v>420</v>
      </c>
      <c r="AD557" s="14">
        <f t="shared" si="73"/>
        <v>2.6232492903979003</v>
      </c>
      <c r="AE557" s="10" t="s">
        <v>911</v>
      </c>
      <c r="AF557" s="9" t="s">
        <v>362</v>
      </c>
      <c r="AG557" s="18">
        <v>46.400409000000003</v>
      </c>
      <c r="AH557" s="7">
        <f t="shared" si="74"/>
        <v>1</v>
      </c>
      <c r="AI557" s="7">
        <f t="shared" si="75"/>
        <v>1</v>
      </c>
      <c r="AJ557" s="7">
        <f t="shared" si="76"/>
        <v>1</v>
      </c>
      <c r="AK557" s="7">
        <f t="shared" si="77"/>
        <v>0</v>
      </c>
      <c r="AL557" s="7" t="s">
        <v>4158</v>
      </c>
      <c r="AM557" s="18">
        <f t="shared" si="78"/>
        <v>1.6665218086941103</v>
      </c>
      <c r="AN557" s="18">
        <v>46.400409000000003</v>
      </c>
      <c r="AO557" s="18">
        <v>-117.001189</v>
      </c>
      <c r="AP557" s="9" t="s">
        <v>363</v>
      </c>
      <c r="AQ557" s="9" t="s">
        <v>355</v>
      </c>
      <c r="AR557" s="15">
        <v>1983</v>
      </c>
      <c r="AS557" s="19" t="s">
        <v>912</v>
      </c>
      <c r="AT557" s="63" t="s">
        <v>913</v>
      </c>
      <c r="AU557" s="34">
        <v>1438503</v>
      </c>
      <c r="AV557" s="35">
        <f t="shared" si="79"/>
        <v>6.1579107719490329</v>
      </c>
      <c r="AW557" s="36" t="s">
        <v>366</v>
      </c>
      <c r="AX557" s="34">
        <v>0</v>
      </c>
      <c r="AY557" s="34">
        <v>3050</v>
      </c>
      <c r="AZ557" s="15">
        <v>115</v>
      </c>
      <c r="BA557" s="14">
        <f t="shared" si="80"/>
        <v>2.0606978403536118</v>
      </c>
      <c r="BB557" s="36" t="s">
        <v>388</v>
      </c>
      <c r="BC557" s="20">
        <v>1.190916366546633E-2</v>
      </c>
      <c r="BD557" s="9">
        <v>32.200000000000003</v>
      </c>
      <c r="BE557" s="9" t="s">
        <v>368</v>
      </c>
      <c r="BF557" s="9">
        <v>0</v>
      </c>
    </row>
    <row r="558" spans="1:58">
      <c r="A558" s="9">
        <v>634</v>
      </c>
      <c r="B558" s="10" t="s">
        <v>348</v>
      </c>
      <c r="C558" s="10" t="s">
        <v>377</v>
      </c>
      <c r="D558" s="20" t="s">
        <v>378</v>
      </c>
      <c r="E558" s="20" t="s">
        <v>908</v>
      </c>
      <c r="F558" s="10" t="s">
        <v>377</v>
      </c>
      <c r="G558" s="20" t="s">
        <v>378</v>
      </c>
      <c r="H558" s="20" t="s">
        <v>908</v>
      </c>
      <c r="I558" s="10" t="s">
        <v>377</v>
      </c>
      <c r="J558" s="20" t="s">
        <v>378</v>
      </c>
      <c r="K558" s="20" t="s">
        <v>908</v>
      </c>
      <c r="L558" s="9" t="s">
        <v>352</v>
      </c>
      <c r="M558" s="9">
        <v>15</v>
      </c>
      <c r="N558" s="9" t="s">
        <v>381</v>
      </c>
      <c r="O558" s="9" t="s">
        <v>354</v>
      </c>
      <c r="P558" s="12">
        <v>34.299999999999997</v>
      </c>
      <c r="Q558" s="12" t="s">
        <v>355</v>
      </c>
      <c r="R558" s="9" t="s">
        <v>356</v>
      </c>
      <c r="S558" s="13">
        <v>14</v>
      </c>
      <c r="T558" s="13">
        <v>14</v>
      </c>
      <c r="U558" s="14">
        <f t="shared" si="72"/>
        <v>1.1760912590556813</v>
      </c>
      <c r="V558" s="15">
        <v>8</v>
      </c>
      <c r="W558" s="12">
        <v>6.5338324999999955</v>
      </c>
      <c r="X558" s="12">
        <v>0.5</v>
      </c>
      <c r="Y558" s="13" t="s">
        <v>355</v>
      </c>
      <c r="Z558" s="9" t="s">
        <v>909</v>
      </c>
      <c r="AA558" s="10" t="s">
        <v>910</v>
      </c>
      <c r="AB558" s="9" t="s">
        <v>355</v>
      </c>
      <c r="AC558" s="15">
        <v>1140</v>
      </c>
      <c r="AD558" s="14">
        <f t="shared" si="73"/>
        <v>3.0569048513364727</v>
      </c>
      <c r="AE558" s="10" t="s">
        <v>914</v>
      </c>
      <c r="AF558" s="9" t="s">
        <v>362</v>
      </c>
      <c r="AG558" s="18">
        <v>44.880715000000002</v>
      </c>
      <c r="AH558" s="7">
        <f t="shared" si="74"/>
        <v>1</v>
      </c>
      <c r="AI558" s="7">
        <f t="shared" si="75"/>
        <v>1</v>
      </c>
      <c r="AJ558" s="7">
        <f t="shared" si="76"/>
        <v>0</v>
      </c>
      <c r="AK558" s="7">
        <f t="shared" si="77"/>
        <v>0</v>
      </c>
      <c r="AL558" s="7" t="s">
        <v>4157</v>
      </c>
      <c r="AM558" s="18">
        <f t="shared" si="78"/>
        <v>1.6520597671001789</v>
      </c>
      <c r="AN558" s="18">
        <v>44.880715000000002</v>
      </c>
      <c r="AO558" s="18">
        <v>-117.114617</v>
      </c>
      <c r="AP558" s="9" t="s">
        <v>363</v>
      </c>
      <c r="AQ558" s="9" t="s">
        <v>355</v>
      </c>
      <c r="AR558" s="15">
        <v>1983</v>
      </c>
      <c r="AS558" s="19" t="s">
        <v>912</v>
      </c>
      <c r="AT558" s="63" t="s">
        <v>913</v>
      </c>
      <c r="AU558" s="34">
        <v>1438503</v>
      </c>
      <c r="AV558" s="35">
        <f t="shared" si="79"/>
        <v>6.1579107719490329</v>
      </c>
      <c r="AW558" s="36" t="s">
        <v>366</v>
      </c>
      <c r="AX558" s="34">
        <v>0</v>
      </c>
      <c r="AY558" s="34">
        <v>3050</v>
      </c>
      <c r="AZ558" s="15">
        <v>115</v>
      </c>
      <c r="BA558" s="14">
        <f t="shared" si="80"/>
        <v>2.0606978403536118</v>
      </c>
      <c r="BB558" s="36" t="s">
        <v>388</v>
      </c>
      <c r="BC558" s="20">
        <v>1.5228891556622756E-2</v>
      </c>
      <c r="BD558" s="9">
        <v>30.5</v>
      </c>
      <c r="BE558" s="9" t="s">
        <v>368</v>
      </c>
      <c r="BF558" s="9">
        <v>0</v>
      </c>
    </row>
    <row r="559" spans="1:58">
      <c r="A559" s="9">
        <v>635</v>
      </c>
      <c r="B559" s="10" t="s">
        <v>348</v>
      </c>
      <c r="C559" s="10" t="s">
        <v>377</v>
      </c>
      <c r="D559" s="20" t="s">
        <v>378</v>
      </c>
      <c r="E559" s="20" t="s">
        <v>908</v>
      </c>
      <c r="F559" s="10" t="s">
        <v>377</v>
      </c>
      <c r="G559" s="20" t="s">
        <v>378</v>
      </c>
      <c r="H559" s="20" t="s">
        <v>908</v>
      </c>
      <c r="I559" s="10" t="s">
        <v>377</v>
      </c>
      <c r="J559" s="20" t="s">
        <v>378</v>
      </c>
      <c r="K559" s="20" t="s">
        <v>908</v>
      </c>
      <c r="L559" s="9" t="s">
        <v>352</v>
      </c>
      <c r="M559" s="9">
        <v>15</v>
      </c>
      <c r="N559" s="9" t="s">
        <v>381</v>
      </c>
      <c r="O559" s="9" t="s">
        <v>354</v>
      </c>
      <c r="P559" s="12">
        <v>35</v>
      </c>
      <c r="Q559" s="12" t="s">
        <v>355</v>
      </c>
      <c r="R559" s="9" t="s">
        <v>356</v>
      </c>
      <c r="S559" s="13">
        <v>14</v>
      </c>
      <c r="T559" s="13">
        <v>14</v>
      </c>
      <c r="U559" s="14">
        <f t="shared" si="72"/>
        <v>1.1760912590556813</v>
      </c>
      <c r="V559" s="15">
        <v>20</v>
      </c>
      <c r="W559" s="12">
        <v>5.359204499999997</v>
      </c>
      <c r="X559" s="12">
        <v>0.5</v>
      </c>
      <c r="Y559" s="13" t="s">
        <v>355</v>
      </c>
      <c r="Z559" s="9" t="s">
        <v>909</v>
      </c>
      <c r="AA559" s="10" t="s">
        <v>910</v>
      </c>
      <c r="AB559" s="9" t="s">
        <v>355</v>
      </c>
      <c r="AC559" s="15">
        <v>1140</v>
      </c>
      <c r="AD559" s="14">
        <f t="shared" si="73"/>
        <v>3.0569048513364727</v>
      </c>
      <c r="AE559" s="10" t="s">
        <v>914</v>
      </c>
      <c r="AF559" s="9" t="s">
        <v>362</v>
      </c>
      <c r="AG559" s="18">
        <v>44.880715000000002</v>
      </c>
      <c r="AH559" s="7">
        <f t="shared" si="74"/>
        <v>1</v>
      </c>
      <c r="AI559" s="7">
        <f t="shared" si="75"/>
        <v>1</v>
      </c>
      <c r="AJ559" s="7">
        <f t="shared" si="76"/>
        <v>0</v>
      </c>
      <c r="AK559" s="7">
        <f t="shared" si="77"/>
        <v>0</v>
      </c>
      <c r="AL559" s="7" t="s">
        <v>4157</v>
      </c>
      <c r="AM559" s="18">
        <f t="shared" si="78"/>
        <v>1.6520597671001789</v>
      </c>
      <c r="AN559" s="18">
        <v>44.880715000000002</v>
      </c>
      <c r="AO559" s="18">
        <v>-117.114617</v>
      </c>
      <c r="AP559" s="9" t="s">
        <v>363</v>
      </c>
      <c r="AQ559" s="9" t="s">
        <v>355</v>
      </c>
      <c r="AR559" s="15">
        <v>1983</v>
      </c>
      <c r="AS559" s="19" t="s">
        <v>912</v>
      </c>
      <c r="AT559" s="63" t="s">
        <v>913</v>
      </c>
      <c r="AU559" s="34">
        <v>1438503</v>
      </c>
      <c r="AV559" s="35">
        <f t="shared" si="79"/>
        <v>6.1579107719490329</v>
      </c>
      <c r="AW559" s="36" t="s">
        <v>366</v>
      </c>
      <c r="AX559" s="34">
        <v>0</v>
      </c>
      <c r="AY559" s="34">
        <v>3050</v>
      </c>
      <c r="AZ559" s="15">
        <v>115</v>
      </c>
      <c r="BA559" s="14">
        <f t="shared" si="80"/>
        <v>2.0606978403536118</v>
      </c>
      <c r="BB559" s="36" t="s">
        <v>388</v>
      </c>
      <c r="BC559" s="20">
        <v>1.5228891556622756E-2</v>
      </c>
      <c r="BD559" s="9">
        <v>30.5</v>
      </c>
      <c r="BE559" s="9" t="s">
        <v>368</v>
      </c>
      <c r="BF559" s="9">
        <v>0</v>
      </c>
    </row>
    <row r="560" spans="1:58">
      <c r="A560" s="9">
        <v>636</v>
      </c>
      <c r="B560" s="10" t="s">
        <v>348</v>
      </c>
      <c r="C560" s="10" t="s">
        <v>377</v>
      </c>
      <c r="D560" s="20" t="s">
        <v>378</v>
      </c>
      <c r="E560" s="20" t="s">
        <v>908</v>
      </c>
      <c r="F560" s="10" t="s">
        <v>377</v>
      </c>
      <c r="G560" s="20" t="s">
        <v>378</v>
      </c>
      <c r="H560" s="20" t="s">
        <v>908</v>
      </c>
      <c r="I560" s="10" t="s">
        <v>377</v>
      </c>
      <c r="J560" s="20" t="s">
        <v>378</v>
      </c>
      <c r="K560" s="20" t="s">
        <v>908</v>
      </c>
      <c r="L560" s="9" t="s">
        <v>352</v>
      </c>
      <c r="M560" s="9">
        <v>15</v>
      </c>
      <c r="N560" s="9" t="s">
        <v>381</v>
      </c>
      <c r="O560" s="9" t="s">
        <v>354</v>
      </c>
      <c r="P560" s="12">
        <v>33.200000000000003</v>
      </c>
      <c r="Q560" s="12" t="s">
        <v>355</v>
      </c>
      <c r="R560" s="9" t="s">
        <v>356</v>
      </c>
      <c r="S560" s="13">
        <v>14</v>
      </c>
      <c r="T560" s="13">
        <v>14</v>
      </c>
      <c r="U560" s="14">
        <f t="shared" si="72"/>
        <v>1.1760912590556813</v>
      </c>
      <c r="V560" s="15">
        <v>8</v>
      </c>
      <c r="W560" s="12">
        <v>9.4839813000000035</v>
      </c>
      <c r="X560" s="12">
        <v>0.5</v>
      </c>
      <c r="Y560" s="13" t="s">
        <v>355</v>
      </c>
      <c r="Z560" s="9" t="s">
        <v>909</v>
      </c>
      <c r="AA560" s="10" t="s">
        <v>910</v>
      </c>
      <c r="AB560" s="9" t="s">
        <v>355</v>
      </c>
      <c r="AC560" s="15">
        <v>2470</v>
      </c>
      <c r="AD560" s="14">
        <f t="shared" si="73"/>
        <v>3.3926969532596658</v>
      </c>
      <c r="AE560" s="10" t="s">
        <v>915</v>
      </c>
      <c r="AF560" s="9" t="s">
        <v>362</v>
      </c>
      <c r="AG560" s="18">
        <v>45.592984000000001</v>
      </c>
      <c r="AH560" s="7">
        <f t="shared" si="74"/>
        <v>1</v>
      </c>
      <c r="AI560" s="7">
        <f t="shared" si="75"/>
        <v>1</v>
      </c>
      <c r="AJ560" s="7">
        <f t="shared" si="76"/>
        <v>1</v>
      </c>
      <c r="AK560" s="7">
        <f t="shared" si="77"/>
        <v>0</v>
      </c>
      <c r="AL560" s="7" t="s">
        <v>4158</v>
      </c>
      <c r="AM560" s="18">
        <f t="shared" si="78"/>
        <v>1.6588980171268246</v>
      </c>
      <c r="AN560" s="18">
        <v>45.592984000000001</v>
      </c>
      <c r="AO560" s="18">
        <v>-116.971799</v>
      </c>
      <c r="AP560" s="9" t="s">
        <v>363</v>
      </c>
      <c r="AQ560" s="9" t="s">
        <v>355</v>
      </c>
      <c r="AR560" s="15">
        <v>1983</v>
      </c>
      <c r="AS560" s="19" t="s">
        <v>912</v>
      </c>
      <c r="AT560" s="63" t="s">
        <v>913</v>
      </c>
      <c r="AU560" s="34">
        <v>1438503</v>
      </c>
      <c r="AV560" s="35">
        <f t="shared" si="79"/>
        <v>6.1579107719490329</v>
      </c>
      <c r="AW560" s="36" t="s">
        <v>366</v>
      </c>
      <c r="AX560" s="34">
        <v>0</v>
      </c>
      <c r="AY560" s="34">
        <v>3050</v>
      </c>
      <c r="AZ560" s="15">
        <v>115</v>
      </c>
      <c r="BA560" s="14">
        <f t="shared" si="80"/>
        <v>2.0606978403536118</v>
      </c>
      <c r="BB560" s="36" t="s">
        <v>388</v>
      </c>
      <c r="BC560" s="20">
        <v>1.7312925170068154E-2</v>
      </c>
      <c r="BD560" s="9">
        <v>25.700000000000003</v>
      </c>
      <c r="BE560" s="9" t="s">
        <v>368</v>
      </c>
      <c r="BF560" s="9">
        <v>0</v>
      </c>
    </row>
    <row r="561" spans="1:58">
      <c r="A561" s="9">
        <v>637</v>
      </c>
      <c r="B561" s="10" t="s">
        <v>348</v>
      </c>
      <c r="C561" s="10" t="s">
        <v>377</v>
      </c>
      <c r="D561" s="20" t="s">
        <v>378</v>
      </c>
      <c r="E561" s="20" t="s">
        <v>908</v>
      </c>
      <c r="F561" s="10" t="s">
        <v>377</v>
      </c>
      <c r="G561" s="20" t="s">
        <v>378</v>
      </c>
      <c r="H561" s="20" t="s">
        <v>908</v>
      </c>
      <c r="I561" s="10" t="s">
        <v>377</v>
      </c>
      <c r="J561" s="20" t="s">
        <v>378</v>
      </c>
      <c r="K561" s="20" t="s">
        <v>908</v>
      </c>
      <c r="L561" s="9" t="s">
        <v>352</v>
      </c>
      <c r="M561" s="9">
        <v>15</v>
      </c>
      <c r="N561" s="9" t="s">
        <v>381</v>
      </c>
      <c r="O561" s="9" t="s">
        <v>354</v>
      </c>
      <c r="P561" s="12">
        <v>34.4</v>
      </c>
      <c r="Q561" s="12" t="s">
        <v>355</v>
      </c>
      <c r="R561" s="9" t="s">
        <v>356</v>
      </c>
      <c r="S561" s="13">
        <v>14</v>
      </c>
      <c r="T561" s="13">
        <v>14</v>
      </c>
      <c r="U561" s="14">
        <f t="shared" si="72"/>
        <v>1.1760912590556813</v>
      </c>
      <c r="V561" s="15">
        <v>20</v>
      </c>
      <c r="W561" s="12">
        <v>8.8093532999999979</v>
      </c>
      <c r="X561" s="12">
        <v>0.5</v>
      </c>
      <c r="Y561" s="13" t="s">
        <v>355</v>
      </c>
      <c r="Z561" s="9" t="s">
        <v>909</v>
      </c>
      <c r="AA561" s="10" t="s">
        <v>910</v>
      </c>
      <c r="AB561" s="9" t="s">
        <v>355</v>
      </c>
      <c r="AC561" s="15">
        <v>2470</v>
      </c>
      <c r="AD561" s="14">
        <f t="shared" si="73"/>
        <v>3.3926969532596658</v>
      </c>
      <c r="AE561" s="10" t="s">
        <v>915</v>
      </c>
      <c r="AF561" s="9" t="s">
        <v>362</v>
      </c>
      <c r="AG561" s="18">
        <v>45.592984000000001</v>
      </c>
      <c r="AH561" s="7">
        <f t="shared" si="74"/>
        <v>1</v>
      </c>
      <c r="AI561" s="7">
        <f t="shared" si="75"/>
        <v>1</v>
      </c>
      <c r="AJ561" s="7">
        <f t="shared" si="76"/>
        <v>1</v>
      </c>
      <c r="AK561" s="7">
        <f t="shared" si="77"/>
        <v>0</v>
      </c>
      <c r="AL561" s="7" t="s">
        <v>4158</v>
      </c>
      <c r="AM561" s="18">
        <f t="shared" si="78"/>
        <v>1.6588980171268246</v>
      </c>
      <c r="AN561" s="18">
        <v>45.592984000000001</v>
      </c>
      <c r="AO561" s="18">
        <v>-116.971799</v>
      </c>
      <c r="AP561" s="9" t="s">
        <v>363</v>
      </c>
      <c r="AQ561" s="9" t="s">
        <v>355</v>
      </c>
      <c r="AR561" s="15">
        <v>1983</v>
      </c>
      <c r="AS561" s="19" t="s">
        <v>912</v>
      </c>
      <c r="AT561" s="63" t="s">
        <v>913</v>
      </c>
      <c r="AU561" s="34">
        <v>1438503</v>
      </c>
      <c r="AV561" s="35">
        <f t="shared" si="79"/>
        <v>6.1579107719490329</v>
      </c>
      <c r="AW561" s="36" t="s">
        <v>366</v>
      </c>
      <c r="AX561" s="34">
        <v>0</v>
      </c>
      <c r="AY561" s="34">
        <v>3050</v>
      </c>
      <c r="AZ561" s="15">
        <v>115</v>
      </c>
      <c r="BA561" s="14">
        <f t="shared" si="80"/>
        <v>2.0606978403536118</v>
      </c>
      <c r="BB561" s="36" t="s">
        <v>388</v>
      </c>
      <c r="BC561" s="20">
        <v>1.7312925170068154E-2</v>
      </c>
      <c r="BD561" s="9">
        <v>25.700000000000003</v>
      </c>
      <c r="BE561" s="9" t="s">
        <v>368</v>
      </c>
      <c r="BF561" s="9">
        <v>0</v>
      </c>
    </row>
    <row r="562" spans="1:58">
      <c r="A562" s="9">
        <v>715</v>
      </c>
      <c r="B562" s="10" t="s">
        <v>76</v>
      </c>
      <c r="C562" s="10" t="s">
        <v>389</v>
      </c>
      <c r="D562" s="20" t="s">
        <v>390</v>
      </c>
      <c r="E562" s="20" t="s">
        <v>435</v>
      </c>
      <c r="F562" s="10" t="s">
        <v>389</v>
      </c>
      <c r="G562" s="20" t="s">
        <v>390</v>
      </c>
      <c r="H562" s="20" t="s">
        <v>435</v>
      </c>
      <c r="I562" s="10" t="s">
        <v>389</v>
      </c>
      <c r="J562" s="20" t="s">
        <v>392</v>
      </c>
      <c r="K562" s="20" t="s">
        <v>435</v>
      </c>
      <c r="L562" s="9" t="s">
        <v>352</v>
      </c>
      <c r="M562" s="9">
        <v>24</v>
      </c>
      <c r="N562" s="9" t="s">
        <v>381</v>
      </c>
      <c r="O562" s="9" t="s">
        <v>354</v>
      </c>
      <c r="P562" s="12">
        <v>40.86</v>
      </c>
      <c r="Q562" s="12" t="s">
        <v>355</v>
      </c>
      <c r="R562" s="9" t="s">
        <v>356</v>
      </c>
      <c r="S562" s="13" t="s">
        <v>903</v>
      </c>
      <c r="T562" s="13" t="s">
        <v>903</v>
      </c>
      <c r="U562" s="14">
        <f t="shared" si="72"/>
        <v>1.1760912590556813</v>
      </c>
      <c r="V562" s="15">
        <v>10</v>
      </c>
      <c r="W562" s="12">
        <v>9.4906486000000001</v>
      </c>
      <c r="X562" s="12">
        <v>1</v>
      </c>
      <c r="Y562" s="13" t="s">
        <v>358</v>
      </c>
      <c r="Z562" s="9" t="s">
        <v>417</v>
      </c>
      <c r="AA562" s="10" t="s">
        <v>418</v>
      </c>
      <c r="AB562" s="9" t="s">
        <v>355</v>
      </c>
      <c r="AC562" s="15">
        <v>340</v>
      </c>
      <c r="AD562" s="14">
        <f t="shared" si="73"/>
        <v>2.5314789170422549</v>
      </c>
      <c r="AE562" s="10" t="s">
        <v>916</v>
      </c>
      <c r="AF562" s="9" t="s">
        <v>420</v>
      </c>
      <c r="AG562" s="18">
        <v>35.254964000000001</v>
      </c>
      <c r="AH562" s="7">
        <f t="shared" si="74"/>
        <v>1</v>
      </c>
      <c r="AI562" s="7">
        <f t="shared" si="75"/>
        <v>1</v>
      </c>
      <c r="AJ562" s="7">
        <f t="shared" si="76"/>
        <v>0</v>
      </c>
      <c r="AK562" s="7">
        <f t="shared" si="77"/>
        <v>0</v>
      </c>
      <c r="AL562" s="7" t="s">
        <v>4157</v>
      </c>
      <c r="AM562" s="18">
        <f t="shared" si="78"/>
        <v>1.5472202755409485</v>
      </c>
      <c r="AN562" s="18">
        <v>35.254964000000001</v>
      </c>
      <c r="AO562" s="18">
        <v>-97.351656000000006</v>
      </c>
      <c r="AP562" s="9" t="s">
        <v>363</v>
      </c>
      <c r="AQ562" s="9" t="s">
        <v>355</v>
      </c>
      <c r="AR562" s="15">
        <v>1997</v>
      </c>
      <c r="AS562" s="19" t="s">
        <v>917</v>
      </c>
      <c r="AT562" s="20" t="s">
        <v>918</v>
      </c>
      <c r="AU562" s="40">
        <v>5638611</v>
      </c>
      <c r="AV562" s="35">
        <f t="shared" si="79"/>
        <v>6.7511721342441762</v>
      </c>
      <c r="AW562" s="37" t="s">
        <v>366</v>
      </c>
      <c r="AX562" s="34" t="s">
        <v>355</v>
      </c>
      <c r="AY562" s="40" t="s">
        <v>355</v>
      </c>
      <c r="AZ562" s="15">
        <v>113</v>
      </c>
      <c r="BA562" s="14">
        <f t="shared" si="80"/>
        <v>2.0530784434834195</v>
      </c>
      <c r="BB562" s="37" t="s">
        <v>367</v>
      </c>
      <c r="BC562" s="20">
        <v>3.0460984393757294E-2</v>
      </c>
      <c r="BD562" s="9">
        <v>34.4</v>
      </c>
      <c r="BE562" s="9" t="s">
        <v>368</v>
      </c>
      <c r="BF562" s="9">
        <v>0</v>
      </c>
    </row>
    <row r="563" spans="1:58">
      <c r="A563" s="9">
        <v>197</v>
      </c>
      <c r="B563" s="10" t="s">
        <v>76</v>
      </c>
      <c r="C563" s="10" t="s">
        <v>389</v>
      </c>
      <c r="D563" s="20" t="s">
        <v>390</v>
      </c>
      <c r="E563" s="20" t="s">
        <v>919</v>
      </c>
      <c r="F563" s="10" t="s">
        <v>389</v>
      </c>
      <c r="G563" s="20" t="s">
        <v>390</v>
      </c>
      <c r="H563" s="20" t="s">
        <v>919</v>
      </c>
      <c r="I563" s="10" t="s">
        <v>389</v>
      </c>
      <c r="J563" s="20" t="s">
        <v>392</v>
      </c>
      <c r="K563" s="20" t="s">
        <v>919</v>
      </c>
      <c r="L563" s="9" t="s">
        <v>352</v>
      </c>
      <c r="M563" s="9">
        <v>10</v>
      </c>
      <c r="N563" s="9" t="s">
        <v>381</v>
      </c>
      <c r="O563" s="9" t="s">
        <v>455</v>
      </c>
      <c r="P563" s="12">
        <v>35.200000000000003</v>
      </c>
      <c r="Q563" s="12" t="s">
        <v>355</v>
      </c>
      <c r="R563" s="9" t="s">
        <v>356</v>
      </c>
      <c r="S563" s="13" t="s">
        <v>903</v>
      </c>
      <c r="T563" s="13" t="s">
        <v>903</v>
      </c>
      <c r="U563" s="14">
        <f t="shared" si="72"/>
        <v>1.1760912590556813</v>
      </c>
      <c r="V563" s="15">
        <v>5</v>
      </c>
      <c r="W563" s="12">
        <v>7.7337332999999973</v>
      </c>
      <c r="X563" s="12">
        <v>1</v>
      </c>
      <c r="Y563" s="13" t="s">
        <v>904</v>
      </c>
      <c r="Z563" s="9" t="s">
        <v>359</v>
      </c>
      <c r="AA563" s="10" t="s">
        <v>372</v>
      </c>
      <c r="AB563" s="9" t="s">
        <v>355</v>
      </c>
      <c r="AC563" s="15">
        <v>305</v>
      </c>
      <c r="AD563" s="14">
        <f t="shared" si="73"/>
        <v>2.4842998393467859</v>
      </c>
      <c r="AE563" s="10" t="s">
        <v>920</v>
      </c>
      <c r="AF563" s="9" t="s">
        <v>420</v>
      </c>
      <c r="AG563" s="18">
        <v>33.979179000000002</v>
      </c>
      <c r="AH563" s="7">
        <f t="shared" si="74"/>
        <v>1</v>
      </c>
      <c r="AI563" s="7">
        <f t="shared" si="75"/>
        <v>1</v>
      </c>
      <c r="AJ563" s="7">
        <f t="shared" si="76"/>
        <v>0</v>
      </c>
      <c r="AK563" s="7">
        <f t="shared" si="77"/>
        <v>0</v>
      </c>
      <c r="AL563" s="7" t="s">
        <v>4157</v>
      </c>
      <c r="AM563" s="18">
        <f t="shared" si="78"/>
        <v>1.5312128812994443</v>
      </c>
      <c r="AN563" s="18">
        <v>33.979179000000002</v>
      </c>
      <c r="AO563" s="18">
        <v>-118.032844</v>
      </c>
      <c r="AP563" s="9" t="s">
        <v>363</v>
      </c>
      <c r="AQ563" s="9" t="s">
        <v>355</v>
      </c>
      <c r="AR563" s="15">
        <v>1968</v>
      </c>
      <c r="AS563" s="19" t="s">
        <v>906</v>
      </c>
      <c r="AT563" s="20" t="s">
        <v>907</v>
      </c>
      <c r="AU563" s="40">
        <v>2846069</v>
      </c>
      <c r="AV563" s="35">
        <f t="shared" si="79"/>
        <v>6.4542454248965431</v>
      </c>
      <c r="AW563" s="37" t="s">
        <v>366</v>
      </c>
      <c r="AX563" s="34" t="s">
        <v>355</v>
      </c>
      <c r="AY563" s="40">
        <v>3640</v>
      </c>
      <c r="AZ563" s="15">
        <v>113</v>
      </c>
      <c r="BA563" s="14">
        <f t="shared" si="80"/>
        <v>2.0530784434834195</v>
      </c>
      <c r="BB563" s="37" t="s">
        <v>367</v>
      </c>
      <c r="BC563" s="20">
        <v>-4.6095638255301739E-2</v>
      </c>
      <c r="BD563" s="9">
        <v>30.700000000000003</v>
      </c>
      <c r="BE563" s="9" t="s">
        <v>459</v>
      </c>
      <c r="BF563" s="9">
        <v>1</v>
      </c>
    </row>
    <row r="564" spans="1:58">
      <c r="A564" s="9">
        <v>191</v>
      </c>
      <c r="B564" s="10" t="s">
        <v>76</v>
      </c>
      <c r="C564" s="10" t="s">
        <v>389</v>
      </c>
      <c r="D564" s="20" t="s">
        <v>390</v>
      </c>
      <c r="E564" s="20" t="s">
        <v>919</v>
      </c>
      <c r="F564" s="10" t="s">
        <v>389</v>
      </c>
      <c r="G564" s="20" t="s">
        <v>390</v>
      </c>
      <c r="H564" s="20" t="s">
        <v>919</v>
      </c>
      <c r="I564" s="10" t="s">
        <v>389</v>
      </c>
      <c r="J564" s="20" t="s">
        <v>392</v>
      </c>
      <c r="K564" s="20" t="s">
        <v>919</v>
      </c>
      <c r="L564" s="9" t="s">
        <v>352</v>
      </c>
      <c r="M564" s="9">
        <v>10</v>
      </c>
      <c r="N564" s="9" t="s">
        <v>381</v>
      </c>
      <c r="O564" s="9" t="s">
        <v>455</v>
      </c>
      <c r="P564" s="12">
        <v>35</v>
      </c>
      <c r="Q564" s="12" t="s">
        <v>355</v>
      </c>
      <c r="R564" s="9" t="s">
        <v>356</v>
      </c>
      <c r="S564" s="13" t="s">
        <v>903</v>
      </c>
      <c r="T564" s="13" t="s">
        <v>903</v>
      </c>
      <c r="U564" s="14">
        <f t="shared" si="72"/>
        <v>1.1760912590556813</v>
      </c>
      <c r="V564" s="15">
        <v>5</v>
      </c>
      <c r="W564" s="12">
        <v>9.2212952999999942</v>
      </c>
      <c r="X564" s="12">
        <v>1</v>
      </c>
      <c r="Y564" s="13" t="s">
        <v>904</v>
      </c>
      <c r="Z564" s="9" t="s">
        <v>359</v>
      </c>
      <c r="AA564" s="10" t="s">
        <v>372</v>
      </c>
      <c r="AB564" s="9" t="s">
        <v>355</v>
      </c>
      <c r="AC564" s="15">
        <v>305</v>
      </c>
      <c r="AD564" s="14">
        <f t="shared" si="73"/>
        <v>2.4842998393467859</v>
      </c>
      <c r="AE564" s="10" t="s">
        <v>921</v>
      </c>
      <c r="AF564" s="9" t="s">
        <v>420</v>
      </c>
      <c r="AG564" s="18">
        <v>33.646965999999999</v>
      </c>
      <c r="AH564" s="7">
        <f t="shared" si="74"/>
        <v>1</v>
      </c>
      <c r="AI564" s="7">
        <f t="shared" si="75"/>
        <v>1</v>
      </c>
      <c r="AJ564" s="7">
        <f t="shared" si="76"/>
        <v>0</v>
      </c>
      <c r="AK564" s="7">
        <f t="shared" si="77"/>
        <v>0</v>
      </c>
      <c r="AL564" s="7" t="s">
        <v>4157</v>
      </c>
      <c r="AM564" s="18">
        <f t="shared" si="78"/>
        <v>1.5269459093069919</v>
      </c>
      <c r="AN564" s="18">
        <v>33.646965999999999</v>
      </c>
      <c r="AO564" s="18">
        <v>-117.689218</v>
      </c>
      <c r="AP564" s="9" t="s">
        <v>363</v>
      </c>
      <c r="AQ564" s="9" t="s">
        <v>355</v>
      </c>
      <c r="AR564" s="15">
        <v>1968</v>
      </c>
      <c r="AS564" s="19" t="s">
        <v>906</v>
      </c>
      <c r="AT564" s="20" t="s">
        <v>907</v>
      </c>
      <c r="AU564" s="40">
        <v>2846069</v>
      </c>
      <c r="AV564" s="35">
        <f t="shared" si="79"/>
        <v>6.4542454248965431</v>
      </c>
      <c r="AW564" s="37" t="s">
        <v>366</v>
      </c>
      <c r="AX564" s="34" t="s">
        <v>355</v>
      </c>
      <c r="AY564" s="40">
        <v>3640</v>
      </c>
      <c r="AZ564" s="15">
        <v>113</v>
      </c>
      <c r="BA564" s="14">
        <f t="shared" si="80"/>
        <v>2.0530784434834195</v>
      </c>
      <c r="BB564" s="37" t="s">
        <v>367</v>
      </c>
      <c r="BC564" s="20">
        <v>-3.3386954781912656E-2</v>
      </c>
      <c r="BD564" s="9">
        <v>28.700000000000003</v>
      </c>
      <c r="BE564" s="9" t="s">
        <v>459</v>
      </c>
      <c r="BF564" s="9">
        <v>1</v>
      </c>
    </row>
    <row r="565" spans="1:58">
      <c r="A565" s="9">
        <v>194</v>
      </c>
      <c r="B565" s="10" t="s">
        <v>76</v>
      </c>
      <c r="C565" s="10" t="s">
        <v>389</v>
      </c>
      <c r="D565" s="20" t="s">
        <v>390</v>
      </c>
      <c r="E565" s="20" t="s">
        <v>919</v>
      </c>
      <c r="F565" s="10" t="s">
        <v>389</v>
      </c>
      <c r="G565" s="20" t="s">
        <v>390</v>
      </c>
      <c r="H565" s="20" t="s">
        <v>919</v>
      </c>
      <c r="I565" s="10" t="s">
        <v>389</v>
      </c>
      <c r="J565" s="20" t="s">
        <v>392</v>
      </c>
      <c r="K565" s="20" t="s">
        <v>919</v>
      </c>
      <c r="L565" s="9" t="s">
        <v>352</v>
      </c>
      <c r="M565" s="9">
        <v>10</v>
      </c>
      <c r="N565" s="9" t="s">
        <v>381</v>
      </c>
      <c r="O565" s="9" t="s">
        <v>455</v>
      </c>
      <c r="P565" s="12">
        <v>34.9</v>
      </c>
      <c r="Q565" s="12" t="s">
        <v>355</v>
      </c>
      <c r="R565" s="9" t="s">
        <v>356</v>
      </c>
      <c r="S565" s="13" t="s">
        <v>903</v>
      </c>
      <c r="T565" s="13" t="s">
        <v>903</v>
      </c>
      <c r="U565" s="14">
        <f t="shared" si="72"/>
        <v>1.1760912590556813</v>
      </c>
      <c r="V565" s="15">
        <v>5</v>
      </c>
      <c r="W565" s="12">
        <v>9.7963200999999991</v>
      </c>
      <c r="X565" s="12">
        <v>1</v>
      </c>
      <c r="Y565" s="13" t="s">
        <v>904</v>
      </c>
      <c r="Z565" s="9" t="s">
        <v>359</v>
      </c>
      <c r="AA565" s="10" t="s">
        <v>372</v>
      </c>
      <c r="AB565" s="9" t="s">
        <v>355</v>
      </c>
      <c r="AC565" s="15">
        <v>305</v>
      </c>
      <c r="AD565" s="14">
        <f t="shared" si="73"/>
        <v>2.4842998393467859</v>
      </c>
      <c r="AE565" s="10" t="s">
        <v>922</v>
      </c>
      <c r="AF565" s="9" t="s">
        <v>420</v>
      </c>
      <c r="AG565" s="18">
        <v>33.619163999999998</v>
      </c>
      <c r="AH565" s="7">
        <f t="shared" si="74"/>
        <v>1</v>
      </c>
      <c r="AI565" s="7">
        <f t="shared" si="75"/>
        <v>1</v>
      </c>
      <c r="AJ565" s="7">
        <f t="shared" si="76"/>
        <v>0</v>
      </c>
      <c r="AK565" s="7">
        <f t="shared" si="77"/>
        <v>0</v>
      </c>
      <c r="AL565" s="7" t="s">
        <v>4157</v>
      </c>
      <c r="AM565" s="18">
        <f t="shared" si="78"/>
        <v>1.5265869097369731</v>
      </c>
      <c r="AN565" s="18">
        <v>33.619163999999998</v>
      </c>
      <c r="AO565" s="18">
        <v>-117.69272100000001</v>
      </c>
      <c r="AP565" s="9" t="s">
        <v>363</v>
      </c>
      <c r="AQ565" s="9" t="s">
        <v>355</v>
      </c>
      <c r="AR565" s="15">
        <v>1968</v>
      </c>
      <c r="AS565" s="19" t="s">
        <v>906</v>
      </c>
      <c r="AT565" s="20" t="s">
        <v>907</v>
      </c>
      <c r="AU565" s="40">
        <v>2846069</v>
      </c>
      <c r="AV565" s="35">
        <f t="shared" si="79"/>
        <v>6.4542454248965431</v>
      </c>
      <c r="AW565" s="37" t="s">
        <v>366</v>
      </c>
      <c r="AX565" s="34" t="s">
        <v>355</v>
      </c>
      <c r="AY565" s="40">
        <v>3640</v>
      </c>
      <c r="AZ565" s="15">
        <v>113</v>
      </c>
      <c r="BA565" s="14">
        <f t="shared" si="80"/>
        <v>2.0530784434834195</v>
      </c>
      <c r="BB565" s="37" t="s">
        <v>367</v>
      </c>
      <c r="BC565" s="20">
        <v>-3.3386954781912656E-2</v>
      </c>
      <c r="BD565" s="9">
        <v>27.900000000000002</v>
      </c>
      <c r="BE565" s="9" t="s">
        <v>459</v>
      </c>
      <c r="BF565" s="9">
        <v>1</v>
      </c>
    </row>
    <row r="566" spans="1:58">
      <c r="A566" s="9">
        <v>192</v>
      </c>
      <c r="B566" s="10" t="s">
        <v>76</v>
      </c>
      <c r="C566" s="10" t="s">
        <v>389</v>
      </c>
      <c r="D566" s="20" t="s">
        <v>390</v>
      </c>
      <c r="E566" s="20" t="s">
        <v>919</v>
      </c>
      <c r="F566" s="10" t="s">
        <v>389</v>
      </c>
      <c r="G566" s="20" t="s">
        <v>390</v>
      </c>
      <c r="H566" s="20" t="s">
        <v>919</v>
      </c>
      <c r="I566" s="10" t="s">
        <v>389</v>
      </c>
      <c r="J566" s="20" t="s">
        <v>392</v>
      </c>
      <c r="K566" s="20" t="s">
        <v>919</v>
      </c>
      <c r="L566" s="9" t="s">
        <v>352</v>
      </c>
      <c r="M566" s="9">
        <v>10</v>
      </c>
      <c r="N566" s="9" t="s">
        <v>381</v>
      </c>
      <c r="O566" s="9" t="s">
        <v>455</v>
      </c>
      <c r="P566" s="12">
        <v>36</v>
      </c>
      <c r="Q566" s="12" t="s">
        <v>355</v>
      </c>
      <c r="R566" s="9" t="s">
        <v>356</v>
      </c>
      <c r="S566" s="13" t="s">
        <v>903</v>
      </c>
      <c r="T566" s="13" t="s">
        <v>903</v>
      </c>
      <c r="U566" s="14">
        <f t="shared" si="72"/>
        <v>1.1760912590556813</v>
      </c>
      <c r="V566" s="15">
        <v>15</v>
      </c>
      <c r="W566" s="12">
        <v>8.6591053000000002</v>
      </c>
      <c r="X566" s="12">
        <v>1</v>
      </c>
      <c r="Y566" s="13" t="s">
        <v>904</v>
      </c>
      <c r="Z566" s="9" t="s">
        <v>359</v>
      </c>
      <c r="AA566" s="10" t="s">
        <v>372</v>
      </c>
      <c r="AB566" s="9" t="s">
        <v>355</v>
      </c>
      <c r="AC566" s="15">
        <v>305</v>
      </c>
      <c r="AD566" s="14">
        <f t="shared" si="73"/>
        <v>2.4842998393467859</v>
      </c>
      <c r="AE566" s="10" t="s">
        <v>921</v>
      </c>
      <c r="AF566" s="9" t="s">
        <v>420</v>
      </c>
      <c r="AG566" s="18">
        <v>33.646965999999999</v>
      </c>
      <c r="AH566" s="7">
        <f t="shared" si="74"/>
        <v>1</v>
      </c>
      <c r="AI566" s="7">
        <f t="shared" si="75"/>
        <v>1</v>
      </c>
      <c r="AJ566" s="7">
        <f t="shared" si="76"/>
        <v>0</v>
      </c>
      <c r="AK566" s="7">
        <f t="shared" si="77"/>
        <v>0</v>
      </c>
      <c r="AL566" s="7" t="s">
        <v>4157</v>
      </c>
      <c r="AM566" s="18">
        <f t="shared" si="78"/>
        <v>1.5269459093069919</v>
      </c>
      <c r="AN566" s="18">
        <v>33.646965999999999</v>
      </c>
      <c r="AO566" s="18">
        <v>-117.689218</v>
      </c>
      <c r="AP566" s="9" t="s">
        <v>363</v>
      </c>
      <c r="AQ566" s="9" t="s">
        <v>355</v>
      </c>
      <c r="AR566" s="15">
        <v>1968</v>
      </c>
      <c r="AS566" s="19" t="s">
        <v>906</v>
      </c>
      <c r="AT566" s="20" t="s">
        <v>907</v>
      </c>
      <c r="AU566" s="40">
        <v>2846069</v>
      </c>
      <c r="AV566" s="35">
        <f t="shared" si="79"/>
        <v>6.4542454248965431</v>
      </c>
      <c r="AW566" s="37" t="s">
        <v>366</v>
      </c>
      <c r="AX566" s="34" t="s">
        <v>355</v>
      </c>
      <c r="AY566" s="40">
        <v>3640</v>
      </c>
      <c r="AZ566" s="15">
        <v>113</v>
      </c>
      <c r="BA566" s="14">
        <f t="shared" si="80"/>
        <v>2.0530784434834195</v>
      </c>
      <c r="BB566" s="37" t="s">
        <v>367</v>
      </c>
      <c r="BC566" s="20">
        <v>-3.3386954781912656E-2</v>
      </c>
      <c r="BD566" s="9">
        <v>28.700000000000003</v>
      </c>
      <c r="BE566" s="9" t="s">
        <v>459</v>
      </c>
      <c r="BF566" s="9">
        <v>1</v>
      </c>
    </row>
    <row r="567" spans="1:58">
      <c r="A567" s="9">
        <v>195</v>
      </c>
      <c r="B567" s="10" t="s">
        <v>76</v>
      </c>
      <c r="C567" s="10" t="s">
        <v>389</v>
      </c>
      <c r="D567" s="20" t="s">
        <v>390</v>
      </c>
      <c r="E567" s="20" t="s">
        <v>919</v>
      </c>
      <c r="F567" s="10" t="s">
        <v>389</v>
      </c>
      <c r="G567" s="20" t="s">
        <v>390</v>
      </c>
      <c r="H567" s="20" t="s">
        <v>919</v>
      </c>
      <c r="I567" s="10" t="s">
        <v>389</v>
      </c>
      <c r="J567" s="20" t="s">
        <v>392</v>
      </c>
      <c r="K567" s="20" t="s">
        <v>919</v>
      </c>
      <c r="L567" s="9" t="s">
        <v>352</v>
      </c>
      <c r="M567" s="9">
        <v>10</v>
      </c>
      <c r="N567" s="9" t="s">
        <v>381</v>
      </c>
      <c r="O567" s="9" t="s">
        <v>455</v>
      </c>
      <c r="P567" s="12">
        <v>36</v>
      </c>
      <c r="Q567" s="12" t="s">
        <v>355</v>
      </c>
      <c r="R567" s="9" t="s">
        <v>356</v>
      </c>
      <c r="S567" s="13" t="s">
        <v>903</v>
      </c>
      <c r="T567" s="13" t="s">
        <v>903</v>
      </c>
      <c r="U567" s="14">
        <f t="shared" si="72"/>
        <v>1.1760912590556813</v>
      </c>
      <c r="V567" s="15">
        <v>15</v>
      </c>
      <c r="W567" s="12">
        <v>9.3341300999999994</v>
      </c>
      <c r="X567" s="12">
        <v>1</v>
      </c>
      <c r="Y567" s="13" t="s">
        <v>904</v>
      </c>
      <c r="Z567" s="9" t="s">
        <v>359</v>
      </c>
      <c r="AA567" s="10" t="s">
        <v>372</v>
      </c>
      <c r="AB567" s="9" t="s">
        <v>355</v>
      </c>
      <c r="AC567" s="15">
        <v>305</v>
      </c>
      <c r="AD567" s="14">
        <f t="shared" si="73"/>
        <v>2.4842998393467859</v>
      </c>
      <c r="AE567" s="10" t="s">
        <v>922</v>
      </c>
      <c r="AF567" s="9" t="s">
        <v>420</v>
      </c>
      <c r="AG567" s="18">
        <v>33.619163999999998</v>
      </c>
      <c r="AH567" s="7">
        <f t="shared" si="74"/>
        <v>1</v>
      </c>
      <c r="AI567" s="7">
        <f t="shared" si="75"/>
        <v>1</v>
      </c>
      <c r="AJ567" s="7">
        <f t="shared" si="76"/>
        <v>0</v>
      </c>
      <c r="AK567" s="7">
        <f t="shared" si="77"/>
        <v>0</v>
      </c>
      <c r="AL567" s="7" t="s">
        <v>4157</v>
      </c>
      <c r="AM567" s="18">
        <f t="shared" si="78"/>
        <v>1.5265869097369731</v>
      </c>
      <c r="AN567" s="18">
        <v>33.619163999999998</v>
      </c>
      <c r="AO567" s="18">
        <v>-117.69272100000001</v>
      </c>
      <c r="AP567" s="9" t="s">
        <v>363</v>
      </c>
      <c r="AQ567" s="9" t="s">
        <v>355</v>
      </c>
      <c r="AR567" s="15">
        <v>1968</v>
      </c>
      <c r="AS567" s="19" t="s">
        <v>906</v>
      </c>
      <c r="AT567" s="20" t="s">
        <v>907</v>
      </c>
      <c r="AU567" s="40">
        <v>2846069</v>
      </c>
      <c r="AV567" s="35">
        <f t="shared" si="79"/>
        <v>6.4542454248965431</v>
      </c>
      <c r="AW567" s="37" t="s">
        <v>366</v>
      </c>
      <c r="AX567" s="34" t="s">
        <v>355</v>
      </c>
      <c r="AY567" s="40">
        <v>3640</v>
      </c>
      <c r="AZ567" s="15">
        <v>113</v>
      </c>
      <c r="BA567" s="14">
        <f t="shared" si="80"/>
        <v>2.0530784434834195</v>
      </c>
      <c r="BB567" s="37" t="s">
        <v>367</v>
      </c>
      <c r="BC567" s="20">
        <v>-3.3386954781912656E-2</v>
      </c>
      <c r="BD567" s="9">
        <v>27.900000000000002</v>
      </c>
      <c r="BE567" s="9" t="s">
        <v>459</v>
      </c>
      <c r="BF567" s="9">
        <v>1</v>
      </c>
    </row>
    <row r="568" spans="1:58">
      <c r="A568" s="9">
        <v>193</v>
      </c>
      <c r="B568" s="10" t="s">
        <v>76</v>
      </c>
      <c r="C568" s="10" t="s">
        <v>389</v>
      </c>
      <c r="D568" s="20" t="s">
        <v>390</v>
      </c>
      <c r="E568" s="20" t="s">
        <v>919</v>
      </c>
      <c r="F568" s="10" t="s">
        <v>389</v>
      </c>
      <c r="G568" s="20" t="s">
        <v>390</v>
      </c>
      <c r="H568" s="20" t="s">
        <v>919</v>
      </c>
      <c r="I568" s="10" t="s">
        <v>389</v>
      </c>
      <c r="J568" s="20" t="s">
        <v>392</v>
      </c>
      <c r="K568" s="20" t="s">
        <v>919</v>
      </c>
      <c r="L568" s="9" t="s">
        <v>352</v>
      </c>
      <c r="M568" s="9">
        <v>10</v>
      </c>
      <c r="N568" s="9" t="s">
        <v>381</v>
      </c>
      <c r="O568" s="9" t="s">
        <v>455</v>
      </c>
      <c r="P568" s="12">
        <v>37.799999999999997</v>
      </c>
      <c r="Q568" s="12" t="s">
        <v>355</v>
      </c>
      <c r="R568" s="9" t="s">
        <v>356</v>
      </c>
      <c r="S568" s="13" t="s">
        <v>903</v>
      </c>
      <c r="T568" s="13" t="s">
        <v>903</v>
      </c>
      <c r="U568" s="14">
        <f t="shared" si="72"/>
        <v>1.1760912590556813</v>
      </c>
      <c r="V568" s="15">
        <v>30</v>
      </c>
      <c r="W568" s="12">
        <v>8.1158202999999958</v>
      </c>
      <c r="X568" s="12">
        <v>1</v>
      </c>
      <c r="Y568" s="13" t="s">
        <v>904</v>
      </c>
      <c r="Z568" s="9" t="s">
        <v>359</v>
      </c>
      <c r="AA568" s="10" t="s">
        <v>372</v>
      </c>
      <c r="AB568" s="9" t="s">
        <v>355</v>
      </c>
      <c r="AC568" s="15">
        <v>305</v>
      </c>
      <c r="AD568" s="14">
        <f t="shared" si="73"/>
        <v>2.4842998393467859</v>
      </c>
      <c r="AE568" s="10" t="s">
        <v>921</v>
      </c>
      <c r="AF568" s="9" t="s">
        <v>420</v>
      </c>
      <c r="AG568" s="18">
        <v>33.646965999999999</v>
      </c>
      <c r="AH568" s="7">
        <f t="shared" si="74"/>
        <v>1</v>
      </c>
      <c r="AI568" s="7">
        <f t="shared" si="75"/>
        <v>1</v>
      </c>
      <c r="AJ568" s="7">
        <f t="shared" si="76"/>
        <v>0</v>
      </c>
      <c r="AK568" s="7">
        <f t="shared" si="77"/>
        <v>0</v>
      </c>
      <c r="AL568" s="7" t="s">
        <v>4157</v>
      </c>
      <c r="AM568" s="18">
        <f t="shared" si="78"/>
        <v>1.5269459093069919</v>
      </c>
      <c r="AN568" s="18">
        <v>33.646965999999999</v>
      </c>
      <c r="AO568" s="18">
        <v>-117.689218</v>
      </c>
      <c r="AP568" s="9" t="s">
        <v>363</v>
      </c>
      <c r="AQ568" s="9" t="s">
        <v>355</v>
      </c>
      <c r="AR568" s="15">
        <v>1968</v>
      </c>
      <c r="AS568" s="19" t="s">
        <v>906</v>
      </c>
      <c r="AT568" s="20" t="s">
        <v>907</v>
      </c>
      <c r="AU568" s="40">
        <v>2846069</v>
      </c>
      <c r="AV568" s="35">
        <f t="shared" si="79"/>
        <v>6.4542454248965431</v>
      </c>
      <c r="AW568" s="37" t="s">
        <v>366</v>
      </c>
      <c r="AX568" s="34" t="s">
        <v>355</v>
      </c>
      <c r="AY568" s="40">
        <v>3640</v>
      </c>
      <c r="AZ568" s="15">
        <v>113</v>
      </c>
      <c r="BA568" s="14">
        <f t="shared" si="80"/>
        <v>2.0530784434834195</v>
      </c>
      <c r="BB568" s="37" t="s">
        <v>367</v>
      </c>
      <c r="BC568" s="20">
        <v>-3.3386954781912656E-2</v>
      </c>
      <c r="BD568" s="9">
        <v>28.700000000000003</v>
      </c>
      <c r="BE568" s="9" t="s">
        <v>459</v>
      </c>
      <c r="BF568" s="9">
        <v>1</v>
      </c>
    </row>
    <row r="569" spans="1:58">
      <c r="A569" s="9">
        <v>196</v>
      </c>
      <c r="B569" s="10" t="s">
        <v>76</v>
      </c>
      <c r="C569" s="10" t="s">
        <v>389</v>
      </c>
      <c r="D569" s="20" t="s">
        <v>390</v>
      </c>
      <c r="E569" s="20" t="s">
        <v>919</v>
      </c>
      <c r="F569" s="10" t="s">
        <v>389</v>
      </c>
      <c r="G569" s="20" t="s">
        <v>390</v>
      </c>
      <c r="H569" s="20" t="s">
        <v>919</v>
      </c>
      <c r="I569" s="10" t="s">
        <v>389</v>
      </c>
      <c r="J569" s="20" t="s">
        <v>392</v>
      </c>
      <c r="K569" s="20" t="s">
        <v>919</v>
      </c>
      <c r="L569" s="9" t="s">
        <v>352</v>
      </c>
      <c r="M569" s="9">
        <v>10</v>
      </c>
      <c r="N569" s="9" t="s">
        <v>381</v>
      </c>
      <c r="O569" s="9" t="s">
        <v>455</v>
      </c>
      <c r="P569" s="12">
        <v>38.1</v>
      </c>
      <c r="Q569" s="12" t="s">
        <v>355</v>
      </c>
      <c r="R569" s="9" t="s">
        <v>356</v>
      </c>
      <c r="S569" s="13" t="s">
        <v>903</v>
      </c>
      <c r="T569" s="13" t="s">
        <v>903</v>
      </c>
      <c r="U569" s="14">
        <f t="shared" si="72"/>
        <v>1.1760912590556813</v>
      </c>
      <c r="V569" s="15">
        <v>30</v>
      </c>
      <c r="W569" s="12">
        <v>9.0908450999999992</v>
      </c>
      <c r="X569" s="12">
        <v>1</v>
      </c>
      <c r="Y569" s="13" t="s">
        <v>904</v>
      </c>
      <c r="Z569" s="9" t="s">
        <v>359</v>
      </c>
      <c r="AA569" s="10" t="s">
        <v>372</v>
      </c>
      <c r="AB569" s="9" t="s">
        <v>355</v>
      </c>
      <c r="AC569" s="15">
        <v>305</v>
      </c>
      <c r="AD569" s="14">
        <f t="shared" si="73"/>
        <v>2.4842998393467859</v>
      </c>
      <c r="AE569" s="10" t="s">
        <v>922</v>
      </c>
      <c r="AF569" s="9" t="s">
        <v>420</v>
      </c>
      <c r="AG569" s="18">
        <v>33.619163999999998</v>
      </c>
      <c r="AH569" s="7">
        <f t="shared" si="74"/>
        <v>1</v>
      </c>
      <c r="AI569" s="7">
        <f t="shared" si="75"/>
        <v>1</v>
      </c>
      <c r="AJ569" s="7">
        <f t="shared" si="76"/>
        <v>0</v>
      </c>
      <c r="AK569" s="7">
        <f t="shared" si="77"/>
        <v>0</v>
      </c>
      <c r="AL569" s="7" t="s">
        <v>4157</v>
      </c>
      <c r="AM569" s="18">
        <f t="shared" si="78"/>
        <v>1.5265869097369731</v>
      </c>
      <c r="AN569" s="18">
        <v>33.619163999999998</v>
      </c>
      <c r="AO569" s="18">
        <v>-117.69272100000001</v>
      </c>
      <c r="AP569" s="9" t="s">
        <v>363</v>
      </c>
      <c r="AQ569" s="9" t="s">
        <v>355</v>
      </c>
      <c r="AR569" s="15">
        <v>1968</v>
      </c>
      <c r="AS569" s="19" t="s">
        <v>906</v>
      </c>
      <c r="AT569" s="20" t="s">
        <v>907</v>
      </c>
      <c r="AU569" s="40">
        <v>2846069</v>
      </c>
      <c r="AV569" s="35">
        <f t="shared" si="79"/>
        <v>6.4542454248965431</v>
      </c>
      <c r="AW569" s="37" t="s">
        <v>366</v>
      </c>
      <c r="AX569" s="34" t="s">
        <v>355</v>
      </c>
      <c r="AY569" s="40">
        <v>3640</v>
      </c>
      <c r="AZ569" s="15">
        <v>113</v>
      </c>
      <c r="BA569" s="14">
        <f t="shared" si="80"/>
        <v>2.0530784434834195</v>
      </c>
      <c r="BB569" s="37" t="s">
        <v>367</v>
      </c>
      <c r="BC569" s="20">
        <v>-3.3386954781912656E-2</v>
      </c>
      <c r="BD569" s="9">
        <v>27.900000000000002</v>
      </c>
      <c r="BE569" s="9" t="s">
        <v>459</v>
      </c>
      <c r="BF569" s="9">
        <v>1</v>
      </c>
    </row>
    <row r="570" spans="1:58">
      <c r="A570" s="9">
        <v>198</v>
      </c>
      <c r="B570" s="10" t="s">
        <v>76</v>
      </c>
      <c r="C570" s="10" t="s">
        <v>389</v>
      </c>
      <c r="D570" s="20" t="s">
        <v>390</v>
      </c>
      <c r="E570" s="20" t="s">
        <v>919</v>
      </c>
      <c r="F570" s="10" t="s">
        <v>389</v>
      </c>
      <c r="G570" s="20" t="s">
        <v>390</v>
      </c>
      <c r="H570" s="20" t="s">
        <v>919</v>
      </c>
      <c r="I570" s="10" t="s">
        <v>389</v>
      </c>
      <c r="J570" s="20" t="s">
        <v>392</v>
      </c>
      <c r="K570" s="20" t="s">
        <v>919</v>
      </c>
      <c r="L570" s="9" t="s">
        <v>352</v>
      </c>
      <c r="M570" s="9">
        <v>10</v>
      </c>
      <c r="N570" s="9" t="s">
        <v>381</v>
      </c>
      <c r="O570" s="9" t="s">
        <v>455</v>
      </c>
      <c r="P570" s="12">
        <v>34</v>
      </c>
      <c r="Q570" s="12" t="s">
        <v>355</v>
      </c>
      <c r="R570" s="9" t="s">
        <v>356</v>
      </c>
      <c r="S570" s="13" t="s">
        <v>903</v>
      </c>
      <c r="T570" s="13" t="s">
        <v>903</v>
      </c>
      <c r="U570" s="14">
        <f t="shared" si="72"/>
        <v>1.1760912590556813</v>
      </c>
      <c r="V570" s="15">
        <v>5</v>
      </c>
      <c r="W570" s="12">
        <v>13.368359399999996</v>
      </c>
      <c r="X570" s="12">
        <v>1</v>
      </c>
      <c r="Y570" s="13" t="s">
        <v>904</v>
      </c>
      <c r="Z570" s="9" t="s">
        <v>359</v>
      </c>
      <c r="AA570" s="10" t="s">
        <v>372</v>
      </c>
      <c r="AB570" s="9" t="s">
        <v>355</v>
      </c>
      <c r="AC570" s="15">
        <v>305</v>
      </c>
      <c r="AD570" s="14">
        <f t="shared" si="73"/>
        <v>2.4842998393467859</v>
      </c>
      <c r="AE570" s="10" t="s">
        <v>923</v>
      </c>
      <c r="AF570" s="9" t="s">
        <v>362</v>
      </c>
      <c r="AG570" s="18">
        <v>51.091388999999999</v>
      </c>
      <c r="AH570" s="7">
        <f t="shared" si="74"/>
        <v>1</v>
      </c>
      <c r="AI570" s="7">
        <f t="shared" si="75"/>
        <v>1</v>
      </c>
      <c r="AJ570" s="7">
        <f t="shared" si="76"/>
        <v>1</v>
      </c>
      <c r="AK570" s="7">
        <f t="shared" si="77"/>
        <v>0</v>
      </c>
      <c r="AL570" s="7" t="s">
        <v>4158</v>
      </c>
      <c r="AM570" s="18">
        <f t="shared" si="78"/>
        <v>1.7083477098232958</v>
      </c>
      <c r="AN570" s="18">
        <v>51.091388999999999</v>
      </c>
      <c r="AO570" s="18">
        <v>-121.58666700000001</v>
      </c>
      <c r="AP570" s="9" t="s">
        <v>363</v>
      </c>
      <c r="AQ570" s="9" t="s">
        <v>355</v>
      </c>
      <c r="AR570" s="15">
        <v>1968</v>
      </c>
      <c r="AS570" s="19" t="s">
        <v>906</v>
      </c>
      <c r="AT570" s="20" t="s">
        <v>907</v>
      </c>
      <c r="AU570" s="40">
        <v>2846069</v>
      </c>
      <c r="AV570" s="35">
        <f t="shared" si="79"/>
        <v>6.4542454248965431</v>
      </c>
      <c r="AW570" s="37" t="s">
        <v>366</v>
      </c>
      <c r="AX570" s="34" t="s">
        <v>355</v>
      </c>
      <c r="AY570" s="40">
        <v>3640</v>
      </c>
      <c r="AZ570" s="15">
        <v>113</v>
      </c>
      <c r="BA570" s="14">
        <f t="shared" si="80"/>
        <v>2.0530784434834195</v>
      </c>
      <c r="BB570" s="37" t="s">
        <v>367</v>
      </c>
      <c r="BC570" s="20">
        <v>2.165706282513008E-2</v>
      </c>
      <c r="BD570" s="9">
        <v>22.6</v>
      </c>
      <c r="BE570" s="9" t="s">
        <v>459</v>
      </c>
      <c r="BF570" s="9">
        <v>1</v>
      </c>
    </row>
    <row r="571" spans="1:58">
      <c r="A571" s="9">
        <v>199</v>
      </c>
      <c r="B571" s="10" t="s">
        <v>76</v>
      </c>
      <c r="C571" s="10" t="s">
        <v>389</v>
      </c>
      <c r="D571" s="20" t="s">
        <v>390</v>
      </c>
      <c r="E571" s="20" t="s">
        <v>919</v>
      </c>
      <c r="F571" s="10" t="s">
        <v>389</v>
      </c>
      <c r="G571" s="20" t="s">
        <v>390</v>
      </c>
      <c r="H571" s="20" t="s">
        <v>919</v>
      </c>
      <c r="I571" s="10" t="s">
        <v>389</v>
      </c>
      <c r="J571" s="20" t="s">
        <v>392</v>
      </c>
      <c r="K571" s="20" t="s">
        <v>919</v>
      </c>
      <c r="L571" s="9" t="s">
        <v>352</v>
      </c>
      <c r="M571" s="9">
        <v>10</v>
      </c>
      <c r="N571" s="9" t="s">
        <v>381</v>
      </c>
      <c r="O571" s="9" t="s">
        <v>455</v>
      </c>
      <c r="P571" s="12">
        <v>35.5</v>
      </c>
      <c r="Q571" s="12" t="s">
        <v>355</v>
      </c>
      <c r="R571" s="9" t="s">
        <v>356</v>
      </c>
      <c r="S571" s="13" t="s">
        <v>903</v>
      </c>
      <c r="T571" s="13" t="s">
        <v>903</v>
      </c>
      <c r="U571" s="14">
        <f t="shared" si="72"/>
        <v>1.1760912590556813</v>
      </c>
      <c r="V571" s="15">
        <v>30</v>
      </c>
      <c r="W571" s="12">
        <v>10.9628844</v>
      </c>
      <c r="X571" s="12">
        <v>1</v>
      </c>
      <c r="Y571" s="13" t="s">
        <v>904</v>
      </c>
      <c r="Z571" s="9" t="s">
        <v>359</v>
      </c>
      <c r="AA571" s="10" t="s">
        <v>372</v>
      </c>
      <c r="AB571" s="9" t="s">
        <v>355</v>
      </c>
      <c r="AC571" s="15">
        <v>305</v>
      </c>
      <c r="AD571" s="14">
        <f t="shared" si="73"/>
        <v>2.4842998393467859</v>
      </c>
      <c r="AE571" s="10" t="s">
        <v>923</v>
      </c>
      <c r="AF571" s="9" t="s">
        <v>362</v>
      </c>
      <c r="AG571" s="18">
        <v>51.091388999999999</v>
      </c>
      <c r="AH571" s="7">
        <f t="shared" si="74"/>
        <v>1</v>
      </c>
      <c r="AI571" s="7">
        <f t="shared" si="75"/>
        <v>1</v>
      </c>
      <c r="AJ571" s="7">
        <f t="shared" si="76"/>
        <v>1</v>
      </c>
      <c r="AK571" s="7">
        <f t="shared" si="77"/>
        <v>0</v>
      </c>
      <c r="AL571" s="7" t="s">
        <v>4158</v>
      </c>
      <c r="AM571" s="18">
        <f t="shared" si="78"/>
        <v>1.7083477098232958</v>
      </c>
      <c r="AN571" s="18">
        <v>51.091388999999999</v>
      </c>
      <c r="AO571" s="18">
        <v>-121.58666700000001</v>
      </c>
      <c r="AP571" s="9" t="s">
        <v>363</v>
      </c>
      <c r="AQ571" s="9" t="s">
        <v>355</v>
      </c>
      <c r="AR571" s="15">
        <v>1968</v>
      </c>
      <c r="AS571" s="19" t="s">
        <v>906</v>
      </c>
      <c r="AT571" s="20" t="s">
        <v>907</v>
      </c>
      <c r="AU571" s="40">
        <v>2846069</v>
      </c>
      <c r="AV571" s="35">
        <f t="shared" si="79"/>
        <v>6.4542454248965431</v>
      </c>
      <c r="AW571" s="37" t="s">
        <v>366</v>
      </c>
      <c r="AX571" s="34" t="s">
        <v>355</v>
      </c>
      <c r="AY571" s="40">
        <v>3640</v>
      </c>
      <c r="AZ571" s="15">
        <v>113</v>
      </c>
      <c r="BA571" s="14">
        <f t="shared" si="80"/>
        <v>2.0530784434834195</v>
      </c>
      <c r="BB571" s="37" t="s">
        <v>367</v>
      </c>
      <c r="BC571" s="20">
        <v>2.165706282513008E-2</v>
      </c>
      <c r="BD571" s="9">
        <v>22.6</v>
      </c>
      <c r="BE571" s="9" t="s">
        <v>459</v>
      </c>
      <c r="BF571" s="9">
        <v>1</v>
      </c>
    </row>
    <row r="572" spans="1:58">
      <c r="A572" s="9">
        <v>200</v>
      </c>
      <c r="B572" s="10" t="s">
        <v>76</v>
      </c>
      <c r="C572" s="10" t="s">
        <v>389</v>
      </c>
      <c r="D572" s="20" t="s">
        <v>390</v>
      </c>
      <c r="E572" s="20" t="s">
        <v>919</v>
      </c>
      <c r="F572" s="10" t="s">
        <v>389</v>
      </c>
      <c r="G572" s="20" t="s">
        <v>390</v>
      </c>
      <c r="H572" s="20" t="s">
        <v>919</v>
      </c>
      <c r="I572" s="10" t="s">
        <v>389</v>
      </c>
      <c r="J572" s="20" t="s">
        <v>392</v>
      </c>
      <c r="K572" s="20" t="s">
        <v>919</v>
      </c>
      <c r="L572" s="9" t="s">
        <v>352</v>
      </c>
      <c r="M572" s="9">
        <v>10</v>
      </c>
      <c r="N572" s="9" t="s">
        <v>381</v>
      </c>
      <c r="O572" s="9" t="s">
        <v>455</v>
      </c>
      <c r="P572" s="12">
        <v>34.1</v>
      </c>
      <c r="Q572" s="12" t="s">
        <v>355</v>
      </c>
      <c r="R572" s="9" t="s">
        <v>356</v>
      </c>
      <c r="S572" s="13" t="s">
        <v>903</v>
      </c>
      <c r="T572" s="13" t="s">
        <v>903</v>
      </c>
      <c r="U572" s="14">
        <f t="shared" si="72"/>
        <v>1.1760912590556813</v>
      </c>
      <c r="V572" s="15">
        <v>5</v>
      </c>
      <c r="W572" s="12">
        <v>9.9244792000000039</v>
      </c>
      <c r="X572" s="12">
        <v>1</v>
      </c>
      <c r="Y572" s="13" t="s">
        <v>904</v>
      </c>
      <c r="Z572" s="9" t="s">
        <v>359</v>
      </c>
      <c r="AA572" s="10" t="s">
        <v>372</v>
      </c>
      <c r="AB572" s="9" t="s">
        <v>355</v>
      </c>
      <c r="AC572" s="15">
        <v>2743</v>
      </c>
      <c r="AD572" s="14">
        <f t="shared" si="73"/>
        <v>3.4382258076045296</v>
      </c>
      <c r="AE572" s="10" t="s">
        <v>924</v>
      </c>
      <c r="AF572" s="9" t="s">
        <v>362</v>
      </c>
      <c r="AG572" s="18">
        <v>39.326816999999998</v>
      </c>
      <c r="AH572" s="7">
        <f t="shared" si="74"/>
        <v>1</v>
      </c>
      <c r="AI572" s="7">
        <f t="shared" si="75"/>
        <v>1</v>
      </c>
      <c r="AJ572" s="7">
        <f t="shared" si="76"/>
        <v>0</v>
      </c>
      <c r="AK572" s="7">
        <f t="shared" si="77"/>
        <v>0</v>
      </c>
      <c r="AL572" s="7" t="s">
        <v>4157</v>
      </c>
      <c r="AM572" s="18">
        <f t="shared" si="78"/>
        <v>1.5946887972799095</v>
      </c>
      <c r="AN572" s="18">
        <v>39.326816999999998</v>
      </c>
      <c r="AO572" s="18">
        <v>-120.08746499999999</v>
      </c>
      <c r="AP572" s="9" t="s">
        <v>363</v>
      </c>
      <c r="AQ572" s="9" t="s">
        <v>355</v>
      </c>
      <c r="AR572" s="15">
        <v>1968</v>
      </c>
      <c r="AS572" s="19" t="s">
        <v>906</v>
      </c>
      <c r="AT572" s="20" t="s">
        <v>907</v>
      </c>
      <c r="AU572" s="40">
        <v>2846069</v>
      </c>
      <c r="AV572" s="35">
        <f t="shared" si="79"/>
        <v>6.4542454248965431</v>
      </c>
      <c r="AW572" s="37" t="s">
        <v>366</v>
      </c>
      <c r="AX572" s="34" t="s">
        <v>355</v>
      </c>
      <c r="AY572" s="40">
        <v>3640</v>
      </c>
      <c r="AZ572" s="15">
        <v>113</v>
      </c>
      <c r="BA572" s="14">
        <f t="shared" si="80"/>
        <v>2.0530784434834195</v>
      </c>
      <c r="BB572" s="37" t="s">
        <v>367</v>
      </c>
      <c r="BC572" s="20">
        <v>2.8010804321728571E-2</v>
      </c>
      <c r="BD572" s="9">
        <v>26.8</v>
      </c>
      <c r="BE572" s="9" t="s">
        <v>459</v>
      </c>
      <c r="BF572" s="9">
        <v>1</v>
      </c>
    </row>
    <row r="573" spans="1:58">
      <c r="A573" s="9">
        <v>201</v>
      </c>
      <c r="B573" s="10" t="s">
        <v>76</v>
      </c>
      <c r="C573" s="10" t="s">
        <v>389</v>
      </c>
      <c r="D573" s="20" t="s">
        <v>390</v>
      </c>
      <c r="E573" s="20" t="s">
        <v>919</v>
      </c>
      <c r="F573" s="10" t="s">
        <v>389</v>
      </c>
      <c r="G573" s="20" t="s">
        <v>390</v>
      </c>
      <c r="H573" s="20" t="s">
        <v>919</v>
      </c>
      <c r="I573" s="10" t="s">
        <v>389</v>
      </c>
      <c r="J573" s="20" t="s">
        <v>392</v>
      </c>
      <c r="K573" s="20" t="s">
        <v>919</v>
      </c>
      <c r="L573" s="9" t="s">
        <v>352</v>
      </c>
      <c r="M573" s="9">
        <v>10</v>
      </c>
      <c r="N573" s="9" t="s">
        <v>381</v>
      </c>
      <c r="O573" s="9" t="s">
        <v>455</v>
      </c>
      <c r="P573" s="12">
        <v>36.5</v>
      </c>
      <c r="Q573" s="12" t="s">
        <v>355</v>
      </c>
      <c r="R573" s="9" t="s">
        <v>356</v>
      </c>
      <c r="S573" s="13" t="s">
        <v>903</v>
      </c>
      <c r="T573" s="13" t="s">
        <v>903</v>
      </c>
      <c r="U573" s="14">
        <f t="shared" si="72"/>
        <v>1.1760912590556813</v>
      </c>
      <c r="V573" s="15">
        <v>30</v>
      </c>
      <c r="W573" s="12">
        <v>8.4190041999999998</v>
      </c>
      <c r="X573" s="12">
        <v>1</v>
      </c>
      <c r="Y573" s="13" t="s">
        <v>904</v>
      </c>
      <c r="Z573" s="9" t="s">
        <v>359</v>
      </c>
      <c r="AA573" s="10" t="s">
        <v>372</v>
      </c>
      <c r="AB573" s="9" t="s">
        <v>355</v>
      </c>
      <c r="AC573" s="15">
        <v>2743</v>
      </c>
      <c r="AD573" s="14">
        <f t="shared" si="73"/>
        <v>3.4382258076045296</v>
      </c>
      <c r="AE573" s="10" t="s">
        <v>924</v>
      </c>
      <c r="AF573" s="9" t="s">
        <v>362</v>
      </c>
      <c r="AG573" s="18">
        <v>39.326816999999998</v>
      </c>
      <c r="AH573" s="7">
        <f t="shared" si="74"/>
        <v>1</v>
      </c>
      <c r="AI573" s="7">
        <f t="shared" si="75"/>
        <v>1</v>
      </c>
      <c r="AJ573" s="7">
        <f t="shared" si="76"/>
        <v>0</v>
      </c>
      <c r="AK573" s="7">
        <f t="shared" si="77"/>
        <v>0</v>
      </c>
      <c r="AL573" s="7" t="s">
        <v>4157</v>
      </c>
      <c r="AM573" s="18">
        <f t="shared" si="78"/>
        <v>1.5946887972799095</v>
      </c>
      <c r="AN573" s="18">
        <v>39.326816999999998</v>
      </c>
      <c r="AO573" s="18">
        <v>-120.08746499999999</v>
      </c>
      <c r="AP573" s="9" t="s">
        <v>363</v>
      </c>
      <c r="AQ573" s="9" t="s">
        <v>355</v>
      </c>
      <c r="AR573" s="15">
        <v>1968</v>
      </c>
      <c r="AS573" s="19" t="s">
        <v>906</v>
      </c>
      <c r="AT573" s="20" t="s">
        <v>907</v>
      </c>
      <c r="AU573" s="40">
        <v>2846069</v>
      </c>
      <c r="AV573" s="35">
        <f t="shared" si="79"/>
        <v>6.4542454248965431</v>
      </c>
      <c r="AW573" s="37" t="s">
        <v>366</v>
      </c>
      <c r="AX573" s="34" t="s">
        <v>355</v>
      </c>
      <c r="AY573" s="40">
        <v>3640</v>
      </c>
      <c r="AZ573" s="15">
        <v>113</v>
      </c>
      <c r="BA573" s="14">
        <f t="shared" si="80"/>
        <v>2.0530784434834195</v>
      </c>
      <c r="BB573" s="37" t="s">
        <v>367</v>
      </c>
      <c r="BC573" s="20">
        <v>2.8010804321728571E-2</v>
      </c>
      <c r="BD573" s="9">
        <v>26.8</v>
      </c>
      <c r="BE573" s="9" t="s">
        <v>459</v>
      </c>
      <c r="BF573" s="9">
        <v>1</v>
      </c>
    </row>
    <row r="574" spans="1:58">
      <c r="A574" s="9">
        <v>207</v>
      </c>
      <c r="B574" s="10" t="s">
        <v>76</v>
      </c>
      <c r="C574" s="10" t="s">
        <v>389</v>
      </c>
      <c r="D574" s="20" t="s">
        <v>390</v>
      </c>
      <c r="E574" s="20" t="s">
        <v>925</v>
      </c>
      <c r="F574" s="10" t="s">
        <v>389</v>
      </c>
      <c r="G574" s="20" t="s">
        <v>390</v>
      </c>
      <c r="H574" s="20" t="s">
        <v>925</v>
      </c>
      <c r="I574" s="10" t="s">
        <v>389</v>
      </c>
      <c r="J574" s="20" t="s">
        <v>392</v>
      </c>
      <c r="K574" s="20" t="s">
        <v>925</v>
      </c>
      <c r="L574" s="9" t="s">
        <v>352</v>
      </c>
      <c r="M574" s="9">
        <v>10</v>
      </c>
      <c r="N574" s="9" t="s">
        <v>381</v>
      </c>
      <c r="O574" s="9" t="s">
        <v>455</v>
      </c>
      <c r="P574" s="12">
        <v>34.200000000000003</v>
      </c>
      <c r="Q574" s="12" t="s">
        <v>355</v>
      </c>
      <c r="R574" s="9" t="s">
        <v>356</v>
      </c>
      <c r="S574" s="13" t="s">
        <v>903</v>
      </c>
      <c r="T574" s="13" t="s">
        <v>903</v>
      </c>
      <c r="U574" s="14">
        <f t="shared" si="72"/>
        <v>1.1760912590556813</v>
      </c>
      <c r="V574" s="15">
        <v>5</v>
      </c>
      <c r="W574" s="12">
        <v>17.449752000000004</v>
      </c>
      <c r="X574" s="12">
        <v>1</v>
      </c>
      <c r="Y574" s="13" t="s">
        <v>904</v>
      </c>
      <c r="Z574" s="9" t="s">
        <v>359</v>
      </c>
      <c r="AA574" s="10" t="s">
        <v>372</v>
      </c>
      <c r="AB574" s="9" t="s">
        <v>355</v>
      </c>
      <c r="AC574" s="15">
        <v>2743</v>
      </c>
      <c r="AD574" s="14">
        <f t="shared" si="73"/>
        <v>3.4382258076045296</v>
      </c>
      <c r="AE574" s="10" t="s">
        <v>926</v>
      </c>
      <c r="AF574" s="9" t="s">
        <v>420</v>
      </c>
      <c r="AG574" s="18">
        <v>37.911037</v>
      </c>
      <c r="AH574" s="7">
        <f t="shared" si="74"/>
        <v>1</v>
      </c>
      <c r="AI574" s="7">
        <f t="shared" si="75"/>
        <v>1</v>
      </c>
      <c r="AJ574" s="7">
        <f t="shared" si="76"/>
        <v>0</v>
      </c>
      <c r="AK574" s="7">
        <f t="shared" si="77"/>
        <v>0</v>
      </c>
      <c r="AL574" s="7" t="s">
        <v>4157</v>
      </c>
      <c r="AM574" s="18">
        <f t="shared" si="78"/>
        <v>1.5787656640681695</v>
      </c>
      <c r="AN574" s="18">
        <v>37.911037</v>
      </c>
      <c r="AO574" s="18">
        <v>-119.25793</v>
      </c>
      <c r="AP574" s="9" t="s">
        <v>363</v>
      </c>
      <c r="AQ574" s="9" t="s">
        <v>355</v>
      </c>
      <c r="AR574" s="15">
        <v>1968</v>
      </c>
      <c r="AS574" s="19" t="s">
        <v>906</v>
      </c>
      <c r="AT574" s="20" t="s">
        <v>907</v>
      </c>
      <c r="AU574" s="40">
        <v>10310</v>
      </c>
      <c r="AV574" s="35">
        <f t="shared" si="79"/>
        <v>4.0132586652835167</v>
      </c>
      <c r="AW574" s="37" t="s">
        <v>366</v>
      </c>
      <c r="AX574" s="40">
        <v>1460</v>
      </c>
      <c r="AY574" s="40">
        <v>3630</v>
      </c>
      <c r="AZ574" s="15">
        <v>55</v>
      </c>
      <c r="BA574" s="14">
        <f t="shared" si="80"/>
        <v>1.7403626894942439</v>
      </c>
      <c r="BB574" s="37" t="s">
        <v>367</v>
      </c>
      <c r="BC574" s="20">
        <v>2.0884753901561044E-2</v>
      </c>
      <c r="BD574" s="9">
        <v>18</v>
      </c>
      <c r="BE574" s="9" t="s">
        <v>459</v>
      </c>
      <c r="BF574" s="9">
        <v>1</v>
      </c>
    </row>
    <row r="575" spans="1:58">
      <c r="A575" s="9">
        <v>208</v>
      </c>
      <c r="B575" s="10" t="s">
        <v>76</v>
      </c>
      <c r="C575" s="10" t="s">
        <v>389</v>
      </c>
      <c r="D575" s="20" t="s">
        <v>390</v>
      </c>
      <c r="E575" s="20" t="s">
        <v>925</v>
      </c>
      <c r="F575" s="10" t="s">
        <v>389</v>
      </c>
      <c r="G575" s="20" t="s">
        <v>390</v>
      </c>
      <c r="H575" s="20" t="s">
        <v>925</v>
      </c>
      <c r="I575" s="10" t="s">
        <v>389</v>
      </c>
      <c r="J575" s="20" t="s">
        <v>392</v>
      </c>
      <c r="K575" s="20" t="s">
        <v>925</v>
      </c>
      <c r="L575" s="9" t="s">
        <v>352</v>
      </c>
      <c r="M575" s="9">
        <v>10</v>
      </c>
      <c r="N575" s="9" t="s">
        <v>381</v>
      </c>
      <c r="O575" s="9" t="s">
        <v>455</v>
      </c>
      <c r="P575" s="12">
        <v>36.299999999999997</v>
      </c>
      <c r="Q575" s="12" t="s">
        <v>355</v>
      </c>
      <c r="R575" s="9" t="s">
        <v>356</v>
      </c>
      <c r="S575" s="13" t="s">
        <v>903</v>
      </c>
      <c r="T575" s="13" t="s">
        <v>903</v>
      </c>
      <c r="U575" s="14">
        <f t="shared" si="72"/>
        <v>1.1760912590556813</v>
      </c>
      <c r="V575" s="15">
        <v>23</v>
      </c>
      <c r="W575" s="12">
        <v>16.737809999999996</v>
      </c>
      <c r="X575" s="12">
        <v>1</v>
      </c>
      <c r="Y575" s="13" t="s">
        <v>904</v>
      </c>
      <c r="Z575" s="9" t="s">
        <v>359</v>
      </c>
      <c r="AA575" s="10" t="s">
        <v>372</v>
      </c>
      <c r="AB575" s="9" t="s">
        <v>355</v>
      </c>
      <c r="AC575" s="15">
        <v>2743</v>
      </c>
      <c r="AD575" s="14">
        <f t="shared" si="73"/>
        <v>3.4382258076045296</v>
      </c>
      <c r="AE575" s="10" t="s">
        <v>926</v>
      </c>
      <c r="AF575" s="9" t="s">
        <v>420</v>
      </c>
      <c r="AG575" s="18">
        <v>37.911037</v>
      </c>
      <c r="AH575" s="7">
        <f t="shared" si="74"/>
        <v>1</v>
      </c>
      <c r="AI575" s="7">
        <f t="shared" si="75"/>
        <v>1</v>
      </c>
      <c r="AJ575" s="7">
        <f t="shared" si="76"/>
        <v>0</v>
      </c>
      <c r="AK575" s="7">
        <f t="shared" si="77"/>
        <v>0</v>
      </c>
      <c r="AL575" s="7" t="s">
        <v>4157</v>
      </c>
      <c r="AM575" s="18">
        <f t="shared" si="78"/>
        <v>1.5787656640681695</v>
      </c>
      <c r="AN575" s="18">
        <v>37.911037</v>
      </c>
      <c r="AO575" s="18">
        <v>-119.25793</v>
      </c>
      <c r="AP575" s="9" t="s">
        <v>363</v>
      </c>
      <c r="AQ575" s="9" t="s">
        <v>355</v>
      </c>
      <c r="AR575" s="15">
        <v>1968</v>
      </c>
      <c r="AS575" s="19" t="s">
        <v>906</v>
      </c>
      <c r="AT575" s="20" t="s">
        <v>907</v>
      </c>
      <c r="AU575" s="40">
        <v>10310</v>
      </c>
      <c r="AV575" s="35">
        <f t="shared" si="79"/>
        <v>4.0132586652835167</v>
      </c>
      <c r="AW575" s="37" t="s">
        <v>366</v>
      </c>
      <c r="AX575" s="40">
        <v>1460</v>
      </c>
      <c r="AY575" s="40">
        <v>3630</v>
      </c>
      <c r="AZ575" s="15">
        <v>55</v>
      </c>
      <c r="BA575" s="14">
        <f t="shared" si="80"/>
        <v>1.7403626894942439</v>
      </c>
      <c r="BB575" s="37" t="s">
        <v>367</v>
      </c>
      <c r="BC575" s="20">
        <v>2.0884753901561044E-2</v>
      </c>
      <c r="BD575" s="9">
        <v>18</v>
      </c>
      <c r="BE575" s="9" t="s">
        <v>459</v>
      </c>
      <c r="BF575" s="9">
        <v>1</v>
      </c>
    </row>
    <row r="576" spans="1:58">
      <c r="A576" s="9">
        <v>209</v>
      </c>
      <c r="B576" s="10" t="s">
        <v>76</v>
      </c>
      <c r="C576" s="10" t="s">
        <v>389</v>
      </c>
      <c r="D576" s="20" t="s">
        <v>390</v>
      </c>
      <c r="E576" s="20" t="s">
        <v>925</v>
      </c>
      <c r="F576" s="10" t="s">
        <v>389</v>
      </c>
      <c r="G576" s="20" t="s">
        <v>390</v>
      </c>
      <c r="H576" s="20" t="s">
        <v>925</v>
      </c>
      <c r="I576" s="10" t="s">
        <v>389</v>
      </c>
      <c r="J576" s="20" t="s">
        <v>392</v>
      </c>
      <c r="K576" s="20" t="s">
        <v>925</v>
      </c>
      <c r="L576" s="9" t="s">
        <v>352</v>
      </c>
      <c r="M576" s="9">
        <v>10</v>
      </c>
      <c r="N576" s="9" t="s">
        <v>381</v>
      </c>
      <c r="O576" s="9" t="s">
        <v>455</v>
      </c>
      <c r="P576" s="12">
        <v>38</v>
      </c>
      <c r="Q576" s="12" t="s">
        <v>355</v>
      </c>
      <c r="R576" s="9" t="s">
        <v>356</v>
      </c>
      <c r="S576" s="13" t="s">
        <v>903</v>
      </c>
      <c r="T576" s="13" t="s">
        <v>903</v>
      </c>
      <c r="U576" s="14">
        <f t="shared" si="72"/>
        <v>1.1760912590556813</v>
      </c>
      <c r="V576" s="15">
        <v>26</v>
      </c>
      <c r="W576" s="12">
        <v>17.969152999999999</v>
      </c>
      <c r="X576" s="12">
        <v>1</v>
      </c>
      <c r="Y576" s="13" t="s">
        <v>904</v>
      </c>
      <c r="Z576" s="9" t="s">
        <v>359</v>
      </c>
      <c r="AA576" s="10" t="s">
        <v>372</v>
      </c>
      <c r="AB576" s="9" t="s">
        <v>355</v>
      </c>
      <c r="AC576" s="15">
        <v>2743</v>
      </c>
      <c r="AD576" s="14">
        <f t="shared" si="73"/>
        <v>3.4382258076045296</v>
      </c>
      <c r="AE576" s="10" t="s">
        <v>926</v>
      </c>
      <c r="AF576" s="9" t="s">
        <v>420</v>
      </c>
      <c r="AG576" s="18">
        <v>37.911037</v>
      </c>
      <c r="AH576" s="7">
        <f t="shared" si="74"/>
        <v>1</v>
      </c>
      <c r="AI576" s="7">
        <f t="shared" si="75"/>
        <v>1</v>
      </c>
      <c r="AJ576" s="7">
        <f t="shared" si="76"/>
        <v>0</v>
      </c>
      <c r="AK576" s="7">
        <f t="shared" si="77"/>
        <v>0</v>
      </c>
      <c r="AL576" s="7" t="s">
        <v>4157</v>
      </c>
      <c r="AM576" s="18">
        <f t="shared" si="78"/>
        <v>1.5787656640681695</v>
      </c>
      <c r="AN576" s="18">
        <v>37.911037</v>
      </c>
      <c r="AO576" s="18">
        <v>-119.25793</v>
      </c>
      <c r="AP576" s="9" t="s">
        <v>363</v>
      </c>
      <c r="AQ576" s="9" t="s">
        <v>355</v>
      </c>
      <c r="AR576" s="15">
        <v>1968</v>
      </c>
      <c r="AS576" s="19" t="s">
        <v>906</v>
      </c>
      <c r="AT576" s="20" t="s">
        <v>907</v>
      </c>
      <c r="AU576" s="40">
        <v>10310</v>
      </c>
      <c r="AV576" s="35">
        <f t="shared" si="79"/>
        <v>4.0132586652835167</v>
      </c>
      <c r="AW576" s="37" t="s">
        <v>366</v>
      </c>
      <c r="AX576" s="40">
        <v>1460</v>
      </c>
      <c r="AY576" s="40">
        <v>3630</v>
      </c>
      <c r="AZ576" s="15">
        <v>55</v>
      </c>
      <c r="BA576" s="14">
        <f t="shared" si="80"/>
        <v>1.7403626894942439</v>
      </c>
      <c r="BB576" s="37" t="s">
        <v>367</v>
      </c>
      <c r="BC576" s="20">
        <v>2.0884753901561044E-2</v>
      </c>
      <c r="BD576" s="9">
        <v>18</v>
      </c>
      <c r="BE576" s="9" t="s">
        <v>459</v>
      </c>
      <c r="BF576" s="9">
        <v>1</v>
      </c>
    </row>
    <row r="577" spans="1:58">
      <c r="A577" s="9">
        <v>218</v>
      </c>
      <c r="B577" s="10" t="s">
        <v>76</v>
      </c>
      <c r="C577" s="10" t="s">
        <v>389</v>
      </c>
      <c r="D577" s="20" t="s">
        <v>390</v>
      </c>
      <c r="E577" s="20" t="s">
        <v>927</v>
      </c>
      <c r="F577" s="10" t="s">
        <v>389</v>
      </c>
      <c r="G577" s="20" t="s">
        <v>390</v>
      </c>
      <c r="H577" s="20" t="s">
        <v>927</v>
      </c>
      <c r="I577" s="10" t="s">
        <v>389</v>
      </c>
      <c r="J577" s="20" t="s">
        <v>392</v>
      </c>
      <c r="K577" s="20" t="s">
        <v>927</v>
      </c>
      <c r="L577" s="9" t="s">
        <v>352</v>
      </c>
      <c r="M577" s="9">
        <v>10</v>
      </c>
      <c r="N577" s="9" t="s">
        <v>353</v>
      </c>
      <c r="O577" s="9" t="s">
        <v>455</v>
      </c>
      <c r="P577" s="12">
        <v>37.4</v>
      </c>
      <c r="Q577" s="12" t="s">
        <v>355</v>
      </c>
      <c r="R577" s="9" t="s">
        <v>356</v>
      </c>
      <c r="S577" s="13" t="s">
        <v>903</v>
      </c>
      <c r="T577" s="13" t="s">
        <v>903</v>
      </c>
      <c r="U577" s="14">
        <f t="shared" si="72"/>
        <v>1.1760912590556813</v>
      </c>
      <c r="V577" s="15">
        <v>5</v>
      </c>
      <c r="W577" s="12">
        <v>8.1617931999999982</v>
      </c>
      <c r="X577" s="12">
        <v>1</v>
      </c>
      <c r="Y577" s="13" t="s">
        <v>904</v>
      </c>
      <c r="Z577" s="9" t="s">
        <v>359</v>
      </c>
      <c r="AA577" s="10" t="s">
        <v>372</v>
      </c>
      <c r="AB577" s="9" t="s">
        <v>355</v>
      </c>
      <c r="AC577" s="15">
        <v>305</v>
      </c>
      <c r="AD577" s="14">
        <f t="shared" si="73"/>
        <v>2.4842998393467859</v>
      </c>
      <c r="AE577" s="10" t="s">
        <v>928</v>
      </c>
      <c r="AF577" s="9" t="s">
        <v>420</v>
      </c>
      <c r="AG577" s="18">
        <v>31</v>
      </c>
      <c r="AH577" s="7">
        <f t="shared" si="74"/>
        <v>1</v>
      </c>
      <c r="AI577" s="7">
        <f t="shared" si="75"/>
        <v>1</v>
      </c>
      <c r="AJ577" s="7">
        <f t="shared" si="76"/>
        <v>0</v>
      </c>
      <c r="AK577" s="7">
        <f t="shared" si="77"/>
        <v>0</v>
      </c>
      <c r="AL577" s="7" t="s">
        <v>4157</v>
      </c>
      <c r="AM577" s="18">
        <f t="shared" si="78"/>
        <v>1.4913616938342726</v>
      </c>
      <c r="AN577" s="18">
        <v>31</v>
      </c>
      <c r="AO577" s="18">
        <v>-110.33088100000001</v>
      </c>
      <c r="AP577" s="9" t="s">
        <v>363</v>
      </c>
      <c r="AQ577" s="9" t="s">
        <v>355</v>
      </c>
      <c r="AR577" s="15">
        <v>1968</v>
      </c>
      <c r="AS577" s="19" t="s">
        <v>906</v>
      </c>
      <c r="AT577" s="20" t="s">
        <v>907</v>
      </c>
      <c r="AU577" s="40">
        <v>2794118</v>
      </c>
      <c r="AV577" s="35">
        <f t="shared" si="79"/>
        <v>6.4462447431048391</v>
      </c>
      <c r="AW577" s="37" t="s">
        <v>366</v>
      </c>
      <c r="AX577" s="34" t="s">
        <v>355</v>
      </c>
      <c r="AY577" s="40">
        <v>2440</v>
      </c>
      <c r="AZ577" s="15">
        <v>87</v>
      </c>
      <c r="BA577" s="14">
        <f t="shared" si="80"/>
        <v>1.9395192526186185</v>
      </c>
      <c r="BB577" s="37" t="s">
        <v>367</v>
      </c>
      <c r="BC577" s="20">
        <v>3.4967987194877911E-2</v>
      </c>
      <c r="BD577" s="9">
        <v>32.800000000000004</v>
      </c>
      <c r="BE577" s="9" t="s">
        <v>368</v>
      </c>
      <c r="BF577" s="9">
        <v>0</v>
      </c>
    </row>
    <row r="578" spans="1:58">
      <c r="A578" s="9">
        <v>219</v>
      </c>
      <c r="B578" s="10" t="s">
        <v>76</v>
      </c>
      <c r="C578" s="10" t="s">
        <v>389</v>
      </c>
      <c r="D578" s="20" t="s">
        <v>390</v>
      </c>
      <c r="E578" s="20" t="s">
        <v>927</v>
      </c>
      <c r="F578" s="10" t="s">
        <v>389</v>
      </c>
      <c r="G578" s="20" t="s">
        <v>390</v>
      </c>
      <c r="H578" s="20" t="s">
        <v>927</v>
      </c>
      <c r="I578" s="10" t="s">
        <v>389</v>
      </c>
      <c r="J578" s="20" t="s">
        <v>392</v>
      </c>
      <c r="K578" s="20" t="s">
        <v>927</v>
      </c>
      <c r="L578" s="9" t="s">
        <v>352</v>
      </c>
      <c r="M578" s="9">
        <v>10</v>
      </c>
      <c r="N578" s="9" t="s">
        <v>353</v>
      </c>
      <c r="O578" s="9" t="s">
        <v>455</v>
      </c>
      <c r="P578" s="12">
        <v>39.700000000000003</v>
      </c>
      <c r="Q578" s="12" t="s">
        <v>355</v>
      </c>
      <c r="R578" s="9" t="s">
        <v>356</v>
      </c>
      <c r="S578" s="13" t="s">
        <v>903</v>
      </c>
      <c r="T578" s="13" t="s">
        <v>903</v>
      </c>
      <c r="U578" s="14">
        <f t="shared" si="72"/>
        <v>1.1760912590556813</v>
      </c>
      <c r="V578" s="15">
        <v>23</v>
      </c>
      <c r="W578" s="12">
        <v>7.6498512000000005</v>
      </c>
      <c r="X578" s="12">
        <v>1</v>
      </c>
      <c r="Y578" s="13" t="s">
        <v>904</v>
      </c>
      <c r="Z578" s="9" t="s">
        <v>359</v>
      </c>
      <c r="AA578" s="10" t="s">
        <v>372</v>
      </c>
      <c r="AB578" s="9" t="s">
        <v>355</v>
      </c>
      <c r="AC578" s="15">
        <v>305</v>
      </c>
      <c r="AD578" s="14">
        <f t="shared" si="73"/>
        <v>2.4842998393467859</v>
      </c>
      <c r="AE578" s="10" t="s">
        <v>928</v>
      </c>
      <c r="AF578" s="9" t="s">
        <v>420</v>
      </c>
      <c r="AG578" s="18">
        <v>31</v>
      </c>
      <c r="AH578" s="7">
        <f t="shared" si="74"/>
        <v>1</v>
      </c>
      <c r="AI578" s="7">
        <f t="shared" si="75"/>
        <v>1</v>
      </c>
      <c r="AJ578" s="7">
        <f t="shared" si="76"/>
        <v>0</v>
      </c>
      <c r="AK578" s="7">
        <f t="shared" si="77"/>
        <v>0</v>
      </c>
      <c r="AL578" s="7" t="s">
        <v>4157</v>
      </c>
      <c r="AM578" s="18">
        <f t="shared" si="78"/>
        <v>1.4913616938342726</v>
      </c>
      <c r="AN578" s="18">
        <v>31</v>
      </c>
      <c r="AO578" s="18">
        <v>-110.33088100000001</v>
      </c>
      <c r="AP578" s="9" t="s">
        <v>363</v>
      </c>
      <c r="AQ578" s="9" t="s">
        <v>355</v>
      </c>
      <c r="AR578" s="15">
        <v>1968</v>
      </c>
      <c r="AS578" s="19" t="s">
        <v>906</v>
      </c>
      <c r="AT578" s="20" t="s">
        <v>907</v>
      </c>
      <c r="AU578" s="40">
        <v>2794118</v>
      </c>
      <c r="AV578" s="35">
        <f t="shared" si="79"/>
        <v>6.4462447431048391</v>
      </c>
      <c r="AW578" s="37" t="s">
        <v>366</v>
      </c>
      <c r="AX578" s="34" t="s">
        <v>355</v>
      </c>
      <c r="AY578" s="40">
        <v>2440</v>
      </c>
      <c r="AZ578" s="15">
        <v>87</v>
      </c>
      <c r="BA578" s="14">
        <f t="shared" si="80"/>
        <v>1.9395192526186185</v>
      </c>
      <c r="BB578" s="37" t="s">
        <v>367</v>
      </c>
      <c r="BC578" s="20">
        <v>3.4967987194877911E-2</v>
      </c>
      <c r="BD578" s="9">
        <v>32.800000000000004</v>
      </c>
      <c r="BE578" s="9" t="s">
        <v>368</v>
      </c>
      <c r="BF578" s="9">
        <v>0</v>
      </c>
    </row>
    <row r="579" spans="1:58">
      <c r="A579" s="9">
        <v>220</v>
      </c>
      <c r="B579" s="10" t="s">
        <v>76</v>
      </c>
      <c r="C579" s="10" t="s">
        <v>389</v>
      </c>
      <c r="D579" s="20" t="s">
        <v>390</v>
      </c>
      <c r="E579" s="20" t="s">
        <v>927</v>
      </c>
      <c r="F579" s="10" t="s">
        <v>389</v>
      </c>
      <c r="G579" s="20" t="s">
        <v>390</v>
      </c>
      <c r="H579" s="20" t="s">
        <v>927</v>
      </c>
      <c r="I579" s="10" t="s">
        <v>389</v>
      </c>
      <c r="J579" s="20" t="s">
        <v>392</v>
      </c>
      <c r="K579" s="20" t="s">
        <v>927</v>
      </c>
      <c r="L579" s="9" t="s">
        <v>352</v>
      </c>
      <c r="M579" s="9">
        <v>10</v>
      </c>
      <c r="N579" s="9" t="s">
        <v>353</v>
      </c>
      <c r="O579" s="9" t="s">
        <v>455</v>
      </c>
      <c r="P579" s="12">
        <v>41.3</v>
      </c>
      <c r="Q579" s="12" t="s">
        <v>355</v>
      </c>
      <c r="R579" s="9" t="s">
        <v>356</v>
      </c>
      <c r="S579" s="13" t="s">
        <v>903</v>
      </c>
      <c r="T579" s="13" t="s">
        <v>903</v>
      </c>
      <c r="U579" s="14">
        <f t="shared" si="72"/>
        <v>1.1760912590556813</v>
      </c>
      <c r="V579" s="15">
        <v>30</v>
      </c>
      <c r="W579" s="12">
        <v>8.1563181999999941</v>
      </c>
      <c r="X579" s="12">
        <v>1</v>
      </c>
      <c r="Y579" s="13" t="s">
        <v>904</v>
      </c>
      <c r="Z579" s="9" t="s">
        <v>359</v>
      </c>
      <c r="AA579" s="10" t="s">
        <v>372</v>
      </c>
      <c r="AB579" s="9" t="s">
        <v>355</v>
      </c>
      <c r="AC579" s="15">
        <v>305</v>
      </c>
      <c r="AD579" s="14">
        <f t="shared" si="73"/>
        <v>2.4842998393467859</v>
      </c>
      <c r="AE579" s="10" t="s">
        <v>928</v>
      </c>
      <c r="AF579" s="9" t="s">
        <v>420</v>
      </c>
      <c r="AG579" s="18">
        <v>31</v>
      </c>
      <c r="AH579" s="7">
        <f t="shared" si="74"/>
        <v>1</v>
      </c>
      <c r="AI579" s="7">
        <f t="shared" si="75"/>
        <v>1</v>
      </c>
      <c r="AJ579" s="7">
        <f t="shared" si="76"/>
        <v>0</v>
      </c>
      <c r="AK579" s="7">
        <f t="shared" si="77"/>
        <v>0</v>
      </c>
      <c r="AL579" s="7" t="s">
        <v>4157</v>
      </c>
      <c r="AM579" s="18">
        <f t="shared" si="78"/>
        <v>1.4913616938342726</v>
      </c>
      <c r="AN579" s="18">
        <v>31</v>
      </c>
      <c r="AO579" s="18">
        <v>-110.33088100000001</v>
      </c>
      <c r="AP579" s="9" t="s">
        <v>363</v>
      </c>
      <c r="AQ579" s="9" t="s">
        <v>355</v>
      </c>
      <c r="AR579" s="15">
        <v>1968</v>
      </c>
      <c r="AS579" s="19" t="s">
        <v>906</v>
      </c>
      <c r="AT579" s="20" t="s">
        <v>907</v>
      </c>
      <c r="AU579" s="40">
        <v>2794118</v>
      </c>
      <c r="AV579" s="35">
        <f t="shared" si="79"/>
        <v>6.4462447431048391</v>
      </c>
      <c r="AW579" s="37" t="s">
        <v>366</v>
      </c>
      <c r="AX579" s="34" t="s">
        <v>355</v>
      </c>
      <c r="AY579" s="40">
        <v>2440</v>
      </c>
      <c r="AZ579" s="15">
        <v>87</v>
      </c>
      <c r="BA579" s="14">
        <f t="shared" si="80"/>
        <v>1.9395192526186185</v>
      </c>
      <c r="BB579" s="37" t="s">
        <v>367</v>
      </c>
      <c r="BC579" s="20">
        <v>3.4967987194877911E-2</v>
      </c>
      <c r="BD579" s="9">
        <v>32.800000000000004</v>
      </c>
      <c r="BE579" s="9" t="s">
        <v>368</v>
      </c>
      <c r="BF579" s="9">
        <v>0</v>
      </c>
    </row>
    <row r="580" spans="1:58">
      <c r="A580" s="9">
        <v>800</v>
      </c>
      <c r="B580" s="10" t="s">
        <v>76</v>
      </c>
      <c r="C580" s="10" t="s">
        <v>389</v>
      </c>
      <c r="D580" s="20" t="s">
        <v>390</v>
      </c>
      <c r="E580" s="20" t="s">
        <v>927</v>
      </c>
      <c r="F580" s="10" t="s">
        <v>389</v>
      </c>
      <c r="G580" s="20" t="s">
        <v>390</v>
      </c>
      <c r="H580" s="20" t="s">
        <v>927</v>
      </c>
      <c r="I580" s="10" t="s">
        <v>389</v>
      </c>
      <c r="J580" s="20" t="s">
        <v>392</v>
      </c>
      <c r="K580" s="20" t="s">
        <v>927</v>
      </c>
      <c r="L580" s="9" t="s">
        <v>352</v>
      </c>
      <c r="M580" s="9">
        <v>6</v>
      </c>
      <c r="N580" s="9" t="s">
        <v>353</v>
      </c>
      <c r="O580" s="9" t="s">
        <v>354</v>
      </c>
      <c r="P580" s="12">
        <v>38.700000000000003</v>
      </c>
      <c r="Q580" s="12" t="s">
        <v>355</v>
      </c>
      <c r="R580" s="9" t="s">
        <v>356</v>
      </c>
      <c r="S580" s="13" t="s">
        <v>903</v>
      </c>
      <c r="T580" s="13" t="s">
        <v>903</v>
      </c>
      <c r="U580" s="14">
        <f t="shared" si="72"/>
        <v>1.1760912590556813</v>
      </c>
      <c r="V580" s="15">
        <v>15</v>
      </c>
      <c r="W580" s="12">
        <v>6.4651755000000009</v>
      </c>
      <c r="X580" s="12">
        <v>1</v>
      </c>
      <c r="Y580" s="13" t="s">
        <v>358</v>
      </c>
      <c r="Z580" s="9" t="s">
        <v>417</v>
      </c>
      <c r="AA580" s="10" t="s">
        <v>418</v>
      </c>
      <c r="AB580" s="9" t="s">
        <v>355</v>
      </c>
      <c r="AC580" s="15">
        <v>364</v>
      </c>
      <c r="AD580" s="14">
        <f t="shared" si="73"/>
        <v>2.5611013836490559</v>
      </c>
      <c r="AE580" s="10" t="s">
        <v>929</v>
      </c>
      <c r="AF580" s="9" t="s">
        <v>420</v>
      </c>
      <c r="AG580" s="18">
        <v>35.222566999999998</v>
      </c>
      <c r="AH580" s="7">
        <f t="shared" si="74"/>
        <v>1</v>
      </c>
      <c r="AI580" s="7">
        <f t="shared" si="75"/>
        <v>1</v>
      </c>
      <c r="AJ580" s="7">
        <f t="shared" si="76"/>
        <v>0</v>
      </c>
      <c r="AK580" s="7">
        <f t="shared" si="77"/>
        <v>0</v>
      </c>
      <c r="AL580" s="7" t="s">
        <v>4157</v>
      </c>
      <c r="AM580" s="18">
        <f t="shared" si="78"/>
        <v>1.546821003911492</v>
      </c>
      <c r="AN580" s="18">
        <v>35.222566999999998</v>
      </c>
      <c r="AO580" s="18">
        <v>-97.439477999999994</v>
      </c>
      <c r="AP580" s="9" t="s">
        <v>363</v>
      </c>
      <c r="AQ580" s="9" t="s">
        <v>355</v>
      </c>
      <c r="AR580" s="15">
        <v>1987</v>
      </c>
      <c r="AS580" s="19" t="s">
        <v>930</v>
      </c>
      <c r="AT580" s="20" t="s">
        <v>931</v>
      </c>
      <c r="AU580" s="40">
        <v>2794118</v>
      </c>
      <c r="AV580" s="35">
        <f t="shared" si="79"/>
        <v>6.4462447431048391</v>
      </c>
      <c r="AW580" s="37" t="s">
        <v>366</v>
      </c>
      <c r="AX580" s="34" t="s">
        <v>355</v>
      </c>
      <c r="AY580" s="40">
        <v>2440</v>
      </c>
      <c r="AZ580" s="15">
        <v>87</v>
      </c>
      <c r="BA580" s="14">
        <f t="shared" si="80"/>
        <v>1.9395192526186185</v>
      </c>
      <c r="BB580" s="37" t="s">
        <v>367</v>
      </c>
      <c r="BC580" s="20">
        <v>3.0460984393757294E-2</v>
      </c>
      <c r="BD580" s="9">
        <v>34.5</v>
      </c>
      <c r="BE580" s="9" t="s">
        <v>368</v>
      </c>
      <c r="BF580" s="9">
        <v>0</v>
      </c>
    </row>
    <row r="581" spans="1:58">
      <c r="A581" s="9">
        <v>802</v>
      </c>
      <c r="B581" s="10" t="s">
        <v>76</v>
      </c>
      <c r="C581" s="10" t="s">
        <v>389</v>
      </c>
      <c r="D581" s="20" t="s">
        <v>390</v>
      </c>
      <c r="E581" s="20" t="s">
        <v>927</v>
      </c>
      <c r="F581" s="10" t="s">
        <v>389</v>
      </c>
      <c r="G581" s="20" t="s">
        <v>390</v>
      </c>
      <c r="H581" s="20" t="s">
        <v>927</v>
      </c>
      <c r="I581" s="10" t="s">
        <v>389</v>
      </c>
      <c r="J581" s="20" t="s">
        <v>392</v>
      </c>
      <c r="K581" s="20" t="s">
        <v>927</v>
      </c>
      <c r="L581" s="9" t="s">
        <v>352</v>
      </c>
      <c r="M581" s="9">
        <v>23</v>
      </c>
      <c r="N581" s="9" t="s">
        <v>381</v>
      </c>
      <c r="O581" s="9" t="s">
        <v>354</v>
      </c>
      <c r="P581" s="12">
        <v>38.799999999999997</v>
      </c>
      <c r="Q581" s="12" t="s">
        <v>355</v>
      </c>
      <c r="R581" s="9" t="s">
        <v>356</v>
      </c>
      <c r="S581" s="13" t="s">
        <v>903</v>
      </c>
      <c r="T581" s="13" t="s">
        <v>903</v>
      </c>
      <c r="U581" s="14">
        <f t="shared" ref="U581:U644" si="81">LOG(T581+1)</f>
        <v>1.1760912590556813</v>
      </c>
      <c r="V581" s="15">
        <v>15</v>
      </c>
      <c r="W581" s="12">
        <v>6.5651754999999952</v>
      </c>
      <c r="X581" s="12">
        <v>1</v>
      </c>
      <c r="Y581" s="13" t="s">
        <v>358</v>
      </c>
      <c r="Z581" s="9" t="s">
        <v>417</v>
      </c>
      <c r="AA581" s="10" t="s">
        <v>418</v>
      </c>
      <c r="AB581" s="9" t="s">
        <v>355</v>
      </c>
      <c r="AC581" s="15">
        <v>364</v>
      </c>
      <c r="AD581" s="14">
        <f t="shared" ref="AD581:AD644" si="82">LOG(AC581)</f>
        <v>2.5611013836490559</v>
      </c>
      <c r="AE581" s="10" t="s">
        <v>929</v>
      </c>
      <c r="AF581" s="9" t="s">
        <v>420</v>
      </c>
      <c r="AG581" s="18">
        <v>35.222566999999998</v>
      </c>
      <c r="AH581" s="7">
        <f t="shared" ref="AH581:AH644" si="83">IF(AG581&gt;15,1,0)</f>
        <v>1</v>
      </c>
      <c r="AI581" s="7">
        <f t="shared" ref="AI581:AI644" si="84">IF(AG581&gt;30,1,0)</f>
        <v>1</v>
      </c>
      <c r="AJ581" s="7">
        <f t="shared" ref="AJ581:AJ644" si="85">IF(AG581&gt;45,1,0)</f>
        <v>0</v>
      </c>
      <c r="AK581" s="7">
        <f t="shared" ref="AK581:AK644" si="86">IF(AG581&gt;60,1,0)</f>
        <v>0</v>
      </c>
      <c r="AL581" s="7" t="s">
        <v>4157</v>
      </c>
      <c r="AM581" s="18">
        <f t="shared" ref="AM581:AM644" si="87">LOG(AG581)</f>
        <v>1.546821003911492</v>
      </c>
      <c r="AN581" s="18">
        <v>35.222566999999998</v>
      </c>
      <c r="AO581" s="18">
        <v>-97.439477999999994</v>
      </c>
      <c r="AP581" s="9" t="s">
        <v>363</v>
      </c>
      <c r="AQ581" s="9" t="s">
        <v>355</v>
      </c>
      <c r="AR581" s="15">
        <v>1987</v>
      </c>
      <c r="AS581" s="19" t="s">
        <v>930</v>
      </c>
      <c r="AT581" s="20" t="s">
        <v>931</v>
      </c>
      <c r="AU581" s="40">
        <v>2794118</v>
      </c>
      <c r="AV581" s="35">
        <f t="shared" ref="AV581:AV644" si="88">LOG(AU581)</f>
        <v>6.4462447431048391</v>
      </c>
      <c r="AW581" s="37" t="s">
        <v>366</v>
      </c>
      <c r="AX581" s="34" t="s">
        <v>355</v>
      </c>
      <c r="AY581" s="40">
        <v>2440</v>
      </c>
      <c r="AZ581" s="15">
        <v>87</v>
      </c>
      <c r="BA581" s="14">
        <f t="shared" ref="BA581:BA644" si="89">LOG(AZ581)</f>
        <v>1.9395192526186185</v>
      </c>
      <c r="BB581" s="37" t="s">
        <v>367</v>
      </c>
      <c r="BC581" s="20">
        <v>3.0460984393757294E-2</v>
      </c>
      <c r="BD581" s="9">
        <v>34.5</v>
      </c>
      <c r="BE581" s="9" t="s">
        <v>368</v>
      </c>
      <c r="BF581" s="9">
        <v>0</v>
      </c>
    </row>
    <row r="582" spans="1:58">
      <c r="A582" s="9">
        <v>801</v>
      </c>
      <c r="B582" s="10" t="s">
        <v>76</v>
      </c>
      <c r="C582" s="10" t="s">
        <v>389</v>
      </c>
      <c r="D582" s="20" t="s">
        <v>390</v>
      </c>
      <c r="E582" s="20" t="s">
        <v>927</v>
      </c>
      <c r="F582" s="10" t="s">
        <v>389</v>
      </c>
      <c r="G582" s="20" t="s">
        <v>390</v>
      </c>
      <c r="H582" s="20" t="s">
        <v>927</v>
      </c>
      <c r="I582" s="10" t="s">
        <v>389</v>
      </c>
      <c r="J582" s="20" t="s">
        <v>392</v>
      </c>
      <c r="K582" s="20" t="s">
        <v>927</v>
      </c>
      <c r="L582" s="9" t="s">
        <v>352</v>
      </c>
      <c r="M582" s="9">
        <v>19</v>
      </c>
      <c r="N582" s="9" t="s">
        <v>381</v>
      </c>
      <c r="O582" s="9" t="s">
        <v>354</v>
      </c>
      <c r="P582" s="12">
        <v>40</v>
      </c>
      <c r="Q582" s="12" t="s">
        <v>355</v>
      </c>
      <c r="R582" s="9" t="s">
        <v>356</v>
      </c>
      <c r="S582" s="13" t="s">
        <v>903</v>
      </c>
      <c r="T582" s="13" t="s">
        <v>903</v>
      </c>
      <c r="U582" s="14">
        <f t="shared" si="81"/>
        <v>1.1760912590556813</v>
      </c>
      <c r="V582" s="15">
        <v>15</v>
      </c>
      <c r="W582" s="12">
        <v>7.765175499999998</v>
      </c>
      <c r="X582" s="12">
        <v>1</v>
      </c>
      <c r="Y582" s="13" t="s">
        <v>358</v>
      </c>
      <c r="Z582" s="9" t="s">
        <v>417</v>
      </c>
      <c r="AA582" s="10" t="s">
        <v>418</v>
      </c>
      <c r="AB582" s="9" t="s">
        <v>355</v>
      </c>
      <c r="AC582" s="15">
        <v>364</v>
      </c>
      <c r="AD582" s="14">
        <f t="shared" si="82"/>
        <v>2.5611013836490559</v>
      </c>
      <c r="AE582" s="10" t="s">
        <v>929</v>
      </c>
      <c r="AF582" s="9" t="s">
        <v>420</v>
      </c>
      <c r="AG582" s="18">
        <v>35.222566999999998</v>
      </c>
      <c r="AH582" s="7">
        <f t="shared" si="83"/>
        <v>1</v>
      </c>
      <c r="AI582" s="7">
        <f t="shared" si="84"/>
        <v>1</v>
      </c>
      <c r="AJ582" s="7">
        <f t="shared" si="85"/>
        <v>0</v>
      </c>
      <c r="AK582" s="7">
        <f t="shared" si="86"/>
        <v>0</v>
      </c>
      <c r="AL582" s="7" t="s">
        <v>4157</v>
      </c>
      <c r="AM582" s="18">
        <f t="shared" si="87"/>
        <v>1.546821003911492</v>
      </c>
      <c r="AN582" s="18">
        <v>35.222566999999998</v>
      </c>
      <c r="AO582" s="18">
        <v>-97.439477999999994</v>
      </c>
      <c r="AP582" s="9" t="s">
        <v>363</v>
      </c>
      <c r="AQ582" s="9" t="s">
        <v>355</v>
      </c>
      <c r="AR582" s="15">
        <v>1987</v>
      </c>
      <c r="AS582" s="19" t="s">
        <v>930</v>
      </c>
      <c r="AT582" s="20" t="s">
        <v>931</v>
      </c>
      <c r="AU582" s="40">
        <v>2794118</v>
      </c>
      <c r="AV582" s="35">
        <f t="shared" si="88"/>
        <v>6.4462447431048391</v>
      </c>
      <c r="AW582" s="37" t="s">
        <v>366</v>
      </c>
      <c r="AX582" s="34" t="s">
        <v>355</v>
      </c>
      <c r="AY582" s="40">
        <v>2440</v>
      </c>
      <c r="AZ582" s="15">
        <v>87</v>
      </c>
      <c r="BA582" s="14">
        <f t="shared" si="89"/>
        <v>1.9395192526186185</v>
      </c>
      <c r="BB582" s="37" t="s">
        <v>367</v>
      </c>
      <c r="BC582" s="20">
        <v>3.0460984393757294E-2</v>
      </c>
      <c r="BD582" s="9">
        <v>34.5</v>
      </c>
      <c r="BE582" s="9" t="s">
        <v>368</v>
      </c>
      <c r="BF582" s="9">
        <v>0</v>
      </c>
    </row>
    <row r="583" spans="1:58">
      <c r="A583" s="9">
        <v>804</v>
      </c>
      <c r="B583" s="10" t="s">
        <v>76</v>
      </c>
      <c r="C583" s="10" t="s">
        <v>389</v>
      </c>
      <c r="D583" s="20" t="s">
        <v>390</v>
      </c>
      <c r="E583" s="20" t="s">
        <v>927</v>
      </c>
      <c r="F583" s="10" t="s">
        <v>389</v>
      </c>
      <c r="G583" s="20" t="s">
        <v>390</v>
      </c>
      <c r="H583" s="20" t="s">
        <v>927</v>
      </c>
      <c r="I583" s="10" t="s">
        <v>389</v>
      </c>
      <c r="J583" s="20" t="s">
        <v>392</v>
      </c>
      <c r="K583" s="20" t="s">
        <v>927</v>
      </c>
      <c r="L583" s="9" t="s">
        <v>352</v>
      </c>
      <c r="M583" s="9">
        <v>5</v>
      </c>
      <c r="N583" s="9" t="s">
        <v>353</v>
      </c>
      <c r="O583" s="9" t="s">
        <v>354</v>
      </c>
      <c r="P583" s="12">
        <v>41.5</v>
      </c>
      <c r="Q583" s="12" t="s">
        <v>355</v>
      </c>
      <c r="R583" s="9" t="s">
        <v>356</v>
      </c>
      <c r="S583" s="13" t="s">
        <v>903</v>
      </c>
      <c r="T583" s="13" t="s">
        <v>903</v>
      </c>
      <c r="U583" s="14">
        <f t="shared" si="81"/>
        <v>1.1760912590556813</v>
      </c>
      <c r="V583" s="15">
        <v>15</v>
      </c>
      <c r="W583" s="12">
        <v>9.265175499999998</v>
      </c>
      <c r="X583" s="12">
        <v>1</v>
      </c>
      <c r="Y583" s="13" t="s">
        <v>358</v>
      </c>
      <c r="Z583" s="9" t="s">
        <v>417</v>
      </c>
      <c r="AA583" s="10" t="s">
        <v>418</v>
      </c>
      <c r="AB583" s="9" t="s">
        <v>355</v>
      </c>
      <c r="AC583" s="15">
        <v>364</v>
      </c>
      <c r="AD583" s="14">
        <f t="shared" si="82"/>
        <v>2.5611013836490559</v>
      </c>
      <c r="AE583" s="10" t="s">
        <v>929</v>
      </c>
      <c r="AF583" s="9" t="s">
        <v>420</v>
      </c>
      <c r="AG583" s="18">
        <v>35.222566999999998</v>
      </c>
      <c r="AH583" s="7">
        <f t="shared" si="83"/>
        <v>1</v>
      </c>
      <c r="AI583" s="7">
        <f t="shared" si="84"/>
        <v>1</v>
      </c>
      <c r="AJ583" s="7">
        <f t="shared" si="85"/>
        <v>0</v>
      </c>
      <c r="AK583" s="7">
        <f t="shared" si="86"/>
        <v>0</v>
      </c>
      <c r="AL583" s="7" t="s">
        <v>4157</v>
      </c>
      <c r="AM583" s="18">
        <f t="shared" si="87"/>
        <v>1.546821003911492</v>
      </c>
      <c r="AN583" s="18">
        <v>35.222566999999998</v>
      </c>
      <c r="AO583" s="18">
        <v>-97.439477999999994</v>
      </c>
      <c r="AP583" s="9" t="s">
        <v>363</v>
      </c>
      <c r="AQ583" s="9" t="s">
        <v>355</v>
      </c>
      <c r="AR583" s="15">
        <v>1987</v>
      </c>
      <c r="AS583" s="19" t="s">
        <v>932</v>
      </c>
      <c r="AT583" s="20" t="s">
        <v>933</v>
      </c>
      <c r="AU583" s="40">
        <v>2794118</v>
      </c>
      <c r="AV583" s="35">
        <f t="shared" si="88"/>
        <v>6.4462447431048391</v>
      </c>
      <c r="AW583" s="37" t="s">
        <v>366</v>
      </c>
      <c r="AX583" s="34" t="s">
        <v>355</v>
      </c>
      <c r="AY583" s="40">
        <v>2440</v>
      </c>
      <c r="AZ583" s="15">
        <v>87</v>
      </c>
      <c r="BA583" s="14">
        <f t="shared" si="89"/>
        <v>1.9395192526186185</v>
      </c>
      <c r="BB583" s="37" t="s">
        <v>367</v>
      </c>
      <c r="BC583" s="20">
        <v>3.0460984393757294E-2</v>
      </c>
      <c r="BD583" s="9">
        <v>34.5</v>
      </c>
      <c r="BE583" s="9" t="s">
        <v>368</v>
      </c>
      <c r="BF583" s="9">
        <v>0</v>
      </c>
    </row>
    <row r="584" spans="1:58">
      <c r="A584" s="9">
        <v>227</v>
      </c>
      <c r="B584" s="10" t="s">
        <v>76</v>
      </c>
      <c r="C584" s="10" t="s">
        <v>389</v>
      </c>
      <c r="D584" s="20" t="s">
        <v>390</v>
      </c>
      <c r="E584" s="20" t="s">
        <v>934</v>
      </c>
      <c r="F584" s="10" t="s">
        <v>389</v>
      </c>
      <c r="G584" s="20" t="s">
        <v>390</v>
      </c>
      <c r="H584" s="20" t="s">
        <v>934</v>
      </c>
      <c r="I584" s="10" t="s">
        <v>389</v>
      </c>
      <c r="J584" s="20" t="s">
        <v>392</v>
      </c>
      <c r="K584" s="20" t="s">
        <v>934</v>
      </c>
      <c r="L584" s="9" t="s">
        <v>352</v>
      </c>
      <c r="M584" s="9">
        <v>10</v>
      </c>
      <c r="N584" s="9" t="s">
        <v>381</v>
      </c>
      <c r="O584" s="9" t="s">
        <v>455</v>
      </c>
      <c r="P584" s="12">
        <v>33.9</v>
      </c>
      <c r="Q584" s="12" t="s">
        <v>355</v>
      </c>
      <c r="R584" s="9" t="s">
        <v>356</v>
      </c>
      <c r="S584" s="13" t="s">
        <v>903</v>
      </c>
      <c r="T584" s="13" t="s">
        <v>903</v>
      </c>
      <c r="U584" s="14">
        <f t="shared" si="81"/>
        <v>1.1760912590556813</v>
      </c>
      <c r="V584" s="15">
        <v>5</v>
      </c>
      <c r="W584" s="12">
        <v>4.5774151000000032</v>
      </c>
      <c r="X584" s="12">
        <v>1</v>
      </c>
      <c r="Y584" s="13" t="s">
        <v>904</v>
      </c>
      <c r="Z584" s="9" t="s">
        <v>359</v>
      </c>
      <c r="AA584" s="10" t="s">
        <v>372</v>
      </c>
      <c r="AB584" s="9" t="s">
        <v>355</v>
      </c>
      <c r="AC584" s="15">
        <v>1524</v>
      </c>
      <c r="AD584" s="14">
        <f t="shared" si="82"/>
        <v>3.1829849670035819</v>
      </c>
      <c r="AE584" s="10" t="s">
        <v>935</v>
      </c>
      <c r="AF584" s="9" t="s">
        <v>408</v>
      </c>
      <c r="AG584" s="18">
        <v>22</v>
      </c>
      <c r="AH584" s="7">
        <f t="shared" si="83"/>
        <v>1</v>
      </c>
      <c r="AI584" s="7">
        <f t="shared" si="84"/>
        <v>0</v>
      </c>
      <c r="AJ584" s="7">
        <f t="shared" si="85"/>
        <v>0</v>
      </c>
      <c r="AK584" s="7">
        <f t="shared" si="86"/>
        <v>0</v>
      </c>
      <c r="AL584" s="7" t="s">
        <v>4159</v>
      </c>
      <c r="AM584" s="18">
        <f t="shared" si="87"/>
        <v>1.3424226808222062</v>
      </c>
      <c r="AN584" s="18">
        <v>22</v>
      </c>
      <c r="AO584" s="18">
        <v>-103.34943800000001</v>
      </c>
      <c r="AP584" s="9" t="s">
        <v>363</v>
      </c>
      <c r="AQ584" s="9" t="s">
        <v>355</v>
      </c>
      <c r="AR584" s="15">
        <v>1968</v>
      </c>
      <c r="AS584" s="19" t="s">
        <v>906</v>
      </c>
      <c r="AT584" s="20" t="s">
        <v>907</v>
      </c>
      <c r="AU584" s="40">
        <v>281647</v>
      </c>
      <c r="AV584" s="35">
        <f t="shared" si="88"/>
        <v>5.4497051296513108</v>
      </c>
      <c r="AW584" s="37" t="s">
        <v>366</v>
      </c>
      <c r="AX584" s="34" t="s">
        <v>355</v>
      </c>
      <c r="AY584" s="40" t="s">
        <v>355</v>
      </c>
      <c r="AZ584" s="15">
        <v>65</v>
      </c>
      <c r="BA584" s="14">
        <f t="shared" si="89"/>
        <v>1.8129133566428555</v>
      </c>
      <c r="BB584" s="37" t="s">
        <v>367</v>
      </c>
      <c r="BC584" s="20">
        <v>3.0665466186474616E-2</v>
      </c>
      <c r="BD584" s="9">
        <v>32.9</v>
      </c>
      <c r="BE584" s="9" t="s">
        <v>368</v>
      </c>
      <c r="BF584" s="9">
        <v>0</v>
      </c>
    </row>
    <row r="585" spans="1:58">
      <c r="A585" s="9">
        <v>228</v>
      </c>
      <c r="B585" s="10" t="s">
        <v>76</v>
      </c>
      <c r="C585" s="10" t="s">
        <v>389</v>
      </c>
      <c r="D585" s="20" t="s">
        <v>390</v>
      </c>
      <c r="E585" s="20" t="s">
        <v>934</v>
      </c>
      <c r="F585" s="10" t="s">
        <v>389</v>
      </c>
      <c r="G585" s="20" t="s">
        <v>390</v>
      </c>
      <c r="H585" s="20" t="s">
        <v>934</v>
      </c>
      <c r="I585" s="10" t="s">
        <v>389</v>
      </c>
      <c r="J585" s="20" t="s">
        <v>392</v>
      </c>
      <c r="K585" s="20" t="s">
        <v>934</v>
      </c>
      <c r="L585" s="9" t="s">
        <v>352</v>
      </c>
      <c r="M585" s="9">
        <v>10</v>
      </c>
      <c r="N585" s="9" t="s">
        <v>381</v>
      </c>
      <c r="O585" s="9" t="s">
        <v>455</v>
      </c>
      <c r="P585" s="12">
        <v>36.9</v>
      </c>
      <c r="Q585" s="12" t="s">
        <v>355</v>
      </c>
      <c r="R585" s="9" t="s">
        <v>356</v>
      </c>
      <c r="S585" s="13" t="s">
        <v>903</v>
      </c>
      <c r="T585" s="13" t="s">
        <v>903</v>
      </c>
      <c r="U585" s="14">
        <f t="shared" si="81"/>
        <v>1.1760912590556813</v>
      </c>
      <c r="V585" s="15">
        <v>30</v>
      </c>
      <c r="W585" s="12">
        <v>3.6719401000000005</v>
      </c>
      <c r="X585" s="12">
        <v>1</v>
      </c>
      <c r="Y585" s="13" t="s">
        <v>904</v>
      </c>
      <c r="Z585" s="9" t="s">
        <v>359</v>
      </c>
      <c r="AA585" s="10" t="s">
        <v>372</v>
      </c>
      <c r="AB585" s="9" t="s">
        <v>355</v>
      </c>
      <c r="AC585" s="15">
        <v>1524</v>
      </c>
      <c r="AD585" s="14">
        <f t="shared" si="82"/>
        <v>3.1829849670035819</v>
      </c>
      <c r="AE585" s="10" t="s">
        <v>935</v>
      </c>
      <c r="AF585" s="9" t="s">
        <v>408</v>
      </c>
      <c r="AG585" s="18">
        <v>22</v>
      </c>
      <c r="AH585" s="7">
        <f t="shared" si="83"/>
        <v>1</v>
      </c>
      <c r="AI585" s="7">
        <f t="shared" si="84"/>
        <v>0</v>
      </c>
      <c r="AJ585" s="7">
        <f t="shared" si="85"/>
        <v>0</v>
      </c>
      <c r="AK585" s="7">
        <f t="shared" si="86"/>
        <v>0</v>
      </c>
      <c r="AL585" s="7" t="s">
        <v>4159</v>
      </c>
      <c r="AM585" s="18">
        <f t="shared" si="87"/>
        <v>1.3424226808222062</v>
      </c>
      <c r="AN585" s="18">
        <v>22</v>
      </c>
      <c r="AO585" s="18">
        <v>-103.34943800000001</v>
      </c>
      <c r="AP585" s="9" t="s">
        <v>363</v>
      </c>
      <c r="AQ585" s="9" t="s">
        <v>355</v>
      </c>
      <c r="AR585" s="15">
        <v>1968</v>
      </c>
      <c r="AS585" s="19" t="s">
        <v>906</v>
      </c>
      <c r="AT585" s="20" t="s">
        <v>907</v>
      </c>
      <c r="AU585" s="40">
        <v>281647</v>
      </c>
      <c r="AV585" s="35">
        <f t="shared" si="88"/>
        <v>5.4497051296513108</v>
      </c>
      <c r="AW585" s="37" t="s">
        <v>366</v>
      </c>
      <c r="AX585" s="34" t="s">
        <v>355</v>
      </c>
      <c r="AY585" s="40" t="s">
        <v>355</v>
      </c>
      <c r="AZ585" s="15">
        <v>65</v>
      </c>
      <c r="BA585" s="14">
        <f t="shared" si="89"/>
        <v>1.8129133566428555</v>
      </c>
      <c r="BB585" s="37" t="s">
        <v>367</v>
      </c>
      <c r="BC585" s="20">
        <v>3.0665466186474616E-2</v>
      </c>
      <c r="BD585" s="9">
        <v>32.9</v>
      </c>
      <c r="BE585" s="9" t="s">
        <v>368</v>
      </c>
      <c r="BF585" s="9">
        <v>0</v>
      </c>
    </row>
    <row r="586" spans="1:58">
      <c r="A586" s="9">
        <v>224</v>
      </c>
      <c r="B586" s="10" t="s">
        <v>76</v>
      </c>
      <c r="C586" s="10" t="s">
        <v>389</v>
      </c>
      <c r="D586" s="20" t="s">
        <v>390</v>
      </c>
      <c r="E586" s="20" t="s">
        <v>936</v>
      </c>
      <c r="F586" s="10" t="s">
        <v>389</v>
      </c>
      <c r="G586" s="20" t="s">
        <v>390</v>
      </c>
      <c r="H586" s="20" t="s">
        <v>936</v>
      </c>
      <c r="I586" s="10" t="s">
        <v>389</v>
      </c>
      <c r="J586" s="20" t="s">
        <v>392</v>
      </c>
      <c r="K586" s="20" t="s">
        <v>936</v>
      </c>
      <c r="L586" s="9" t="s">
        <v>352</v>
      </c>
      <c r="M586" s="9">
        <v>10</v>
      </c>
      <c r="N586" s="9" t="s">
        <v>381</v>
      </c>
      <c r="O586" s="9" t="s">
        <v>455</v>
      </c>
      <c r="P586" s="12">
        <v>36.74</v>
      </c>
      <c r="Q586" s="12" t="s">
        <v>355</v>
      </c>
      <c r="R586" s="9" t="s">
        <v>356</v>
      </c>
      <c r="S586" s="13" t="s">
        <v>903</v>
      </c>
      <c r="T586" s="13" t="s">
        <v>903</v>
      </c>
      <c r="U586" s="14">
        <f t="shared" si="81"/>
        <v>1.1760912590556813</v>
      </c>
      <c r="V586" s="15">
        <v>5</v>
      </c>
      <c r="W586" s="12">
        <v>5.8142312000000018</v>
      </c>
      <c r="X586" s="12">
        <v>1</v>
      </c>
      <c r="Y586" s="13" t="s">
        <v>904</v>
      </c>
      <c r="Z586" s="9" t="s">
        <v>359</v>
      </c>
      <c r="AA586" s="10" t="s">
        <v>372</v>
      </c>
      <c r="AB586" s="9" t="s">
        <v>355</v>
      </c>
      <c r="AC586" s="15">
        <v>305</v>
      </c>
      <c r="AD586" s="14">
        <f t="shared" si="82"/>
        <v>2.4842998393467859</v>
      </c>
      <c r="AE586" s="10" t="s">
        <v>937</v>
      </c>
      <c r="AF586" s="9" t="s">
        <v>420</v>
      </c>
      <c r="AG586" s="18">
        <v>27</v>
      </c>
      <c r="AH586" s="7">
        <f t="shared" si="83"/>
        <v>1</v>
      </c>
      <c r="AI586" s="7">
        <f t="shared" si="84"/>
        <v>0</v>
      </c>
      <c r="AJ586" s="7">
        <f t="shared" si="85"/>
        <v>0</v>
      </c>
      <c r="AK586" s="7">
        <f t="shared" si="86"/>
        <v>0</v>
      </c>
      <c r="AL586" s="7" t="s">
        <v>4159</v>
      </c>
      <c r="AM586" s="18">
        <f t="shared" si="87"/>
        <v>1.4313637641589874</v>
      </c>
      <c r="AN586" s="18">
        <v>27</v>
      </c>
      <c r="AO586" s="18">
        <v>-104.845462</v>
      </c>
      <c r="AP586" s="9" t="s">
        <v>363</v>
      </c>
      <c r="AQ586" s="9" t="s">
        <v>355</v>
      </c>
      <c r="AR586" s="15">
        <v>1968</v>
      </c>
      <c r="AS586" s="19" t="s">
        <v>906</v>
      </c>
      <c r="AT586" s="20" t="s">
        <v>907</v>
      </c>
      <c r="AU586" s="40">
        <v>1462437</v>
      </c>
      <c r="AV586" s="35">
        <f t="shared" si="88"/>
        <v>6.1650771662812733</v>
      </c>
      <c r="AW586" s="37" t="s">
        <v>366</v>
      </c>
      <c r="AX586" s="34" t="s">
        <v>355</v>
      </c>
      <c r="AY586" s="40" t="s">
        <v>355</v>
      </c>
      <c r="AZ586" s="15">
        <v>55</v>
      </c>
      <c r="BA586" s="14">
        <f t="shared" si="89"/>
        <v>1.7403626894942439</v>
      </c>
      <c r="BB586" s="37" t="s">
        <v>367</v>
      </c>
      <c r="BC586" s="20">
        <v>4.2442577030811918E-2</v>
      </c>
      <c r="BD586" s="9">
        <v>34.800000000000004</v>
      </c>
      <c r="BE586" s="9" t="s">
        <v>368</v>
      </c>
      <c r="BF586" s="9">
        <v>0</v>
      </c>
    </row>
    <row r="587" spans="1:58">
      <c r="A587" s="9">
        <v>225</v>
      </c>
      <c r="B587" s="10" t="s">
        <v>76</v>
      </c>
      <c r="C587" s="10" t="s">
        <v>389</v>
      </c>
      <c r="D587" s="20" t="s">
        <v>390</v>
      </c>
      <c r="E587" s="20" t="s">
        <v>936</v>
      </c>
      <c r="F587" s="10" t="s">
        <v>389</v>
      </c>
      <c r="G587" s="20" t="s">
        <v>390</v>
      </c>
      <c r="H587" s="20" t="s">
        <v>936</v>
      </c>
      <c r="I587" s="10" t="s">
        <v>389</v>
      </c>
      <c r="J587" s="20" t="s">
        <v>392</v>
      </c>
      <c r="K587" s="20" t="s">
        <v>936</v>
      </c>
      <c r="L587" s="9" t="s">
        <v>352</v>
      </c>
      <c r="M587" s="9">
        <v>10</v>
      </c>
      <c r="N587" s="9" t="s">
        <v>381</v>
      </c>
      <c r="O587" s="9" t="s">
        <v>455</v>
      </c>
      <c r="P587" s="12">
        <v>40</v>
      </c>
      <c r="Q587" s="12" t="s">
        <v>355</v>
      </c>
      <c r="R587" s="9" t="s">
        <v>356</v>
      </c>
      <c r="S587" s="13" t="s">
        <v>903</v>
      </c>
      <c r="T587" s="13" t="s">
        <v>903</v>
      </c>
      <c r="U587" s="14">
        <f t="shared" si="81"/>
        <v>1.1760912590556813</v>
      </c>
      <c r="V587" s="15">
        <v>23</v>
      </c>
      <c r="W587" s="12">
        <v>6.2622891999999979</v>
      </c>
      <c r="X587" s="12">
        <v>1</v>
      </c>
      <c r="Y587" s="13" t="s">
        <v>904</v>
      </c>
      <c r="Z587" s="9" t="s">
        <v>359</v>
      </c>
      <c r="AA587" s="10" t="s">
        <v>372</v>
      </c>
      <c r="AB587" s="9" t="s">
        <v>355</v>
      </c>
      <c r="AC587" s="15">
        <v>305</v>
      </c>
      <c r="AD587" s="14">
        <f t="shared" si="82"/>
        <v>2.4842998393467859</v>
      </c>
      <c r="AE587" s="10" t="s">
        <v>937</v>
      </c>
      <c r="AF587" s="9" t="s">
        <v>420</v>
      </c>
      <c r="AG587" s="18">
        <v>27</v>
      </c>
      <c r="AH587" s="7">
        <f t="shared" si="83"/>
        <v>1</v>
      </c>
      <c r="AI587" s="7">
        <f t="shared" si="84"/>
        <v>0</v>
      </c>
      <c r="AJ587" s="7">
        <f t="shared" si="85"/>
        <v>0</v>
      </c>
      <c r="AK587" s="7">
        <f t="shared" si="86"/>
        <v>0</v>
      </c>
      <c r="AL587" s="7" t="s">
        <v>4159</v>
      </c>
      <c r="AM587" s="18">
        <f t="shared" si="87"/>
        <v>1.4313637641589874</v>
      </c>
      <c r="AN587" s="18">
        <v>27</v>
      </c>
      <c r="AO587" s="18">
        <v>-104.845462</v>
      </c>
      <c r="AP587" s="9" t="s">
        <v>363</v>
      </c>
      <c r="AQ587" s="9" t="s">
        <v>355</v>
      </c>
      <c r="AR587" s="15">
        <v>1968</v>
      </c>
      <c r="AS587" s="19" t="s">
        <v>906</v>
      </c>
      <c r="AT587" s="20" t="s">
        <v>907</v>
      </c>
      <c r="AU587" s="40">
        <v>1462437</v>
      </c>
      <c r="AV587" s="35">
        <f t="shared" si="88"/>
        <v>6.1650771662812733</v>
      </c>
      <c r="AW587" s="37" t="s">
        <v>366</v>
      </c>
      <c r="AX587" s="34" t="s">
        <v>355</v>
      </c>
      <c r="AY587" s="40" t="s">
        <v>355</v>
      </c>
      <c r="AZ587" s="15">
        <v>55</v>
      </c>
      <c r="BA587" s="14">
        <f t="shared" si="89"/>
        <v>1.7403626894942439</v>
      </c>
      <c r="BB587" s="37" t="s">
        <v>367</v>
      </c>
      <c r="BC587" s="20">
        <v>4.2442577030811918E-2</v>
      </c>
      <c r="BD587" s="9">
        <v>34.800000000000004</v>
      </c>
      <c r="BE587" s="9" t="s">
        <v>368</v>
      </c>
      <c r="BF587" s="9">
        <v>0</v>
      </c>
    </row>
    <row r="588" spans="1:58">
      <c r="A588" s="9">
        <v>226</v>
      </c>
      <c r="B588" s="10" t="s">
        <v>76</v>
      </c>
      <c r="C588" s="10" t="s">
        <v>389</v>
      </c>
      <c r="D588" s="20" t="s">
        <v>390</v>
      </c>
      <c r="E588" s="20" t="s">
        <v>936</v>
      </c>
      <c r="F588" s="10" t="s">
        <v>389</v>
      </c>
      <c r="G588" s="20" t="s">
        <v>390</v>
      </c>
      <c r="H588" s="20" t="s">
        <v>936</v>
      </c>
      <c r="I588" s="10" t="s">
        <v>389</v>
      </c>
      <c r="J588" s="20" t="s">
        <v>392</v>
      </c>
      <c r="K588" s="20" t="s">
        <v>936</v>
      </c>
      <c r="L588" s="9" t="s">
        <v>352</v>
      </c>
      <c r="M588" s="9">
        <v>10</v>
      </c>
      <c r="N588" s="9" t="s">
        <v>381</v>
      </c>
      <c r="O588" s="9" t="s">
        <v>455</v>
      </c>
      <c r="P588" s="12">
        <v>40.1</v>
      </c>
      <c r="Q588" s="12" t="s">
        <v>355</v>
      </c>
      <c r="R588" s="9" t="s">
        <v>356</v>
      </c>
      <c r="S588" s="13" t="s">
        <v>903</v>
      </c>
      <c r="T588" s="13" t="s">
        <v>903</v>
      </c>
      <c r="U588" s="14">
        <f t="shared" si="81"/>
        <v>1.1760912590556813</v>
      </c>
      <c r="V588" s="15">
        <v>30</v>
      </c>
      <c r="W588" s="12">
        <v>5.2687561999999986</v>
      </c>
      <c r="X588" s="12">
        <v>1</v>
      </c>
      <c r="Y588" s="13" t="s">
        <v>904</v>
      </c>
      <c r="Z588" s="9" t="s">
        <v>359</v>
      </c>
      <c r="AA588" s="10" t="s">
        <v>372</v>
      </c>
      <c r="AB588" s="9" t="s">
        <v>355</v>
      </c>
      <c r="AC588" s="15">
        <v>305</v>
      </c>
      <c r="AD588" s="14">
        <f t="shared" si="82"/>
        <v>2.4842998393467859</v>
      </c>
      <c r="AE588" s="10" t="s">
        <v>937</v>
      </c>
      <c r="AF588" s="9" t="s">
        <v>420</v>
      </c>
      <c r="AG588" s="18">
        <v>27</v>
      </c>
      <c r="AH588" s="7">
        <f t="shared" si="83"/>
        <v>1</v>
      </c>
      <c r="AI588" s="7">
        <f t="shared" si="84"/>
        <v>0</v>
      </c>
      <c r="AJ588" s="7">
        <f t="shared" si="85"/>
        <v>0</v>
      </c>
      <c r="AK588" s="7">
        <f t="shared" si="86"/>
        <v>0</v>
      </c>
      <c r="AL588" s="7" t="s">
        <v>4159</v>
      </c>
      <c r="AM588" s="18">
        <f t="shared" si="87"/>
        <v>1.4313637641589874</v>
      </c>
      <c r="AN588" s="18">
        <v>27</v>
      </c>
      <c r="AO588" s="18">
        <v>-104.845462</v>
      </c>
      <c r="AP588" s="9" t="s">
        <v>363</v>
      </c>
      <c r="AQ588" s="9" t="s">
        <v>355</v>
      </c>
      <c r="AR588" s="15">
        <v>1968</v>
      </c>
      <c r="AS588" s="19" t="s">
        <v>906</v>
      </c>
      <c r="AT588" s="20" t="s">
        <v>907</v>
      </c>
      <c r="AU588" s="40">
        <v>1462437</v>
      </c>
      <c r="AV588" s="35">
        <f t="shared" si="88"/>
        <v>6.1650771662812733</v>
      </c>
      <c r="AW588" s="37" t="s">
        <v>366</v>
      </c>
      <c r="AX588" s="34" t="s">
        <v>355</v>
      </c>
      <c r="AY588" s="40" t="s">
        <v>355</v>
      </c>
      <c r="AZ588" s="15">
        <v>55</v>
      </c>
      <c r="BA588" s="14">
        <f t="shared" si="89"/>
        <v>1.7403626894942439</v>
      </c>
      <c r="BB588" s="37" t="s">
        <v>367</v>
      </c>
      <c r="BC588" s="20">
        <v>4.2442577030811918E-2</v>
      </c>
      <c r="BD588" s="9">
        <v>34.800000000000004</v>
      </c>
      <c r="BE588" s="9" t="s">
        <v>368</v>
      </c>
      <c r="BF588" s="9">
        <v>0</v>
      </c>
    </row>
    <row r="589" spans="1:58">
      <c r="A589" s="9">
        <v>202</v>
      </c>
      <c r="B589" s="10" t="s">
        <v>76</v>
      </c>
      <c r="C589" s="10" t="s">
        <v>389</v>
      </c>
      <c r="D589" s="20" t="s">
        <v>390</v>
      </c>
      <c r="E589" s="20" t="s">
        <v>938</v>
      </c>
      <c r="F589" s="10" t="s">
        <v>389</v>
      </c>
      <c r="G589" s="20" t="s">
        <v>390</v>
      </c>
      <c r="H589" s="20" t="s">
        <v>938</v>
      </c>
      <c r="I589" s="10" t="s">
        <v>389</v>
      </c>
      <c r="J589" s="20" t="s">
        <v>392</v>
      </c>
      <c r="K589" s="20" t="s">
        <v>938</v>
      </c>
      <c r="L589" s="9" t="s">
        <v>352</v>
      </c>
      <c r="M589" s="9">
        <v>10</v>
      </c>
      <c r="N589" s="9" t="s">
        <v>381</v>
      </c>
      <c r="O589" s="9" t="s">
        <v>455</v>
      </c>
      <c r="P589" s="12">
        <v>35.1</v>
      </c>
      <c r="Q589" s="12" t="s">
        <v>355</v>
      </c>
      <c r="R589" s="9" t="s">
        <v>356</v>
      </c>
      <c r="S589" s="13" t="s">
        <v>903</v>
      </c>
      <c r="T589" s="13" t="s">
        <v>903</v>
      </c>
      <c r="U589" s="14">
        <f t="shared" si="81"/>
        <v>1.1760912590556813</v>
      </c>
      <c r="V589" s="15">
        <v>5</v>
      </c>
      <c r="W589" s="12">
        <v>4.4273655000000005</v>
      </c>
      <c r="X589" s="12">
        <v>1</v>
      </c>
      <c r="Y589" s="13" t="s">
        <v>904</v>
      </c>
      <c r="Z589" s="9" t="s">
        <v>359</v>
      </c>
      <c r="AA589" s="10" t="s">
        <v>372</v>
      </c>
      <c r="AB589" s="9" t="s">
        <v>355</v>
      </c>
      <c r="AC589" s="15">
        <v>1524</v>
      </c>
      <c r="AD589" s="14">
        <f t="shared" si="82"/>
        <v>3.1829849670035819</v>
      </c>
      <c r="AE589" s="10" t="s">
        <v>939</v>
      </c>
      <c r="AF589" s="9" t="s">
        <v>362</v>
      </c>
      <c r="AG589" s="18">
        <v>38</v>
      </c>
      <c r="AH589" s="7">
        <f t="shared" si="83"/>
        <v>1</v>
      </c>
      <c r="AI589" s="7">
        <f t="shared" si="84"/>
        <v>1</v>
      </c>
      <c r="AJ589" s="7">
        <f t="shared" si="85"/>
        <v>0</v>
      </c>
      <c r="AK589" s="7">
        <f t="shared" si="86"/>
        <v>0</v>
      </c>
      <c r="AL589" s="7" t="s">
        <v>4157</v>
      </c>
      <c r="AM589" s="18">
        <f t="shared" si="87"/>
        <v>1.5797835966168101</v>
      </c>
      <c r="AN589" s="18">
        <v>38</v>
      </c>
      <c r="AO589" s="18">
        <v>-117.985</v>
      </c>
      <c r="AP589" s="9" t="s">
        <v>363</v>
      </c>
      <c r="AQ589" s="9" t="s">
        <v>355</v>
      </c>
      <c r="AR589" s="15">
        <v>1968</v>
      </c>
      <c r="AS589" s="19" t="s">
        <v>906</v>
      </c>
      <c r="AT589" s="20" t="s">
        <v>907</v>
      </c>
      <c r="AU589" s="40">
        <v>104</v>
      </c>
      <c r="AV589" s="35">
        <f t="shared" si="88"/>
        <v>2.0170333392987803</v>
      </c>
      <c r="AW589" s="37" t="s">
        <v>366</v>
      </c>
      <c r="AX589" s="34" t="s">
        <v>355</v>
      </c>
      <c r="AY589" s="40">
        <v>1520</v>
      </c>
      <c r="AZ589" s="15">
        <v>55</v>
      </c>
      <c r="BA589" s="14">
        <f t="shared" si="89"/>
        <v>1.7403626894942439</v>
      </c>
      <c r="BB589" s="37" t="s">
        <v>367</v>
      </c>
      <c r="BC589" s="20">
        <v>1.389675870348132E-2</v>
      </c>
      <c r="BD589" s="9">
        <v>34.5</v>
      </c>
      <c r="BE589" s="9" t="s">
        <v>459</v>
      </c>
      <c r="BF589" s="9">
        <v>1</v>
      </c>
    </row>
    <row r="590" spans="1:58">
      <c r="A590" s="9">
        <v>203</v>
      </c>
      <c r="B590" s="10" t="s">
        <v>76</v>
      </c>
      <c r="C590" s="10" t="s">
        <v>389</v>
      </c>
      <c r="D590" s="20" t="s">
        <v>390</v>
      </c>
      <c r="E590" s="20" t="s">
        <v>938</v>
      </c>
      <c r="F590" s="10" t="s">
        <v>389</v>
      </c>
      <c r="G590" s="20" t="s">
        <v>390</v>
      </c>
      <c r="H590" s="20" t="s">
        <v>938</v>
      </c>
      <c r="I590" s="10" t="s">
        <v>389</v>
      </c>
      <c r="J590" s="20" t="s">
        <v>392</v>
      </c>
      <c r="K590" s="20" t="s">
        <v>938</v>
      </c>
      <c r="L590" s="9" t="s">
        <v>352</v>
      </c>
      <c r="M590" s="9">
        <v>10</v>
      </c>
      <c r="N590" s="9" t="s">
        <v>381</v>
      </c>
      <c r="O590" s="9" t="s">
        <v>455</v>
      </c>
      <c r="P590" s="12">
        <v>36.200000000000003</v>
      </c>
      <c r="Q590" s="12" t="s">
        <v>355</v>
      </c>
      <c r="R590" s="9" t="s">
        <v>356</v>
      </c>
      <c r="S590" s="13" t="s">
        <v>903</v>
      </c>
      <c r="T590" s="13" t="s">
        <v>903</v>
      </c>
      <c r="U590" s="14">
        <f t="shared" si="81"/>
        <v>1.1760912590556813</v>
      </c>
      <c r="V590" s="15">
        <v>23</v>
      </c>
      <c r="W590" s="12">
        <v>2.7154235</v>
      </c>
      <c r="X590" s="12">
        <v>1</v>
      </c>
      <c r="Y590" s="13" t="s">
        <v>904</v>
      </c>
      <c r="Z590" s="9" t="s">
        <v>359</v>
      </c>
      <c r="AA590" s="10" t="s">
        <v>372</v>
      </c>
      <c r="AB590" s="9" t="s">
        <v>355</v>
      </c>
      <c r="AC590" s="15">
        <v>1524</v>
      </c>
      <c r="AD590" s="14">
        <f t="shared" si="82"/>
        <v>3.1829849670035819</v>
      </c>
      <c r="AE590" s="10" t="s">
        <v>939</v>
      </c>
      <c r="AF590" s="9" t="s">
        <v>362</v>
      </c>
      <c r="AG590" s="18">
        <v>38</v>
      </c>
      <c r="AH590" s="7">
        <f t="shared" si="83"/>
        <v>1</v>
      </c>
      <c r="AI590" s="7">
        <f t="shared" si="84"/>
        <v>1</v>
      </c>
      <c r="AJ590" s="7">
        <f t="shared" si="85"/>
        <v>0</v>
      </c>
      <c r="AK590" s="7">
        <f t="shared" si="86"/>
        <v>0</v>
      </c>
      <c r="AL590" s="7" t="s">
        <v>4157</v>
      </c>
      <c r="AM590" s="18">
        <f t="shared" si="87"/>
        <v>1.5797835966168101</v>
      </c>
      <c r="AN590" s="18">
        <v>38</v>
      </c>
      <c r="AO590" s="18">
        <v>-117.985</v>
      </c>
      <c r="AP590" s="9" t="s">
        <v>363</v>
      </c>
      <c r="AQ590" s="9" t="s">
        <v>355</v>
      </c>
      <c r="AR590" s="15">
        <v>1968</v>
      </c>
      <c r="AS590" s="19" t="s">
        <v>906</v>
      </c>
      <c r="AT590" s="20" t="s">
        <v>907</v>
      </c>
      <c r="AU590" s="40">
        <v>104</v>
      </c>
      <c r="AV590" s="35">
        <f t="shared" si="88"/>
        <v>2.0170333392987803</v>
      </c>
      <c r="AW590" s="37" t="s">
        <v>366</v>
      </c>
      <c r="AX590" s="34" t="s">
        <v>355</v>
      </c>
      <c r="AY590" s="40">
        <v>1520</v>
      </c>
      <c r="AZ590" s="15">
        <v>55</v>
      </c>
      <c r="BA590" s="14">
        <f t="shared" si="89"/>
        <v>1.7403626894942439</v>
      </c>
      <c r="BB590" s="37" t="s">
        <v>367</v>
      </c>
      <c r="BC590" s="20">
        <v>1.389675870348132E-2</v>
      </c>
      <c r="BD590" s="9">
        <v>34.5</v>
      </c>
      <c r="BE590" s="9" t="s">
        <v>459</v>
      </c>
      <c r="BF590" s="9">
        <v>1</v>
      </c>
    </row>
    <row r="591" spans="1:58">
      <c r="A591" s="9">
        <v>204</v>
      </c>
      <c r="B591" s="10" t="s">
        <v>76</v>
      </c>
      <c r="C591" s="10" t="s">
        <v>389</v>
      </c>
      <c r="D591" s="20" t="s">
        <v>390</v>
      </c>
      <c r="E591" s="20" t="s">
        <v>938</v>
      </c>
      <c r="F591" s="10" t="s">
        <v>389</v>
      </c>
      <c r="G591" s="20" t="s">
        <v>390</v>
      </c>
      <c r="H591" s="20" t="s">
        <v>938</v>
      </c>
      <c r="I591" s="10" t="s">
        <v>389</v>
      </c>
      <c r="J591" s="20" t="s">
        <v>392</v>
      </c>
      <c r="K591" s="20" t="s">
        <v>938</v>
      </c>
      <c r="L591" s="9" t="s">
        <v>352</v>
      </c>
      <c r="M591" s="9">
        <v>10</v>
      </c>
      <c r="N591" s="9" t="s">
        <v>381</v>
      </c>
      <c r="O591" s="9" t="s">
        <v>455</v>
      </c>
      <c r="P591" s="12">
        <v>37.1</v>
      </c>
      <c r="Q591" s="12" t="s">
        <v>355</v>
      </c>
      <c r="R591" s="9" t="s">
        <v>356</v>
      </c>
      <c r="S591" s="13" t="s">
        <v>903</v>
      </c>
      <c r="T591" s="13" t="s">
        <v>903</v>
      </c>
      <c r="U591" s="14">
        <f t="shared" si="81"/>
        <v>1.1760912590556813</v>
      </c>
      <c r="V591" s="15">
        <v>30</v>
      </c>
      <c r="W591" s="12">
        <v>2.5218905000000049</v>
      </c>
      <c r="X591" s="12">
        <v>1</v>
      </c>
      <c r="Y591" s="13" t="s">
        <v>904</v>
      </c>
      <c r="Z591" s="9" t="s">
        <v>359</v>
      </c>
      <c r="AA591" s="10" t="s">
        <v>372</v>
      </c>
      <c r="AB591" s="9" t="s">
        <v>355</v>
      </c>
      <c r="AC591" s="15">
        <v>1524</v>
      </c>
      <c r="AD591" s="14">
        <f t="shared" si="82"/>
        <v>3.1829849670035819</v>
      </c>
      <c r="AE591" s="10" t="s">
        <v>939</v>
      </c>
      <c r="AF591" s="9" t="s">
        <v>362</v>
      </c>
      <c r="AG591" s="18">
        <v>38</v>
      </c>
      <c r="AH591" s="7">
        <f t="shared" si="83"/>
        <v>1</v>
      </c>
      <c r="AI591" s="7">
        <f t="shared" si="84"/>
        <v>1</v>
      </c>
      <c r="AJ591" s="7">
        <f t="shared" si="85"/>
        <v>0</v>
      </c>
      <c r="AK591" s="7">
        <f t="shared" si="86"/>
        <v>0</v>
      </c>
      <c r="AL591" s="7" t="s">
        <v>4157</v>
      </c>
      <c r="AM591" s="18">
        <f t="shared" si="87"/>
        <v>1.5797835966168101</v>
      </c>
      <c r="AN591" s="18">
        <v>38</v>
      </c>
      <c r="AO591" s="18">
        <v>-117.985</v>
      </c>
      <c r="AP591" s="9" t="s">
        <v>363</v>
      </c>
      <c r="AQ591" s="9" t="s">
        <v>355</v>
      </c>
      <c r="AR591" s="15">
        <v>1968</v>
      </c>
      <c r="AS591" s="19" t="s">
        <v>906</v>
      </c>
      <c r="AT591" s="20" t="s">
        <v>907</v>
      </c>
      <c r="AU591" s="40">
        <v>104</v>
      </c>
      <c r="AV591" s="35">
        <f t="shared" si="88"/>
        <v>2.0170333392987803</v>
      </c>
      <c r="AW591" s="37" t="s">
        <v>366</v>
      </c>
      <c r="AX591" s="34" t="s">
        <v>355</v>
      </c>
      <c r="AY591" s="40">
        <v>1520</v>
      </c>
      <c r="AZ591" s="15">
        <v>55</v>
      </c>
      <c r="BA591" s="14">
        <f t="shared" si="89"/>
        <v>1.7403626894942439</v>
      </c>
      <c r="BB591" s="37" t="s">
        <v>367</v>
      </c>
      <c r="BC591" s="20">
        <v>1.389675870348132E-2</v>
      </c>
      <c r="BD591" s="9">
        <v>34.5</v>
      </c>
      <c r="BE591" s="9" t="s">
        <v>459</v>
      </c>
      <c r="BF591" s="9">
        <v>1</v>
      </c>
    </row>
    <row r="592" spans="1:58">
      <c r="A592" s="9">
        <v>186</v>
      </c>
      <c r="B592" s="10" t="s">
        <v>76</v>
      </c>
      <c r="C592" s="10" t="s">
        <v>389</v>
      </c>
      <c r="D592" s="20" t="s">
        <v>390</v>
      </c>
      <c r="E592" s="20" t="s">
        <v>391</v>
      </c>
      <c r="F592" s="10" t="s">
        <v>389</v>
      </c>
      <c r="G592" s="20" t="s">
        <v>390</v>
      </c>
      <c r="H592" s="20" t="s">
        <v>391</v>
      </c>
      <c r="I592" s="10" t="s">
        <v>389</v>
      </c>
      <c r="J592" s="20" t="s">
        <v>392</v>
      </c>
      <c r="K592" s="20" t="s">
        <v>391</v>
      </c>
      <c r="L592" s="9" t="s">
        <v>352</v>
      </c>
      <c r="M592" s="9">
        <v>10</v>
      </c>
      <c r="N592" s="9" t="s">
        <v>381</v>
      </c>
      <c r="O592" s="9" t="s">
        <v>455</v>
      </c>
      <c r="P592" s="12">
        <v>33.799999999999997</v>
      </c>
      <c r="Q592" s="12" t="s">
        <v>355</v>
      </c>
      <c r="R592" s="9" t="s">
        <v>356</v>
      </c>
      <c r="S592" s="13" t="s">
        <v>903</v>
      </c>
      <c r="T592" s="13" t="s">
        <v>903</v>
      </c>
      <c r="U592" s="14">
        <f t="shared" si="81"/>
        <v>1.1760912590556813</v>
      </c>
      <c r="V592" s="15">
        <v>5</v>
      </c>
      <c r="W592" s="12">
        <v>10.552638299999998</v>
      </c>
      <c r="X592" s="12">
        <v>1</v>
      </c>
      <c r="Y592" s="13" t="s">
        <v>904</v>
      </c>
      <c r="Z592" s="9" t="s">
        <v>359</v>
      </c>
      <c r="AA592" s="10" t="s">
        <v>372</v>
      </c>
      <c r="AB592" s="9" t="s">
        <v>355</v>
      </c>
      <c r="AC592" s="15">
        <v>305</v>
      </c>
      <c r="AD592" s="14">
        <f t="shared" si="82"/>
        <v>2.4842998393467859</v>
      </c>
      <c r="AE592" s="10" t="s">
        <v>373</v>
      </c>
      <c r="AF592" s="9" t="s">
        <v>362</v>
      </c>
      <c r="AG592" s="18">
        <v>42</v>
      </c>
      <c r="AH592" s="7">
        <f t="shared" si="83"/>
        <v>1</v>
      </c>
      <c r="AI592" s="7">
        <f t="shared" si="84"/>
        <v>1</v>
      </c>
      <c r="AJ592" s="7">
        <f t="shared" si="85"/>
        <v>0</v>
      </c>
      <c r="AK592" s="7">
        <f t="shared" si="86"/>
        <v>0</v>
      </c>
      <c r="AL592" s="7" t="s">
        <v>4157</v>
      </c>
      <c r="AM592" s="18">
        <f t="shared" si="87"/>
        <v>1.6232492903979006</v>
      </c>
      <c r="AN592" s="18">
        <v>42</v>
      </c>
      <c r="AO592" s="18">
        <v>-73.134960000000007</v>
      </c>
      <c r="AP592" s="9" t="s">
        <v>363</v>
      </c>
      <c r="AQ592" s="9" t="s">
        <v>355</v>
      </c>
      <c r="AR592" s="15">
        <v>1968</v>
      </c>
      <c r="AS592" s="19" t="s">
        <v>906</v>
      </c>
      <c r="AT592" s="20" t="s">
        <v>907</v>
      </c>
      <c r="AU592" s="40">
        <v>1991277</v>
      </c>
      <c r="AV592" s="35">
        <f t="shared" si="88"/>
        <v>6.2991316775080026</v>
      </c>
      <c r="AW592" s="37" t="s">
        <v>366</v>
      </c>
      <c r="AX592" s="34" t="s">
        <v>355</v>
      </c>
      <c r="AY592" s="40" t="s">
        <v>355</v>
      </c>
      <c r="AZ592" s="15">
        <v>55</v>
      </c>
      <c r="BA592" s="14">
        <f t="shared" si="89"/>
        <v>1.7403626894942439</v>
      </c>
      <c r="BB592" s="37" t="s">
        <v>367</v>
      </c>
      <c r="BC592" s="20">
        <v>2.6780712284914233E-2</v>
      </c>
      <c r="BD592" s="9">
        <v>25.700000000000003</v>
      </c>
      <c r="BE592" s="9" t="s">
        <v>368</v>
      </c>
      <c r="BF592" s="9">
        <v>0</v>
      </c>
    </row>
    <row r="593" spans="1:58">
      <c r="A593" s="9">
        <v>187</v>
      </c>
      <c r="B593" s="10" t="s">
        <v>76</v>
      </c>
      <c r="C593" s="10" t="s">
        <v>389</v>
      </c>
      <c r="D593" s="20" t="s">
        <v>390</v>
      </c>
      <c r="E593" s="20" t="s">
        <v>391</v>
      </c>
      <c r="F593" s="10" t="s">
        <v>389</v>
      </c>
      <c r="G593" s="20" t="s">
        <v>390</v>
      </c>
      <c r="H593" s="20" t="s">
        <v>391</v>
      </c>
      <c r="I593" s="10" t="s">
        <v>389</v>
      </c>
      <c r="J593" s="20" t="s">
        <v>392</v>
      </c>
      <c r="K593" s="20" t="s">
        <v>391</v>
      </c>
      <c r="L593" s="9" t="s">
        <v>352</v>
      </c>
      <c r="M593" s="9">
        <v>10</v>
      </c>
      <c r="N593" s="9" t="s">
        <v>381</v>
      </c>
      <c r="O593" s="9" t="s">
        <v>455</v>
      </c>
      <c r="P593" s="12">
        <v>36.6</v>
      </c>
      <c r="Q593" s="12" t="s">
        <v>355</v>
      </c>
      <c r="R593" s="9" t="s">
        <v>356</v>
      </c>
      <c r="S593" s="13" t="s">
        <v>903</v>
      </c>
      <c r="T593" s="13" t="s">
        <v>903</v>
      </c>
      <c r="U593" s="14">
        <f t="shared" si="81"/>
        <v>1.1760912590556813</v>
      </c>
      <c r="V593" s="15">
        <v>23</v>
      </c>
      <c r="W593" s="12">
        <v>10.5406963</v>
      </c>
      <c r="X593" s="12">
        <v>1</v>
      </c>
      <c r="Y593" s="13" t="s">
        <v>904</v>
      </c>
      <c r="Z593" s="9" t="s">
        <v>359</v>
      </c>
      <c r="AA593" s="10" t="s">
        <v>372</v>
      </c>
      <c r="AB593" s="9" t="s">
        <v>355</v>
      </c>
      <c r="AC593" s="15">
        <v>305</v>
      </c>
      <c r="AD593" s="14">
        <f t="shared" si="82"/>
        <v>2.4842998393467859</v>
      </c>
      <c r="AE593" s="10" t="s">
        <v>373</v>
      </c>
      <c r="AF593" s="9" t="s">
        <v>362</v>
      </c>
      <c r="AG593" s="18">
        <v>42</v>
      </c>
      <c r="AH593" s="7">
        <f t="shared" si="83"/>
        <v>1</v>
      </c>
      <c r="AI593" s="7">
        <f t="shared" si="84"/>
        <v>1</v>
      </c>
      <c r="AJ593" s="7">
        <f t="shared" si="85"/>
        <v>0</v>
      </c>
      <c r="AK593" s="7">
        <f t="shared" si="86"/>
        <v>0</v>
      </c>
      <c r="AL593" s="7" t="s">
        <v>4157</v>
      </c>
      <c r="AM593" s="18">
        <f t="shared" si="87"/>
        <v>1.6232492903979006</v>
      </c>
      <c r="AN593" s="18">
        <v>42</v>
      </c>
      <c r="AO593" s="18">
        <v>-73.134960000000007</v>
      </c>
      <c r="AP593" s="9" t="s">
        <v>363</v>
      </c>
      <c r="AQ593" s="9" t="s">
        <v>355</v>
      </c>
      <c r="AR593" s="15">
        <v>1968</v>
      </c>
      <c r="AS593" s="19" t="s">
        <v>906</v>
      </c>
      <c r="AT593" s="20" t="s">
        <v>907</v>
      </c>
      <c r="AU593" s="40">
        <v>1991277</v>
      </c>
      <c r="AV593" s="35">
        <f t="shared" si="88"/>
        <v>6.2991316775080026</v>
      </c>
      <c r="AW593" s="37" t="s">
        <v>366</v>
      </c>
      <c r="AX593" s="34" t="s">
        <v>355</v>
      </c>
      <c r="AY593" s="40" t="s">
        <v>355</v>
      </c>
      <c r="AZ593" s="15">
        <v>55</v>
      </c>
      <c r="BA593" s="14">
        <f t="shared" si="89"/>
        <v>1.7403626894942439</v>
      </c>
      <c r="BB593" s="37" t="s">
        <v>367</v>
      </c>
      <c r="BC593" s="20">
        <v>2.6780712284914233E-2</v>
      </c>
      <c r="BD593" s="9">
        <v>25.700000000000003</v>
      </c>
      <c r="BE593" s="9" t="s">
        <v>368</v>
      </c>
      <c r="BF593" s="9">
        <v>0</v>
      </c>
    </row>
    <row r="594" spans="1:58">
      <c r="A594" s="9">
        <v>1029</v>
      </c>
      <c r="B594" s="20" t="s">
        <v>76</v>
      </c>
      <c r="C594" s="20" t="s">
        <v>389</v>
      </c>
      <c r="D594" s="20" t="s">
        <v>390</v>
      </c>
      <c r="E594" s="20" t="s">
        <v>391</v>
      </c>
      <c r="F594" s="20" t="s">
        <v>389</v>
      </c>
      <c r="G594" s="20" t="s">
        <v>390</v>
      </c>
      <c r="H594" s="20" t="s">
        <v>391</v>
      </c>
      <c r="I594" s="20" t="s">
        <v>389</v>
      </c>
      <c r="J594" s="20" t="s">
        <v>392</v>
      </c>
      <c r="K594" s="20" t="s">
        <v>391</v>
      </c>
      <c r="L594" s="9" t="s">
        <v>352</v>
      </c>
      <c r="M594" s="9">
        <v>3</v>
      </c>
      <c r="N594" s="9" t="s">
        <v>353</v>
      </c>
      <c r="O594" s="9" t="s">
        <v>354</v>
      </c>
      <c r="P594" s="12">
        <v>33.781759999999998</v>
      </c>
      <c r="Q594" s="9" t="s">
        <v>355</v>
      </c>
      <c r="R594" s="9" t="s">
        <v>356</v>
      </c>
      <c r="S594" s="9">
        <v>14</v>
      </c>
      <c r="T594" s="9">
        <v>14</v>
      </c>
      <c r="U594" s="14">
        <f t="shared" si="81"/>
        <v>1.1760912590556813</v>
      </c>
      <c r="V594" s="15">
        <v>5</v>
      </c>
      <c r="W594" s="12">
        <v>10.534398299999992</v>
      </c>
      <c r="X594" s="9" t="s">
        <v>355</v>
      </c>
      <c r="Y594" s="13" t="s">
        <v>401</v>
      </c>
      <c r="Z594" s="9" t="s">
        <v>359</v>
      </c>
      <c r="AA594" s="10" t="s">
        <v>372</v>
      </c>
      <c r="AB594" s="9" t="s">
        <v>355</v>
      </c>
      <c r="AC594" s="15">
        <v>422</v>
      </c>
      <c r="AD594" s="14">
        <f t="shared" si="82"/>
        <v>2.6253124509616739</v>
      </c>
      <c r="AE594" s="10" t="s">
        <v>373</v>
      </c>
      <c r="AF594" s="9" t="s">
        <v>362</v>
      </c>
      <c r="AG594" s="18">
        <v>42</v>
      </c>
      <c r="AH594" s="7">
        <f t="shared" si="83"/>
        <v>1</v>
      </c>
      <c r="AI594" s="7">
        <f t="shared" si="84"/>
        <v>1</v>
      </c>
      <c r="AJ594" s="7">
        <f t="shared" si="85"/>
        <v>0</v>
      </c>
      <c r="AK594" s="7">
        <f t="shared" si="86"/>
        <v>0</v>
      </c>
      <c r="AL594" s="7" t="s">
        <v>4157</v>
      </c>
      <c r="AM594" s="18">
        <f t="shared" si="87"/>
        <v>1.6232492903979006</v>
      </c>
      <c r="AN594" s="18">
        <v>42</v>
      </c>
      <c r="AO594" s="18">
        <v>-73.134960000000007</v>
      </c>
      <c r="AP594" s="9" t="s">
        <v>363</v>
      </c>
      <c r="AQ594" s="9" t="s">
        <v>355</v>
      </c>
      <c r="AR594" s="9">
        <v>1962</v>
      </c>
      <c r="AS594" s="10" t="s">
        <v>374</v>
      </c>
      <c r="AT594" s="20" t="s">
        <v>375</v>
      </c>
      <c r="AU594" s="39">
        <v>1991277</v>
      </c>
      <c r="AV594" s="35">
        <f t="shared" si="88"/>
        <v>6.2991316775080026</v>
      </c>
      <c r="AW594" s="37" t="s">
        <v>366</v>
      </c>
      <c r="AX594" s="34" t="s">
        <v>355</v>
      </c>
      <c r="AY594" s="40" t="s">
        <v>355</v>
      </c>
      <c r="AZ594" s="15">
        <v>55</v>
      </c>
      <c r="BA594" s="14">
        <f t="shared" si="89"/>
        <v>1.7403626894942439</v>
      </c>
      <c r="BB594" s="37" t="s">
        <v>367</v>
      </c>
      <c r="BC594" s="20">
        <v>2.6780712284914233E-2</v>
      </c>
      <c r="BD594" s="9">
        <v>25.700000000000003</v>
      </c>
      <c r="BE594" s="9" t="s">
        <v>368</v>
      </c>
      <c r="BF594" s="9">
        <v>0</v>
      </c>
    </row>
    <row r="595" spans="1:58">
      <c r="A595" s="9">
        <v>205</v>
      </c>
      <c r="B595" s="10" t="s">
        <v>76</v>
      </c>
      <c r="C595" s="10" t="s">
        <v>389</v>
      </c>
      <c r="D595" s="20" t="s">
        <v>390</v>
      </c>
      <c r="E595" s="20" t="s">
        <v>940</v>
      </c>
      <c r="F595" s="10" t="s">
        <v>389</v>
      </c>
      <c r="G595" s="20" t="s">
        <v>390</v>
      </c>
      <c r="H595" s="20" t="s">
        <v>940</v>
      </c>
      <c r="I595" s="10" t="s">
        <v>389</v>
      </c>
      <c r="J595" s="20" t="s">
        <v>392</v>
      </c>
      <c r="K595" s="20" t="s">
        <v>940</v>
      </c>
      <c r="L595" s="9" t="s">
        <v>352</v>
      </c>
      <c r="M595" s="9">
        <v>10</v>
      </c>
      <c r="N595" s="9" t="s">
        <v>381</v>
      </c>
      <c r="O595" s="9" t="s">
        <v>455</v>
      </c>
      <c r="P595" s="12">
        <v>35.299999999999997</v>
      </c>
      <c r="Q595" s="12" t="s">
        <v>355</v>
      </c>
      <c r="R595" s="9" t="s">
        <v>356</v>
      </c>
      <c r="S595" s="13" t="s">
        <v>903</v>
      </c>
      <c r="T595" s="13" t="s">
        <v>903</v>
      </c>
      <c r="U595" s="14">
        <f t="shared" si="81"/>
        <v>1.1760912590556813</v>
      </c>
      <c r="V595" s="15">
        <v>5</v>
      </c>
      <c r="W595" s="12">
        <v>2.0116443999999944</v>
      </c>
      <c r="X595" s="12">
        <v>1</v>
      </c>
      <c r="Y595" s="13" t="s">
        <v>904</v>
      </c>
      <c r="Z595" s="9" t="s">
        <v>359</v>
      </c>
      <c r="AA595" s="10" t="s">
        <v>372</v>
      </c>
      <c r="AB595" s="9" t="s">
        <v>355</v>
      </c>
      <c r="AC595" s="15">
        <v>1524</v>
      </c>
      <c r="AD595" s="14">
        <f t="shared" si="82"/>
        <v>3.1829849670035819</v>
      </c>
      <c r="AE595" s="10" t="s">
        <v>941</v>
      </c>
      <c r="AF595" s="9" t="s">
        <v>420</v>
      </c>
      <c r="AG595" s="18">
        <v>36.908557000000002</v>
      </c>
      <c r="AH595" s="7">
        <f t="shared" si="83"/>
        <v>1</v>
      </c>
      <c r="AI595" s="7">
        <f t="shared" si="84"/>
        <v>1</v>
      </c>
      <c r="AJ595" s="7">
        <f t="shared" si="85"/>
        <v>0</v>
      </c>
      <c r="AK595" s="7">
        <f t="shared" si="86"/>
        <v>0</v>
      </c>
      <c r="AL595" s="7" t="s">
        <v>4157</v>
      </c>
      <c r="AM595" s="18">
        <f t="shared" si="87"/>
        <v>1.5671270660792145</v>
      </c>
      <c r="AN595" s="18">
        <v>36.908557000000002</v>
      </c>
      <c r="AO595" s="18">
        <v>-116.759227</v>
      </c>
      <c r="AP595" s="9" t="s">
        <v>363</v>
      </c>
      <c r="AQ595" s="9" t="s">
        <v>355</v>
      </c>
      <c r="AR595" s="15">
        <v>1968</v>
      </c>
      <c r="AS595" s="19" t="s">
        <v>906</v>
      </c>
      <c r="AT595" s="20" t="s">
        <v>907</v>
      </c>
      <c r="AU595" s="40">
        <v>2659</v>
      </c>
      <c r="AV595" s="35">
        <f t="shared" si="88"/>
        <v>3.4247183373315671</v>
      </c>
      <c r="AW595" s="37" t="s">
        <v>366</v>
      </c>
      <c r="AX595" s="34" t="s">
        <v>355</v>
      </c>
      <c r="AY595" s="40" t="s">
        <v>355</v>
      </c>
      <c r="AZ595" s="15">
        <v>58</v>
      </c>
      <c r="BA595" s="14">
        <f t="shared" si="89"/>
        <v>1.7634279935629373</v>
      </c>
      <c r="BB595" s="37" t="s">
        <v>367</v>
      </c>
      <c r="BC595" s="20">
        <v>2.5156862745098089E-2</v>
      </c>
      <c r="BD595" s="9">
        <v>37.6</v>
      </c>
      <c r="BE595" s="9" t="s">
        <v>459</v>
      </c>
      <c r="BF595" s="9">
        <v>1</v>
      </c>
    </row>
    <row r="596" spans="1:58">
      <c r="A596" s="9">
        <v>206</v>
      </c>
      <c r="B596" s="10" t="s">
        <v>76</v>
      </c>
      <c r="C596" s="10" t="s">
        <v>389</v>
      </c>
      <c r="D596" s="20" t="s">
        <v>390</v>
      </c>
      <c r="E596" s="20" t="s">
        <v>940</v>
      </c>
      <c r="F596" s="10" t="s">
        <v>389</v>
      </c>
      <c r="G596" s="20" t="s">
        <v>390</v>
      </c>
      <c r="H596" s="20" t="s">
        <v>940</v>
      </c>
      <c r="I596" s="10" t="s">
        <v>389</v>
      </c>
      <c r="J596" s="20" t="s">
        <v>392</v>
      </c>
      <c r="K596" s="20" t="s">
        <v>940</v>
      </c>
      <c r="L596" s="9" t="s">
        <v>352</v>
      </c>
      <c r="M596" s="9">
        <v>10</v>
      </c>
      <c r="N596" s="9" t="s">
        <v>381</v>
      </c>
      <c r="O596" s="9" t="s">
        <v>455</v>
      </c>
      <c r="P596" s="12">
        <v>36.200000000000003</v>
      </c>
      <c r="Q596" s="12" t="s">
        <v>355</v>
      </c>
      <c r="R596" s="9" t="s">
        <v>356</v>
      </c>
      <c r="S596" s="13" t="s">
        <v>903</v>
      </c>
      <c r="T596" s="13" t="s">
        <v>903</v>
      </c>
      <c r="U596" s="14">
        <f t="shared" si="81"/>
        <v>1.1760912590556813</v>
      </c>
      <c r="V596" s="15">
        <v>30</v>
      </c>
      <c r="W596" s="12">
        <v>-0.99383059999999546</v>
      </c>
      <c r="X596" s="12">
        <v>1</v>
      </c>
      <c r="Y596" s="13" t="s">
        <v>904</v>
      </c>
      <c r="Z596" s="9" t="s">
        <v>359</v>
      </c>
      <c r="AA596" s="10" t="s">
        <v>372</v>
      </c>
      <c r="AB596" s="9" t="s">
        <v>355</v>
      </c>
      <c r="AC596" s="15">
        <v>1524</v>
      </c>
      <c r="AD596" s="14">
        <f t="shared" si="82"/>
        <v>3.1829849670035819</v>
      </c>
      <c r="AE596" s="10" t="s">
        <v>941</v>
      </c>
      <c r="AF596" s="9" t="s">
        <v>420</v>
      </c>
      <c r="AG596" s="18">
        <v>36.908557000000002</v>
      </c>
      <c r="AH596" s="7">
        <f t="shared" si="83"/>
        <v>1</v>
      </c>
      <c r="AI596" s="7">
        <f t="shared" si="84"/>
        <v>1</v>
      </c>
      <c r="AJ596" s="7">
        <f t="shared" si="85"/>
        <v>0</v>
      </c>
      <c r="AK596" s="7">
        <f t="shared" si="86"/>
        <v>0</v>
      </c>
      <c r="AL596" s="7" t="s">
        <v>4157</v>
      </c>
      <c r="AM596" s="18">
        <f t="shared" si="87"/>
        <v>1.5671270660792145</v>
      </c>
      <c r="AN596" s="18">
        <v>36.908557000000002</v>
      </c>
      <c r="AO596" s="18">
        <v>-116.759227</v>
      </c>
      <c r="AP596" s="9" t="s">
        <v>363</v>
      </c>
      <c r="AQ596" s="9" t="s">
        <v>355</v>
      </c>
      <c r="AR596" s="15">
        <v>1968</v>
      </c>
      <c r="AS596" s="19" t="s">
        <v>906</v>
      </c>
      <c r="AT596" s="20" t="s">
        <v>907</v>
      </c>
      <c r="AU596" s="40">
        <v>2659</v>
      </c>
      <c r="AV596" s="35">
        <f t="shared" si="88"/>
        <v>3.4247183373315671</v>
      </c>
      <c r="AW596" s="37" t="s">
        <v>366</v>
      </c>
      <c r="AX596" s="34" t="s">
        <v>355</v>
      </c>
      <c r="AY596" s="40" t="s">
        <v>355</v>
      </c>
      <c r="AZ596" s="15">
        <v>58</v>
      </c>
      <c r="BA596" s="14">
        <f t="shared" si="89"/>
        <v>1.7634279935629373</v>
      </c>
      <c r="BB596" s="37" t="s">
        <v>367</v>
      </c>
      <c r="BC596" s="20">
        <v>2.5156862745098089E-2</v>
      </c>
      <c r="BD596" s="9">
        <v>37.6</v>
      </c>
      <c r="BE596" s="9" t="s">
        <v>459</v>
      </c>
      <c r="BF596" s="9">
        <v>1</v>
      </c>
    </row>
    <row r="597" spans="1:58">
      <c r="A597" s="9">
        <v>185</v>
      </c>
      <c r="B597" s="10" t="s">
        <v>348</v>
      </c>
      <c r="C597" s="10" t="s">
        <v>349</v>
      </c>
      <c r="D597" s="20" t="s">
        <v>707</v>
      </c>
      <c r="E597" s="20" t="s">
        <v>942</v>
      </c>
      <c r="F597" s="10" t="s">
        <v>349</v>
      </c>
      <c r="G597" s="20" t="s">
        <v>707</v>
      </c>
      <c r="H597" s="20" t="s">
        <v>942</v>
      </c>
      <c r="I597" s="10" t="s">
        <v>349</v>
      </c>
      <c r="J597" s="20" t="s">
        <v>707</v>
      </c>
      <c r="K597" s="20" t="s">
        <v>942</v>
      </c>
      <c r="L597" s="9" t="s">
        <v>352</v>
      </c>
      <c r="M597" s="9">
        <v>9</v>
      </c>
      <c r="N597" s="9" t="s">
        <v>353</v>
      </c>
      <c r="O597" s="9" t="s">
        <v>354</v>
      </c>
      <c r="P597" s="12">
        <v>34.33</v>
      </c>
      <c r="Q597" s="12" t="s">
        <v>355</v>
      </c>
      <c r="R597" s="9" t="s">
        <v>356</v>
      </c>
      <c r="S597" s="13">
        <v>14</v>
      </c>
      <c r="T597" s="13">
        <v>14</v>
      </c>
      <c r="U597" s="14">
        <f t="shared" si="81"/>
        <v>1.1760912590556813</v>
      </c>
      <c r="V597" s="15">
        <v>18</v>
      </c>
      <c r="W597" s="12">
        <v>7.1110949999999988</v>
      </c>
      <c r="X597" s="12" t="s">
        <v>355</v>
      </c>
      <c r="Y597" s="13" t="s">
        <v>355</v>
      </c>
      <c r="Z597" s="9" t="s">
        <v>417</v>
      </c>
      <c r="AA597" s="10" t="s">
        <v>418</v>
      </c>
      <c r="AB597" s="9" t="s">
        <v>355</v>
      </c>
      <c r="AC597" s="15">
        <v>701</v>
      </c>
      <c r="AD597" s="14">
        <f t="shared" si="82"/>
        <v>2.8457180179666586</v>
      </c>
      <c r="AE597" s="10" t="s">
        <v>943</v>
      </c>
      <c r="AF597" s="9" t="s">
        <v>420</v>
      </c>
      <c r="AG597" s="18">
        <v>37.432664000000003</v>
      </c>
      <c r="AH597" s="7">
        <f t="shared" si="83"/>
        <v>1</v>
      </c>
      <c r="AI597" s="7">
        <f t="shared" si="84"/>
        <v>1</v>
      </c>
      <c r="AJ597" s="7">
        <f t="shared" si="85"/>
        <v>0</v>
      </c>
      <c r="AK597" s="7">
        <f t="shared" si="86"/>
        <v>0</v>
      </c>
      <c r="AL597" s="7" t="s">
        <v>4157</v>
      </c>
      <c r="AM597" s="18">
        <f t="shared" si="87"/>
        <v>1.5732507359931196</v>
      </c>
      <c r="AN597" s="18">
        <v>37.432664000000003</v>
      </c>
      <c r="AO597" s="18">
        <v>-80.319950000000006</v>
      </c>
      <c r="AP597" s="9" t="s">
        <v>363</v>
      </c>
      <c r="AQ597" s="9" t="s">
        <v>355</v>
      </c>
      <c r="AR597" s="15">
        <v>1958</v>
      </c>
      <c r="AS597" s="19" t="s">
        <v>944</v>
      </c>
      <c r="AT597" s="20" t="s">
        <v>945</v>
      </c>
      <c r="AU597" s="34">
        <v>174711</v>
      </c>
      <c r="AV597" s="35">
        <f t="shared" si="88"/>
        <v>5.242320249510164</v>
      </c>
      <c r="AW597" s="36" t="s">
        <v>366</v>
      </c>
      <c r="AX597" s="34">
        <v>140</v>
      </c>
      <c r="AY597" s="34">
        <v>1350</v>
      </c>
      <c r="AZ597" s="15">
        <v>78</v>
      </c>
      <c r="BA597" s="14">
        <f t="shared" si="89"/>
        <v>1.8920946026904804</v>
      </c>
      <c r="BB597" s="36" t="s">
        <v>367</v>
      </c>
      <c r="BC597" s="20">
        <v>1.2297318927571417E-2</v>
      </c>
      <c r="BD597" s="9">
        <v>28</v>
      </c>
      <c r="BE597" s="9" t="s">
        <v>459</v>
      </c>
      <c r="BF597" s="9">
        <v>1</v>
      </c>
    </row>
    <row r="598" spans="1:58">
      <c r="A598" s="9">
        <v>307</v>
      </c>
      <c r="B598" s="10" t="s">
        <v>76</v>
      </c>
      <c r="C598" s="10" t="s">
        <v>721</v>
      </c>
      <c r="D598" s="10" t="s">
        <v>722</v>
      </c>
      <c r="E598" s="10" t="s">
        <v>946</v>
      </c>
      <c r="F598" s="10" t="s">
        <v>721</v>
      </c>
      <c r="G598" s="20" t="s">
        <v>947</v>
      </c>
      <c r="H598" s="10" t="s">
        <v>946</v>
      </c>
      <c r="I598" s="10" t="s">
        <v>721</v>
      </c>
      <c r="J598" s="20" t="s">
        <v>947</v>
      </c>
      <c r="K598" s="10" t="s">
        <v>946</v>
      </c>
      <c r="L598" s="9" t="s">
        <v>352</v>
      </c>
      <c r="M598" s="9">
        <v>1</v>
      </c>
      <c r="N598" s="9" t="s">
        <v>353</v>
      </c>
      <c r="O598" s="9" t="s">
        <v>354</v>
      </c>
      <c r="P598" s="12">
        <v>31</v>
      </c>
      <c r="Q598" s="12" t="s">
        <v>355</v>
      </c>
      <c r="R598" s="9" t="s">
        <v>356</v>
      </c>
      <c r="S598" s="13">
        <v>14</v>
      </c>
      <c r="T598" s="13">
        <v>14</v>
      </c>
      <c r="U598" s="14">
        <f t="shared" si="81"/>
        <v>1.1760912590556813</v>
      </c>
      <c r="V598" s="15">
        <v>10</v>
      </c>
      <c r="W598" s="12">
        <v>4.0183097999999973</v>
      </c>
      <c r="X598" s="12">
        <v>1</v>
      </c>
      <c r="Y598" s="13" t="s">
        <v>384</v>
      </c>
      <c r="Z598" s="9" t="s">
        <v>359</v>
      </c>
      <c r="AA598" s="10" t="s">
        <v>372</v>
      </c>
      <c r="AB598" s="9" t="s">
        <v>417</v>
      </c>
      <c r="AC598" s="15">
        <v>761.96281621456865</v>
      </c>
      <c r="AD598" s="14">
        <f t="shared" si="82"/>
        <v>2.88193377828599</v>
      </c>
      <c r="AE598" s="10" t="s">
        <v>948</v>
      </c>
      <c r="AF598" s="9" t="s">
        <v>420</v>
      </c>
      <c r="AG598" s="18">
        <v>28.241961</v>
      </c>
      <c r="AH598" s="7">
        <f t="shared" si="83"/>
        <v>1</v>
      </c>
      <c r="AI598" s="7">
        <f t="shared" si="84"/>
        <v>0</v>
      </c>
      <c r="AJ598" s="7">
        <f t="shared" si="85"/>
        <v>0</v>
      </c>
      <c r="AK598" s="7">
        <f t="shared" si="86"/>
        <v>0</v>
      </c>
      <c r="AL598" s="7" t="s">
        <v>4159</v>
      </c>
      <c r="AM598" s="18">
        <f t="shared" si="87"/>
        <v>1.4508948489630107</v>
      </c>
      <c r="AN598" s="18">
        <v>-28.241961</v>
      </c>
      <c r="AO598" s="18">
        <v>152.99668199999999</v>
      </c>
      <c r="AP598" s="9" t="s">
        <v>363</v>
      </c>
      <c r="AQ598" s="9" t="s">
        <v>355</v>
      </c>
      <c r="AR598" s="15">
        <v>1970</v>
      </c>
      <c r="AS598" s="19" t="s">
        <v>898</v>
      </c>
      <c r="AT598" s="10" t="s">
        <v>899</v>
      </c>
      <c r="AU598" s="40">
        <v>36032</v>
      </c>
      <c r="AV598" s="35">
        <f t="shared" si="88"/>
        <v>4.5566883688352338</v>
      </c>
      <c r="AW598" s="37" t="s">
        <v>366</v>
      </c>
      <c r="AX598" s="34" t="s">
        <v>355</v>
      </c>
      <c r="AY598" s="40" t="s">
        <v>355</v>
      </c>
      <c r="AZ598" s="15">
        <v>33</v>
      </c>
      <c r="BA598" s="14">
        <f t="shared" si="89"/>
        <v>1.5185139398778875</v>
      </c>
      <c r="BB598" s="37" t="s">
        <v>367</v>
      </c>
      <c r="BC598" s="20">
        <v>1.3794317727090836E-2</v>
      </c>
      <c r="BD598" s="9">
        <v>29.200000000000003</v>
      </c>
      <c r="BE598" s="9" t="s">
        <v>368</v>
      </c>
      <c r="BF598" s="9">
        <v>0</v>
      </c>
    </row>
    <row r="599" spans="1:58">
      <c r="A599" s="9">
        <v>408</v>
      </c>
      <c r="B599" s="10" t="s">
        <v>76</v>
      </c>
      <c r="C599" s="10" t="s">
        <v>474</v>
      </c>
      <c r="D599" s="10" t="s">
        <v>949</v>
      </c>
      <c r="E599" s="10" t="s">
        <v>950</v>
      </c>
      <c r="F599" s="10" t="s">
        <v>474</v>
      </c>
      <c r="G599" s="10" t="s">
        <v>949</v>
      </c>
      <c r="H599" s="10" t="s">
        <v>950</v>
      </c>
      <c r="I599" s="10" t="s">
        <v>474</v>
      </c>
      <c r="J599" s="10" t="s">
        <v>951</v>
      </c>
      <c r="K599" s="10" t="s">
        <v>950</v>
      </c>
      <c r="L599" s="9" t="s">
        <v>352</v>
      </c>
      <c r="M599" s="9">
        <v>21</v>
      </c>
      <c r="N599" s="9" t="s">
        <v>381</v>
      </c>
      <c r="O599" s="9" t="s">
        <v>354</v>
      </c>
      <c r="P599" s="12">
        <v>31.1</v>
      </c>
      <c r="Q599" s="12">
        <v>32.4</v>
      </c>
      <c r="R599" s="9" t="s">
        <v>356</v>
      </c>
      <c r="S599" s="13">
        <v>14</v>
      </c>
      <c r="T599" s="13">
        <v>14</v>
      </c>
      <c r="U599" s="14">
        <f t="shared" si="81"/>
        <v>1.1760912590556813</v>
      </c>
      <c r="V599" s="15">
        <v>10</v>
      </c>
      <c r="W599" s="12">
        <v>2.6838821000000017</v>
      </c>
      <c r="X599" s="12">
        <v>1</v>
      </c>
      <c r="Y599" s="13" t="s">
        <v>384</v>
      </c>
      <c r="Z599" s="9" t="s">
        <v>359</v>
      </c>
      <c r="AA599" s="10" t="s">
        <v>372</v>
      </c>
      <c r="AB599" s="9" t="s">
        <v>417</v>
      </c>
      <c r="AC599" s="15">
        <v>304.7851264858275</v>
      </c>
      <c r="AD599" s="14">
        <f t="shared" si="82"/>
        <v>2.4839937696139525</v>
      </c>
      <c r="AE599" s="10" t="s">
        <v>952</v>
      </c>
      <c r="AF599" s="9" t="s">
        <v>408</v>
      </c>
      <c r="AG599" s="18">
        <v>17.806671999999999</v>
      </c>
      <c r="AH599" s="7">
        <f t="shared" si="83"/>
        <v>1</v>
      </c>
      <c r="AI599" s="7">
        <f t="shared" si="84"/>
        <v>0</v>
      </c>
      <c r="AJ599" s="7">
        <f t="shared" si="85"/>
        <v>0</v>
      </c>
      <c r="AK599" s="7">
        <f t="shared" si="86"/>
        <v>0</v>
      </c>
      <c r="AL599" s="7" t="s">
        <v>4159</v>
      </c>
      <c r="AM599" s="18">
        <f t="shared" si="87"/>
        <v>1.2505827590426415</v>
      </c>
      <c r="AN599" s="18">
        <v>-17.806671999999999</v>
      </c>
      <c r="AO599" s="18">
        <v>146.00709800000001</v>
      </c>
      <c r="AP599" s="9" t="s">
        <v>363</v>
      </c>
      <c r="AQ599" s="9" t="s">
        <v>355</v>
      </c>
      <c r="AR599" s="15">
        <v>1970</v>
      </c>
      <c r="AS599" s="19" t="s">
        <v>898</v>
      </c>
      <c r="AT599" s="10" t="s">
        <v>899</v>
      </c>
      <c r="AU599" s="40">
        <v>14771</v>
      </c>
      <c r="AV599" s="35">
        <f t="shared" si="88"/>
        <v>4.1694098981407004</v>
      </c>
      <c r="AW599" s="37" t="s">
        <v>366</v>
      </c>
      <c r="AX599" s="34" t="s">
        <v>355</v>
      </c>
      <c r="AY599" s="40">
        <v>1500</v>
      </c>
      <c r="AZ599" s="15">
        <v>33</v>
      </c>
      <c r="BA599" s="14">
        <f t="shared" si="89"/>
        <v>1.5185139398778875</v>
      </c>
      <c r="BB599" s="37" t="s">
        <v>367</v>
      </c>
      <c r="BC599" s="20">
        <v>1.6367747098839647E-2</v>
      </c>
      <c r="BD599" s="9">
        <v>30.900000000000002</v>
      </c>
      <c r="BE599" s="9" t="s">
        <v>368</v>
      </c>
      <c r="BF599" s="9">
        <v>0</v>
      </c>
    </row>
    <row r="600" spans="1:58">
      <c r="A600" s="9">
        <v>409</v>
      </c>
      <c r="B600" s="10" t="s">
        <v>76</v>
      </c>
      <c r="C600" s="10" t="s">
        <v>474</v>
      </c>
      <c r="D600" s="10" t="s">
        <v>949</v>
      </c>
      <c r="E600" s="10" t="s">
        <v>950</v>
      </c>
      <c r="F600" s="10" t="s">
        <v>474</v>
      </c>
      <c r="G600" s="10" t="s">
        <v>949</v>
      </c>
      <c r="H600" s="10" t="s">
        <v>950</v>
      </c>
      <c r="I600" s="10" t="s">
        <v>474</v>
      </c>
      <c r="J600" s="10" t="s">
        <v>951</v>
      </c>
      <c r="K600" s="10" t="s">
        <v>950</v>
      </c>
      <c r="L600" s="9" t="s">
        <v>352</v>
      </c>
      <c r="M600" s="9">
        <v>21</v>
      </c>
      <c r="N600" s="9" t="s">
        <v>381</v>
      </c>
      <c r="O600" s="9" t="s">
        <v>354</v>
      </c>
      <c r="P600" s="12">
        <v>33.299999999999997</v>
      </c>
      <c r="Q600" s="12">
        <v>35.200000000000003</v>
      </c>
      <c r="R600" s="9" t="s">
        <v>356</v>
      </c>
      <c r="S600" s="13">
        <v>14</v>
      </c>
      <c r="T600" s="13">
        <v>14</v>
      </c>
      <c r="U600" s="14">
        <f t="shared" si="81"/>
        <v>1.1760912590556813</v>
      </c>
      <c r="V600" s="15">
        <v>30</v>
      </c>
      <c r="W600" s="12">
        <v>1.7595020999999953</v>
      </c>
      <c r="X600" s="12">
        <v>1</v>
      </c>
      <c r="Y600" s="13" t="s">
        <v>384</v>
      </c>
      <c r="Z600" s="9" t="s">
        <v>359</v>
      </c>
      <c r="AA600" s="10" t="s">
        <v>372</v>
      </c>
      <c r="AB600" s="9" t="s">
        <v>417</v>
      </c>
      <c r="AC600" s="15">
        <v>304.7851264858275</v>
      </c>
      <c r="AD600" s="14">
        <f t="shared" si="82"/>
        <v>2.4839937696139525</v>
      </c>
      <c r="AE600" s="10" t="s">
        <v>952</v>
      </c>
      <c r="AF600" s="9" t="s">
        <v>408</v>
      </c>
      <c r="AG600" s="18">
        <v>17.806671999999999</v>
      </c>
      <c r="AH600" s="7">
        <f t="shared" si="83"/>
        <v>1</v>
      </c>
      <c r="AI600" s="7">
        <f t="shared" si="84"/>
        <v>0</v>
      </c>
      <c r="AJ600" s="7">
        <f t="shared" si="85"/>
        <v>0</v>
      </c>
      <c r="AK600" s="7">
        <f t="shared" si="86"/>
        <v>0</v>
      </c>
      <c r="AL600" s="7" t="s">
        <v>4159</v>
      </c>
      <c r="AM600" s="18">
        <f t="shared" si="87"/>
        <v>1.2505827590426415</v>
      </c>
      <c r="AN600" s="18">
        <v>-17.806671999999999</v>
      </c>
      <c r="AO600" s="18">
        <v>146.00709800000001</v>
      </c>
      <c r="AP600" s="9" t="s">
        <v>363</v>
      </c>
      <c r="AQ600" s="9" t="s">
        <v>355</v>
      </c>
      <c r="AR600" s="15">
        <v>1970</v>
      </c>
      <c r="AS600" s="19" t="s">
        <v>898</v>
      </c>
      <c r="AT600" s="10" t="s">
        <v>899</v>
      </c>
      <c r="AU600" s="40">
        <v>14771</v>
      </c>
      <c r="AV600" s="35">
        <f t="shared" si="88"/>
        <v>4.1694098981407004</v>
      </c>
      <c r="AW600" s="37" t="s">
        <v>366</v>
      </c>
      <c r="AX600" s="34" t="s">
        <v>355</v>
      </c>
      <c r="AY600" s="40">
        <v>1500</v>
      </c>
      <c r="AZ600" s="15">
        <v>33</v>
      </c>
      <c r="BA600" s="14">
        <f t="shared" si="89"/>
        <v>1.5185139398778875</v>
      </c>
      <c r="BB600" s="37" t="s">
        <v>367</v>
      </c>
      <c r="BC600" s="20">
        <v>1.6367747098839647E-2</v>
      </c>
      <c r="BD600" s="9">
        <v>30.900000000000002</v>
      </c>
      <c r="BE600" s="9" t="s">
        <v>368</v>
      </c>
      <c r="BF600" s="9">
        <v>0</v>
      </c>
    </row>
    <row r="601" spans="1:58">
      <c r="A601" s="9">
        <v>306</v>
      </c>
      <c r="B601" s="10" t="s">
        <v>76</v>
      </c>
      <c r="C601" s="10" t="s">
        <v>721</v>
      </c>
      <c r="D601" s="10" t="s">
        <v>722</v>
      </c>
      <c r="E601" s="10" t="s">
        <v>953</v>
      </c>
      <c r="F601" s="10" t="s">
        <v>721</v>
      </c>
      <c r="G601" s="10" t="s">
        <v>722</v>
      </c>
      <c r="H601" s="10" t="s">
        <v>953</v>
      </c>
      <c r="I601" s="10" t="s">
        <v>721</v>
      </c>
      <c r="J601" s="10" t="s">
        <v>722</v>
      </c>
      <c r="K601" s="10" t="s">
        <v>954</v>
      </c>
      <c r="L601" s="9" t="s">
        <v>352</v>
      </c>
      <c r="M601" s="9">
        <v>2</v>
      </c>
      <c r="N601" s="9" t="s">
        <v>353</v>
      </c>
      <c r="O601" s="9" t="s">
        <v>354</v>
      </c>
      <c r="P601" s="12">
        <v>30.5</v>
      </c>
      <c r="Q601" s="12">
        <v>34.6</v>
      </c>
      <c r="R601" s="9" t="s">
        <v>356</v>
      </c>
      <c r="S601" s="13">
        <v>14</v>
      </c>
      <c r="T601" s="13">
        <v>14</v>
      </c>
      <c r="U601" s="14">
        <f t="shared" si="81"/>
        <v>1.1760912590556813</v>
      </c>
      <c r="V601" s="15">
        <v>5</v>
      </c>
      <c r="W601" s="12">
        <v>0.58676839999999686</v>
      </c>
      <c r="X601" s="12">
        <v>1</v>
      </c>
      <c r="Y601" s="13" t="s">
        <v>384</v>
      </c>
      <c r="Z601" s="9" t="s">
        <v>359</v>
      </c>
      <c r="AA601" s="10" t="s">
        <v>372</v>
      </c>
      <c r="AB601" s="9" t="s">
        <v>417</v>
      </c>
      <c r="AC601" s="15">
        <v>304.7851264858275</v>
      </c>
      <c r="AD601" s="14">
        <f t="shared" si="82"/>
        <v>2.4839937696139525</v>
      </c>
      <c r="AE601" s="10" t="s">
        <v>955</v>
      </c>
      <c r="AF601" s="9" t="s">
        <v>420</v>
      </c>
      <c r="AG601" s="18">
        <v>31.563029</v>
      </c>
      <c r="AH601" s="7">
        <f t="shared" si="83"/>
        <v>1</v>
      </c>
      <c r="AI601" s="7">
        <f t="shared" si="84"/>
        <v>1</v>
      </c>
      <c r="AJ601" s="7">
        <f t="shared" si="85"/>
        <v>0</v>
      </c>
      <c r="AK601" s="7">
        <f t="shared" si="86"/>
        <v>0</v>
      </c>
      <c r="AL601" s="7" t="s">
        <v>4157</v>
      </c>
      <c r="AM601" s="18">
        <f t="shared" si="87"/>
        <v>1.4991786743492528</v>
      </c>
      <c r="AN601" s="18">
        <v>-31.563029</v>
      </c>
      <c r="AO601" s="18">
        <v>147.196157</v>
      </c>
      <c r="AP601" s="9" t="s">
        <v>363</v>
      </c>
      <c r="AQ601" s="9" t="s">
        <v>355</v>
      </c>
      <c r="AR601" s="15">
        <v>1970</v>
      </c>
      <c r="AS601" s="19" t="s">
        <v>898</v>
      </c>
      <c r="AT601" s="10" t="s">
        <v>899</v>
      </c>
      <c r="AU601" s="40">
        <v>686429</v>
      </c>
      <c r="AV601" s="35">
        <f t="shared" si="88"/>
        <v>5.8365956231418243</v>
      </c>
      <c r="AW601" s="37" t="s">
        <v>366</v>
      </c>
      <c r="AX601" s="40">
        <v>0</v>
      </c>
      <c r="AY601" s="40">
        <v>200</v>
      </c>
      <c r="AZ601" s="15">
        <v>33</v>
      </c>
      <c r="BA601" s="14">
        <f t="shared" si="89"/>
        <v>1.5185139398778875</v>
      </c>
      <c r="BB601" s="37" t="s">
        <v>388</v>
      </c>
      <c r="BC601" s="20">
        <v>2.843937575030011E-2</v>
      </c>
      <c r="BD601" s="9">
        <v>33.6</v>
      </c>
      <c r="BE601" s="9" t="s">
        <v>368</v>
      </c>
      <c r="BF601" s="9">
        <v>0</v>
      </c>
    </row>
    <row r="602" spans="1:58">
      <c r="A602" s="9">
        <v>305</v>
      </c>
      <c r="B602" s="10" t="s">
        <v>76</v>
      </c>
      <c r="C602" s="10" t="s">
        <v>721</v>
      </c>
      <c r="D602" s="10" t="s">
        <v>722</v>
      </c>
      <c r="E602" s="10" t="s">
        <v>953</v>
      </c>
      <c r="F602" s="10" t="s">
        <v>721</v>
      </c>
      <c r="G602" s="10" t="s">
        <v>722</v>
      </c>
      <c r="H602" s="10" t="s">
        <v>953</v>
      </c>
      <c r="I602" s="10" t="s">
        <v>721</v>
      </c>
      <c r="J602" s="10" t="s">
        <v>722</v>
      </c>
      <c r="K602" s="10" t="s">
        <v>954</v>
      </c>
      <c r="L602" s="9" t="s">
        <v>352</v>
      </c>
      <c r="M602" s="9">
        <v>7</v>
      </c>
      <c r="N602" s="9" t="s">
        <v>353</v>
      </c>
      <c r="O602" s="9" t="s">
        <v>354</v>
      </c>
      <c r="P602" s="12">
        <v>34</v>
      </c>
      <c r="Q602" s="12">
        <v>35.1</v>
      </c>
      <c r="R602" s="9" t="s">
        <v>356</v>
      </c>
      <c r="S602" s="13">
        <v>14</v>
      </c>
      <c r="T602" s="13">
        <v>14</v>
      </c>
      <c r="U602" s="14">
        <f t="shared" si="81"/>
        <v>1.1760912590556813</v>
      </c>
      <c r="V602" s="15">
        <v>10</v>
      </c>
      <c r="W602" s="12">
        <v>6.765175499999998</v>
      </c>
      <c r="X602" s="12">
        <v>1</v>
      </c>
      <c r="Y602" s="13" t="s">
        <v>384</v>
      </c>
      <c r="Z602" s="9" t="s">
        <v>359</v>
      </c>
      <c r="AA602" s="10" t="s">
        <v>372</v>
      </c>
      <c r="AB602" s="9" t="s">
        <v>417</v>
      </c>
      <c r="AC602" s="15">
        <v>304.7851264858275</v>
      </c>
      <c r="AD602" s="14">
        <f t="shared" si="82"/>
        <v>2.4839937696139525</v>
      </c>
      <c r="AE602" s="10" t="s">
        <v>956</v>
      </c>
      <c r="AF602" s="9" t="s">
        <v>420</v>
      </c>
      <c r="AG602" s="18">
        <v>36.691721999999999</v>
      </c>
      <c r="AH602" s="7">
        <f t="shared" si="83"/>
        <v>1</v>
      </c>
      <c r="AI602" s="7">
        <f t="shared" si="84"/>
        <v>1</v>
      </c>
      <c r="AJ602" s="7">
        <f t="shared" si="85"/>
        <v>0</v>
      </c>
      <c r="AK602" s="7">
        <f t="shared" si="86"/>
        <v>0</v>
      </c>
      <c r="AL602" s="7" t="s">
        <v>4157</v>
      </c>
      <c r="AM602" s="18">
        <f t="shared" si="87"/>
        <v>1.5645680943547093</v>
      </c>
      <c r="AN602" s="18">
        <v>-36.691721999999999</v>
      </c>
      <c r="AO602" s="18">
        <v>145.88668899999999</v>
      </c>
      <c r="AP602" s="9" t="s">
        <v>363</v>
      </c>
      <c r="AQ602" s="9" t="s">
        <v>355</v>
      </c>
      <c r="AR602" s="15">
        <v>1970</v>
      </c>
      <c r="AS602" s="19" t="s">
        <v>898</v>
      </c>
      <c r="AT602" s="10" t="s">
        <v>899</v>
      </c>
      <c r="AU602" s="40">
        <v>686429</v>
      </c>
      <c r="AV602" s="35">
        <f t="shared" si="88"/>
        <v>5.8365956231418243</v>
      </c>
      <c r="AW602" s="37" t="s">
        <v>366</v>
      </c>
      <c r="AX602" s="40">
        <v>0</v>
      </c>
      <c r="AY602" s="40">
        <v>200</v>
      </c>
      <c r="AZ602" s="15">
        <v>33</v>
      </c>
      <c r="BA602" s="14">
        <f t="shared" si="89"/>
        <v>1.5185139398778875</v>
      </c>
      <c r="BB602" s="37" t="s">
        <v>388</v>
      </c>
      <c r="BC602" s="20">
        <v>1.4744297719087435E-2</v>
      </c>
      <c r="BD602" s="9">
        <v>29.5</v>
      </c>
      <c r="BE602" s="9" t="s">
        <v>368</v>
      </c>
      <c r="BF602" s="9">
        <v>0</v>
      </c>
    </row>
    <row r="603" spans="1:58">
      <c r="A603" s="9">
        <v>287</v>
      </c>
      <c r="B603" s="10" t="s">
        <v>76</v>
      </c>
      <c r="C603" s="10" t="s">
        <v>721</v>
      </c>
      <c r="D603" s="10" t="s">
        <v>722</v>
      </c>
      <c r="E603" s="10" t="s">
        <v>723</v>
      </c>
      <c r="F603" s="10" t="s">
        <v>721</v>
      </c>
      <c r="G603" s="10" t="s">
        <v>722</v>
      </c>
      <c r="H603" s="10" t="s">
        <v>723</v>
      </c>
      <c r="I603" s="10" t="s">
        <v>721</v>
      </c>
      <c r="J603" s="10" t="s">
        <v>722</v>
      </c>
      <c r="K603" s="10" t="s">
        <v>723</v>
      </c>
      <c r="L603" s="9" t="s">
        <v>352</v>
      </c>
      <c r="M603" s="9">
        <v>3</v>
      </c>
      <c r="N603" s="9" t="s">
        <v>353</v>
      </c>
      <c r="O603" s="9" t="s">
        <v>354</v>
      </c>
      <c r="P603" s="12">
        <v>30.5</v>
      </c>
      <c r="Q603" s="12">
        <v>33.700000000000003</v>
      </c>
      <c r="R603" s="9" t="s">
        <v>356</v>
      </c>
      <c r="S603" s="13">
        <v>14</v>
      </c>
      <c r="T603" s="13">
        <v>14</v>
      </c>
      <c r="U603" s="14">
        <f t="shared" si="81"/>
        <v>1.1760912590556813</v>
      </c>
      <c r="V603" s="15">
        <v>5</v>
      </c>
      <c r="W603" s="12">
        <v>6.4932353999999961</v>
      </c>
      <c r="X603" s="12">
        <v>1</v>
      </c>
      <c r="Y603" s="13" t="s">
        <v>384</v>
      </c>
      <c r="Z603" s="9" t="s">
        <v>359</v>
      </c>
      <c r="AA603" s="10" t="s">
        <v>372</v>
      </c>
      <c r="AB603" s="9" t="s">
        <v>417</v>
      </c>
      <c r="AC603" s="15">
        <v>304.7851264858275</v>
      </c>
      <c r="AD603" s="14">
        <f t="shared" si="82"/>
        <v>2.4839937696139525</v>
      </c>
      <c r="AE603" s="10" t="s">
        <v>897</v>
      </c>
      <c r="AF603" s="9" t="s">
        <v>420</v>
      </c>
      <c r="AG603" s="18">
        <v>33.425020000000004</v>
      </c>
      <c r="AH603" s="7">
        <f t="shared" si="83"/>
        <v>1</v>
      </c>
      <c r="AI603" s="7">
        <f t="shared" si="84"/>
        <v>1</v>
      </c>
      <c r="AJ603" s="7">
        <f t="shared" si="85"/>
        <v>0</v>
      </c>
      <c r="AK603" s="7">
        <f t="shared" si="86"/>
        <v>0</v>
      </c>
      <c r="AL603" s="7" t="s">
        <v>4157</v>
      </c>
      <c r="AM603" s="18">
        <f t="shared" si="87"/>
        <v>1.5240716757960127</v>
      </c>
      <c r="AN603" s="18">
        <v>-33.425020000000004</v>
      </c>
      <c r="AO603" s="18">
        <v>151.342219</v>
      </c>
      <c r="AP603" s="9" t="s">
        <v>363</v>
      </c>
      <c r="AQ603" s="9" t="s">
        <v>355</v>
      </c>
      <c r="AR603" s="15">
        <v>1970</v>
      </c>
      <c r="AS603" s="19" t="s">
        <v>898</v>
      </c>
      <c r="AT603" s="10" t="s">
        <v>899</v>
      </c>
      <c r="AU603" s="40">
        <v>878056</v>
      </c>
      <c r="AV603" s="35">
        <f t="shared" si="88"/>
        <v>5.9435222148986115</v>
      </c>
      <c r="AW603" s="37" t="s">
        <v>366</v>
      </c>
      <c r="AX603" s="40">
        <v>0</v>
      </c>
      <c r="AY603" s="40">
        <v>1000</v>
      </c>
      <c r="AZ603" s="15">
        <v>33</v>
      </c>
      <c r="BA603" s="14">
        <f t="shared" si="89"/>
        <v>1.5185139398778875</v>
      </c>
      <c r="BB603" s="37" t="s">
        <v>388</v>
      </c>
      <c r="BC603" s="20">
        <v>7.0504201680672398E-3</v>
      </c>
      <c r="BD603" s="9">
        <v>26.6</v>
      </c>
      <c r="BE603" s="9" t="s">
        <v>368</v>
      </c>
      <c r="BF603" s="9">
        <v>0</v>
      </c>
    </row>
    <row r="604" spans="1:58">
      <c r="A604" s="9">
        <v>296</v>
      </c>
      <c r="B604" s="10" t="s">
        <v>76</v>
      </c>
      <c r="C604" s="10" t="s">
        <v>721</v>
      </c>
      <c r="D604" s="10" t="s">
        <v>722</v>
      </c>
      <c r="E604" s="10" t="s">
        <v>723</v>
      </c>
      <c r="F604" s="10" t="s">
        <v>721</v>
      </c>
      <c r="G604" s="10" t="s">
        <v>722</v>
      </c>
      <c r="H604" s="10" t="s">
        <v>723</v>
      </c>
      <c r="I604" s="10" t="s">
        <v>721</v>
      </c>
      <c r="J604" s="10" t="s">
        <v>722</v>
      </c>
      <c r="K604" s="10" t="s">
        <v>723</v>
      </c>
      <c r="L604" s="9" t="s">
        <v>352</v>
      </c>
      <c r="M604" s="9">
        <v>39</v>
      </c>
      <c r="N604" s="9" t="s">
        <v>381</v>
      </c>
      <c r="O604" s="9" t="s">
        <v>354</v>
      </c>
      <c r="P604" s="12">
        <v>31.6</v>
      </c>
      <c r="Q604" s="12">
        <v>33</v>
      </c>
      <c r="R604" s="9" t="s">
        <v>356</v>
      </c>
      <c r="S604" s="13">
        <v>14</v>
      </c>
      <c r="T604" s="13">
        <v>14</v>
      </c>
      <c r="U604" s="14">
        <f t="shared" si="81"/>
        <v>1.1760912590556813</v>
      </c>
      <c r="V604" s="15">
        <v>5</v>
      </c>
      <c r="W604" s="12">
        <v>7.1713449000000011</v>
      </c>
      <c r="X604" s="12">
        <v>1</v>
      </c>
      <c r="Y604" s="13" t="s">
        <v>384</v>
      </c>
      <c r="Z604" s="9" t="s">
        <v>359</v>
      </c>
      <c r="AA604" s="10" t="s">
        <v>372</v>
      </c>
      <c r="AB604" s="9" t="s">
        <v>417</v>
      </c>
      <c r="AC604" s="15">
        <v>304.7851264858275</v>
      </c>
      <c r="AD604" s="14">
        <f t="shared" si="82"/>
        <v>2.4839937696139525</v>
      </c>
      <c r="AE604" s="10" t="s">
        <v>957</v>
      </c>
      <c r="AF604" s="9" t="s">
        <v>420</v>
      </c>
      <c r="AG604" s="18">
        <v>37.133319999999998</v>
      </c>
      <c r="AH604" s="7">
        <f t="shared" si="83"/>
        <v>1</v>
      </c>
      <c r="AI604" s="7">
        <f t="shared" si="84"/>
        <v>1</v>
      </c>
      <c r="AJ604" s="7">
        <f t="shared" si="85"/>
        <v>0</v>
      </c>
      <c r="AK604" s="7">
        <f t="shared" si="86"/>
        <v>0</v>
      </c>
      <c r="AL604" s="7" t="s">
        <v>4157</v>
      </c>
      <c r="AM604" s="18">
        <f t="shared" si="87"/>
        <v>1.5697637801774516</v>
      </c>
      <c r="AN604" s="18">
        <v>-37.133319999999998</v>
      </c>
      <c r="AO604" s="18">
        <v>142.51835800000001</v>
      </c>
      <c r="AP604" s="9" t="s">
        <v>363</v>
      </c>
      <c r="AQ604" s="9" t="s">
        <v>355</v>
      </c>
      <c r="AR604" s="15">
        <v>1970</v>
      </c>
      <c r="AS604" s="19" t="s">
        <v>898</v>
      </c>
      <c r="AT604" s="10" t="s">
        <v>899</v>
      </c>
      <c r="AU604" s="40">
        <v>878056</v>
      </c>
      <c r="AV604" s="35">
        <f t="shared" si="88"/>
        <v>5.9435222148986115</v>
      </c>
      <c r="AW604" s="37" t="s">
        <v>366</v>
      </c>
      <c r="AX604" s="40">
        <v>0</v>
      </c>
      <c r="AY604" s="40">
        <v>1000</v>
      </c>
      <c r="AZ604" s="15">
        <v>33</v>
      </c>
      <c r="BA604" s="14">
        <f t="shared" si="89"/>
        <v>1.5185139398778875</v>
      </c>
      <c r="BB604" s="37" t="s">
        <v>388</v>
      </c>
      <c r="BC604" s="20">
        <v>2.4296918767506899E-2</v>
      </c>
      <c r="BD604" s="9">
        <v>27.1</v>
      </c>
      <c r="BE604" s="9" t="s">
        <v>368</v>
      </c>
      <c r="BF604" s="9">
        <v>0</v>
      </c>
    </row>
    <row r="605" spans="1:58">
      <c r="A605" s="9">
        <v>294</v>
      </c>
      <c r="B605" s="10" t="s">
        <v>76</v>
      </c>
      <c r="C605" s="10" t="s">
        <v>721</v>
      </c>
      <c r="D605" s="10" t="s">
        <v>722</v>
      </c>
      <c r="E605" s="10" t="s">
        <v>723</v>
      </c>
      <c r="F605" s="10" t="s">
        <v>721</v>
      </c>
      <c r="G605" s="10" t="s">
        <v>722</v>
      </c>
      <c r="H605" s="10" t="s">
        <v>723</v>
      </c>
      <c r="I605" s="10" t="s">
        <v>721</v>
      </c>
      <c r="J605" s="10" t="s">
        <v>722</v>
      </c>
      <c r="K605" s="10" t="s">
        <v>723</v>
      </c>
      <c r="L605" s="9" t="s">
        <v>352</v>
      </c>
      <c r="M605" s="9">
        <v>13</v>
      </c>
      <c r="N605" s="9" t="s">
        <v>381</v>
      </c>
      <c r="O605" s="9" t="s">
        <v>354</v>
      </c>
      <c r="P605" s="12">
        <v>33.200000000000003</v>
      </c>
      <c r="Q605" s="12">
        <v>34.6</v>
      </c>
      <c r="R605" s="9" t="s">
        <v>356</v>
      </c>
      <c r="S605" s="13">
        <v>14</v>
      </c>
      <c r="T605" s="13">
        <v>14</v>
      </c>
      <c r="U605" s="14">
        <f t="shared" si="81"/>
        <v>1.1760912590556813</v>
      </c>
      <c r="V605" s="15">
        <v>10</v>
      </c>
      <c r="W605" s="12">
        <v>8.7496527999999998</v>
      </c>
      <c r="X605" s="12">
        <v>1</v>
      </c>
      <c r="Y605" s="13" t="s">
        <v>384</v>
      </c>
      <c r="Z605" s="9" t="s">
        <v>359</v>
      </c>
      <c r="AA605" s="10" t="s">
        <v>372</v>
      </c>
      <c r="AB605" s="9" t="s">
        <v>417</v>
      </c>
      <c r="AC605" s="15">
        <v>304.7851264858275</v>
      </c>
      <c r="AD605" s="14">
        <f t="shared" si="82"/>
        <v>2.4839937696139525</v>
      </c>
      <c r="AE605" s="10" t="s">
        <v>958</v>
      </c>
      <c r="AF605" s="9" t="s">
        <v>420</v>
      </c>
      <c r="AG605" s="18">
        <v>37.871645000000001</v>
      </c>
      <c r="AH605" s="7">
        <f t="shared" si="83"/>
        <v>1</v>
      </c>
      <c r="AI605" s="7">
        <f t="shared" si="84"/>
        <v>1</v>
      </c>
      <c r="AJ605" s="7">
        <f t="shared" si="85"/>
        <v>0</v>
      </c>
      <c r="AK605" s="7">
        <f t="shared" si="86"/>
        <v>0</v>
      </c>
      <c r="AL605" s="7" t="s">
        <v>4157</v>
      </c>
      <c r="AM605" s="18">
        <f t="shared" si="87"/>
        <v>1.5783141696285312</v>
      </c>
      <c r="AN605" s="18">
        <v>-37.871645000000001</v>
      </c>
      <c r="AO605" s="18">
        <v>145.24514300000001</v>
      </c>
      <c r="AP605" s="9" t="s">
        <v>363</v>
      </c>
      <c r="AQ605" s="9" t="s">
        <v>355</v>
      </c>
      <c r="AR605" s="15">
        <v>1970</v>
      </c>
      <c r="AS605" s="19" t="s">
        <v>898</v>
      </c>
      <c r="AT605" s="10" t="s">
        <v>899</v>
      </c>
      <c r="AU605" s="40">
        <v>878056</v>
      </c>
      <c r="AV605" s="35">
        <f t="shared" si="88"/>
        <v>5.9435222148986115</v>
      </c>
      <c r="AW605" s="37" t="s">
        <v>366</v>
      </c>
      <c r="AX605" s="40">
        <v>0</v>
      </c>
      <c r="AY605" s="40">
        <v>1000</v>
      </c>
      <c r="AZ605" s="15">
        <v>33</v>
      </c>
      <c r="BA605" s="14">
        <f t="shared" si="89"/>
        <v>1.5185139398778875</v>
      </c>
      <c r="BB605" s="37" t="s">
        <v>388</v>
      </c>
      <c r="BC605" s="20">
        <v>1.7584633853541302E-2</v>
      </c>
      <c r="BD605" s="9">
        <v>26.200000000000003</v>
      </c>
      <c r="BE605" s="9" t="s">
        <v>368</v>
      </c>
      <c r="BF605" s="9">
        <v>0</v>
      </c>
    </row>
    <row r="606" spans="1:58">
      <c r="A606" s="9">
        <v>291</v>
      </c>
      <c r="B606" s="10" t="s">
        <v>76</v>
      </c>
      <c r="C606" s="10" t="s">
        <v>721</v>
      </c>
      <c r="D606" s="10" t="s">
        <v>722</v>
      </c>
      <c r="E606" s="10" t="s">
        <v>723</v>
      </c>
      <c r="F606" s="10" t="s">
        <v>721</v>
      </c>
      <c r="G606" s="10" t="s">
        <v>722</v>
      </c>
      <c r="H606" s="10" t="s">
        <v>723</v>
      </c>
      <c r="I606" s="10" t="s">
        <v>721</v>
      </c>
      <c r="J606" s="10" t="s">
        <v>722</v>
      </c>
      <c r="K606" s="10" t="s">
        <v>723</v>
      </c>
      <c r="L606" s="9" t="s">
        <v>352</v>
      </c>
      <c r="M606" s="9">
        <v>13</v>
      </c>
      <c r="N606" s="9" t="s">
        <v>381</v>
      </c>
      <c r="O606" s="9" t="s">
        <v>354</v>
      </c>
      <c r="P606" s="12">
        <v>32.799999999999997</v>
      </c>
      <c r="Q606" s="12">
        <v>34.5</v>
      </c>
      <c r="R606" s="9" t="s">
        <v>356</v>
      </c>
      <c r="S606" s="13">
        <v>14</v>
      </c>
      <c r="T606" s="13">
        <v>14</v>
      </c>
      <c r="U606" s="14">
        <f t="shared" si="81"/>
        <v>1.1760912590556813</v>
      </c>
      <c r="V606" s="15">
        <v>5</v>
      </c>
      <c r="W606" s="12">
        <v>9.7213944999999953</v>
      </c>
      <c r="X606" s="12">
        <v>1</v>
      </c>
      <c r="Y606" s="13" t="s">
        <v>384</v>
      </c>
      <c r="Z606" s="9" t="s">
        <v>359</v>
      </c>
      <c r="AA606" s="10" t="s">
        <v>372</v>
      </c>
      <c r="AB606" s="9" t="s">
        <v>417</v>
      </c>
      <c r="AC606" s="15">
        <v>304.7851264858275</v>
      </c>
      <c r="AD606" s="14">
        <f t="shared" si="82"/>
        <v>2.4839937696139525</v>
      </c>
      <c r="AE606" s="10" t="s">
        <v>959</v>
      </c>
      <c r="AF606" s="9" t="s">
        <v>420</v>
      </c>
      <c r="AG606" s="18">
        <v>37.496175000000001</v>
      </c>
      <c r="AH606" s="7">
        <f t="shared" si="83"/>
        <v>1</v>
      </c>
      <c r="AI606" s="7">
        <f t="shared" si="84"/>
        <v>1</v>
      </c>
      <c r="AJ606" s="7">
        <f t="shared" si="85"/>
        <v>0</v>
      </c>
      <c r="AK606" s="7">
        <f t="shared" si="86"/>
        <v>0</v>
      </c>
      <c r="AL606" s="7" t="s">
        <v>4157</v>
      </c>
      <c r="AM606" s="18">
        <f t="shared" si="87"/>
        <v>1.5739869674312112</v>
      </c>
      <c r="AN606" s="18">
        <v>-37.496175000000001</v>
      </c>
      <c r="AO606" s="18">
        <v>148.17353</v>
      </c>
      <c r="AP606" s="9" t="s">
        <v>363</v>
      </c>
      <c r="AQ606" s="9" t="s">
        <v>355</v>
      </c>
      <c r="AR606" s="15">
        <v>1970</v>
      </c>
      <c r="AS606" s="19" t="s">
        <v>898</v>
      </c>
      <c r="AT606" s="10" t="s">
        <v>899</v>
      </c>
      <c r="AU606" s="40">
        <v>878056</v>
      </c>
      <c r="AV606" s="35">
        <f t="shared" si="88"/>
        <v>5.9435222148986115</v>
      </c>
      <c r="AW606" s="37" t="s">
        <v>366</v>
      </c>
      <c r="AX606" s="40">
        <v>0</v>
      </c>
      <c r="AY606" s="40">
        <v>1000</v>
      </c>
      <c r="AZ606" s="15">
        <v>33</v>
      </c>
      <c r="BA606" s="14">
        <f t="shared" si="89"/>
        <v>1.5185139398778875</v>
      </c>
      <c r="BB606" s="37" t="s">
        <v>388</v>
      </c>
      <c r="BC606" s="20">
        <v>1.9120848339335778E-2</v>
      </c>
      <c r="BD606" s="9">
        <v>25.5</v>
      </c>
      <c r="BE606" s="9" t="s">
        <v>368</v>
      </c>
      <c r="BF606" s="9">
        <v>0</v>
      </c>
    </row>
    <row r="607" spans="1:58">
      <c r="A607" s="9">
        <v>295</v>
      </c>
      <c r="B607" s="10" t="s">
        <v>76</v>
      </c>
      <c r="C607" s="10" t="s">
        <v>721</v>
      </c>
      <c r="D607" s="10" t="s">
        <v>722</v>
      </c>
      <c r="E607" s="10" t="s">
        <v>723</v>
      </c>
      <c r="F607" s="10" t="s">
        <v>721</v>
      </c>
      <c r="G607" s="10" t="s">
        <v>722</v>
      </c>
      <c r="H607" s="10" t="s">
        <v>723</v>
      </c>
      <c r="I607" s="10" t="s">
        <v>721</v>
      </c>
      <c r="J607" s="10" t="s">
        <v>722</v>
      </c>
      <c r="K607" s="10" t="s">
        <v>723</v>
      </c>
      <c r="L607" s="9" t="s">
        <v>352</v>
      </c>
      <c r="M607" s="9">
        <v>13</v>
      </c>
      <c r="N607" s="9" t="s">
        <v>381</v>
      </c>
      <c r="O607" s="9" t="s">
        <v>354</v>
      </c>
      <c r="P607" s="12">
        <v>33.5</v>
      </c>
      <c r="Q607" s="12">
        <v>34.700000000000003</v>
      </c>
      <c r="R607" s="9" t="s">
        <v>356</v>
      </c>
      <c r="S607" s="13">
        <v>14</v>
      </c>
      <c r="T607" s="13">
        <v>14</v>
      </c>
      <c r="U607" s="14">
        <f t="shared" si="81"/>
        <v>1.1760912590556813</v>
      </c>
      <c r="V607" s="15">
        <v>20</v>
      </c>
      <c r="W607" s="12">
        <v>7.4874627999999959</v>
      </c>
      <c r="X607" s="12">
        <v>1</v>
      </c>
      <c r="Y607" s="13" t="s">
        <v>384</v>
      </c>
      <c r="Z607" s="9" t="s">
        <v>359</v>
      </c>
      <c r="AA607" s="10" t="s">
        <v>372</v>
      </c>
      <c r="AB607" s="9" t="s">
        <v>417</v>
      </c>
      <c r="AC607" s="15">
        <v>304.7851264858275</v>
      </c>
      <c r="AD607" s="14">
        <f t="shared" si="82"/>
        <v>2.4839937696139525</v>
      </c>
      <c r="AE607" s="10" t="s">
        <v>958</v>
      </c>
      <c r="AF607" s="9" t="s">
        <v>420</v>
      </c>
      <c r="AG607" s="18">
        <v>37.871645000000001</v>
      </c>
      <c r="AH607" s="7">
        <f t="shared" si="83"/>
        <v>1</v>
      </c>
      <c r="AI607" s="7">
        <f t="shared" si="84"/>
        <v>1</v>
      </c>
      <c r="AJ607" s="7">
        <f t="shared" si="85"/>
        <v>0</v>
      </c>
      <c r="AK607" s="7">
        <f t="shared" si="86"/>
        <v>0</v>
      </c>
      <c r="AL607" s="7" t="s">
        <v>4157</v>
      </c>
      <c r="AM607" s="18">
        <f t="shared" si="87"/>
        <v>1.5783141696285312</v>
      </c>
      <c r="AN607" s="18">
        <v>-37.871645000000001</v>
      </c>
      <c r="AO607" s="18">
        <v>145.24514300000001</v>
      </c>
      <c r="AP607" s="9" t="s">
        <v>363</v>
      </c>
      <c r="AQ607" s="9" t="s">
        <v>355</v>
      </c>
      <c r="AR607" s="15">
        <v>1970</v>
      </c>
      <c r="AS607" s="19" t="s">
        <v>898</v>
      </c>
      <c r="AT607" s="10" t="s">
        <v>899</v>
      </c>
      <c r="AU607" s="40">
        <v>878056</v>
      </c>
      <c r="AV607" s="35">
        <f t="shared" si="88"/>
        <v>5.9435222148986115</v>
      </c>
      <c r="AW607" s="37" t="s">
        <v>366</v>
      </c>
      <c r="AX607" s="40">
        <v>0</v>
      </c>
      <c r="AY607" s="40">
        <v>1000</v>
      </c>
      <c r="AZ607" s="15">
        <v>33</v>
      </c>
      <c r="BA607" s="14">
        <f t="shared" si="89"/>
        <v>1.5185139398778875</v>
      </c>
      <c r="BB607" s="37" t="s">
        <v>388</v>
      </c>
      <c r="BC607" s="20">
        <v>1.7584633853541302E-2</v>
      </c>
      <c r="BD607" s="9">
        <v>26.200000000000003</v>
      </c>
      <c r="BE607" s="9" t="s">
        <v>368</v>
      </c>
      <c r="BF607" s="9">
        <v>0</v>
      </c>
    </row>
    <row r="608" spans="1:58">
      <c r="A608" s="9">
        <v>290</v>
      </c>
      <c r="B608" s="10" t="s">
        <v>76</v>
      </c>
      <c r="C608" s="10" t="s">
        <v>721</v>
      </c>
      <c r="D608" s="10" t="s">
        <v>722</v>
      </c>
      <c r="E608" s="10" t="s">
        <v>723</v>
      </c>
      <c r="F608" s="10" t="s">
        <v>721</v>
      </c>
      <c r="G608" s="10" t="s">
        <v>722</v>
      </c>
      <c r="H608" s="10" t="s">
        <v>723</v>
      </c>
      <c r="I608" s="10" t="s">
        <v>721</v>
      </c>
      <c r="J608" s="10" t="s">
        <v>722</v>
      </c>
      <c r="K608" s="10" t="s">
        <v>723</v>
      </c>
      <c r="L608" s="9" t="s">
        <v>352</v>
      </c>
      <c r="M608" s="9">
        <v>2</v>
      </c>
      <c r="N608" s="9" t="s">
        <v>353</v>
      </c>
      <c r="O608" s="9" t="s">
        <v>354</v>
      </c>
      <c r="P608" s="12">
        <v>31.8</v>
      </c>
      <c r="Q608" s="12">
        <v>35</v>
      </c>
      <c r="R608" s="9" t="s">
        <v>356</v>
      </c>
      <c r="S608" s="13">
        <v>14</v>
      </c>
      <c r="T608" s="13">
        <v>14</v>
      </c>
      <c r="U608" s="14">
        <f t="shared" si="81"/>
        <v>1.1760912590556813</v>
      </c>
      <c r="V608" s="15">
        <v>5</v>
      </c>
      <c r="W608" s="12">
        <v>9.733931700000003</v>
      </c>
      <c r="X608" s="12">
        <v>1</v>
      </c>
      <c r="Y608" s="13" t="s">
        <v>384</v>
      </c>
      <c r="Z608" s="9" t="s">
        <v>359</v>
      </c>
      <c r="AA608" s="10" t="s">
        <v>372</v>
      </c>
      <c r="AB608" s="9" t="s">
        <v>417</v>
      </c>
      <c r="AC608" s="15">
        <v>304.7851264858275</v>
      </c>
      <c r="AD608" s="14">
        <f t="shared" si="82"/>
        <v>2.4839937696139525</v>
      </c>
      <c r="AE608" s="10" t="s">
        <v>960</v>
      </c>
      <c r="AF608" s="9" t="s">
        <v>420</v>
      </c>
      <c r="AG608" s="18">
        <v>37.411949</v>
      </c>
      <c r="AH608" s="7">
        <f t="shared" si="83"/>
        <v>1</v>
      </c>
      <c r="AI608" s="7">
        <f t="shared" si="84"/>
        <v>1</v>
      </c>
      <c r="AJ608" s="7">
        <f t="shared" si="85"/>
        <v>0</v>
      </c>
      <c r="AK608" s="7">
        <f t="shared" si="86"/>
        <v>0</v>
      </c>
      <c r="AL608" s="7" t="s">
        <v>4157</v>
      </c>
      <c r="AM608" s="18">
        <f t="shared" si="87"/>
        <v>1.5730103336431911</v>
      </c>
      <c r="AN608" s="18">
        <v>-37.411949</v>
      </c>
      <c r="AO608" s="18">
        <v>148.20599799999999</v>
      </c>
      <c r="AP608" s="9" t="s">
        <v>363</v>
      </c>
      <c r="AQ608" s="9" t="s">
        <v>355</v>
      </c>
      <c r="AR608" s="15">
        <v>1970</v>
      </c>
      <c r="AS608" s="19" t="s">
        <v>898</v>
      </c>
      <c r="AT608" s="10" t="s">
        <v>899</v>
      </c>
      <c r="AU608" s="40">
        <v>878056</v>
      </c>
      <c r="AV608" s="35">
        <f t="shared" si="88"/>
        <v>5.9435222148986115</v>
      </c>
      <c r="AW608" s="37" t="s">
        <v>366</v>
      </c>
      <c r="AX608" s="40">
        <v>0</v>
      </c>
      <c r="AY608" s="40">
        <v>1000</v>
      </c>
      <c r="AZ608" s="15">
        <v>33</v>
      </c>
      <c r="BA608" s="14">
        <f t="shared" si="89"/>
        <v>1.5185139398778875</v>
      </c>
      <c r="BB608" s="37" t="s">
        <v>388</v>
      </c>
      <c r="BC608" s="20">
        <v>1.9120848339335778E-2</v>
      </c>
      <c r="BD608" s="9">
        <v>24.3</v>
      </c>
      <c r="BE608" s="9" t="s">
        <v>368</v>
      </c>
      <c r="BF608" s="9">
        <v>0</v>
      </c>
    </row>
    <row r="609" spans="1:58">
      <c r="A609" s="9">
        <v>297</v>
      </c>
      <c r="B609" s="10" t="s">
        <v>76</v>
      </c>
      <c r="C609" s="10" t="s">
        <v>721</v>
      </c>
      <c r="D609" s="10" t="s">
        <v>722</v>
      </c>
      <c r="E609" s="10" t="s">
        <v>723</v>
      </c>
      <c r="F609" s="10" t="s">
        <v>721</v>
      </c>
      <c r="G609" s="10" t="s">
        <v>722</v>
      </c>
      <c r="H609" s="10" t="s">
        <v>723</v>
      </c>
      <c r="I609" s="10" t="s">
        <v>721</v>
      </c>
      <c r="J609" s="10" t="s">
        <v>722</v>
      </c>
      <c r="K609" s="10" t="s">
        <v>723</v>
      </c>
      <c r="L609" s="9" t="s">
        <v>352</v>
      </c>
      <c r="M609" s="9">
        <v>39</v>
      </c>
      <c r="N609" s="9" t="s">
        <v>381</v>
      </c>
      <c r="O609" s="9" t="s">
        <v>354</v>
      </c>
      <c r="P609" s="12">
        <v>35.700000000000003</v>
      </c>
      <c r="Q609" s="12">
        <v>36.9</v>
      </c>
      <c r="R609" s="9" t="s">
        <v>356</v>
      </c>
      <c r="S609" s="13">
        <v>14</v>
      </c>
      <c r="T609" s="13">
        <v>14</v>
      </c>
      <c r="U609" s="14">
        <f t="shared" si="81"/>
        <v>1.1760912590556813</v>
      </c>
      <c r="V609" s="15">
        <v>25</v>
      </c>
      <c r="W609" s="12">
        <v>8.1469649000000004</v>
      </c>
      <c r="X609" s="12">
        <v>1</v>
      </c>
      <c r="Y609" s="13" t="s">
        <v>384</v>
      </c>
      <c r="Z609" s="9" t="s">
        <v>359</v>
      </c>
      <c r="AA609" s="10" t="s">
        <v>372</v>
      </c>
      <c r="AB609" s="9" t="s">
        <v>417</v>
      </c>
      <c r="AC609" s="15">
        <v>304.7851264858275</v>
      </c>
      <c r="AD609" s="14">
        <f t="shared" si="82"/>
        <v>2.4839937696139525</v>
      </c>
      <c r="AE609" s="10" t="s">
        <v>957</v>
      </c>
      <c r="AF609" s="9" t="s">
        <v>420</v>
      </c>
      <c r="AG609" s="18">
        <v>37.133319999999998</v>
      </c>
      <c r="AH609" s="7">
        <f t="shared" si="83"/>
        <v>1</v>
      </c>
      <c r="AI609" s="7">
        <f t="shared" si="84"/>
        <v>1</v>
      </c>
      <c r="AJ609" s="7">
        <f t="shared" si="85"/>
        <v>0</v>
      </c>
      <c r="AK609" s="7">
        <f t="shared" si="86"/>
        <v>0</v>
      </c>
      <c r="AL609" s="7" t="s">
        <v>4157</v>
      </c>
      <c r="AM609" s="18">
        <f t="shared" si="87"/>
        <v>1.5697637801774516</v>
      </c>
      <c r="AN609" s="18">
        <v>-37.133319999999998</v>
      </c>
      <c r="AO609" s="18">
        <v>142.51835800000001</v>
      </c>
      <c r="AP609" s="9" t="s">
        <v>363</v>
      </c>
      <c r="AQ609" s="9" t="s">
        <v>355</v>
      </c>
      <c r="AR609" s="15">
        <v>1970</v>
      </c>
      <c r="AS609" s="19" t="s">
        <v>898</v>
      </c>
      <c r="AT609" s="10" t="s">
        <v>899</v>
      </c>
      <c r="AU609" s="40">
        <v>878056</v>
      </c>
      <c r="AV609" s="35">
        <f t="shared" si="88"/>
        <v>5.9435222148986115</v>
      </c>
      <c r="AW609" s="37" t="s">
        <v>366</v>
      </c>
      <c r="AX609" s="40">
        <v>0</v>
      </c>
      <c r="AY609" s="40">
        <v>1000</v>
      </c>
      <c r="AZ609" s="15">
        <v>33</v>
      </c>
      <c r="BA609" s="14">
        <f t="shared" si="89"/>
        <v>1.5185139398778875</v>
      </c>
      <c r="BB609" s="37" t="s">
        <v>388</v>
      </c>
      <c r="BC609" s="20">
        <v>2.4296918767506899E-2</v>
      </c>
      <c r="BD609" s="9">
        <v>27.1</v>
      </c>
      <c r="BE609" s="9" t="s">
        <v>368</v>
      </c>
      <c r="BF609" s="9">
        <v>0</v>
      </c>
    </row>
    <row r="610" spans="1:58">
      <c r="A610" s="9">
        <v>292</v>
      </c>
      <c r="B610" s="10" t="s">
        <v>76</v>
      </c>
      <c r="C610" s="10" t="s">
        <v>721</v>
      </c>
      <c r="D610" s="10" t="s">
        <v>722</v>
      </c>
      <c r="E610" s="10" t="s">
        <v>723</v>
      </c>
      <c r="F610" s="10" t="s">
        <v>721</v>
      </c>
      <c r="G610" s="10" t="s">
        <v>722</v>
      </c>
      <c r="H610" s="10" t="s">
        <v>723</v>
      </c>
      <c r="I610" s="10" t="s">
        <v>721</v>
      </c>
      <c r="J610" s="10" t="s">
        <v>722</v>
      </c>
      <c r="K610" s="10" t="s">
        <v>723</v>
      </c>
      <c r="L610" s="9" t="s">
        <v>352</v>
      </c>
      <c r="M610" s="9">
        <v>13</v>
      </c>
      <c r="N610" s="9" t="s">
        <v>381</v>
      </c>
      <c r="O610" s="9" t="s">
        <v>354</v>
      </c>
      <c r="P610" s="12">
        <v>35</v>
      </c>
      <c r="Q610" s="12">
        <v>35.6</v>
      </c>
      <c r="R610" s="9" t="s">
        <v>356</v>
      </c>
      <c r="S610" s="13">
        <v>14</v>
      </c>
      <c r="T610" s="13">
        <v>14</v>
      </c>
      <c r="U610" s="14">
        <f t="shared" si="81"/>
        <v>1.1760912590556813</v>
      </c>
      <c r="V610" s="15">
        <v>10</v>
      </c>
      <c r="W610" s="12">
        <v>11.140299499999998</v>
      </c>
      <c r="X610" s="12">
        <v>1</v>
      </c>
      <c r="Y610" s="13" t="s">
        <v>384</v>
      </c>
      <c r="Z610" s="9" t="s">
        <v>359</v>
      </c>
      <c r="AA610" s="10" t="s">
        <v>372</v>
      </c>
      <c r="AB610" s="9" t="s">
        <v>417</v>
      </c>
      <c r="AC610" s="15">
        <v>304.7851264858275</v>
      </c>
      <c r="AD610" s="14">
        <f t="shared" si="82"/>
        <v>2.4839937696139525</v>
      </c>
      <c r="AE610" s="10" t="s">
        <v>959</v>
      </c>
      <c r="AF610" s="9" t="s">
        <v>420</v>
      </c>
      <c r="AG610" s="18">
        <v>37.496175000000001</v>
      </c>
      <c r="AH610" s="7">
        <f t="shared" si="83"/>
        <v>1</v>
      </c>
      <c r="AI610" s="7">
        <f t="shared" si="84"/>
        <v>1</v>
      </c>
      <c r="AJ610" s="7">
        <f t="shared" si="85"/>
        <v>0</v>
      </c>
      <c r="AK610" s="7">
        <f t="shared" si="86"/>
        <v>0</v>
      </c>
      <c r="AL610" s="7" t="s">
        <v>4157</v>
      </c>
      <c r="AM610" s="18">
        <f t="shared" si="87"/>
        <v>1.5739869674312112</v>
      </c>
      <c r="AN610" s="18">
        <v>-37.496175000000001</v>
      </c>
      <c r="AO610" s="18">
        <v>148.17353</v>
      </c>
      <c r="AP610" s="9" t="s">
        <v>363</v>
      </c>
      <c r="AQ610" s="9" t="s">
        <v>355</v>
      </c>
      <c r="AR610" s="15">
        <v>1970</v>
      </c>
      <c r="AS610" s="19" t="s">
        <v>898</v>
      </c>
      <c r="AT610" s="10" t="s">
        <v>899</v>
      </c>
      <c r="AU610" s="40">
        <v>878056</v>
      </c>
      <c r="AV610" s="35">
        <f t="shared" si="88"/>
        <v>5.9435222148986115</v>
      </c>
      <c r="AW610" s="37" t="s">
        <v>366</v>
      </c>
      <c r="AX610" s="40">
        <v>0</v>
      </c>
      <c r="AY610" s="40">
        <v>1000</v>
      </c>
      <c r="AZ610" s="15">
        <v>33</v>
      </c>
      <c r="BA610" s="14">
        <f t="shared" si="89"/>
        <v>1.5185139398778875</v>
      </c>
      <c r="BB610" s="37" t="s">
        <v>388</v>
      </c>
      <c r="BC610" s="20">
        <v>1.9120848339335778E-2</v>
      </c>
      <c r="BD610" s="9">
        <v>25.5</v>
      </c>
      <c r="BE610" s="9" t="s">
        <v>368</v>
      </c>
      <c r="BF610" s="9">
        <v>0</v>
      </c>
    </row>
    <row r="611" spans="1:58">
      <c r="A611" s="9">
        <v>298</v>
      </c>
      <c r="B611" s="10" t="s">
        <v>76</v>
      </c>
      <c r="C611" s="10" t="s">
        <v>721</v>
      </c>
      <c r="D611" s="10" t="s">
        <v>722</v>
      </c>
      <c r="E611" s="10" t="s">
        <v>723</v>
      </c>
      <c r="F611" s="10" t="s">
        <v>721</v>
      </c>
      <c r="G611" s="10" t="s">
        <v>722</v>
      </c>
      <c r="H611" s="10" t="s">
        <v>723</v>
      </c>
      <c r="I611" s="10" t="s">
        <v>721</v>
      </c>
      <c r="J611" s="10" t="s">
        <v>722</v>
      </c>
      <c r="K611" s="10" t="s">
        <v>723</v>
      </c>
      <c r="L611" s="9" t="s">
        <v>352</v>
      </c>
      <c r="M611" s="9">
        <v>15</v>
      </c>
      <c r="N611" s="9" t="s">
        <v>381</v>
      </c>
      <c r="O611" s="9" t="s">
        <v>354</v>
      </c>
      <c r="P611" s="12">
        <v>30.8</v>
      </c>
      <c r="Q611" s="12">
        <v>34.200000000000003</v>
      </c>
      <c r="R611" s="9" t="s">
        <v>356</v>
      </c>
      <c r="S611" s="13">
        <v>14</v>
      </c>
      <c r="T611" s="13">
        <v>14</v>
      </c>
      <c r="U611" s="14">
        <f t="shared" si="81"/>
        <v>1.1760912590556813</v>
      </c>
      <c r="V611" s="15">
        <v>5</v>
      </c>
      <c r="W611" s="12">
        <v>11.265274700000003</v>
      </c>
      <c r="X611" s="12">
        <v>1</v>
      </c>
      <c r="Y611" s="13" t="s">
        <v>384</v>
      </c>
      <c r="Z611" s="9" t="s">
        <v>359</v>
      </c>
      <c r="AA611" s="10" t="s">
        <v>372</v>
      </c>
      <c r="AB611" s="9" t="s">
        <v>417</v>
      </c>
      <c r="AC611" s="15">
        <v>304.7851264858275</v>
      </c>
      <c r="AD611" s="14">
        <f t="shared" si="82"/>
        <v>2.4839937696139525</v>
      </c>
      <c r="AE611" s="10" t="s">
        <v>961</v>
      </c>
      <c r="AF611" s="9" t="s">
        <v>362</v>
      </c>
      <c r="AG611" s="18">
        <v>42.300244999999997</v>
      </c>
      <c r="AH611" s="7">
        <f t="shared" si="83"/>
        <v>1</v>
      </c>
      <c r="AI611" s="7">
        <f t="shared" si="84"/>
        <v>1</v>
      </c>
      <c r="AJ611" s="7">
        <f t="shared" si="85"/>
        <v>0</v>
      </c>
      <c r="AK611" s="7">
        <f t="shared" si="86"/>
        <v>0</v>
      </c>
      <c r="AL611" s="7" t="s">
        <v>4157</v>
      </c>
      <c r="AM611" s="18">
        <f t="shared" si="87"/>
        <v>1.6263428827849697</v>
      </c>
      <c r="AN611" s="18">
        <v>-42.300244999999997</v>
      </c>
      <c r="AO611" s="18">
        <v>147.37099900000001</v>
      </c>
      <c r="AP611" s="9" t="s">
        <v>363</v>
      </c>
      <c r="AQ611" s="9" t="s">
        <v>355</v>
      </c>
      <c r="AR611" s="15">
        <v>1970</v>
      </c>
      <c r="AS611" s="19" t="s">
        <v>898</v>
      </c>
      <c r="AT611" s="10" t="s">
        <v>899</v>
      </c>
      <c r="AU611" s="40">
        <v>878056</v>
      </c>
      <c r="AV611" s="35">
        <f t="shared" si="88"/>
        <v>5.9435222148986115</v>
      </c>
      <c r="AW611" s="37" t="s">
        <v>366</v>
      </c>
      <c r="AX611" s="40">
        <v>0</v>
      </c>
      <c r="AY611" s="40">
        <v>1000</v>
      </c>
      <c r="AZ611" s="15">
        <v>33</v>
      </c>
      <c r="BA611" s="14">
        <f t="shared" si="89"/>
        <v>1.5185139398778875</v>
      </c>
      <c r="BB611" s="37" t="s">
        <v>388</v>
      </c>
      <c r="BC611" s="20">
        <v>1.9651060424169427E-2</v>
      </c>
      <c r="BD611" s="9">
        <v>21.3</v>
      </c>
      <c r="BE611" s="9" t="s">
        <v>368</v>
      </c>
      <c r="BF611" s="9">
        <v>0</v>
      </c>
    </row>
    <row r="612" spans="1:58">
      <c r="A612" s="9">
        <v>293</v>
      </c>
      <c r="B612" s="10" t="s">
        <v>76</v>
      </c>
      <c r="C612" s="10" t="s">
        <v>721</v>
      </c>
      <c r="D612" s="10" t="s">
        <v>722</v>
      </c>
      <c r="E612" s="10" t="s">
        <v>723</v>
      </c>
      <c r="F612" s="10" t="s">
        <v>721</v>
      </c>
      <c r="G612" s="10" t="s">
        <v>722</v>
      </c>
      <c r="H612" s="10" t="s">
        <v>723</v>
      </c>
      <c r="I612" s="10" t="s">
        <v>721</v>
      </c>
      <c r="J612" s="10" t="s">
        <v>722</v>
      </c>
      <c r="K612" s="10" t="s">
        <v>723</v>
      </c>
      <c r="L612" s="9" t="s">
        <v>352</v>
      </c>
      <c r="M612" s="9">
        <v>13</v>
      </c>
      <c r="N612" s="9" t="s">
        <v>381</v>
      </c>
      <c r="O612" s="9" t="s">
        <v>354</v>
      </c>
      <c r="P612" s="12">
        <v>35.5</v>
      </c>
      <c r="Q612" s="12" t="s">
        <v>355</v>
      </c>
      <c r="R612" s="9" t="s">
        <v>356</v>
      </c>
      <c r="S612" s="13">
        <v>14</v>
      </c>
      <c r="T612" s="13">
        <v>14</v>
      </c>
      <c r="U612" s="14">
        <f t="shared" si="81"/>
        <v>1.1760912590556813</v>
      </c>
      <c r="V612" s="15">
        <v>20</v>
      </c>
      <c r="W612" s="12">
        <v>10.078109499999997</v>
      </c>
      <c r="X612" s="12">
        <v>1</v>
      </c>
      <c r="Y612" s="13" t="s">
        <v>384</v>
      </c>
      <c r="Z612" s="9" t="s">
        <v>359</v>
      </c>
      <c r="AA612" s="10" t="s">
        <v>372</v>
      </c>
      <c r="AB612" s="9" t="s">
        <v>417</v>
      </c>
      <c r="AC612" s="15">
        <v>304.7851264858275</v>
      </c>
      <c r="AD612" s="14">
        <f t="shared" si="82"/>
        <v>2.4839937696139525</v>
      </c>
      <c r="AE612" s="10" t="s">
        <v>959</v>
      </c>
      <c r="AF612" s="9" t="s">
        <v>420</v>
      </c>
      <c r="AG612" s="18">
        <v>37.496175000000001</v>
      </c>
      <c r="AH612" s="7">
        <f t="shared" si="83"/>
        <v>1</v>
      </c>
      <c r="AI612" s="7">
        <f t="shared" si="84"/>
        <v>1</v>
      </c>
      <c r="AJ612" s="7">
        <f t="shared" si="85"/>
        <v>0</v>
      </c>
      <c r="AK612" s="7">
        <f t="shared" si="86"/>
        <v>0</v>
      </c>
      <c r="AL612" s="7" t="s">
        <v>4157</v>
      </c>
      <c r="AM612" s="18">
        <f t="shared" si="87"/>
        <v>1.5739869674312112</v>
      </c>
      <c r="AN612" s="18">
        <v>-37.496175000000001</v>
      </c>
      <c r="AO612" s="18">
        <v>148.17353</v>
      </c>
      <c r="AP612" s="9" t="s">
        <v>363</v>
      </c>
      <c r="AQ612" s="9" t="s">
        <v>355</v>
      </c>
      <c r="AR612" s="15">
        <v>1970</v>
      </c>
      <c r="AS612" s="19" t="s">
        <v>898</v>
      </c>
      <c r="AT612" s="10" t="s">
        <v>899</v>
      </c>
      <c r="AU612" s="40">
        <v>878056</v>
      </c>
      <c r="AV612" s="35">
        <f t="shared" si="88"/>
        <v>5.9435222148986115</v>
      </c>
      <c r="AW612" s="37" t="s">
        <v>366</v>
      </c>
      <c r="AX612" s="40">
        <v>0</v>
      </c>
      <c r="AY612" s="40">
        <v>1000</v>
      </c>
      <c r="AZ612" s="15">
        <v>33</v>
      </c>
      <c r="BA612" s="14">
        <f t="shared" si="89"/>
        <v>1.5185139398778875</v>
      </c>
      <c r="BB612" s="37" t="s">
        <v>388</v>
      </c>
      <c r="BC612" s="20">
        <v>1.9120848339335778E-2</v>
      </c>
      <c r="BD612" s="9">
        <v>25.5</v>
      </c>
      <c r="BE612" s="9" t="s">
        <v>368</v>
      </c>
      <c r="BF612" s="9">
        <v>0</v>
      </c>
    </row>
    <row r="613" spans="1:58">
      <c r="A613" s="9">
        <v>299</v>
      </c>
      <c r="B613" s="10" t="s">
        <v>76</v>
      </c>
      <c r="C613" s="10" t="s">
        <v>721</v>
      </c>
      <c r="D613" s="10" t="s">
        <v>722</v>
      </c>
      <c r="E613" s="10" t="s">
        <v>723</v>
      </c>
      <c r="F613" s="10" t="s">
        <v>721</v>
      </c>
      <c r="G613" s="10" t="s">
        <v>722</v>
      </c>
      <c r="H613" s="10" t="s">
        <v>723</v>
      </c>
      <c r="I613" s="10" t="s">
        <v>721</v>
      </c>
      <c r="J613" s="10" t="s">
        <v>722</v>
      </c>
      <c r="K613" s="10" t="s">
        <v>723</v>
      </c>
      <c r="L613" s="9" t="s">
        <v>352</v>
      </c>
      <c r="M613" s="9">
        <v>15</v>
      </c>
      <c r="N613" s="9" t="s">
        <v>381</v>
      </c>
      <c r="O613" s="9" t="s">
        <v>354</v>
      </c>
      <c r="P613" s="12">
        <v>33.5</v>
      </c>
      <c r="Q613" s="12">
        <v>34.6</v>
      </c>
      <c r="R613" s="9" t="s">
        <v>356</v>
      </c>
      <c r="S613" s="13">
        <v>14</v>
      </c>
      <c r="T613" s="13">
        <v>14</v>
      </c>
      <c r="U613" s="14">
        <f t="shared" si="81"/>
        <v>1.1760912590556813</v>
      </c>
      <c r="V613" s="15">
        <v>25</v>
      </c>
      <c r="W613" s="12">
        <v>10.840894699999996</v>
      </c>
      <c r="X613" s="12">
        <v>1</v>
      </c>
      <c r="Y613" s="13" t="s">
        <v>384</v>
      </c>
      <c r="Z613" s="9" t="s">
        <v>359</v>
      </c>
      <c r="AA613" s="10" t="s">
        <v>372</v>
      </c>
      <c r="AB613" s="9" t="s">
        <v>417</v>
      </c>
      <c r="AC613" s="15">
        <v>304.7851264858275</v>
      </c>
      <c r="AD613" s="14">
        <f t="shared" si="82"/>
        <v>2.4839937696139525</v>
      </c>
      <c r="AE613" s="10" t="s">
        <v>961</v>
      </c>
      <c r="AF613" s="9" t="s">
        <v>362</v>
      </c>
      <c r="AG613" s="18">
        <v>42.300244999999997</v>
      </c>
      <c r="AH613" s="7">
        <f t="shared" si="83"/>
        <v>1</v>
      </c>
      <c r="AI613" s="7">
        <f t="shared" si="84"/>
        <v>1</v>
      </c>
      <c r="AJ613" s="7">
        <f t="shared" si="85"/>
        <v>0</v>
      </c>
      <c r="AK613" s="7">
        <f t="shared" si="86"/>
        <v>0</v>
      </c>
      <c r="AL613" s="7" t="s">
        <v>4157</v>
      </c>
      <c r="AM613" s="18">
        <f t="shared" si="87"/>
        <v>1.6263428827849697</v>
      </c>
      <c r="AN613" s="18">
        <v>-42.300244999999997</v>
      </c>
      <c r="AO613" s="18">
        <v>147.37099900000001</v>
      </c>
      <c r="AP613" s="9" t="s">
        <v>363</v>
      </c>
      <c r="AQ613" s="9" t="s">
        <v>355</v>
      </c>
      <c r="AR613" s="15">
        <v>1970</v>
      </c>
      <c r="AS613" s="19" t="s">
        <v>898</v>
      </c>
      <c r="AT613" s="10" t="s">
        <v>899</v>
      </c>
      <c r="AU613" s="40">
        <v>878056</v>
      </c>
      <c r="AV613" s="35">
        <f t="shared" si="88"/>
        <v>5.9435222148986115</v>
      </c>
      <c r="AW613" s="37" t="s">
        <v>366</v>
      </c>
      <c r="AX613" s="40">
        <v>0</v>
      </c>
      <c r="AY613" s="40">
        <v>1000</v>
      </c>
      <c r="AZ613" s="15">
        <v>33</v>
      </c>
      <c r="BA613" s="14">
        <f t="shared" si="89"/>
        <v>1.5185139398778875</v>
      </c>
      <c r="BB613" s="37" t="s">
        <v>388</v>
      </c>
      <c r="BC613" s="20">
        <v>1.9651060424169427E-2</v>
      </c>
      <c r="BD613" s="9">
        <v>21.3</v>
      </c>
      <c r="BE613" s="9" t="s">
        <v>368</v>
      </c>
      <c r="BF613" s="9">
        <v>0</v>
      </c>
    </row>
    <row r="614" spans="1:58">
      <c r="A614" s="9">
        <v>285</v>
      </c>
      <c r="B614" s="10" t="s">
        <v>76</v>
      </c>
      <c r="C614" s="10" t="s">
        <v>721</v>
      </c>
      <c r="D614" s="10" t="s">
        <v>722</v>
      </c>
      <c r="E614" s="10" t="s">
        <v>723</v>
      </c>
      <c r="F614" s="10" t="s">
        <v>721</v>
      </c>
      <c r="G614" s="10" t="s">
        <v>722</v>
      </c>
      <c r="H614" s="10" t="s">
        <v>723</v>
      </c>
      <c r="I614" s="10" t="s">
        <v>721</v>
      </c>
      <c r="J614" s="10" t="s">
        <v>722</v>
      </c>
      <c r="K614" s="10" t="s">
        <v>723</v>
      </c>
      <c r="L614" s="9" t="s">
        <v>352</v>
      </c>
      <c r="M614" s="9">
        <v>9</v>
      </c>
      <c r="N614" s="9" t="s">
        <v>353</v>
      </c>
      <c r="O614" s="9" t="s">
        <v>354</v>
      </c>
      <c r="P614" s="12">
        <v>32.299999999999997</v>
      </c>
      <c r="Q614" s="12">
        <v>33.1</v>
      </c>
      <c r="R614" s="9" t="s">
        <v>356</v>
      </c>
      <c r="S614" s="13">
        <v>14</v>
      </c>
      <c r="T614" s="13">
        <v>14</v>
      </c>
      <c r="U614" s="14">
        <f t="shared" si="81"/>
        <v>1.1760912590556813</v>
      </c>
      <c r="V614" s="15">
        <v>5</v>
      </c>
      <c r="W614" s="12">
        <v>8.7151258999999968</v>
      </c>
      <c r="X614" s="12">
        <v>1</v>
      </c>
      <c r="Y614" s="13" t="s">
        <v>384</v>
      </c>
      <c r="Z614" s="9" t="s">
        <v>359</v>
      </c>
      <c r="AA614" s="10" t="s">
        <v>372</v>
      </c>
      <c r="AB614" s="9" t="s">
        <v>417</v>
      </c>
      <c r="AC614" s="15">
        <v>761.96281621456865</v>
      </c>
      <c r="AD614" s="14">
        <f t="shared" si="82"/>
        <v>2.88193377828599</v>
      </c>
      <c r="AE614" s="10" t="s">
        <v>962</v>
      </c>
      <c r="AF614" s="9" t="s">
        <v>420</v>
      </c>
      <c r="AG614" s="18">
        <v>30.514343</v>
      </c>
      <c r="AH614" s="7">
        <f t="shared" si="83"/>
        <v>1</v>
      </c>
      <c r="AI614" s="7">
        <f t="shared" si="84"/>
        <v>1</v>
      </c>
      <c r="AJ614" s="7">
        <f t="shared" si="85"/>
        <v>0</v>
      </c>
      <c r="AK614" s="7">
        <f t="shared" si="86"/>
        <v>0</v>
      </c>
      <c r="AL614" s="7" t="s">
        <v>4157</v>
      </c>
      <c r="AM614" s="18">
        <f t="shared" si="87"/>
        <v>1.4845040236602571</v>
      </c>
      <c r="AN614" s="18">
        <v>-30.514343</v>
      </c>
      <c r="AO614" s="18">
        <v>151.66696400000001</v>
      </c>
      <c r="AP614" s="9" t="s">
        <v>363</v>
      </c>
      <c r="AQ614" s="9" t="s">
        <v>355</v>
      </c>
      <c r="AR614" s="15">
        <v>1970</v>
      </c>
      <c r="AS614" s="19" t="s">
        <v>898</v>
      </c>
      <c r="AT614" s="10" t="s">
        <v>899</v>
      </c>
      <c r="AU614" s="40">
        <v>878056</v>
      </c>
      <c r="AV614" s="35">
        <f t="shared" si="88"/>
        <v>5.9435222148986115</v>
      </c>
      <c r="AW614" s="37" t="s">
        <v>366</v>
      </c>
      <c r="AX614" s="40">
        <v>0</v>
      </c>
      <c r="AY614" s="40">
        <v>1000</v>
      </c>
      <c r="AZ614" s="15">
        <v>33</v>
      </c>
      <c r="BA614" s="14">
        <f t="shared" si="89"/>
        <v>1.5185139398778875</v>
      </c>
      <c r="BB614" s="37" t="s">
        <v>388</v>
      </c>
      <c r="BC614" s="20">
        <v>1.6987194877951452E-2</v>
      </c>
      <c r="BD614" s="9">
        <v>26.1</v>
      </c>
      <c r="BE614" s="9" t="s">
        <v>368</v>
      </c>
      <c r="BF614" s="9">
        <v>0</v>
      </c>
    </row>
    <row r="615" spans="1:58">
      <c r="A615" s="9">
        <v>286</v>
      </c>
      <c r="B615" s="10" t="s">
        <v>76</v>
      </c>
      <c r="C615" s="10" t="s">
        <v>721</v>
      </c>
      <c r="D615" s="10" t="s">
        <v>722</v>
      </c>
      <c r="E615" s="10" t="s">
        <v>723</v>
      </c>
      <c r="F615" s="10" t="s">
        <v>721</v>
      </c>
      <c r="G615" s="10" t="s">
        <v>722</v>
      </c>
      <c r="H615" s="10" t="s">
        <v>723</v>
      </c>
      <c r="I615" s="10" t="s">
        <v>721</v>
      </c>
      <c r="J615" s="10" t="s">
        <v>722</v>
      </c>
      <c r="K615" s="10" t="s">
        <v>723</v>
      </c>
      <c r="L615" s="9" t="s">
        <v>352</v>
      </c>
      <c r="M615" s="9">
        <v>9</v>
      </c>
      <c r="N615" s="9" t="s">
        <v>353</v>
      </c>
      <c r="O615" s="9" t="s">
        <v>354</v>
      </c>
      <c r="P615" s="12">
        <v>35.299999999999997</v>
      </c>
      <c r="Q615" s="12">
        <v>36.700000000000003</v>
      </c>
      <c r="R615" s="9" t="s">
        <v>356</v>
      </c>
      <c r="S615" s="13">
        <v>14</v>
      </c>
      <c r="T615" s="13">
        <v>14</v>
      </c>
      <c r="U615" s="14">
        <f t="shared" si="81"/>
        <v>1.1760912590556813</v>
      </c>
      <c r="V615" s="15">
        <v>25</v>
      </c>
      <c r="W615" s="12">
        <v>8.5907458999999946</v>
      </c>
      <c r="X615" s="12">
        <v>1</v>
      </c>
      <c r="Y615" s="13" t="s">
        <v>384</v>
      </c>
      <c r="Z615" s="9" t="s">
        <v>359</v>
      </c>
      <c r="AA615" s="10" t="s">
        <v>372</v>
      </c>
      <c r="AB615" s="9" t="s">
        <v>417</v>
      </c>
      <c r="AC615" s="15">
        <v>761.96281621456865</v>
      </c>
      <c r="AD615" s="14">
        <f t="shared" si="82"/>
        <v>2.88193377828599</v>
      </c>
      <c r="AE615" s="10" t="s">
        <v>962</v>
      </c>
      <c r="AF615" s="9" t="s">
        <v>420</v>
      </c>
      <c r="AG615" s="18">
        <v>30.514343</v>
      </c>
      <c r="AH615" s="7">
        <f t="shared" si="83"/>
        <v>1</v>
      </c>
      <c r="AI615" s="7">
        <f t="shared" si="84"/>
        <v>1</v>
      </c>
      <c r="AJ615" s="7">
        <f t="shared" si="85"/>
        <v>0</v>
      </c>
      <c r="AK615" s="7">
        <f t="shared" si="86"/>
        <v>0</v>
      </c>
      <c r="AL615" s="7" t="s">
        <v>4157</v>
      </c>
      <c r="AM615" s="18">
        <f t="shared" si="87"/>
        <v>1.4845040236602571</v>
      </c>
      <c r="AN615" s="18">
        <v>-30.514343</v>
      </c>
      <c r="AO615" s="18">
        <v>151.66696400000001</v>
      </c>
      <c r="AP615" s="9" t="s">
        <v>363</v>
      </c>
      <c r="AQ615" s="9" t="s">
        <v>355</v>
      </c>
      <c r="AR615" s="15">
        <v>1970</v>
      </c>
      <c r="AS615" s="19" t="s">
        <v>898</v>
      </c>
      <c r="AT615" s="10" t="s">
        <v>899</v>
      </c>
      <c r="AU615" s="40">
        <v>878056</v>
      </c>
      <c r="AV615" s="35">
        <f t="shared" si="88"/>
        <v>5.9435222148986115</v>
      </c>
      <c r="AW615" s="37" t="s">
        <v>366</v>
      </c>
      <c r="AX615" s="40">
        <v>0</v>
      </c>
      <c r="AY615" s="40">
        <v>1000</v>
      </c>
      <c r="AZ615" s="15">
        <v>33</v>
      </c>
      <c r="BA615" s="14">
        <f t="shared" si="89"/>
        <v>1.5185139398778875</v>
      </c>
      <c r="BB615" s="37" t="s">
        <v>388</v>
      </c>
      <c r="BC615" s="20">
        <v>1.6987194877951452E-2</v>
      </c>
      <c r="BD615" s="9">
        <v>26.1</v>
      </c>
      <c r="BE615" s="9" t="s">
        <v>368</v>
      </c>
      <c r="BF615" s="9">
        <v>0</v>
      </c>
    </row>
    <row r="616" spans="1:58">
      <c r="A616" s="9">
        <v>288</v>
      </c>
      <c r="B616" s="10" t="s">
        <v>76</v>
      </c>
      <c r="C616" s="10" t="s">
        <v>721</v>
      </c>
      <c r="D616" s="10" t="s">
        <v>722</v>
      </c>
      <c r="E616" s="10" t="s">
        <v>723</v>
      </c>
      <c r="F616" s="10" t="s">
        <v>721</v>
      </c>
      <c r="G616" s="10" t="s">
        <v>722</v>
      </c>
      <c r="H616" s="10" t="s">
        <v>723</v>
      </c>
      <c r="I616" s="10" t="s">
        <v>721</v>
      </c>
      <c r="J616" s="10" t="s">
        <v>722</v>
      </c>
      <c r="K616" s="10" t="s">
        <v>723</v>
      </c>
      <c r="L616" s="9" t="s">
        <v>352</v>
      </c>
      <c r="M616" s="9">
        <v>12</v>
      </c>
      <c r="N616" s="9" t="s">
        <v>381</v>
      </c>
      <c r="O616" s="9" t="s">
        <v>354</v>
      </c>
      <c r="P616" s="12">
        <v>32.299999999999997</v>
      </c>
      <c r="Q616" s="12">
        <v>33.799999999999997</v>
      </c>
      <c r="R616" s="9" t="s">
        <v>356</v>
      </c>
      <c r="S616" s="13">
        <v>14</v>
      </c>
      <c r="T616" s="13">
        <v>14</v>
      </c>
      <c r="U616" s="14">
        <f t="shared" si="81"/>
        <v>1.1760912590556813</v>
      </c>
      <c r="V616" s="15">
        <v>5</v>
      </c>
      <c r="W616" s="12">
        <v>16.899801599999993</v>
      </c>
      <c r="X616" s="12">
        <v>1</v>
      </c>
      <c r="Y616" s="13" t="s">
        <v>384</v>
      </c>
      <c r="Z616" s="9" t="s">
        <v>359</v>
      </c>
      <c r="AA616" s="10" t="s">
        <v>372</v>
      </c>
      <c r="AB616" s="9" t="s">
        <v>417</v>
      </c>
      <c r="AC616" s="15">
        <v>1904.9070405364218</v>
      </c>
      <c r="AD616" s="14">
        <f t="shared" si="82"/>
        <v>3.2798737869580274</v>
      </c>
      <c r="AE616" s="10" t="s">
        <v>963</v>
      </c>
      <c r="AF616" s="9" t="s">
        <v>420</v>
      </c>
      <c r="AG616" s="18">
        <v>36.455916999999999</v>
      </c>
      <c r="AH616" s="7">
        <f t="shared" si="83"/>
        <v>1</v>
      </c>
      <c r="AI616" s="7">
        <f t="shared" si="84"/>
        <v>1</v>
      </c>
      <c r="AJ616" s="7">
        <f t="shared" si="85"/>
        <v>0</v>
      </c>
      <c r="AK616" s="7">
        <f t="shared" si="86"/>
        <v>0</v>
      </c>
      <c r="AL616" s="7" t="s">
        <v>4157</v>
      </c>
      <c r="AM616" s="18">
        <f t="shared" si="87"/>
        <v>1.5617680268075766</v>
      </c>
      <c r="AN616" s="18">
        <v>-36.455916999999999</v>
      </c>
      <c r="AO616" s="18">
        <v>148.263588</v>
      </c>
      <c r="AP616" s="9" t="s">
        <v>363</v>
      </c>
      <c r="AQ616" s="9" t="s">
        <v>355</v>
      </c>
      <c r="AR616" s="15">
        <v>1970</v>
      </c>
      <c r="AS616" s="19" t="s">
        <v>898</v>
      </c>
      <c r="AT616" s="10" t="s">
        <v>899</v>
      </c>
      <c r="AU616" s="40">
        <v>878056</v>
      </c>
      <c r="AV616" s="35">
        <f t="shared" si="88"/>
        <v>5.9435222148986115</v>
      </c>
      <c r="AW616" s="37" t="s">
        <v>366</v>
      </c>
      <c r="AX616" s="40">
        <v>0</v>
      </c>
      <c r="AY616" s="40">
        <v>1000</v>
      </c>
      <c r="AZ616" s="15">
        <v>33</v>
      </c>
      <c r="BA616" s="14">
        <f t="shared" si="89"/>
        <v>1.5185139398778875</v>
      </c>
      <c r="BB616" s="37" t="s">
        <v>388</v>
      </c>
      <c r="BC616" s="20">
        <v>2.5041216486594114E-2</v>
      </c>
      <c r="BD616" s="9">
        <v>16.400000000000002</v>
      </c>
      <c r="BE616" s="9" t="s">
        <v>368</v>
      </c>
      <c r="BF616" s="9">
        <v>0</v>
      </c>
    </row>
    <row r="617" spans="1:58">
      <c r="A617" s="9">
        <v>289</v>
      </c>
      <c r="B617" s="10" t="s">
        <v>76</v>
      </c>
      <c r="C617" s="10" t="s">
        <v>721</v>
      </c>
      <c r="D617" s="10" t="s">
        <v>722</v>
      </c>
      <c r="E617" s="10" t="s">
        <v>723</v>
      </c>
      <c r="F617" s="10" t="s">
        <v>721</v>
      </c>
      <c r="G617" s="10" t="s">
        <v>722</v>
      </c>
      <c r="H617" s="10" t="s">
        <v>723</v>
      </c>
      <c r="I617" s="10" t="s">
        <v>721</v>
      </c>
      <c r="J617" s="10" t="s">
        <v>722</v>
      </c>
      <c r="K617" s="10" t="s">
        <v>723</v>
      </c>
      <c r="L617" s="9" t="s">
        <v>352</v>
      </c>
      <c r="M617" s="9">
        <v>12</v>
      </c>
      <c r="N617" s="9" t="s">
        <v>381</v>
      </c>
      <c r="O617" s="9" t="s">
        <v>354</v>
      </c>
      <c r="P617" s="12">
        <v>34.9</v>
      </c>
      <c r="Q617" s="12">
        <v>35.700000000000003</v>
      </c>
      <c r="R617" s="9" t="s">
        <v>356</v>
      </c>
      <c r="S617" s="13">
        <v>14</v>
      </c>
      <c r="T617" s="13">
        <v>14</v>
      </c>
      <c r="U617" s="14">
        <f t="shared" si="81"/>
        <v>1.1760912590556813</v>
      </c>
      <c r="V617" s="15">
        <v>25</v>
      </c>
      <c r="W617" s="12">
        <v>16.375421599999999</v>
      </c>
      <c r="X617" s="12">
        <v>1</v>
      </c>
      <c r="Y617" s="13" t="s">
        <v>384</v>
      </c>
      <c r="Z617" s="9" t="s">
        <v>359</v>
      </c>
      <c r="AA617" s="10" t="s">
        <v>372</v>
      </c>
      <c r="AB617" s="9" t="s">
        <v>417</v>
      </c>
      <c r="AC617" s="15">
        <v>1904.9070405364218</v>
      </c>
      <c r="AD617" s="14">
        <f t="shared" si="82"/>
        <v>3.2798737869580274</v>
      </c>
      <c r="AE617" s="10" t="s">
        <v>963</v>
      </c>
      <c r="AF617" s="9" t="s">
        <v>420</v>
      </c>
      <c r="AG617" s="18">
        <v>36.455916999999999</v>
      </c>
      <c r="AH617" s="7">
        <f t="shared" si="83"/>
        <v>1</v>
      </c>
      <c r="AI617" s="7">
        <f t="shared" si="84"/>
        <v>1</v>
      </c>
      <c r="AJ617" s="7">
        <f t="shared" si="85"/>
        <v>0</v>
      </c>
      <c r="AK617" s="7">
        <f t="shared" si="86"/>
        <v>0</v>
      </c>
      <c r="AL617" s="7" t="s">
        <v>4157</v>
      </c>
      <c r="AM617" s="18">
        <f t="shared" si="87"/>
        <v>1.5617680268075766</v>
      </c>
      <c r="AN617" s="18">
        <v>-36.455916999999999</v>
      </c>
      <c r="AO617" s="18">
        <v>148.263588</v>
      </c>
      <c r="AP617" s="9" t="s">
        <v>363</v>
      </c>
      <c r="AQ617" s="9" t="s">
        <v>355</v>
      </c>
      <c r="AR617" s="15">
        <v>1970</v>
      </c>
      <c r="AS617" s="19" t="s">
        <v>898</v>
      </c>
      <c r="AT617" s="10" t="s">
        <v>899</v>
      </c>
      <c r="AU617" s="40">
        <v>878056</v>
      </c>
      <c r="AV617" s="35">
        <f t="shared" si="88"/>
        <v>5.9435222148986115</v>
      </c>
      <c r="AW617" s="37" t="s">
        <v>366</v>
      </c>
      <c r="AX617" s="40">
        <v>0</v>
      </c>
      <c r="AY617" s="40">
        <v>1000</v>
      </c>
      <c r="AZ617" s="15">
        <v>33</v>
      </c>
      <c r="BA617" s="14">
        <f t="shared" si="89"/>
        <v>1.5185139398778875</v>
      </c>
      <c r="BB617" s="37" t="s">
        <v>388</v>
      </c>
      <c r="BC617" s="20">
        <v>2.5041216486594114E-2</v>
      </c>
      <c r="BD617" s="9">
        <v>16.400000000000002</v>
      </c>
      <c r="BE617" s="9" t="s">
        <v>368</v>
      </c>
      <c r="BF617" s="9">
        <v>0</v>
      </c>
    </row>
    <row r="618" spans="1:58">
      <c r="A618" s="9">
        <v>638</v>
      </c>
      <c r="B618" s="10" t="s">
        <v>348</v>
      </c>
      <c r="C618" s="10" t="s">
        <v>964</v>
      </c>
      <c r="D618" s="20" t="s">
        <v>965</v>
      </c>
      <c r="E618" s="20" t="s">
        <v>966</v>
      </c>
      <c r="F618" s="10" t="s">
        <v>964</v>
      </c>
      <c r="G618" s="20" t="s">
        <v>965</v>
      </c>
      <c r="H618" s="20" t="s">
        <v>966</v>
      </c>
      <c r="I618" s="10" t="s">
        <v>964</v>
      </c>
      <c r="J618" s="20" t="s">
        <v>965</v>
      </c>
      <c r="K618" s="20" t="s">
        <v>966</v>
      </c>
      <c r="L618" s="9" t="s">
        <v>352</v>
      </c>
      <c r="M618" s="9">
        <v>9</v>
      </c>
      <c r="N618" s="9" t="s">
        <v>353</v>
      </c>
      <c r="O618" s="9" t="s">
        <v>354</v>
      </c>
      <c r="P618" s="12">
        <v>32.700000000000003</v>
      </c>
      <c r="Q618" s="12" t="s">
        <v>355</v>
      </c>
      <c r="R618" s="9" t="s">
        <v>356</v>
      </c>
      <c r="S618" s="13" t="s">
        <v>903</v>
      </c>
      <c r="T618" s="13" t="s">
        <v>903</v>
      </c>
      <c r="U618" s="14">
        <f t="shared" si="81"/>
        <v>1.1760912590556813</v>
      </c>
      <c r="V618" s="15">
        <v>5</v>
      </c>
      <c r="W618" s="12">
        <v>3.6305493999999996</v>
      </c>
      <c r="X618" s="12">
        <v>1</v>
      </c>
      <c r="Y618" s="13" t="s">
        <v>355</v>
      </c>
      <c r="Z618" s="9" t="s">
        <v>417</v>
      </c>
      <c r="AA618" s="10" t="s">
        <v>418</v>
      </c>
      <c r="AB618" s="9" t="s">
        <v>355</v>
      </c>
      <c r="AC618" s="15">
        <v>315</v>
      </c>
      <c r="AD618" s="14">
        <f t="shared" si="82"/>
        <v>2.4983105537896004</v>
      </c>
      <c r="AE618" s="10" t="s">
        <v>967</v>
      </c>
      <c r="AF618" s="9" t="s">
        <v>420</v>
      </c>
      <c r="AG618" s="18">
        <v>36.672006000000003</v>
      </c>
      <c r="AH618" s="7">
        <f t="shared" si="83"/>
        <v>1</v>
      </c>
      <c r="AI618" s="7">
        <f t="shared" si="84"/>
        <v>1</v>
      </c>
      <c r="AJ618" s="7">
        <f t="shared" si="85"/>
        <v>0</v>
      </c>
      <c r="AK618" s="7">
        <f t="shared" si="86"/>
        <v>0</v>
      </c>
      <c r="AL618" s="7" t="s">
        <v>4157</v>
      </c>
      <c r="AM618" s="18">
        <f t="shared" si="87"/>
        <v>1.5643346670073057</v>
      </c>
      <c r="AN618" s="18">
        <v>36.672006000000003</v>
      </c>
      <c r="AO618" s="18">
        <v>-92.381361999999996</v>
      </c>
      <c r="AP618" s="9" t="s">
        <v>363</v>
      </c>
      <c r="AQ618" s="9" t="s">
        <v>355</v>
      </c>
      <c r="AR618" s="15">
        <v>1973</v>
      </c>
      <c r="AS618" s="19" t="s">
        <v>968</v>
      </c>
      <c r="AT618" s="10" t="s">
        <v>969</v>
      </c>
      <c r="AU618" s="34">
        <v>512842</v>
      </c>
      <c r="AV618" s="35">
        <f t="shared" si="88"/>
        <v>5.7099835851950589</v>
      </c>
      <c r="AW618" s="36" t="s">
        <v>366</v>
      </c>
      <c r="AX618" s="34" t="s">
        <v>355</v>
      </c>
      <c r="AY618" s="34" t="s">
        <v>355</v>
      </c>
      <c r="AZ618" s="15">
        <v>334</v>
      </c>
      <c r="BA618" s="14">
        <f t="shared" si="89"/>
        <v>2.5237464668115646</v>
      </c>
      <c r="BB618" s="36" t="s">
        <v>343</v>
      </c>
      <c r="BC618" s="20">
        <v>1.0818327330931791E-2</v>
      </c>
      <c r="BD618" s="9">
        <v>32.6</v>
      </c>
      <c r="BE618" s="9" t="s">
        <v>459</v>
      </c>
      <c r="BF618" s="9">
        <v>1</v>
      </c>
    </row>
    <row r="619" spans="1:58">
      <c r="A619" s="9">
        <v>639</v>
      </c>
      <c r="B619" s="10" t="s">
        <v>348</v>
      </c>
      <c r="C619" s="10" t="s">
        <v>964</v>
      </c>
      <c r="D619" s="20" t="s">
        <v>965</v>
      </c>
      <c r="E619" s="20" t="s">
        <v>966</v>
      </c>
      <c r="F619" s="10" t="s">
        <v>964</v>
      </c>
      <c r="G619" s="20" t="s">
        <v>965</v>
      </c>
      <c r="H619" s="20" t="s">
        <v>966</v>
      </c>
      <c r="I619" s="10" t="s">
        <v>964</v>
      </c>
      <c r="J619" s="20" t="s">
        <v>965</v>
      </c>
      <c r="K619" s="20" t="s">
        <v>966</v>
      </c>
      <c r="L619" s="9" t="s">
        <v>352</v>
      </c>
      <c r="M619" s="9">
        <v>10</v>
      </c>
      <c r="N619" s="9" t="s">
        <v>381</v>
      </c>
      <c r="O619" s="9" t="s">
        <v>354</v>
      </c>
      <c r="P619" s="12">
        <v>32.99</v>
      </c>
      <c r="Q619" s="12" t="s">
        <v>355</v>
      </c>
      <c r="R619" s="9" t="s">
        <v>356</v>
      </c>
      <c r="S619" s="13" t="s">
        <v>903</v>
      </c>
      <c r="T619" s="13" t="s">
        <v>903</v>
      </c>
      <c r="U619" s="14">
        <f t="shared" si="81"/>
        <v>1.1760912590556813</v>
      </c>
      <c r="V619" s="15">
        <v>15</v>
      </c>
      <c r="W619" s="12">
        <v>2.3583593999999977</v>
      </c>
      <c r="X619" s="12">
        <v>1</v>
      </c>
      <c r="Y619" s="13" t="s">
        <v>355</v>
      </c>
      <c r="Z619" s="9" t="s">
        <v>417</v>
      </c>
      <c r="AA619" s="10" t="s">
        <v>418</v>
      </c>
      <c r="AB619" s="9" t="s">
        <v>355</v>
      </c>
      <c r="AC619" s="15">
        <v>315</v>
      </c>
      <c r="AD619" s="14">
        <f t="shared" si="82"/>
        <v>2.4983105537896004</v>
      </c>
      <c r="AE619" s="10" t="s">
        <v>967</v>
      </c>
      <c r="AF619" s="9" t="s">
        <v>420</v>
      </c>
      <c r="AG619" s="18">
        <v>36.672006000000003</v>
      </c>
      <c r="AH619" s="7">
        <f t="shared" si="83"/>
        <v>1</v>
      </c>
      <c r="AI619" s="7">
        <f t="shared" si="84"/>
        <v>1</v>
      </c>
      <c r="AJ619" s="7">
        <f t="shared" si="85"/>
        <v>0</v>
      </c>
      <c r="AK619" s="7">
        <f t="shared" si="86"/>
        <v>0</v>
      </c>
      <c r="AL619" s="7" t="s">
        <v>4157</v>
      </c>
      <c r="AM619" s="18">
        <f t="shared" si="87"/>
        <v>1.5643346670073057</v>
      </c>
      <c r="AN619" s="18">
        <v>36.672006000000003</v>
      </c>
      <c r="AO619" s="18">
        <v>-92.381361999999996</v>
      </c>
      <c r="AP619" s="9" t="s">
        <v>363</v>
      </c>
      <c r="AQ619" s="9" t="s">
        <v>355</v>
      </c>
      <c r="AR619" s="15">
        <v>1973</v>
      </c>
      <c r="AS619" s="19" t="s">
        <v>968</v>
      </c>
      <c r="AT619" s="10" t="s">
        <v>969</v>
      </c>
      <c r="AU619" s="34">
        <v>512842</v>
      </c>
      <c r="AV619" s="35">
        <f t="shared" si="88"/>
        <v>5.7099835851950589</v>
      </c>
      <c r="AW619" s="36" t="s">
        <v>366</v>
      </c>
      <c r="AX619" s="34" t="s">
        <v>355</v>
      </c>
      <c r="AY619" s="34" t="s">
        <v>355</v>
      </c>
      <c r="AZ619" s="15">
        <v>334</v>
      </c>
      <c r="BA619" s="14">
        <f t="shared" si="89"/>
        <v>2.5237464668115646</v>
      </c>
      <c r="BB619" s="36" t="s">
        <v>343</v>
      </c>
      <c r="BC619" s="20">
        <v>1.0818327330931791E-2</v>
      </c>
      <c r="BD619" s="9">
        <v>32.6</v>
      </c>
      <c r="BE619" s="9" t="s">
        <v>459</v>
      </c>
      <c r="BF619" s="9">
        <v>1</v>
      </c>
    </row>
    <row r="620" spans="1:58">
      <c r="A620" s="9">
        <v>640</v>
      </c>
      <c r="B620" s="10" t="s">
        <v>348</v>
      </c>
      <c r="C620" s="10" t="s">
        <v>964</v>
      </c>
      <c r="D620" s="20" t="s">
        <v>965</v>
      </c>
      <c r="E620" s="20" t="s">
        <v>966</v>
      </c>
      <c r="F620" s="10" t="s">
        <v>964</v>
      </c>
      <c r="G620" s="20" t="s">
        <v>965</v>
      </c>
      <c r="H620" s="20" t="s">
        <v>966</v>
      </c>
      <c r="I620" s="10" t="s">
        <v>964</v>
      </c>
      <c r="J620" s="20" t="s">
        <v>965</v>
      </c>
      <c r="K620" s="20" t="s">
        <v>966</v>
      </c>
      <c r="L620" s="9" t="s">
        <v>352</v>
      </c>
      <c r="M620" s="9">
        <v>10</v>
      </c>
      <c r="N620" s="9" t="s">
        <v>381</v>
      </c>
      <c r="O620" s="9" t="s">
        <v>354</v>
      </c>
      <c r="P620" s="12">
        <v>36.57</v>
      </c>
      <c r="Q620" s="12" t="s">
        <v>355</v>
      </c>
      <c r="R620" s="9" t="s">
        <v>356</v>
      </c>
      <c r="S620" s="13" t="s">
        <v>903</v>
      </c>
      <c r="T620" s="13" t="s">
        <v>903</v>
      </c>
      <c r="U620" s="14">
        <f t="shared" si="81"/>
        <v>1.1760912590556813</v>
      </c>
      <c r="V620" s="15">
        <v>25</v>
      </c>
      <c r="W620" s="12">
        <v>4.376169400000002</v>
      </c>
      <c r="X620" s="12">
        <v>1</v>
      </c>
      <c r="Y620" s="13" t="s">
        <v>355</v>
      </c>
      <c r="Z620" s="9" t="s">
        <v>417</v>
      </c>
      <c r="AA620" s="10" t="s">
        <v>418</v>
      </c>
      <c r="AB620" s="9" t="s">
        <v>355</v>
      </c>
      <c r="AC620" s="15">
        <v>315</v>
      </c>
      <c r="AD620" s="14">
        <f t="shared" si="82"/>
        <v>2.4983105537896004</v>
      </c>
      <c r="AE620" s="10" t="s">
        <v>967</v>
      </c>
      <c r="AF620" s="9" t="s">
        <v>420</v>
      </c>
      <c r="AG620" s="18">
        <v>36.672006000000003</v>
      </c>
      <c r="AH620" s="7">
        <f t="shared" si="83"/>
        <v>1</v>
      </c>
      <c r="AI620" s="7">
        <f t="shared" si="84"/>
        <v>1</v>
      </c>
      <c r="AJ620" s="7">
        <f t="shared" si="85"/>
        <v>0</v>
      </c>
      <c r="AK620" s="7">
        <f t="shared" si="86"/>
        <v>0</v>
      </c>
      <c r="AL620" s="7" t="s">
        <v>4157</v>
      </c>
      <c r="AM620" s="18">
        <f t="shared" si="87"/>
        <v>1.5643346670073057</v>
      </c>
      <c r="AN620" s="18">
        <v>36.672006000000003</v>
      </c>
      <c r="AO620" s="18">
        <v>-92.381361999999996</v>
      </c>
      <c r="AP620" s="9" t="s">
        <v>363</v>
      </c>
      <c r="AQ620" s="9" t="s">
        <v>355</v>
      </c>
      <c r="AR620" s="15">
        <v>1973</v>
      </c>
      <c r="AS620" s="19" t="s">
        <v>968</v>
      </c>
      <c r="AT620" s="10" t="s">
        <v>969</v>
      </c>
      <c r="AU620" s="34">
        <v>512842</v>
      </c>
      <c r="AV620" s="35">
        <f t="shared" si="88"/>
        <v>5.7099835851950589</v>
      </c>
      <c r="AW620" s="36" t="s">
        <v>366</v>
      </c>
      <c r="AX620" s="34" t="s">
        <v>355</v>
      </c>
      <c r="AY620" s="34" t="s">
        <v>355</v>
      </c>
      <c r="AZ620" s="15">
        <v>334</v>
      </c>
      <c r="BA620" s="14">
        <f t="shared" si="89"/>
        <v>2.5237464668115646</v>
      </c>
      <c r="BB620" s="36" t="s">
        <v>343</v>
      </c>
      <c r="BC620" s="20">
        <v>1.0818327330931791E-2</v>
      </c>
      <c r="BD620" s="9">
        <v>32.6</v>
      </c>
      <c r="BE620" s="9" t="s">
        <v>459</v>
      </c>
      <c r="BF620" s="9">
        <v>1</v>
      </c>
    </row>
    <row r="621" spans="1:58">
      <c r="A621" s="9">
        <v>278</v>
      </c>
      <c r="B621" s="10" t="s">
        <v>76</v>
      </c>
      <c r="C621" s="10" t="s">
        <v>970</v>
      </c>
      <c r="D621" s="20" t="s">
        <v>971</v>
      </c>
      <c r="E621" s="20" t="s">
        <v>972</v>
      </c>
      <c r="F621" s="10" t="s">
        <v>970</v>
      </c>
      <c r="G621" s="20" t="s">
        <v>971</v>
      </c>
      <c r="H621" s="20" t="s">
        <v>972</v>
      </c>
      <c r="I621" s="10" t="s">
        <v>970</v>
      </c>
      <c r="J621" s="20" t="s">
        <v>971</v>
      </c>
      <c r="K621" s="20" t="s">
        <v>972</v>
      </c>
      <c r="L621" s="9" t="s">
        <v>352</v>
      </c>
      <c r="M621" s="9">
        <v>10</v>
      </c>
      <c r="N621" s="9" t="s">
        <v>381</v>
      </c>
      <c r="O621" s="9" t="s">
        <v>455</v>
      </c>
      <c r="P621" s="12">
        <v>34.799999999999997</v>
      </c>
      <c r="Q621" s="12" t="s">
        <v>355</v>
      </c>
      <c r="R621" s="9" t="s">
        <v>356</v>
      </c>
      <c r="S621" s="13" t="s">
        <v>903</v>
      </c>
      <c r="T621" s="13" t="s">
        <v>903</v>
      </c>
      <c r="U621" s="14">
        <f t="shared" si="81"/>
        <v>1.1760912590556813</v>
      </c>
      <c r="V621" s="15">
        <v>26</v>
      </c>
      <c r="W621" s="12">
        <v>3.0405970999999958</v>
      </c>
      <c r="X621" s="12">
        <v>1</v>
      </c>
      <c r="Y621" s="13" t="s">
        <v>904</v>
      </c>
      <c r="Z621" s="9" t="s">
        <v>359</v>
      </c>
      <c r="AA621" s="10" t="s">
        <v>372</v>
      </c>
      <c r="AB621" s="9" t="s">
        <v>355</v>
      </c>
      <c r="AC621" s="15">
        <v>305</v>
      </c>
      <c r="AD621" s="14">
        <f t="shared" si="82"/>
        <v>2.4842998393467859</v>
      </c>
      <c r="AE621" s="10" t="s">
        <v>973</v>
      </c>
      <c r="AF621" s="9" t="s">
        <v>408</v>
      </c>
      <c r="AG621" s="18">
        <v>9.983333</v>
      </c>
      <c r="AH621" s="7">
        <f t="shared" si="83"/>
        <v>0</v>
      </c>
      <c r="AI621" s="7">
        <f t="shared" si="84"/>
        <v>0</v>
      </c>
      <c r="AJ621" s="7">
        <f t="shared" si="85"/>
        <v>0</v>
      </c>
      <c r="AK621" s="7">
        <f t="shared" si="86"/>
        <v>0</v>
      </c>
      <c r="AL621" s="7" t="s">
        <v>4160</v>
      </c>
      <c r="AM621" s="18">
        <f t="shared" si="87"/>
        <v>0.99927555750501706</v>
      </c>
      <c r="AN621" s="18">
        <v>9.983333</v>
      </c>
      <c r="AO621" s="18">
        <v>-83.033332999999999</v>
      </c>
      <c r="AP621" s="9" t="s">
        <v>363</v>
      </c>
      <c r="AQ621" s="9" t="s">
        <v>355</v>
      </c>
      <c r="AR621" s="15">
        <v>1968</v>
      </c>
      <c r="AS621" s="19" t="s">
        <v>906</v>
      </c>
      <c r="AT621" s="20" t="s">
        <v>907</v>
      </c>
      <c r="AU621" s="40">
        <v>111944</v>
      </c>
      <c r="AV621" s="35">
        <f t="shared" si="88"/>
        <v>5.0490008211243174</v>
      </c>
      <c r="AW621" s="37" t="s">
        <v>338</v>
      </c>
      <c r="AX621" s="34" t="s">
        <v>355</v>
      </c>
      <c r="AY621" s="40">
        <v>1000</v>
      </c>
      <c r="AZ621" s="15">
        <v>33</v>
      </c>
      <c r="BA621" s="14">
        <f t="shared" si="89"/>
        <v>1.5185139398778875</v>
      </c>
      <c r="BB621" s="37" t="s">
        <v>367</v>
      </c>
      <c r="BC621" s="20">
        <v>1.764625850340203E-2</v>
      </c>
      <c r="BD621" s="9">
        <v>31.900000000000002</v>
      </c>
      <c r="BE621" s="9" t="s">
        <v>368</v>
      </c>
      <c r="BF621" s="9">
        <v>0</v>
      </c>
    </row>
    <row r="622" spans="1:58">
      <c r="A622" s="9">
        <v>711</v>
      </c>
      <c r="B622" s="10" t="s">
        <v>348</v>
      </c>
      <c r="C622" s="10" t="s">
        <v>349</v>
      </c>
      <c r="D622" s="20" t="s">
        <v>350</v>
      </c>
      <c r="E622" s="20" t="s">
        <v>974</v>
      </c>
      <c r="F622" s="10" t="s">
        <v>349</v>
      </c>
      <c r="G622" s="20" t="s">
        <v>350</v>
      </c>
      <c r="H622" s="20" t="s">
        <v>974</v>
      </c>
      <c r="I622" s="10" t="s">
        <v>349</v>
      </c>
      <c r="J622" s="20" t="s">
        <v>350</v>
      </c>
      <c r="K622" s="20" t="s">
        <v>974</v>
      </c>
      <c r="L622" s="9" t="s">
        <v>352</v>
      </c>
      <c r="M622" s="9">
        <v>10</v>
      </c>
      <c r="N622" s="9" t="s">
        <v>381</v>
      </c>
      <c r="O622" s="9" t="s">
        <v>354</v>
      </c>
      <c r="P622" s="12">
        <v>32.32</v>
      </c>
      <c r="Q622" s="12" t="s">
        <v>355</v>
      </c>
      <c r="R622" s="9" t="s">
        <v>356</v>
      </c>
      <c r="S622" s="13" t="s">
        <v>903</v>
      </c>
      <c r="T622" s="13" t="s">
        <v>903</v>
      </c>
      <c r="U622" s="14">
        <f t="shared" si="81"/>
        <v>1.1760912590556813</v>
      </c>
      <c r="V622" s="15">
        <v>10</v>
      </c>
      <c r="W622" s="12">
        <v>0.95064860000000095</v>
      </c>
      <c r="X622" s="12">
        <v>1</v>
      </c>
      <c r="Y622" s="13" t="s">
        <v>358</v>
      </c>
      <c r="Z622" s="9" t="s">
        <v>417</v>
      </c>
      <c r="AA622" s="10" t="s">
        <v>418</v>
      </c>
      <c r="AB622" s="9" t="s">
        <v>355</v>
      </c>
      <c r="AC622" s="15">
        <v>340</v>
      </c>
      <c r="AD622" s="14">
        <f t="shared" si="82"/>
        <v>2.5314789170422549</v>
      </c>
      <c r="AE622" s="10" t="s">
        <v>916</v>
      </c>
      <c r="AF622" s="9" t="s">
        <v>420</v>
      </c>
      <c r="AG622" s="18">
        <v>35.254964000000001</v>
      </c>
      <c r="AH622" s="7">
        <f t="shared" si="83"/>
        <v>1</v>
      </c>
      <c r="AI622" s="7">
        <f t="shared" si="84"/>
        <v>1</v>
      </c>
      <c r="AJ622" s="7">
        <f t="shared" si="85"/>
        <v>0</v>
      </c>
      <c r="AK622" s="7">
        <f t="shared" si="86"/>
        <v>0</v>
      </c>
      <c r="AL622" s="7" t="s">
        <v>4157</v>
      </c>
      <c r="AM622" s="18">
        <f t="shared" si="87"/>
        <v>1.5472202755409485</v>
      </c>
      <c r="AN622" s="18">
        <v>35.254964000000001</v>
      </c>
      <c r="AO622" s="18">
        <v>-97.351656000000006</v>
      </c>
      <c r="AP622" s="9" t="s">
        <v>363</v>
      </c>
      <c r="AQ622" s="9" t="s">
        <v>355</v>
      </c>
      <c r="AR622" s="15">
        <v>1997</v>
      </c>
      <c r="AS622" s="19" t="s">
        <v>917</v>
      </c>
      <c r="AT622" s="20" t="s">
        <v>918</v>
      </c>
      <c r="AU622" s="34">
        <v>308477</v>
      </c>
      <c r="AV622" s="35">
        <f t="shared" si="88"/>
        <v>5.4892227886433114</v>
      </c>
      <c r="AW622" s="36" t="s">
        <v>366</v>
      </c>
      <c r="AX622" s="34" t="s">
        <v>355</v>
      </c>
      <c r="AY622" s="34" t="s">
        <v>355</v>
      </c>
      <c r="AZ622" s="15">
        <v>78</v>
      </c>
      <c r="BA622" s="14">
        <f t="shared" si="89"/>
        <v>1.8920946026904804</v>
      </c>
      <c r="BB622" s="36" t="s">
        <v>367</v>
      </c>
      <c r="BC622" s="20">
        <v>3.0460984393757294E-2</v>
      </c>
      <c r="BD622" s="9">
        <v>34.4</v>
      </c>
      <c r="BE622" s="9" t="s">
        <v>368</v>
      </c>
      <c r="BF622" s="9">
        <v>0</v>
      </c>
    </row>
    <row r="623" spans="1:58">
      <c r="A623" s="9">
        <v>816</v>
      </c>
      <c r="B623" s="10" t="s">
        <v>76</v>
      </c>
      <c r="C623" s="10" t="s">
        <v>426</v>
      </c>
      <c r="D623" s="20" t="s">
        <v>463</v>
      </c>
      <c r="E623" s="20" t="s">
        <v>464</v>
      </c>
      <c r="F623" s="10" t="s">
        <v>426</v>
      </c>
      <c r="G623" s="20" t="s">
        <v>463</v>
      </c>
      <c r="H623" s="20" t="s">
        <v>464</v>
      </c>
      <c r="I623" s="10" t="s">
        <v>465</v>
      </c>
      <c r="J623" s="20" t="s">
        <v>463</v>
      </c>
      <c r="K623" s="20" t="s">
        <v>464</v>
      </c>
      <c r="L623" s="9" t="s">
        <v>352</v>
      </c>
      <c r="M623" s="9">
        <v>15</v>
      </c>
      <c r="N623" s="9" t="s">
        <v>381</v>
      </c>
      <c r="O623" s="9" t="s">
        <v>354</v>
      </c>
      <c r="P623" s="12">
        <v>36</v>
      </c>
      <c r="Q623" s="12" t="s">
        <v>355</v>
      </c>
      <c r="R623" s="9" t="s">
        <v>356</v>
      </c>
      <c r="S623" s="13" t="s">
        <v>903</v>
      </c>
      <c r="T623" s="13" t="s">
        <v>903</v>
      </c>
      <c r="U623" s="14">
        <f t="shared" si="81"/>
        <v>1.1760912590556813</v>
      </c>
      <c r="V623" s="15">
        <v>20</v>
      </c>
      <c r="W623" s="12">
        <v>7.7936322000000011</v>
      </c>
      <c r="X623" s="12">
        <v>0.75</v>
      </c>
      <c r="Y623" s="13" t="s">
        <v>358</v>
      </c>
      <c r="Z623" s="9" t="s">
        <v>359</v>
      </c>
      <c r="AA623" s="10" t="s">
        <v>466</v>
      </c>
      <c r="AB623" s="9" t="s">
        <v>355</v>
      </c>
      <c r="AC623" s="15">
        <v>276</v>
      </c>
      <c r="AD623" s="14">
        <f t="shared" si="82"/>
        <v>2.4409090820652177</v>
      </c>
      <c r="AE623" s="10" t="s">
        <v>467</v>
      </c>
      <c r="AF623" s="9" t="s">
        <v>408</v>
      </c>
      <c r="AG623" s="18">
        <v>18.308112999999999</v>
      </c>
      <c r="AH623" s="7">
        <f t="shared" si="83"/>
        <v>1</v>
      </c>
      <c r="AI623" s="7">
        <f t="shared" si="84"/>
        <v>0</v>
      </c>
      <c r="AJ623" s="7">
        <f t="shared" si="85"/>
        <v>0</v>
      </c>
      <c r="AK623" s="7">
        <f t="shared" si="86"/>
        <v>0</v>
      </c>
      <c r="AL623" s="7" t="s">
        <v>4159</v>
      </c>
      <c r="AM623" s="18">
        <f t="shared" si="87"/>
        <v>1.2626435842842658</v>
      </c>
      <c r="AN623" s="18">
        <v>18.308112999999999</v>
      </c>
      <c r="AO623" s="18">
        <v>-76.981244000000004</v>
      </c>
      <c r="AP623" s="9" t="s">
        <v>363</v>
      </c>
      <c r="AQ623" s="9" t="s">
        <v>355</v>
      </c>
      <c r="AR623" s="15">
        <v>1977</v>
      </c>
      <c r="AS623" s="19" t="s">
        <v>468</v>
      </c>
      <c r="AT623" s="20" t="s">
        <v>469</v>
      </c>
      <c r="AU623" s="40">
        <v>6313</v>
      </c>
      <c r="AV623" s="35">
        <f t="shared" si="88"/>
        <v>3.800235789327354</v>
      </c>
      <c r="AW623" s="37" t="s">
        <v>366</v>
      </c>
      <c r="AX623" s="34" t="s">
        <v>355</v>
      </c>
      <c r="AY623" s="40">
        <v>635</v>
      </c>
      <c r="AZ623" s="15">
        <v>37</v>
      </c>
      <c r="BA623" s="14">
        <f t="shared" si="89"/>
        <v>1.568201724066995</v>
      </c>
      <c r="BB623" s="37" t="s">
        <v>367</v>
      </c>
      <c r="BC623" s="20">
        <v>1.0844737895158236E-2</v>
      </c>
      <c r="BD623" s="9">
        <v>28.8</v>
      </c>
      <c r="BE623" s="9" t="s">
        <v>459</v>
      </c>
      <c r="BF623" s="9">
        <v>1</v>
      </c>
    </row>
    <row r="624" spans="1:58">
      <c r="A624" s="9">
        <v>818</v>
      </c>
      <c r="B624" s="10" t="s">
        <v>76</v>
      </c>
      <c r="C624" s="10" t="s">
        <v>426</v>
      </c>
      <c r="D624" s="20" t="s">
        <v>463</v>
      </c>
      <c r="E624" s="20" t="s">
        <v>470</v>
      </c>
      <c r="F624" s="10" t="s">
        <v>426</v>
      </c>
      <c r="G624" s="20" t="s">
        <v>463</v>
      </c>
      <c r="H624" s="20" t="s">
        <v>470</v>
      </c>
      <c r="I624" s="10" t="s">
        <v>465</v>
      </c>
      <c r="J624" s="20" t="s">
        <v>463</v>
      </c>
      <c r="K624" s="20" t="s">
        <v>470</v>
      </c>
      <c r="L624" s="9" t="s">
        <v>352</v>
      </c>
      <c r="M624" s="9">
        <v>15</v>
      </c>
      <c r="N624" s="9" t="s">
        <v>381</v>
      </c>
      <c r="O624" s="9" t="s">
        <v>354</v>
      </c>
      <c r="P624" s="12">
        <v>36</v>
      </c>
      <c r="Q624" s="12" t="s">
        <v>355</v>
      </c>
      <c r="R624" s="9" t="s">
        <v>356</v>
      </c>
      <c r="S624" s="13" t="s">
        <v>903</v>
      </c>
      <c r="T624" s="13" t="s">
        <v>903</v>
      </c>
      <c r="U624" s="14">
        <f t="shared" si="81"/>
        <v>1.1760912590556813</v>
      </c>
      <c r="V624" s="15">
        <v>20</v>
      </c>
      <c r="W624" s="12">
        <v>7.7936322000000011</v>
      </c>
      <c r="X624" s="12">
        <v>0.75</v>
      </c>
      <c r="Y624" s="13" t="s">
        <v>358</v>
      </c>
      <c r="Z624" s="9" t="s">
        <v>359</v>
      </c>
      <c r="AA624" s="10" t="s">
        <v>466</v>
      </c>
      <c r="AB624" s="9" t="s">
        <v>355</v>
      </c>
      <c r="AC624" s="15">
        <v>276</v>
      </c>
      <c r="AD624" s="14">
        <f t="shared" si="82"/>
        <v>2.4409090820652177</v>
      </c>
      <c r="AE624" s="10" t="s">
        <v>467</v>
      </c>
      <c r="AF624" s="9" t="s">
        <v>408</v>
      </c>
      <c r="AG624" s="18">
        <v>18.308112999999999</v>
      </c>
      <c r="AH624" s="7">
        <f t="shared" si="83"/>
        <v>1</v>
      </c>
      <c r="AI624" s="7">
        <f t="shared" si="84"/>
        <v>0</v>
      </c>
      <c r="AJ624" s="7">
        <f t="shared" si="85"/>
        <v>0</v>
      </c>
      <c r="AK624" s="7">
        <f t="shared" si="86"/>
        <v>0</v>
      </c>
      <c r="AL624" s="7" t="s">
        <v>4159</v>
      </c>
      <c r="AM624" s="18">
        <f t="shared" si="87"/>
        <v>1.2626435842842658</v>
      </c>
      <c r="AN624" s="18">
        <v>18.308112999999999</v>
      </c>
      <c r="AO624" s="18">
        <v>-76.981244000000004</v>
      </c>
      <c r="AP624" s="9" t="s">
        <v>363</v>
      </c>
      <c r="AQ624" s="9" t="s">
        <v>355</v>
      </c>
      <c r="AR624" s="15">
        <v>1977</v>
      </c>
      <c r="AS624" s="19" t="s">
        <v>468</v>
      </c>
      <c r="AT624" s="20" t="s">
        <v>469</v>
      </c>
      <c r="AU624" s="40">
        <v>8556</v>
      </c>
      <c r="AV624" s="35">
        <f t="shared" si="88"/>
        <v>3.9322707758994904</v>
      </c>
      <c r="AW624" s="37" t="s">
        <v>366</v>
      </c>
      <c r="AX624" s="34" t="s">
        <v>355</v>
      </c>
      <c r="AY624" s="40">
        <v>1515</v>
      </c>
      <c r="AZ624" s="15">
        <v>25</v>
      </c>
      <c r="BA624" s="14">
        <f t="shared" si="89"/>
        <v>1.3979400086720377</v>
      </c>
      <c r="BB624" s="37" t="s">
        <v>367</v>
      </c>
      <c r="BC624" s="20">
        <v>1.0844737895158236E-2</v>
      </c>
      <c r="BD624" s="9">
        <v>28.8</v>
      </c>
      <c r="BE624" s="9" t="s">
        <v>368</v>
      </c>
      <c r="BF624" s="9">
        <v>0</v>
      </c>
    </row>
    <row r="625" spans="1:58">
      <c r="A625" s="9">
        <v>820</v>
      </c>
      <c r="B625" s="10" t="s">
        <v>76</v>
      </c>
      <c r="C625" s="10" t="s">
        <v>426</v>
      </c>
      <c r="D625" s="20" t="s">
        <v>463</v>
      </c>
      <c r="E625" s="20" t="s">
        <v>471</v>
      </c>
      <c r="F625" s="10" t="s">
        <v>426</v>
      </c>
      <c r="G625" s="20" t="s">
        <v>463</v>
      </c>
      <c r="H625" s="20" t="s">
        <v>471</v>
      </c>
      <c r="I625" s="10" t="s">
        <v>465</v>
      </c>
      <c r="J625" s="20" t="s">
        <v>463</v>
      </c>
      <c r="K625" s="20" t="s">
        <v>471</v>
      </c>
      <c r="L625" s="9" t="s">
        <v>352</v>
      </c>
      <c r="M625" s="9">
        <v>15</v>
      </c>
      <c r="N625" s="9" t="s">
        <v>381</v>
      </c>
      <c r="O625" s="9" t="s">
        <v>354</v>
      </c>
      <c r="P625" s="12">
        <v>39.200000000000003</v>
      </c>
      <c r="Q625" s="12" t="s">
        <v>355</v>
      </c>
      <c r="R625" s="9" t="s">
        <v>356</v>
      </c>
      <c r="S625" s="13" t="s">
        <v>903</v>
      </c>
      <c r="T625" s="13" t="s">
        <v>903</v>
      </c>
      <c r="U625" s="14">
        <f t="shared" si="81"/>
        <v>1.1760912590556813</v>
      </c>
      <c r="V625" s="15">
        <v>20</v>
      </c>
      <c r="W625" s="12">
        <v>10.993632200000004</v>
      </c>
      <c r="X625" s="12">
        <v>0.75</v>
      </c>
      <c r="Y625" s="13" t="s">
        <v>358</v>
      </c>
      <c r="Z625" s="9" t="s">
        <v>359</v>
      </c>
      <c r="AA625" s="10" t="s">
        <v>466</v>
      </c>
      <c r="AB625" s="9" t="s">
        <v>355</v>
      </c>
      <c r="AC625" s="15">
        <v>276</v>
      </c>
      <c r="AD625" s="14">
        <f t="shared" si="82"/>
        <v>2.4409090820652177</v>
      </c>
      <c r="AE625" s="10" t="s">
        <v>467</v>
      </c>
      <c r="AF625" s="9" t="s">
        <v>408</v>
      </c>
      <c r="AG625" s="18">
        <v>18.308112999999999</v>
      </c>
      <c r="AH625" s="7">
        <f t="shared" si="83"/>
        <v>1</v>
      </c>
      <c r="AI625" s="7">
        <f t="shared" si="84"/>
        <v>0</v>
      </c>
      <c r="AJ625" s="7">
        <f t="shared" si="85"/>
        <v>0</v>
      </c>
      <c r="AK625" s="7">
        <f t="shared" si="86"/>
        <v>0</v>
      </c>
      <c r="AL625" s="7" t="s">
        <v>4159</v>
      </c>
      <c r="AM625" s="18">
        <f t="shared" si="87"/>
        <v>1.2626435842842658</v>
      </c>
      <c r="AN625" s="18">
        <v>18.308112999999999</v>
      </c>
      <c r="AO625" s="18">
        <v>-76.981244000000004</v>
      </c>
      <c r="AP625" s="9" t="s">
        <v>363</v>
      </c>
      <c r="AQ625" s="9" t="s">
        <v>355</v>
      </c>
      <c r="AR625" s="15">
        <v>1977</v>
      </c>
      <c r="AS625" s="19" t="s">
        <v>468</v>
      </c>
      <c r="AT625" s="20" t="s">
        <v>469</v>
      </c>
      <c r="AU625" s="40">
        <v>26473</v>
      </c>
      <c r="AV625" s="35">
        <f t="shared" si="88"/>
        <v>4.4228031596473842</v>
      </c>
      <c r="AW625" s="37" t="s">
        <v>338</v>
      </c>
      <c r="AX625" s="40">
        <v>1000</v>
      </c>
      <c r="AY625" s="40" t="s">
        <v>355</v>
      </c>
      <c r="AZ625" s="15">
        <v>33</v>
      </c>
      <c r="BA625" s="14">
        <f t="shared" si="89"/>
        <v>1.5185139398778875</v>
      </c>
      <c r="BB625" s="37" t="s">
        <v>472</v>
      </c>
      <c r="BC625" s="20">
        <v>1.0844737895158236E-2</v>
      </c>
      <c r="BD625" s="9">
        <v>28.8</v>
      </c>
      <c r="BE625" s="9" t="s">
        <v>368</v>
      </c>
      <c r="BF625" s="9">
        <v>0</v>
      </c>
    </row>
    <row r="626" spans="1:58">
      <c r="A626" s="9">
        <v>822</v>
      </c>
      <c r="B626" s="10" t="s">
        <v>76</v>
      </c>
      <c r="C626" s="10" t="s">
        <v>426</v>
      </c>
      <c r="D626" s="20" t="s">
        <v>463</v>
      </c>
      <c r="E626" s="20" t="s">
        <v>473</v>
      </c>
      <c r="F626" s="10" t="s">
        <v>426</v>
      </c>
      <c r="G626" s="20" t="s">
        <v>463</v>
      </c>
      <c r="H626" s="20" t="s">
        <v>473</v>
      </c>
      <c r="I626" s="10" t="s">
        <v>465</v>
      </c>
      <c r="J626" s="20" t="s">
        <v>463</v>
      </c>
      <c r="K626" s="20" t="s">
        <v>473</v>
      </c>
      <c r="L626" s="9" t="s">
        <v>352</v>
      </c>
      <c r="M626" s="9">
        <v>15</v>
      </c>
      <c r="N626" s="9" t="s">
        <v>381</v>
      </c>
      <c r="O626" s="9" t="s">
        <v>354</v>
      </c>
      <c r="P626" s="12">
        <v>38.700000000000003</v>
      </c>
      <c r="Q626" s="12" t="s">
        <v>355</v>
      </c>
      <c r="R626" s="9" t="s">
        <v>356</v>
      </c>
      <c r="S626" s="13" t="s">
        <v>903</v>
      </c>
      <c r="T626" s="13" t="s">
        <v>903</v>
      </c>
      <c r="U626" s="14">
        <f t="shared" si="81"/>
        <v>1.1760912590556813</v>
      </c>
      <c r="V626" s="15">
        <v>20</v>
      </c>
      <c r="W626" s="12">
        <v>10.493632200000004</v>
      </c>
      <c r="X626" s="12">
        <v>0.75</v>
      </c>
      <c r="Y626" s="13" t="s">
        <v>358</v>
      </c>
      <c r="Z626" s="9" t="s">
        <v>359</v>
      </c>
      <c r="AA626" s="10" t="s">
        <v>466</v>
      </c>
      <c r="AB626" s="9" t="s">
        <v>355</v>
      </c>
      <c r="AC626" s="15">
        <v>276</v>
      </c>
      <c r="AD626" s="14">
        <f t="shared" si="82"/>
        <v>2.4409090820652177</v>
      </c>
      <c r="AE626" s="10" t="s">
        <v>467</v>
      </c>
      <c r="AF626" s="9" t="s">
        <v>408</v>
      </c>
      <c r="AG626" s="18">
        <v>18.308112999999999</v>
      </c>
      <c r="AH626" s="7">
        <f t="shared" si="83"/>
        <v>1</v>
      </c>
      <c r="AI626" s="7">
        <f t="shared" si="84"/>
        <v>0</v>
      </c>
      <c r="AJ626" s="7">
        <f t="shared" si="85"/>
        <v>0</v>
      </c>
      <c r="AK626" s="7">
        <f t="shared" si="86"/>
        <v>0</v>
      </c>
      <c r="AL626" s="7" t="s">
        <v>4159</v>
      </c>
      <c r="AM626" s="18">
        <f t="shared" si="87"/>
        <v>1.2626435842842658</v>
      </c>
      <c r="AN626" s="18">
        <v>18.308112999999999</v>
      </c>
      <c r="AO626" s="18">
        <v>-76.981244000000004</v>
      </c>
      <c r="AP626" s="9" t="s">
        <v>363</v>
      </c>
      <c r="AQ626" s="9" t="s">
        <v>355</v>
      </c>
      <c r="AR626" s="15">
        <v>1977</v>
      </c>
      <c r="AS626" s="19" t="s">
        <v>468</v>
      </c>
      <c r="AT626" s="20" t="s">
        <v>469</v>
      </c>
      <c r="AU626" s="40">
        <v>202952</v>
      </c>
      <c r="AV626" s="35">
        <f t="shared" si="88"/>
        <v>5.3073933354497269</v>
      </c>
      <c r="AW626" s="37" t="s">
        <v>338</v>
      </c>
      <c r="AX626" s="34" t="s">
        <v>355</v>
      </c>
      <c r="AY626" s="40">
        <v>727</v>
      </c>
      <c r="AZ626" s="15">
        <v>33</v>
      </c>
      <c r="BA626" s="14">
        <f t="shared" si="89"/>
        <v>1.5185139398778875</v>
      </c>
      <c r="BB626" s="37" t="s">
        <v>367</v>
      </c>
      <c r="BC626" s="20">
        <v>1.0844737895158236E-2</v>
      </c>
      <c r="BD626" s="9">
        <v>28.8</v>
      </c>
      <c r="BE626" s="9" t="s">
        <v>368</v>
      </c>
      <c r="BF626" s="9">
        <v>0</v>
      </c>
    </row>
    <row r="627" spans="1:58">
      <c r="A627" s="9">
        <v>184</v>
      </c>
      <c r="B627" s="10" t="s">
        <v>348</v>
      </c>
      <c r="C627" s="10" t="s">
        <v>349</v>
      </c>
      <c r="D627" s="20" t="s">
        <v>393</v>
      </c>
      <c r="E627" s="20" t="s">
        <v>975</v>
      </c>
      <c r="F627" s="10" t="s">
        <v>349</v>
      </c>
      <c r="G627" s="20" t="s">
        <v>393</v>
      </c>
      <c r="H627" s="20" t="s">
        <v>975</v>
      </c>
      <c r="I627" s="10" t="s">
        <v>349</v>
      </c>
      <c r="J627" s="20" t="s">
        <v>393</v>
      </c>
      <c r="K627" s="20" t="s">
        <v>975</v>
      </c>
      <c r="L627" s="9" t="s">
        <v>352</v>
      </c>
      <c r="M627" s="9">
        <v>13</v>
      </c>
      <c r="N627" s="9" t="s">
        <v>381</v>
      </c>
      <c r="O627" s="9" t="s">
        <v>354</v>
      </c>
      <c r="P627" s="12">
        <v>33.79</v>
      </c>
      <c r="Q627" s="12" t="s">
        <v>355</v>
      </c>
      <c r="R627" s="9" t="s">
        <v>356</v>
      </c>
      <c r="S627" s="13">
        <v>14</v>
      </c>
      <c r="T627" s="13">
        <v>14</v>
      </c>
      <c r="U627" s="14">
        <f t="shared" si="81"/>
        <v>1.1760912590556813</v>
      </c>
      <c r="V627" s="15">
        <v>18</v>
      </c>
      <c r="W627" s="12">
        <v>6.5710949999999997</v>
      </c>
      <c r="X627" s="12" t="s">
        <v>355</v>
      </c>
      <c r="Y627" s="13" t="s">
        <v>355</v>
      </c>
      <c r="Z627" s="9" t="s">
        <v>417</v>
      </c>
      <c r="AA627" s="10" t="s">
        <v>418</v>
      </c>
      <c r="AB627" s="9" t="s">
        <v>355</v>
      </c>
      <c r="AC627" s="15">
        <v>701</v>
      </c>
      <c r="AD627" s="14">
        <f t="shared" si="82"/>
        <v>2.8457180179666586</v>
      </c>
      <c r="AE627" s="10" t="s">
        <v>943</v>
      </c>
      <c r="AF627" s="9" t="s">
        <v>420</v>
      </c>
      <c r="AG627" s="18">
        <v>37.432664000000003</v>
      </c>
      <c r="AH627" s="7">
        <f t="shared" si="83"/>
        <v>1</v>
      </c>
      <c r="AI627" s="7">
        <f t="shared" si="84"/>
        <v>1</v>
      </c>
      <c r="AJ627" s="7">
        <f t="shared" si="85"/>
        <v>0</v>
      </c>
      <c r="AK627" s="7">
        <f t="shared" si="86"/>
        <v>0</v>
      </c>
      <c r="AL627" s="7" t="s">
        <v>4157</v>
      </c>
      <c r="AM627" s="18">
        <f t="shared" si="87"/>
        <v>1.5732507359931196</v>
      </c>
      <c r="AN627" s="18">
        <v>37.432664000000003</v>
      </c>
      <c r="AO627" s="18">
        <v>-80.319950000000006</v>
      </c>
      <c r="AP627" s="9" t="s">
        <v>363</v>
      </c>
      <c r="AQ627" s="9" t="s">
        <v>355</v>
      </c>
      <c r="AR627" s="15">
        <v>1958</v>
      </c>
      <c r="AS627" s="19" t="s">
        <v>944</v>
      </c>
      <c r="AT627" s="20" t="s">
        <v>945</v>
      </c>
      <c r="AU627" s="34">
        <v>848341</v>
      </c>
      <c r="AV627" s="35">
        <f t="shared" si="88"/>
        <v>5.9285704567971029</v>
      </c>
      <c r="AW627" s="36" t="s">
        <v>366</v>
      </c>
      <c r="AX627" s="34" t="s">
        <v>355</v>
      </c>
      <c r="AY627" s="34" t="s">
        <v>355</v>
      </c>
      <c r="AZ627" s="15">
        <v>154</v>
      </c>
      <c r="BA627" s="14">
        <f t="shared" si="89"/>
        <v>2.1875207208364631</v>
      </c>
      <c r="BB627" s="36" t="s">
        <v>367</v>
      </c>
      <c r="BC627" s="20">
        <v>1.2297318927571417E-2</v>
      </c>
      <c r="BD627" s="9">
        <v>28</v>
      </c>
      <c r="BE627" s="9" t="s">
        <v>368</v>
      </c>
      <c r="BF627" s="9">
        <v>0</v>
      </c>
    </row>
    <row r="628" spans="1:58">
      <c r="A628" s="9">
        <v>183</v>
      </c>
      <c r="B628" s="10" t="s">
        <v>348</v>
      </c>
      <c r="C628" s="10" t="s">
        <v>349</v>
      </c>
      <c r="D628" s="20" t="s">
        <v>393</v>
      </c>
      <c r="E628" s="20" t="s">
        <v>976</v>
      </c>
      <c r="F628" s="10" t="s">
        <v>349</v>
      </c>
      <c r="G628" s="20" t="s">
        <v>393</v>
      </c>
      <c r="H628" s="20" t="s">
        <v>976</v>
      </c>
      <c r="I628" s="10" t="s">
        <v>349</v>
      </c>
      <c r="J628" s="20" t="s">
        <v>393</v>
      </c>
      <c r="K628" s="20" t="s">
        <v>976</v>
      </c>
      <c r="L628" s="9" t="s">
        <v>352</v>
      </c>
      <c r="M628" s="9">
        <v>11</v>
      </c>
      <c r="N628" s="9" t="s">
        <v>381</v>
      </c>
      <c r="O628" s="9" t="s">
        <v>354</v>
      </c>
      <c r="P628" s="12">
        <v>34.14</v>
      </c>
      <c r="Q628" s="12" t="s">
        <v>355</v>
      </c>
      <c r="R628" s="9" t="s">
        <v>356</v>
      </c>
      <c r="S628" s="13">
        <v>14</v>
      </c>
      <c r="T628" s="13">
        <v>14</v>
      </c>
      <c r="U628" s="14">
        <f t="shared" si="81"/>
        <v>1.1760912590556813</v>
      </c>
      <c r="V628" s="15">
        <v>18</v>
      </c>
      <c r="W628" s="12">
        <v>6.9210950000000011</v>
      </c>
      <c r="X628" s="12" t="s">
        <v>355</v>
      </c>
      <c r="Y628" s="13" t="s">
        <v>355</v>
      </c>
      <c r="Z628" s="9" t="s">
        <v>417</v>
      </c>
      <c r="AA628" s="10" t="s">
        <v>418</v>
      </c>
      <c r="AB628" s="9" t="s">
        <v>355</v>
      </c>
      <c r="AC628" s="15">
        <v>701</v>
      </c>
      <c r="AD628" s="14">
        <f t="shared" si="82"/>
        <v>2.8457180179666586</v>
      </c>
      <c r="AE628" s="10" t="s">
        <v>943</v>
      </c>
      <c r="AF628" s="9" t="s">
        <v>420</v>
      </c>
      <c r="AG628" s="18">
        <v>37.432664000000003</v>
      </c>
      <c r="AH628" s="7">
        <f t="shared" si="83"/>
        <v>1</v>
      </c>
      <c r="AI628" s="7">
        <f t="shared" si="84"/>
        <v>1</v>
      </c>
      <c r="AJ628" s="7">
        <f t="shared" si="85"/>
        <v>0</v>
      </c>
      <c r="AK628" s="7">
        <f t="shared" si="86"/>
        <v>0</v>
      </c>
      <c r="AL628" s="7" t="s">
        <v>4157</v>
      </c>
      <c r="AM628" s="18">
        <f t="shared" si="87"/>
        <v>1.5732507359931196</v>
      </c>
      <c r="AN628" s="18">
        <v>37.432664000000003</v>
      </c>
      <c r="AO628" s="18">
        <v>-80.319950000000006</v>
      </c>
      <c r="AP628" s="9" t="s">
        <v>363</v>
      </c>
      <c r="AQ628" s="9" t="s">
        <v>355</v>
      </c>
      <c r="AR628" s="15">
        <v>1958</v>
      </c>
      <c r="AS628" s="19" t="s">
        <v>944</v>
      </c>
      <c r="AT628" s="20" t="s">
        <v>945</v>
      </c>
      <c r="AU628" s="34">
        <v>449475</v>
      </c>
      <c r="AV628" s="35">
        <f t="shared" si="88"/>
        <v>5.652705541088185</v>
      </c>
      <c r="AW628" s="36" t="s">
        <v>366</v>
      </c>
      <c r="AX628" s="34" t="s">
        <v>355</v>
      </c>
      <c r="AY628" s="34" t="s">
        <v>355</v>
      </c>
      <c r="AZ628" s="15">
        <v>154</v>
      </c>
      <c r="BA628" s="14">
        <f t="shared" si="89"/>
        <v>2.1875207208364631</v>
      </c>
      <c r="BB628" s="36" t="s">
        <v>367</v>
      </c>
      <c r="BC628" s="20">
        <v>1.2297318927571417E-2</v>
      </c>
      <c r="BD628" s="9">
        <v>28</v>
      </c>
      <c r="BE628" s="9" t="s">
        <v>368</v>
      </c>
      <c r="BF628" s="9">
        <v>0</v>
      </c>
    </row>
    <row r="629" spans="1:58">
      <c r="A629" s="9">
        <v>300</v>
      </c>
      <c r="B629" s="10" t="s">
        <v>76</v>
      </c>
      <c r="C629" s="10" t="s">
        <v>721</v>
      </c>
      <c r="D629" s="10" t="s">
        <v>722</v>
      </c>
      <c r="E629" s="10" t="s">
        <v>595</v>
      </c>
      <c r="F629" s="20" t="s">
        <v>721</v>
      </c>
      <c r="G629" s="20" t="s">
        <v>977</v>
      </c>
      <c r="H629" s="20" t="s">
        <v>595</v>
      </c>
      <c r="I629" s="20" t="s">
        <v>721</v>
      </c>
      <c r="J629" s="20" t="s">
        <v>977</v>
      </c>
      <c r="K629" s="20" t="s">
        <v>595</v>
      </c>
      <c r="L629" s="9" t="s">
        <v>352</v>
      </c>
      <c r="M629" s="9">
        <v>9</v>
      </c>
      <c r="N629" s="9" t="s">
        <v>353</v>
      </c>
      <c r="O629" s="9" t="s">
        <v>354</v>
      </c>
      <c r="P629" s="12">
        <v>30</v>
      </c>
      <c r="Q629" s="12">
        <v>31.4</v>
      </c>
      <c r="R629" s="9" t="s">
        <v>356</v>
      </c>
      <c r="S629" s="13">
        <v>14</v>
      </c>
      <c r="T629" s="13">
        <v>14</v>
      </c>
      <c r="U629" s="14">
        <f t="shared" si="81"/>
        <v>1.1760912590556813</v>
      </c>
      <c r="V629" s="15">
        <v>5</v>
      </c>
      <c r="W629" s="12">
        <v>5.5713448999999997</v>
      </c>
      <c r="X629" s="12">
        <v>1</v>
      </c>
      <c r="Y629" s="13" t="s">
        <v>384</v>
      </c>
      <c r="Z629" s="9" t="s">
        <v>359</v>
      </c>
      <c r="AA629" s="10" t="s">
        <v>372</v>
      </c>
      <c r="AB629" s="9" t="s">
        <v>417</v>
      </c>
      <c r="AC629" s="15">
        <v>304.7851264858275</v>
      </c>
      <c r="AD629" s="14">
        <f t="shared" si="82"/>
        <v>2.4839937696139525</v>
      </c>
      <c r="AE629" s="10" t="s">
        <v>957</v>
      </c>
      <c r="AF629" s="9" t="s">
        <v>420</v>
      </c>
      <c r="AG629" s="18">
        <v>37.133319999999998</v>
      </c>
      <c r="AH629" s="7">
        <f t="shared" si="83"/>
        <v>1</v>
      </c>
      <c r="AI629" s="7">
        <f t="shared" si="84"/>
        <v>1</v>
      </c>
      <c r="AJ629" s="7">
        <f t="shared" si="85"/>
        <v>0</v>
      </c>
      <c r="AK629" s="7">
        <f t="shared" si="86"/>
        <v>0</v>
      </c>
      <c r="AL629" s="7" t="s">
        <v>4157</v>
      </c>
      <c r="AM629" s="18">
        <f t="shared" si="87"/>
        <v>1.5697637801774516</v>
      </c>
      <c r="AN629" s="18">
        <v>-37.133319999999998</v>
      </c>
      <c r="AO629" s="18">
        <v>142.51835800000001</v>
      </c>
      <c r="AP629" s="9" t="s">
        <v>363</v>
      </c>
      <c r="AQ629" s="9" t="s">
        <v>355</v>
      </c>
      <c r="AR629" s="15">
        <v>1970</v>
      </c>
      <c r="AS629" s="19" t="s">
        <v>898</v>
      </c>
      <c r="AT629" s="10" t="s">
        <v>899</v>
      </c>
      <c r="AU629" s="40">
        <v>77273</v>
      </c>
      <c r="AV629" s="35">
        <f t="shared" si="88"/>
        <v>4.8880277733574165</v>
      </c>
      <c r="AW629" s="37" t="s">
        <v>366</v>
      </c>
      <c r="AX629" s="34" t="s">
        <v>355</v>
      </c>
      <c r="AY629" s="40" t="s">
        <v>355</v>
      </c>
      <c r="AZ629" s="15">
        <v>33</v>
      </c>
      <c r="BA629" s="14">
        <f t="shared" si="89"/>
        <v>1.5185139398778875</v>
      </c>
      <c r="BB629" s="37" t="s">
        <v>388</v>
      </c>
      <c r="BC629" s="20">
        <v>2.4296918767506899E-2</v>
      </c>
      <c r="BD629" s="9">
        <v>27.1</v>
      </c>
      <c r="BE629" s="9" t="s">
        <v>368</v>
      </c>
      <c r="BF629" s="9">
        <v>0</v>
      </c>
    </row>
    <row r="630" spans="1:58">
      <c r="A630" s="9">
        <v>301</v>
      </c>
      <c r="B630" s="10" t="s">
        <v>76</v>
      </c>
      <c r="C630" s="10" t="s">
        <v>721</v>
      </c>
      <c r="D630" s="10" t="s">
        <v>722</v>
      </c>
      <c r="E630" s="10" t="s">
        <v>595</v>
      </c>
      <c r="F630" s="20" t="s">
        <v>721</v>
      </c>
      <c r="G630" s="20" t="s">
        <v>977</v>
      </c>
      <c r="H630" s="20" t="s">
        <v>595</v>
      </c>
      <c r="I630" s="20" t="s">
        <v>721</v>
      </c>
      <c r="J630" s="20" t="s">
        <v>977</v>
      </c>
      <c r="K630" s="20" t="s">
        <v>595</v>
      </c>
      <c r="L630" s="9" t="s">
        <v>352</v>
      </c>
      <c r="M630" s="9">
        <v>9</v>
      </c>
      <c r="N630" s="9" t="s">
        <v>353</v>
      </c>
      <c r="O630" s="9" t="s">
        <v>354</v>
      </c>
      <c r="P630" s="12">
        <v>34.6</v>
      </c>
      <c r="Q630" s="12" t="s">
        <v>355</v>
      </c>
      <c r="R630" s="9" t="s">
        <v>356</v>
      </c>
      <c r="S630" s="13">
        <v>14</v>
      </c>
      <c r="T630" s="13">
        <v>14</v>
      </c>
      <c r="U630" s="14">
        <f t="shared" si="81"/>
        <v>1.1760912590556813</v>
      </c>
      <c r="V630" s="15">
        <v>25</v>
      </c>
      <c r="W630" s="12">
        <v>7.046964899999999</v>
      </c>
      <c r="X630" s="12">
        <v>1</v>
      </c>
      <c r="Y630" s="13" t="s">
        <v>384</v>
      </c>
      <c r="Z630" s="9" t="s">
        <v>359</v>
      </c>
      <c r="AA630" s="10" t="s">
        <v>372</v>
      </c>
      <c r="AB630" s="9" t="s">
        <v>417</v>
      </c>
      <c r="AC630" s="15">
        <v>304.7851264858275</v>
      </c>
      <c r="AD630" s="14">
        <f t="shared" si="82"/>
        <v>2.4839937696139525</v>
      </c>
      <c r="AE630" s="10" t="s">
        <v>957</v>
      </c>
      <c r="AF630" s="9" t="s">
        <v>420</v>
      </c>
      <c r="AG630" s="18">
        <v>37.133319999999998</v>
      </c>
      <c r="AH630" s="7">
        <f t="shared" si="83"/>
        <v>1</v>
      </c>
      <c r="AI630" s="7">
        <f t="shared" si="84"/>
        <v>1</v>
      </c>
      <c r="AJ630" s="7">
        <f t="shared" si="85"/>
        <v>0</v>
      </c>
      <c r="AK630" s="7">
        <f t="shared" si="86"/>
        <v>0</v>
      </c>
      <c r="AL630" s="7" t="s">
        <v>4157</v>
      </c>
      <c r="AM630" s="18">
        <f t="shared" si="87"/>
        <v>1.5697637801774516</v>
      </c>
      <c r="AN630" s="18">
        <v>-37.133319999999998</v>
      </c>
      <c r="AO630" s="18">
        <v>142.51835800000001</v>
      </c>
      <c r="AP630" s="9" t="s">
        <v>363</v>
      </c>
      <c r="AQ630" s="9" t="s">
        <v>355</v>
      </c>
      <c r="AR630" s="15">
        <v>1970</v>
      </c>
      <c r="AS630" s="19" t="s">
        <v>898</v>
      </c>
      <c r="AT630" s="10" t="s">
        <v>899</v>
      </c>
      <c r="AU630" s="40">
        <v>77273</v>
      </c>
      <c r="AV630" s="35">
        <f t="shared" si="88"/>
        <v>4.8880277733574165</v>
      </c>
      <c r="AW630" s="37" t="s">
        <v>366</v>
      </c>
      <c r="AX630" s="34" t="s">
        <v>355</v>
      </c>
      <c r="AY630" s="40" t="s">
        <v>355</v>
      </c>
      <c r="AZ630" s="15">
        <v>33</v>
      </c>
      <c r="BA630" s="14">
        <f t="shared" si="89"/>
        <v>1.5185139398778875</v>
      </c>
      <c r="BB630" s="37" t="s">
        <v>388</v>
      </c>
      <c r="BC630" s="20">
        <v>2.4296918767506899E-2</v>
      </c>
      <c r="BD630" s="9">
        <v>27.1</v>
      </c>
      <c r="BE630" s="9" t="s">
        <v>368</v>
      </c>
      <c r="BF630" s="9">
        <v>0</v>
      </c>
    </row>
    <row r="631" spans="1:58">
      <c r="A631" s="9">
        <v>302</v>
      </c>
      <c r="B631" s="10" t="s">
        <v>76</v>
      </c>
      <c r="C631" s="10" t="s">
        <v>721</v>
      </c>
      <c r="D631" s="10" t="s">
        <v>722</v>
      </c>
      <c r="E631" s="10" t="s">
        <v>978</v>
      </c>
      <c r="F631" s="20" t="s">
        <v>721</v>
      </c>
      <c r="G631" s="20" t="s">
        <v>977</v>
      </c>
      <c r="H631" s="10" t="s">
        <v>978</v>
      </c>
      <c r="I631" s="20" t="s">
        <v>721</v>
      </c>
      <c r="J631" s="20" t="s">
        <v>977</v>
      </c>
      <c r="K631" s="10" t="s">
        <v>978</v>
      </c>
      <c r="L631" s="9" t="s">
        <v>352</v>
      </c>
      <c r="M631" s="9">
        <v>45</v>
      </c>
      <c r="N631" s="9" t="s">
        <v>381</v>
      </c>
      <c r="O631" s="9" t="s">
        <v>354</v>
      </c>
      <c r="P631" s="12">
        <v>33</v>
      </c>
      <c r="Q631" s="12">
        <v>34.4</v>
      </c>
      <c r="R631" s="9" t="s">
        <v>356</v>
      </c>
      <c r="S631" s="13">
        <v>14</v>
      </c>
      <c r="T631" s="13">
        <v>14</v>
      </c>
      <c r="U631" s="14">
        <f t="shared" si="81"/>
        <v>1.1760912590556813</v>
      </c>
      <c r="V631" s="15">
        <v>10</v>
      </c>
      <c r="W631" s="12">
        <v>6.2714441000000001</v>
      </c>
      <c r="X631" s="12">
        <v>1</v>
      </c>
      <c r="Y631" s="13" t="s">
        <v>384</v>
      </c>
      <c r="Z631" s="9" t="s">
        <v>359</v>
      </c>
      <c r="AA631" s="10" t="s">
        <v>372</v>
      </c>
      <c r="AB631" s="9" t="s">
        <v>417</v>
      </c>
      <c r="AC631" s="15">
        <v>304.7851264858275</v>
      </c>
      <c r="AD631" s="14">
        <f t="shared" si="82"/>
        <v>2.4839937696139525</v>
      </c>
      <c r="AE631" s="10" t="s">
        <v>979</v>
      </c>
      <c r="AF631" s="9" t="s">
        <v>420</v>
      </c>
      <c r="AG631" s="18">
        <v>36.758710999999998</v>
      </c>
      <c r="AH631" s="7">
        <f t="shared" si="83"/>
        <v>1</v>
      </c>
      <c r="AI631" s="7">
        <f t="shared" si="84"/>
        <v>1</v>
      </c>
      <c r="AJ631" s="7">
        <f t="shared" si="85"/>
        <v>0</v>
      </c>
      <c r="AK631" s="7">
        <f t="shared" si="86"/>
        <v>0</v>
      </c>
      <c r="AL631" s="7" t="s">
        <v>4157</v>
      </c>
      <c r="AM631" s="18">
        <f t="shared" si="87"/>
        <v>1.565360273785829</v>
      </c>
      <c r="AN631" s="18">
        <v>-36.758710999999998</v>
      </c>
      <c r="AO631" s="18">
        <v>144.28374600000001</v>
      </c>
      <c r="AP631" s="9" t="s">
        <v>363</v>
      </c>
      <c r="AQ631" s="9" t="s">
        <v>355</v>
      </c>
      <c r="AR631" s="15">
        <v>1970</v>
      </c>
      <c r="AS631" s="19" t="s">
        <v>898</v>
      </c>
      <c r="AT631" s="10" t="s">
        <v>899</v>
      </c>
      <c r="AU631" s="40">
        <v>115079</v>
      </c>
      <c r="AV631" s="35">
        <f t="shared" si="88"/>
        <v>5.0609960793534219</v>
      </c>
      <c r="AW631" s="37" t="s">
        <v>366</v>
      </c>
      <c r="AX631" s="34" t="s">
        <v>355</v>
      </c>
      <c r="AY631" s="40">
        <v>1500</v>
      </c>
      <c r="AZ631" s="15">
        <v>33</v>
      </c>
      <c r="BA631" s="14">
        <f t="shared" si="89"/>
        <v>1.5185139398778875</v>
      </c>
      <c r="BB631" s="37" t="s">
        <v>388</v>
      </c>
      <c r="BC631" s="20">
        <v>1.6925170068026636E-2</v>
      </c>
      <c r="BD631" s="9">
        <v>28.900000000000002</v>
      </c>
      <c r="BE631" s="9" t="s">
        <v>368</v>
      </c>
      <c r="BF631" s="9">
        <v>0</v>
      </c>
    </row>
    <row r="632" spans="1:58">
      <c r="A632" s="9">
        <v>303</v>
      </c>
      <c r="B632" s="10" t="s">
        <v>76</v>
      </c>
      <c r="C632" s="10" t="s">
        <v>721</v>
      </c>
      <c r="D632" s="10" t="s">
        <v>722</v>
      </c>
      <c r="E632" s="10" t="s">
        <v>978</v>
      </c>
      <c r="F632" s="20" t="s">
        <v>721</v>
      </c>
      <c r="G632" s="20" t="s">
        <v>977</v>
      </c>
      <c r="H632" s="10" t="s">
        <v>978</v>
      </c>
      <c r="I632" s="20" t="s">
        <v>721</v>
      </c>
      <c r="J632" s="20" t="s">
        <v>977</v>
      </c>
      <c r="K632" s="10" t="s">
        <v>978</v>
      </c>
      <c r="L632" s="9" t="s">
        <v>352</v>
      </c>
      <c r="M632" s="9">
        <v>45</v>
      </c>
      <c r="N632" s="9" t="s">
        <v>381</v>
      </c>
      <c r="O632" s="9" t="s">
        <v>354</v>
      </c>
      <c r="P632" s="12">
        <v>35</v>
      </c>
      <c r="Q632" s="12">
        <v>36.299999999999997</v>
      </c>
      <c r="R632" s="9" t="s">
        <v>356</v>
      </c>
      <c r="S632" s="13">
        <v>14</v>
      </c>
      <c r="T632" s="13">
        <v>14</v>
      </c>
      <c r="U632" s="14">
        <f t="shared" si="81"/>
        <v>1.1760912590556813</v>
      </c>
      <c r="V632" s="15">
        <v>25</v>
      </c>
      <c r="W632" s="12">
        <v>5.9281590999999985</v>
      </c>
      <c r="X632" s="12">
        <v>1</v>
      </c>
      <c r="Y632" s="13" t="s">
        <v>384</v>
      </c>
      <c r="Z632" s="9" t="s">
        <v>359</v>
      </c>
      <c r="AA632" s="10" t="s">
        <v>372</v>
      </c>
      <c r="AB632" s="9" t="s">
        <v>417</v>
      </c>
      <c r="AC632" s="15">
        <v>304.7851264858275</v>
      </c>
      <c r="AD632" s="14">
        <f t="shared" si="82"/>
        <v>2.4839937696139525</v>
      </c>
      <c r="AE632" s="10" t="s">
        <v>979</v>
      </c>
      <c r="AF632" s="9" t="s">
        <v>420</v>
      </c>
      <c r="AG632" s="18">
        <v>36.758710999999998</v>
      </c>
      <c r="AH632" s="7">
        <f t="shared" si="83"/>
        <v>1</v>
      </c>
      <c r="AI632" s="7">
        <f t="shared" si="84"/>
        <v>1</v>
      </c>
      <c r="AJ632" s="7">
        <f t="shared" si="85"/>
        <v>0</v>
      </c>
      <c r="AK632" s="7">
        <f t="shared" si="86"/>
        <v>0</v>
      </c>
      <c r="AL632" s="7" t="s">
        <v>4157</v>
      </c>
      <c r="AM632" s="18">
        <f t="shared" si="87"/>
        <v>1.565360273785829</v>
      </c>
      <c r="AN632" s="18">
        <v>-36.758710999999998</v>
      </c>
      <c r="AO632" s="18">
        <v>144.28374600000001</v>
      </c>
      <c r="AP632" s="9" t="s">
        <v>363</v>
      </c>
      <c r="AQ632" s="9" t="s">
        <v>355</v>
      </c>
      <c r="AR632" s="15">
        <v>1970</v>
      </c>
      <c r="AS632" s="19" t="s">
        <v>898</v>
      </c>
      <c r="AT632" s="10" t="s">
        <v>899</v>
      </c>
      <c r="AU632" s="40">
        <v>115079</v>
      </c>
      <c r="AV632" s="35">
        <f t="shared" si="88"/>
        <v>5.0609960793534219</v>
      </c>
      <c r="AW632" s="37" t="s">
        <v>366</v>
      </c>
      <c r="AX632" s="34" t="s">
        <v>355</v>
      </c>
      <c r="AY632" s="40">
        <v>1500</v>
      </c>
      <c r="AZ632" s="15">
        <v>33</v>
      </c>
      <c r="BA632" s="14">
        <f t="shared" si="89"/>
        <v>1.5185139398778875</v>
      </c>
      <c r="BB632" s="37" t="s">
        <v>388</v>
      </c>
      <c r="BC632" s="20">
        <v>1.6925170068026636E-2</v>
      </c>
      <c r="BD632" s="9">
        <v>28.900000000000002</v>
      </c>
      <c r="BE632" s="9" t="s">
        <v>368</v>
      </c>
      <c r="BF632" s="9">
        <v>0</v>
      </c>
    </row>
    <row r="633" spans="1:58">
      <c r="A633" s="9">
        <v>304</v>
      </c>
      <c r="B633" s="10" t="s">
        <v>76</v>
      </c>
      <c r="C633" s="10" t="s">
        <v>721</v>
      </c>
      <c r="D633" s="10" t="s">
        <v>722</v>
      </c>
      <c r="E633" s="10" t="s">
        <v>978</v>
      </c>
      <c r="F633" s="20" t="s">
        <v>721</v>
      </c>
      <c r="G633" s="20" t="s">
        <v>977</v>
      </c>
      <c r="H633" s="10" t="s">
        <v>978</v>
      </c>
      <c r="I633" s="20" t="s">
        <v>721</v>
      </c>
      <c r="J633" s="20" t="s">
        <v>977</v>
      </c>
      <c r="K633" s="10" t="s">
        <v>978</v>
      </c>
      <c r="L633" s="9" t="s">
        <v>352</v>
      </c>
      <c r="M633" s="9">
        <v>1</v>
      </c>
      <c r="N633" s="9" t="s">
        <v>353</v>
      </c>
      <c r="O633" s="9" t="s">
        <v>354</v>
      </c>
      <c r="P633" s="12">
        <v>29.5</v>
      </c>
      <c r="Q633" s="12">
        <v>31.7</v>
      </c>
      <c r="R633" s="9" t="s">
        <v>356</v>
      </c>
      <c r="S633" s="13">
        <v>14</v>
      </c>
      <c r="T633" s="13">
        <v>14</v>
      </c>
      <c r="U633" s="14">
        <f t="shared" si="81"/>
        <v>1.1760912590556813</v>
      </c>
      <c r="V633" s="15">
        <v>5</v>
      </c>
      <c r="W633" s="12">
        <v>11.484080500000001</v>
      </c>
      <c r="X633" s="12">
        <v>1</v>
      </c>
      <c r="Y633" s="13" t="s">
        <v>384</v>
      </c>
      <c r="Z633" s="9" t="s">
        <v>359</v>
      </c>
      <c r="AA633" s="10" t="s">
        <v>372</v>
      </c>
      <c r="AB633" s="9" t="s">
        <v>417</v>
      </c>
      <c r="AC633" s="15">
        <v>1066.7479427003962</v>
      </c>
      <c r="AD633" s="14">
        <f t="shared" si="82"/>
        <v>3.0280618139642281</v>
      </c>
      <c r="AE633" s="10" t="s">
        <v>980</v>
      </c>
      <c r="AF633" s="9" t="s">
        <v>420</v>
      </c>
      <c r="AG633" s="18">
        <v>37.833306</v>
      </c>
      <c r="AH633" s="7">
        <f t="shared" si="83"/>
        <v>1</v>
      </c>
      <c r="AI633" s="7">
        <f t="shared" si="84"/>
        <v>1</v>
      </c>
      <c r="AJ633" s="7">
        <f t="shared" si="85"/>
        <v>0</v>
      </c>
      <c r="AK633" s="7">
        <f t="shared" si="86"/>
        <v>0</v>
      </c>
      <c r="AL633" s="7" t="s">
        <v>4157</v>
      </c>
      <c r="AM633" s="18">
        <f t="shared" si="87"/>
        <v>1.5778742930459515</v>
      </c>
      <c r="AN633" s="18">
        <v>-37.833306</v>
      </c>
      <c r="AO633" s="18">
        <v>146.266671</v>
      </c>
      <c r="AP633" s="9" t="s">
        <v>363</v>
      </c>
      <c r="AQ633" s="9" t="s">
        <v>355</v>
      </c>
      <c r="AR633" s="15">
        <v>1970</v>
      </c>
      <c r="AS633" s="19" t="s">
        <v>898</v>
      </c>
      <c r="AT633" s="10" t="s">
        <v>899</v>
      </c>
      <c r="AU633" s="40">
        <v>115079</v>
      </c>
      <c r="AV633" s="35">
        <f t="shared" si="88"/>
        <v>5.0609960793534219</v>
      </c>
      <c r="AW633" s="37" t="s">
        <v>366</v>
      </c>
      <c r="AX633" s="34" t="s">
        <v>355</v>
      </c>
      <c r="AY633" s="40">
        <v>1500</v>
      </c>
      <c r="AZ633" s="15">
        <v>33</v>
      </c>
      <c r="BA633" s="14">
        <f t="shared" si="89"/>
        <v>1.5185139398778875</v>
      </c>
      <c r="BB633" s="37" t="s">
        <v>388</v>
      </c>
      <c r="BC633" s="20">
        <v>1.1807923169267358E-2</v>
      </c>
      <c r="BD633" s="9">
        <v>19.5</v>
      </c>
      <c r="BE633" s="9" t="s">
        <v>368</v>
      </c>
      <c r="BF633" s="9">
        <v>0</v>
      </c>
    </row>
    <row r="634" spans="1:58">
      <c r="A634" s="9">
        <v>716</v>
      </c>
      <c r="B634" s="10" t="s">
        <v>76</v>
      </c>
      <c r="C634" s="10" t="s">
        <v>77</v>
      </c>
      <c r="D634" s="20" t="s">
        <v>501</v>
      </c>
      <c r="E634" s="20" t="s">
        <v>981</v>
      </c>
      <c r="F634" s="10" t="s">
        <v>77</v>
      </c>
      <c r="G634" s="20" t="s">
        <v>501</v>
      </c>
      <c r="H634" s="20" t="s">
        <v>981</v>
      </c>
      <c r="I634" s="10" t="s">
        <v>77</v>
      </c>
      <c r="J634" s="20" t="s">
        <v>501</v>
      </c>
      <c r="K634" s="20" t="s">
        <v>981</v>
      </c>
      <c r="L634" s="9" t="s">
        <v>352</v>
      </c>
      <c r="M634" s="9">
        <v>20</v>
      </c>
      <c r="N634" s="9" t="s">
        <v>381</v>
      </c>
      <c r="O634" s="9" t="s">
        <v>354</v>
      </c>
      <c r="P634" s="12">
        <v>40.81</v>
      </c>
      <c r="Q634" s="12" t="s">
        <v>355</v>
      </c>
      <c r="R634" s="9" t="s">
        <v>356</v>
      </c>
      <c r="S634" s="13" t="s">
        <v>903</v>
      </c>
      <c r="T634" s="13" t="s">
        <v>903</v>
      </c>
      <c r="U634" s="14">
        <f t="shared" si="81"/>
        <v>1.1760912590556813</v>
      </c>
      <c r="V634" s="15">
        <v>10</v>
      </c>
      <c r="W634" s="12">
        <v>9.4406486000000029</v>
      </c>
      <c r="X634" s="12">
        <v>1</v>
      </c>
      <c r="Y634" s="13" t="s">
        <v>358</v>
      </c>
      <c r="Z634" s="9" t="s">
        <v>417</v>
      </c>
      <c r="AA634" s="10" t="s">
        <v>418</v>
      </c>
      <c r="AB634" s="9" t="s">
        <v>355</v>
      </c>
      <c r="AC634" s="15">
        <v>340</v>
      </c>
      <c r="AD634" s="14">
        <f t="shared" si="82"/>
        <v>2.5314789170422549</v>
      </c>
      <c r="AE634" s="10" t="s">
        <v>916</v>
      </c>
      <c r="AF634" s="9" t="s">
        <v>420</v>
      </c>
      <c r="AG634" s="18">
        <v>35.254964000000001</v>
      </c>
      <c r="AH634" s="7">
        <f t="shared" si="83"/>
        <v>1</v>
      </c>
      <c r="AI634" s="7">
        <f t="shared" si="84"/>
        <v>1</v>
      </c>
      <c r="AJ634" s="7">
        <f t="shared" si="85"/>
        <v>0</v>
      </c>
      <c r="AK634" s="7">
        <f t="shared" si="86"/>
        <v>0</v>
      </c>
      <c r="AL634" s="7" t="s">
        <v>4157</v>
      </c>
      <c r="AM634" s="18">
        <f t="shared" si="87"/>
        <v>1.5472202755409485</v>
      </c>
      <c r="AN634" s="18">
        <v>35.254964000000001</v>
      </c>
      <c r="AO634" s="18">
        <v>-97.351656000000006</v>
      </c>
      <c r="AP634" s="9" t="s">
        <v>363</v>
      </c>
      <c r="AQ634" s="9" t="s">
        <v>355</v>
      </c>
      <c r="AR634" s="15">
        <v>1997</v>
      </c>
      <c r="AS634" s="19" t="s">
        <v>917</v>
      </c>
      <c r="AT634" s="20" t="s">
        <v>918</v>
      </c>
      <c r="AU634" s="40">
        <v>3690136</v>
      </c>
      <c r="AV634" s="35">
        <f t="shared" si="88"/>
        <v>6.5670423723815867</v>
      </c>
      <c r="AW634" s="37" t="s">
        <v>366</v>
      </c>
      <c r="AX634" s="34" t="s">
        <v>355</v>
      </c>
      <c r="AY634" s="40" t="s">
        <v>355</v>
      </c>
      <c r="AZ634" s="15">
        <v>33</v>
      </c>
      <c r="BA634" s="14">
        <f t="shared" si="89"/>
        <v>1.5185139398778875</v>
      </c>
      <c r="BB634" s="37" t="s">
        <v>472</v>
      </c>
      <c r="BC634" s="20">
        <v>3.0460984393757294E-2</v>
      </c>
      <c r="BD634" s="9">
        <v>34.4</v>
      </c>
      <c r="BE634" s="9" t="s">
        <v>368</v>
      </c>
      <c r="BF634" s="9">
        <v>0</v>
      </c>
    </row>
    <row r="635" spans="1:58">
      <c r="A635" s="9">
        <v>265</v>
      </c>
      <c r="B635" s="10" t="s">
        <v>76</v>
      </c>
      <c r="C635" s="10" t="s">
        <v>77</v>
      </c>
      <c r="D635" s="20" t="s">
        <v>501</v>
      </c>
      <c r="E635" s="20" t="s">
        <v>982</v>
      </c>
      <c r="F635" s="10" t="s">
        <v>77</v>
      </c>
      <c r="G635" s="20" t="s">
        <v>501</v>
      </c>
      <c r="H635" s="20" t="s">
        <v>982</v>
      </c>
      <c r="I635" s="10" t="s">
        <v>77</v>
      </c>
      <c r="J635" s="20" t="s">
        <v>501</v>
      </c>
      <c r="K635" s="20" t="s">
        <v>982</v>
      </c>
      <c r="L635" s="9" t="s">
        <v>352</v>
      </c>
      <c r="M635" s="9">
        <v>10</v>
      </c>
      <c r="N635" s="9" t="s">
        <v>381</v>
      </c>
      <c r="O635" s="9" t="s">
        <v>455</v>
      </c>
      <c r="P635" s="12">
        <v>35.6</v>
      </c>
      <c r="Q635" s="12" t="s">
        <v>355</v>
      </c>
      <c r="R635" s="9" t="s">
        <v>356</v>
      </c>
      <c r="S635" s="13" t="s">
        <v>903</v>
      </c>
      <c r="T635" s="13" t="s">
        <v>903</v>
      </c>
      <c r="U635" s="14">
        <f t="shared" si="81"/>
        <v>1.1760912590556813</v>
      </c>
      <c r="V635" s="15">
        <v>5</v>
      </c>
      <c r="W635" s="12">
        <v>14.3777127</v>
      </c>
      <c r="X635" s="12">
        <v>1</v>
      </c>
      <c r="Y635" s="13" t="s">
        <v>904</v>
      </c>
      <c r="Z635" s="9" t="s">
        <v>359</v>
      </c>
      <c r="AA635" s="10" t="s">
        <v>372</v>
      </c>
      <c r="AB635" s="9" t="s">
        <v>355</v>
      </c>
      <c r="AC635" s="15">
        <v>2256</v>
      </c>
      <c r="AD635" s="14">
        <f t="shared" si="82"/>
        <v>3.3533390953113047</v>
      </c>
      <c r="AE635" s="10" t="s">
        <v>983</v>
      </c>
      <c r="AF635" s="9" t="s">
        <v>408</v>
      </c>
      <c r="AG635" s="18">
        <v>16.747214</v>
      </c>
      <c r="AH635" s="7">
        <f t="shared" si="83"/>
        <v>1</v>
      </c>
      <c r="AI635" s="7">
        <f t="shared" si="84"/>
        <v>0</v>
      </c>
      <c r="AJ635" s="7">
        <f t="shared" si="85"/>
        <v>0</v>
      </c>
      <c r="AK635" s="7">
        <f t="shared" si="86"/>
        <v>0</v>
      </c>
      <c r="AL635" s="7" t="s">
        <v>4159</v>
      </c>
      <c r="AM635" s="18">
        <f t="shared" si="87"/>
        <v>1.2239425698766386</v>
      </c>
      <c r="AN635" s="18">
        <v>16.747214</v>
      </c>
      <c r="AO635" s="18">
        <v>-92.646527000000006</v>
      </c>
      <c r="AP635" s="9" t="s">
        <v>363</v>
      </c>
      <c r="AQ635" s="9" t="s">
        <v>355</v>
      </c>
      <c r="AR635" s="15">
        <v>1968</v>
      </c>
      <c r="AS635" s="19" t="s">
        <v>906</v>
      </c>
      <c r="AT635" s="20" t="s">
        <v>907</v>
      </c>
      <c r="AU635" s="40">
        <v>2800</v>
      </c>
      <c r="AV635" s="35">
        <f t="shared" si="88"/>
        <v>3.4471580313422194</v>
      </c>
      <c r="AW635" s="37" t="s">
        <v>366</v>
      </c>
      <c r="AX635" s="40">
        <v>1450</v>
      </c>
      <c r="AY635" s="40">
        <v>2340</v>
      </c>
      <c r="AZ635" s="15">
        <v>33</v>
      </c>
      <c r="BA635" s="14">
        <f t="shared" si="89"/>
        <v>1.5185139398778875</v>
      </c>
      <c r="BB635" s="37" t="s">
        <v>367</v>
      </c>
      <c r="BC635" s="20">
        <v>2.7166066426570896E-2</v>
      </c>
      <c r="BD635" s="9">
        <v>23.3</v>
      </c>
      <c r="BE635" s="9" t="s">
        <v>459</v>
      </c>
      <c r="BF635" s="9">
        <v>1</v>
      </c>
    </row>
    <row r="636" spans="1:58">
      <c r="A636" s="9">
        <v>266</v>
      </c>
      <c r="B636" s="10" t="s">
        <v>76</v>
      </c>
      <c r="C636" s="10" t="s">
        <v>77</v>
      </c>
      <c r="D636" s="20" t="s">
        <v>501</v>
      </c>
      <c r="E636" s="20" t="s">
        <v>982</v>
      </c>
      <c r="F636" s="10" t="s">
        <v>77</v>
      </c>
      <c r="G636" s="20" t="s">
        <v>501</v>
      </c>
      <c r="H636" s="20" t="s">
        <v>982</v>
      </c>
      <c r="I636" s="10" t="s">
        <v>77</v>
      </c>
      <c r="J636" s="20" t="s">
        <v>501</v>
      </c>
      <c r="K636" s="20" t="s">
        <v>982</v>
      </c>
      <c r="L636" s="9" t="s">
        <v>352</v>
      </c>
      <c r="M636" s="9">
        <v>10</v>
      </c>
      <c r="N636" s="9" t="s">
        <v>381</v>
      </c>
      <c r="O636" s="9" t="s">
        <v>455</v>
      </c>
      <c r="P636" s="12">
        <v>38.1</v>
      </c>
      <c r="Q636" s="12" t="s">
        <v>355</v>
      </c>
      <c r="R636" s="9" t="s">
        <v>356</v>
      </c>
      <c r="S636" s="13" t="s">
        <v>903</v>
      </c>
      <c r="T636" s="13" t="s">
        <v>903</v>
      </c>
      <c r="U636" s="14">
        <f t="shared" si="81"/>
        <v>1.1760912590556813</v>
      </c>
      <c r="V636" s="15">
        <v>26</v>
      </c>
      <c r="W636" s="12">
        <v>13.597113699999998</v>
      </c>
      <c r="X636" s="12">
        <v>1</v>
      </c>
      <c r="Y636" s="13" t="s">
        <v>904</v>
      </c>
      <c r="Z636" s="9" t="s">
        <v>359</v>
      </c>
      <c r="AA636" s="10" t="s">
        <v>372</v>
      </c>
      <c r="AB636" s="9" t="s">
        <v>355</v>
      </c>
      <c r="AC636" s="15">
        <v>2256</v>
      </c>
      <c r="AD636" s="14">
        <f t="shared" si="82"/>
        <v>3.3533390953113047</v>
      </c>
      <c r="AE636" s="10" t="s">
        <v>983</v>
      </c>
      <c r="AF636" s="9" t="s">
        <v>408</v>
      </c>
      <c r="AG636" s="18">
        <v>16.747214</v>
      </c>
      <c r="AH636" s="7">
        <f t="shared" si="83"/>
        <v>1</v>
      </c>
      <c r="AI636" s="7">
        <f t="shared" si="84"/>
        <v>0</v>
      </c>
      <c r="AJ636" s="7">
        <f t="shared" si="85"/>
        <v>0</v>
      </c>
      <c r="AK636" s="7">
        <f t="shared" si="86"/>
        <v>0</v>
      </c>
      <c r="AL636" s="7" t="s">
        <v>4159</v>
      </c>
      <c r="AM636" s="18">
        <f t="shared" si="87"/>
        <v>1.2239425698766386</v>
      </c>
      <c r="AN636" s="18">
        <v>16.747214</v>
      </c>
      <c r="AO636" s="18">
        <v>-92.646527000000006</v>
      </c>
      <c r="AP636" s="9" t="s">
        <v>363</v>
      </c>
      <c r="AQ636" s="9" t="s">
        <v>355</v>
      </c>
      <c r="AR636" s="15">
        <v>1968</v>
      </c>
      <c r="AS636" s="19" t="s">
        <v>906</v>
      </c>
      <c r="AT636" s="20" t="s">
        <v>907</v>
      </c>
      <c r="AU636" s="40">
        <v>2800</v>
      </c>
      <c r="AV636" s="35">
        <f t="shared" si="88"/>
        <v>3.4471580313422194</v>
      </c>
      <c r="AW636" s="37" t="s">
        <v>366</v>
      </c>
      <c r="AX636" s="40">
        <v>1450</v>
      </c>
      <c r="AY636" s="40">
        <v>2340</v>
      </c>
      <c r="AZ636" s="15">
        <v>33</v>
      </c>
      <c r="BA636" s="14">
        <f t="shared" si="89"/>
        <v>1.5185139398778875</v>
      </c>
      <c r="BB636" s="37" t="s">
        <v>367</v>
      </c>
      <c r="BC636" s="20">
        <v>2.7166066426570896E-2</v>
      </c>
      <c r="BD636" s="9">
        <v>23.3</v>
      </c>
      <c r="BE636" s="9" t="s">
        <v>459</v>
      </c>
      <c r="BF636" s="9">
        <v>1</v>
      </c>
    </row>
    <row r="637" spans="1:58">
      <c r="A637" s="9">
        <v>215</v>
      </c>
      <c r="B637" s="10" t="s">
        <v>76</v>
      </c>
      <c r="C637" s="10" t="s">
        <v>389</v>
      </c>
      <c r="D637" s="20" t="s">
        <v>390</v>
      </c>
      <c r="E637" s="20" t="s">
        <v>984</v>
      </c>
      <c r="F637" s="10" t="s">
        <v>389</v>
      </c>
      <c r="G637" s="20" t="s">
        <v>390</v>
      </c>
      <c r="H637" s="20" t="s">
        <v>984</v>
      </c>
      <c r="I637" s="10" t="s">
        <v>389</v>
      </c>
      <c r="J637" s="20" t="s">
        <v>985</v>
      </c>
      <c r="K637" s="20" t="s">
        <v>984</v>
      </c>
      <c r="L637" s="9" t="s">
        <v>352</v>
      </c>
      <c r="M637" s="9">
        <v>10</v>
      </c>
      <c r="N637" s="9" t="s">
        <v>381</v>
      </c>
      <c r="O637" s="9" t="s">
        <v>455</v>
      </c>
      <c r="P637" s="12">
        <v>35.9</v>
      </c>
      <c r="Q637" s="12" t="s">
        <v>355</v>
      </c>
      <c r="R637" s="9" t="s">
        <v>356</v>
      </c>
      <c r="S637" s="13" t="s">
        <v>903</v>
      </c>
      <c r="T637" s="13" t="s">
        <v>903</v>
      </c>
      <c r="U637" s="14">
        <f t="shared" si="81"/>
        <v>1.1760912590556813</v>
      </c>
      <c r="V637" s="15">
        <v>8</v>
      </c>
      <c r="W637" s="12">
        <v>6.1931361999999979</v>
      </c>
      <c r="X637" s="12">
        <v>1</v>
      </c>
      <c r="Y637" s="13" t="s">
        <v>904</v>
      </c>
      <c r="Z637" s="9" t="s">
        <v>359</v>
      </c>
      <c r="AA637" s="10" t="s">
        <v>372</v>
      </c>
      <c r="AB637" s="9" t="s">
        <v>355</v>
      </c>
      <c r="AC637" s="15">
        <v>305</v>
      </c>
      <c r="AD637" s="14">
        <f t="shared" si="82"/>
        <v>2.4842998393467859</v>
      </c>
      <c r="AE637" s="10" t="s">
        <v>928</v>
      </c>
      <c r="AF637" s="9" t="s">
        <v>420</v>
      </c>
      <c r="AG637" s="18">
        <v>31</v>
      </c>
      <c r="AH637" s="7">
        <f t="shared" si="83"/>
        <v>1</v>
      </c>
      <c r="AI637" s="7">
        <f t="shared" si="84"/>
        <v>1</v>
      </c>
      <c r="AJ637" s="7">
        <f t="shared" si="85"/>
        <v>0</v>
      </c>
      <c r="AK637" s="7">
        <f t="shared" si="86"/>
        <v>0</v>
      </c>
      <c r="AL637" s="7" t="s">
        <v>4157</v>
      </c>
      <c r="AM637" s="18">
        <f t="shared" si="87"/>
        <v>1.4913616938342726</v>
      </c>
      <c r="AN637" s="18">
        <v>31</v>
      </c>
      <c r="AO637" s="18">
        <v>-110.33088100000001</v>
      </c>
      <c r="AP637" s="9" t="s">
        <v>363</v>
      </c>
      <c r="AQ637" s="9" t="s">
        <v>355</v>
      </c>
      <c r="AR637" s="15">
        <v>1968</v>
      </c>
      <c r="AS637" s="19" t="s">
        <v>906</v>
      </c>
      <c r="AT637" s="20" t="s">
        <v>907</v>
      </c>
      <c r="AU637" s="40">
        <v>365204</v>
      </c>
      <c r="AV637" s="35">
        <f t="shared" si="88"/>
        <v>5.5625355256213362</v>
      </c>
      <c r="AW637" s="37" t="s">
        <v>366</v>
      </c>
      <c r="AX637" s="34" t="s">
        <v>355</v>
      </c>
      <c r="AY637" s="40">
        <v>1610</v>
      </c>
      <c r="AZ637" s="15">
        <v>146</v>
      </c>
      <c r="BA637" s="14">
        <f t="shared" si="89"/>
        <v>2.1643528557844371</v>
      </c>
      <c r="BB637" s="37" t="s">
        <v>367</v>
      </c>
      <c r="BC637" s="20">
        <v>3.4967987194877911E-2</v>
      </c>
      <c r="BD637" s="9">
        <v>32.800000000000004</v>
      </c>
      <c r="BE637" s="9" t="s">
        <v>368</v>
      </c>
      <c r="BF637" s="9">
        <v>0</v>
      </c>
    </row>
    <row r="638" spans="1:58">
      <c r="A638" s="9">
        <v>216</v>
      </c>
      <c r="B638" s="10" t="s">
        <v>76</v>
      </c>
      <c r="C638" s="10" t="s">
        <v>389</v>
      </c>
      <c r="D638" s="20" t="s">
        <v>390</v>
      </c>
      <c r="E638" s="20" t="s">
        <v>984</v>
      </c>
      <c r="F638" s="10" t="s">
        <v>389</v>
      </c>
      <c r="G638" s="20" t="s">
        <v>390</v>
      </c>
      <c r="H638" s="20" t="s">
        <v>984</v>
      </c>
      <c r="I638" s="10" t="s">
        <v>389</v>
      </c>
      <c r="J638" s="20" t="s">
        <v>985</v>
      </c>
      <c r="K638" s="20" t="s">
        <v>984</v>
      </c>
      <c r="L638" s="9" t="s">
        <v>352</v>
      </c>
      <c r="M638" s="9">
        <v>10</v>
      </c>
      <c r="N638" s="9" t="s">
        <v>381</v>
      </c>
      <c r="O638" s="9" t="s">
        <v>455</v>
      </c>
      <c r="P638" s="12">
        <v>38.700000000000003</v>
      </c>
      <c r="Q638" s="12" t="s">
        <v>355</v>
      </c>
      <c r="R638" s="9" t="s">
        <v>356</v>
      </c>
      <c r="S638" s="13" t="s">
        <v>903</v>
      </c>
      <c r="T638" s="13" t="s">
        <v>903</v>
      </c>
      <c r="U638" s="14">
        <f t="shared" si="81"/>
        <v>1.1760912590556813</v>
      </c>
      <c r="V638" s="15">
        <v>23</v>
      </c>
      <c r="W638" s="12">
        <v>6.6498512000000005</v>
      </c>
      <c r="X638" s="12">
        <v>1</v>
      </c>
      <c r="Y638" s="13" t="s">
        <v>904</v>
      </c>
      <c r="Z638" s="9" t="s">
        <v>359</v>
      </c>
      <c r="AA638" s="10" t="s">
        <v>372</v>
      </c>
      <c r="AB638" s="9" t="s">
        <v>355</v>
      </c>
      <c r="AC638" s="15">
        <v>305</v>
      </c>
      <c r="AD638" s="14">
        <f t="shared" si="82"/>
        <v>2.4842998393467859</v>
      </c>
      <c r="AE638" s="10" t="s">
        <v>928</v>
      </c>
      <c r="AF638" s="9" t="s">
        <v>420</v>
      </c>
      <c r="AG638" s="18">
        <v>31</v>
      </c>
      <c r="AH638" s="7">
        <f t="shared" si="83"/>
        <v>1</v>
      </c>
      <c r="AI638" s="7">
        <f t="shared" si="84"/>
        <v>1</v>
      </c>
      <c r="AJ638" s="7">
        <f t="shared" si="85"/>
        <v>0</v>
      </c>
      <c r="AK638" s="7">
        <f t="shared" si="86"/>
        <v>0</v>
      </c>
      <c r="AL638" s="7" t="s">
        <v>4157</v>
      </c>
      <c r="AM638" s="18">
        <f t="shared" si="87"/>
        <v>1.4913616938342726</v>
      </c>
      <c r="AN638" s="18">
        <v>31</v>
      </c>
      <c r="AO638" s="18">
        <v>-110.33088100000001</v>
      </c>
      <c r="AP638" s="9" t="s">
        <v>363</v>
      </c>
      <c r="AQ638" s="9" t="s">
        <v>355</v>
      </c>
      <c r="AR638" s="15">
        <v>1968</v>
      </c>
      <c r="AS638" s="19" t="s">
        <v>906</v>
      </c>
      <c r="AT638" s="20" t="s">
        <v>907</v>
      </c>
      <c r="AU638" s="40">
        <v>365204</v>
      </c>
      <c r="AV638" s="35">
        <f t="shared" si="88"/>
        <v>5.5625355256213362</v>
      </c>
      <c r="AW638" s="37" t="s">
        <v>366</v>
      </c>
      <c r="AX638" s="34" t="s">
        <v>355</v>
      </c>
      <c r="AY638" s="40">
        <v>1610</v>
      </c>
      <c r="AZ638" s="15">
        <v>146</v>
      </c>
      <c r="BA638" s="14">
        <f t="shared" si="89"/>
        <v>2.1643528557844371</v>
      </c>
      <c r="BB638" s="37" t="s">
        <v>367</v>
      </c>
      <c r="BC638" s="20">
        <v>3.4967987194877911E-2</v>
      </c>
      <c r="BD638" s="9">
        <v>32.800000000000004</v>
      </c>
      <c r="BE638" s="9" t="s">
        <v>368</v>
      </c>
      <c r="BF638" s="9">
        <v>0</v>
      </c>
    </row>
    <row r="639" spans="1:58">
      <c r="A639" s="9">
        <v>217</v>
      </c>
      <c r="B639" s="10" t="s">
        <v>76</v>
      </c>
      <c r="C639" s="10" t="s">
        <v>389</v>
      </c>
      <c r="D639" s="20" t="s">
        <v>390</v>
      </c>
      <c r="E639" s="20" t="s">
        <v>984</v>
      </c>
      <c r="F639" s="10" t="s">
        <v>389</v>
      </c>
      <c r="G639" s="20" t="s">
        <v>390</v>
      </c>
      <c r="H639" s="20" t="s">
        <v>984</v>
      </c>
      <c r="I639" s="10" t="s">
        <v>389</v>
      </c>
      <c r="J639" s="20" t="s">
        <v>985</v>
      </c>
      <c r="K639" s="20" t="s">
        <v>984</v>
      </c>
      <c r="L639" s="9" t="s">
        <v>352</v>
      </c>
      <c r="M639" s="9">
        <v>10</v>
      </c>
      <c r="N639" s="9" t="s">
        <v>381</v>
      </c>
      <c r="O639" s="9" t="s">
        <v>455</v>
      </c>
      <c r="P639" s="12">
        <v>39.9</v>
      </c>
      <c r="Q639" s="12" t="s">
        <v>355</v>
      </c>
      <c r="R639" s="9" t="s">
        <v>356</v>
      </c>
      <c r="S639" s="13" t="s">
        <v>903</v>
      </c>
      <c r="T639" s="13" t="s">
        <v>903</v>
      </c>
      <c r="U639" s="14">
        <f t="shared" si="81"/>
        <v>1.1760912590556813</v>
      </c>
      <c r="V639" s="15">
        <v>30</v>
      </c>
      <c r="W639" s="12">
        <v>6.7563181999999955</v>
      </c>
      <c r="X639" s="12">
        <v>1</v>
      </c>
      <c r="Y639" s="13" t="s">
        <v>904</v>
      </c>
      <c r="Z639" s="9" t="s">
        <v>359</v>
      </c>
      <c r="AA639" s="10" t="s">
        <v>372</v>
      </c>
      <c r="AB639" s="9" t="s">
        <v>355</v>
      </c>
      <c r="AC639" s="15">
        <v>305</v>
      </c>
      <c r="AD639" s="14">
        <f t="shared" si="82"/>
        <v>2.4842998393467859</v>
      </c>
      <c r="AE639" s="10" t="s">
        <v>928</v>
      </c>
      <c r="AF639" s="9" t="s">
        <v>420</v>
      </c>
      <c r="AG639" s="18">
        <v>31</v>
      </c>
      <c r="AH639" s="7">
        <f t="shared" si="83"/>
        <v>1</v>
      </c>
      <c r="AI639" s="7">
        <f t="shared" si="84"/>
        <v>1</v>
      </c>
      <c r="AJ639" s="7">
        <f t="shared" si="85"/>
        <v>0</v>
      </c>
      <c r="AK639" s="7">
        <f t="shared" si="86"/>
        <v>0</v>
      </c>
      <c r="AL639" s="7" t="s">
        <v>4157</v>
      </c>
      <c r="AM639" s="18">
        <f t="shared" si="87"/>
        <v>1.4913616938342726</v>
      </c>
      <c r="AN639" s="18">
        <v>31</v>
      </c>
      <c r="AO639" s="18">
        <v>-110.33088100000001</v>
      </c>
      <c r="AP639" s="9" t="s">
        <v>363</v>
      </c>
      <c r="AQ639" s="9" t="s">
        <v>355</v>
      </c>
      <c r="AR639" s="15">
        <v>1968</v>
      </c>
      <c r="AS639" s="19" t="s">
        <v>906</v>
      </c>
      <c r="AT639" s="20" t="s">
        <v>907</v>
      </c>
      <c r="AU639" s="40">
        <v>365204</v>
      </c>
      <c r="AV639" s="35">
        <f t="shared" si="88"/>
        <v>5.5625355256213362</v>
      </c>
      <c r="AW639" s="37" t="s">
        <v>366</v>
      </c>
      <c r="AX639" s="34" t="s">
        <v>355</v>
      </c>
      <c r="AY639" s="40">
        <v>1610</v>
      </c>
      <c r="AZ639" s="15">
        <v>146</v>
      </c>
      <c r="BA639" s="14">
        <f t="shared" si="89"/>
        <v>2.1643528557844371</v>
      </c>
      <c r="BB639" s="37" t="s">
        <v>367</v>
      </c>
      <c r="BC639" s="20">
        <v>3.4967987194877911E-2</v>
      </c>
      <c r="BD639" s="9">
        <v>32.800000000000004</v>
      </c>
      <c r="BE639" s="9" t="s">
        <v>368</v>
      </c>
      <c r="BF639" s="9">
        <v>0</v>
      </c>
    </row>
    <row r="640" spans="1:58">
      <c r="A640" s="9">
        <v>214</v>
      </c>
      <c r="B640" s="10" t="s">
        <v>76</v>
      </c>
      <c r="C640" s="10" t="s">
        <v>389</v>
      </c>
      <c r="D640" s="20" t="s">
        <v>390</v>
      </c>
      <c r="E640" s="20" t="s">
        <v>986</v>
      </c>
      <c r="F640" s="10" t="s">
        <v>389</v>
      </c>
      <c r="G640" s="20" t="s">
        <v>390</v>
      </c>
      <c r="H640" s="20" t="s">
        <v>986</v>
      </c>
      <c r="I640" s="10" t="s">
        <v>389</v>
      </c>
      <c r="J640" s="20" t="s">
        <v>985</v>
      </c>
      <c r="K640" s="20" t="s">
        <v>986</v>
      </c>
      <c r="L640" s="9" t="s">
        <v>352</v>
      </c>
      <c r="M640" s="9">
        <v>10</v>
      </c>
      <c r="N640" s="9" t="s">
        <v>381</v>
      </c>
      <c r="O640" s="9" t="s">
        <v>455</v>
      </c>
      <c r="P640" s="12">
        <v>37.299999999999997</v>
      </c>
      <c r="Q640" s="12" t="s">
        <v>355</v>
      </c>
      <c r="R640" s="9" t="s">
        <v>356</v>
      </c>
      <c r="S640" s="13" t="s">
        <v>903</v>
      </c>
      <c r="T640" s="13" t="s">
        <v>903</v>
      </c>
      <c r="U640" s="14">
        <f t="shared" si="81"/>
        <v>1.1760912590556813</v>
      </c>
      <c r="V640" s="15">
        <v>26</v>
      </c>
      <c r="W640" s="12">
        <v>9.7595020999999953</v>
      </c>
      <c r="X640" s="12">
        <v>1</v>
      </c>
      <c r="Y640" s="13" t="s">
        <v>904</v>
      </c>
      <c r="Z640" s="9" t="s">
        <v>359</v>
      </c>
      <c r="AA640" s="10" t="s">
        <v>372</v>
      </c>
      <c r="AB640" s="9" t="s">
        <v>355</v>
      </c>
      <c r="AC640" s="15">
        <v>914</v>
      </c>
      <c r="AD640" s="14">
        <f t="shared" si="82"/>
        <v>2.9609461957338312</v>
      </c>
      <c r="AE640" s="10" t="s">
        <v>987</v>
      </c>
      <c r="AF640" s="9" t="s">
        <v>408</v>
      </c>
      <c r="AG640" s="18">
        <v>14.613333000000001</v>
      </c>
      <c r="AH640" s="7">
        <f t="shared" si="83"/>
        <v>0</v>
      </c>
      <c r="AI640" s="7">
        <f t="shared" si="84"/>
        <v>0</v>
      </c>
      <c r="AJ640" s="7">
        <f t="shared" si="85"/>
        <v>0</v>
      </c>
      <c r="AK640" s="7">
        <f t="shared" si="86"/>
        <v>0</v>
      </c>
      <c r="AL640" s="7" t="s">
        <v>4160</v>
      </c>
      <c r="AM640" s="18">
        <f t="shared" si="87"/>
        <v>1.1647492808502979</v>
      </c>
      <c r="AN640" s="18">
        <v>14.613333000000001</v>
      </c>
      <c r="AO640" s="18">
        <v>-90.535278000000005</v>
      </c>
      <c r="AP640" s="9" t="s">
        <v>363</v>
      </c>
      <c r="AQ640" s="9" t="s">
        <v>355</v>
      </c>
      <c r="AR640" s="15">
        <v>1968</v>
      </c>
      <c r="AS640" s="19" t="s">
        <v>906</v>
      </c>
      <c r="AT640" s="20" t="s">
        <v>907</v>
      </c>
      <c r="AU640" s="40">
        <v>13783</v>
      </c>
      <c r="AV640" s="35">
        <f t="shared" si="88"/>
        <v>4.1393437561523747</v>
      </c>
      <c r="AW640" s="37" t="s">
        <v>366</v>
      </c>
      <c r="AX640" s="40">
        <v>300</v>
      </c>
      <c r="AY640" s="40">
        <v>700</v>
      </c>
      <c r="AZ640" s="15">
        <v>50</v>
      </c>
      <c r="BA640" s="14">
        <f t="shared" si="89"/>
        <v>1.6989700043360187</v>
      </c>
      <c r="BB640" s="37" t="s">
        <v>367</v>
      </c>
      <c r="BC640" s="20">
        <v>2.730772308923532E-2</v>
      </c>
      <c r="BD640" s="9">
        <v>26.900000000000002</v>
      </c>
      <c r="BE640" s="9" t="s">
        <v>368</v>
      </c>
      <c r="BF640" s="9">
        <v>0</v>
      </c>
    </row>
    <row r="641" spans="1:58">
      <c r="A641" s="9">
        <v>212</v>
      </c>
      <c r="B641" s="10" t="s">
        <v>76</v>
      </c>
      <c r="C641" s="10" t="s">
        <v>389</v>
      </c>
      <c r="D641" s="20" t="s">
        <v>390</v>
      </c>
      <c r="E641" s="20" t="s">
        <v>988</v>
      </c>
      <c r="F641" s="10" t="s">
        <v>389</v>
      </c>
      <c r="G641" s="20" t="s">
        <v>390</v>
      </c>
      <c r="H641" s="20" t="s">
        <v>988</v>
      </c>
      <c r="I641" s="10" t="s">
        <v>389</v>
      </c>
      <c r="J641" s="20" t="s">
        <v>985</v>
      </c>
      <c r="K641" s="20" t="s">
        <v>988</v>
      </c>
      <c r="L641" s="9" t="s">
        <v>352</v>
      </c>
      <c r="M641" s="9">
        <v>10</v>
      </c>
      <c r="N641" s="9" t="s">
        <v>381</v>
      </c>
      <c r="O641" s="9" t="s">
        <v>455</v>
      </c>
      <c r="P641" s="12">
        <v>39</v>
      </c>
      <c r="Q641" s="12" t="s">
        <v>355</v>
      </c>
      <c r="R641" s="9" t="s">
        <v>356</v>
      </c>
      <c r="S641" s="13" t="s">
        <v>903</v>
      </c>
      <c r="T641" s="13" t="s">
        <v>903</v>
      </c>
      <c r="U641" s="14">
        <f t="shared" si="81"/>
        <v>1.1760912590556813</v>
      </c>
      <c r="V641" s="15">
        <v>23</v>
      </c>
      <c r="W641" s="12">
        <v>8.1311445999999954</v>
      </c>
      <c r="X641" s="12">
        <v>1</v>
      </c>
      <c r="Y641" s="13" t="s">
        <v>904</v>
      </c>
      <c r="Z641" s="9" t="s">
        <v>359</v>
      </c>
      <c r="AA641" s="10" t="s">
        <v>372</v>
      </c>
      <c r="AB641" s="9" t="s">
        <v>355</v>
      </c>
      <c r="AC641" s="15">
        <v>305</v>
      </c>
      <c r="AD641" s="14">
        <f t="shared" si="82"/>
        <v>2.4842998393467859</v>
      </c>
      <c r="AE641" s="10" t="s">
        <v>989</v>
      </c>
      <c r="AF641" s="9" t="s">
        <v>408</v>
      </c>
      <c r="AG641" s="18">
        <v>17.059417</v>
      </c>
      <c r="AH641" s="7">
        <f t="shared" si="83"/>
        <v>1</v>
      </c>
      <c r="AI641" s="7">
        <f t="shared" si="84"/>
        <v>0</v>
      </c>
      <c r="AJ641" s="7">
        <f t="shared" si="85"/>
        <v>0</v>
      </c>
      <c r="AK641" s="7">
        <f t="shared" si="86"/>
        <v>0</v>
      </c>
      <c r="AL641" s="7" t="s">
        <v>4159</v>
      </c>
      <c r="AM641" s="18">
        <f t="shared" si="87"/>
        <v>1.2319641852131393</v>
      </c>
      <c r="AN641" s="18">
        <v>17.059417</v>
      </c>
      <c r="AO641" s="18">
        <v>-96.721621999999996</v>
      </c>
      <c r="AP641" s="9" t="s">
        <v>363</v>
      </c>
      <c r="AQ641" s="9" t="s">
        <v>355</v>
      </c>
      <c r="AR641" s="15">
        <v>1968</v>
      </c>
      <c r="AS641" s="19" t="s">
        <v>906</v>
      </c>
      <c r="AT641" s="20" t="s">
        <v>907</v>
      </c>
      <c r="AU641" s="40">
        <v>124818</v>
      </c>
      <c r="AV641" s="35">
        <f t="shared" si="88"/>
        <v>5.0962772194568284</v>
      </c>
      <c r="AW641" s="37" t="s">
        <v>366</v>
      </c>
      <c r="AX641" s="34" t="s">
        <v>355</v>
      </c>
      <c r="AY641" s="40" t="s">
        <v>355</v>
      </c>
      <c r="AZ641" s="15">
        <v>52</v>
      </c>
      <c r="BA641" s="14">
        <f t="shared" si="89"/>
        <v>1.7160033436347992</v>
      </c>
      <c r="BB641" s="37" t="s">
        <v>367</v>
      </c>
      <c r="BC641" s="20">
        <v>1.9664665866346166E-2</v>
      </c>
      <c r="BD641" s="9">
        <v>31.400000000000002</v>
      </c>
      <c r="BE641" s="9" t="s">
        <v>368</v>
      </c>
      <c r="BF641" s="9">
        <v>0</v>
      </c>
    </row>
    <row r="642" spans="1:58">
      <c r="A642" s="9">
        <v>213</v>
      </c>
      <c r="B642" s="10" t="s">
        <v>76</v>
      </c>
      <c r="C642" s="10" t="s">
        <v>389</v>
      </c>
      <c r="D642" s="20" t="s">
        <v>390</v>
      </c>
      <c r="E642" s="20" t="s">
        <v>988</v>
      </c>
      <c r="F642" s="10" t="s">
        <v>389</v>
      </c>
      <c r="G642" s="20" t="s">
        <v>390</v>
      </c>
      <c r="H642" s="20" t="s">
        <v>988</v>
      </c>
      <c r="I642" s="10" t="s">
        <v>389</v>
      </c>
      <c r="J642" s="20" t="s">
        <v>985</v>
      </c>
      <c r="K642" s="20" t="s">
        <v>988</v>
      </c>
      <c r="L642" s="9" t="s">
        <v>352</v>
      </c>
      <c r="M642" s="9">
        <v>10</v>
      </c>
      <c r="N642" s="9" t="s">
        <v>381</v>
      </c>
      <c r="O642" s="9" t="s">
        <v>455</v>
      </c>
      <c r="P642" s="12">
        <v>40.200000000000003</v>
      </c>
      <c r="Q642" s="12" t="s">
        <v>355</v>
      </c>
      <c r="R642" s="9" t="s">
        <v>356</v>
      </c>
      <c r="S642" s="13" t="s">
        <v>903</v>
      </c>
      <c r="T642" s="13" t="s">
        <v>903</v>
      </c>
      <c r="U642" s="14">
        <f t="shared" si="81"/>
        <v>1.1760912590556813</v>
      </c>
      <c r="V642" s="15">
        <v>30</v>
      </c>
      <c r="W642" s="12">
        <v>8.2376115999999975</v>
      </c>
      <c r="X642" s="12">
        <v>1</v>
      </c>
      <c r="Y642" s="13" t="s">
        <v>904</v>
      </c>
      <c r="Z642" s="9" t="s">
        <v>359</v>
      </c>
      <c r="AA642" s="10" t="s">
        <v>372</v>
      </c>
      <c r="AB642" s="9" t="s">
        <v>355</v>
      </c>
      <c r="AC642" s="15">
        <v>305</v>
      </c>
      <c r="AD642" s="14">
        <f t="shared" si="82"/>
        <v>2.4842998393467859</v>
      </c>
      <c r="AE642" s="10" t="s">
        <v>989</v>
      </c>
      <c r="AF642" s="9" t="s">
        <v>408</v>
      </c>
      <c r="AG642" s="18">
        <v>17.059417</v>
      </c>
      <c r="AH642" s="7">
        <f t="shared" si="83"/>
        <v>1</v>
      </c>
      <c r="AI642" s="7">
        <f t="shared" si="84"/>
        <v>0</v>
      </c>
      <c r="AJ642" s="7">
        <f t="shared" si="85"/>
        <v>0</v>
      </c>
      <c r="AK642" s="7">
        <f t="shared" si="86"/>
        <v>0</v>
      </c>
      <c r="AL642" s="7" t="s">
        <v>4159</v>
      </c>
      <c r="AM642" s="18">
        <f t="shared" si="87"/>
        <v>1.2319641852131393</v>
      </c>
      <c r="AN642" s="18">
        <v>17.059417</v>
      </c>
      <c r="AO642" s="18">
        <v>-96.721621999999996</v>
      </c>
      <c r="AP642" s="9" t="s">
        <v>363</v>
      </c>
      <c r="AQ642" s="9" t="s">
        <v>355</v>
      </c>
      <c r="AR642" s="15">
        <v>1968</v>
      </c>
      <c r="AS642" s="19" t="s">
        <v>906</v>
      </c>
      <c r="AT642" s="20" t="s">
        <v>907</v>
      </c>
      <c r="AU642" s="40">
        <v>124818</v>
      </c>
      <c r="AV642" s="35">
        <f t="shared" si="88"/>
        <v>5.0962772194568284</v>
      </c>
      <c r="AW642" s="37" t="s">
        <v>366</v>
      </c>
      <c r="AX642" s="34" t="s">
        <v>355</v>
      </c>
      <c r="AY642" s="40" t="s">
        <v>355</v>
      </c>
      <c r="AZ642" s="15">
        <v>52</v>
      </c>
      <c r="BA642" s="14">
        <f t="shared" si="89"/>
        <v>1.7160033436347992</v>
      </c>
      <c r="BB642" s="37" t="s">
        <v>367</v>
      </c>
      <c r="BC642" s="20">
        <v>1.9664665866346166E-2</v>
      </c>
      <c r="BD642" s="9">
        <v>31.400000000000002</v>
      </c>
      <c r="BE642" s="9" t="s">
        <v>368</v>
      </c>
      <c r="BF642" s="9">
        <v>0</v>
      </c>
    </row>
    <row r="643" spans="1:58">
      <c r="A643" s="9">
        <v>221</v>
      </c>
      <c r="B643" s="10" t="s">
        <v>76</v>
      </c>
      <c r="C643" s="10" t="s">
        <v>389</v>
      </c>
      <c r="D643" s="20" t="s">
        <v>390</v>
      </c>
      <c r="E643" s="20" t="s">
        <v>990</v>
      </c>
      <c r="F643" s="10" t="s">
        <v>389</v>
      </c>
      <c r="G643" s="20" t="s">
        <v>390</v>
      </c>
      <c r="H643" s="20" t="s">
        <v>990</v>
      </c>
      <c r="I643" s="10" t="s">
        <v>389</v>
      </c>
      <c r="J643" s="20" t="s">
        <v>985</v>
      </c>
      <c r="K643" s="20" t="s">
        <v>990</v>
      </c>
      <c r="L643" s="9" t="s">
        <v>352</v>
      </c>
      <c r="M643" s="9">
        <v>10</v>
      </c>
      <c r="N643" s="9" t="s">
        <v>381</v>
      </c>
      <c r="O643" s="9" t="s">
        <v>455</v>
      </c>
      <c r="P643" s="12">
        <v>37.6</v>
      </c>
      <c r="Q643" s="12" t="s">
        <v>355</v>
      </c>
      <c r="R643" s="9" t="s">
        <v>356</v>
      </c>
      <c r="S643" s="13" t="s">
        <v>903</v>
      </c>
      <c r="T643" s="13" t="s">
        <v>903</v>
      </c>
      <c r="U643" s="14">
        <f t="shared" si="81"/>
        <v>1.1760912590556813</v>
      </c>
      <c r="V643" s="15">
        <v>15</v>
      </c>
      <c r="W643" s="12">
        <v>5.1120412000000002</v>
      </c>
      <c r="X643" s="12">
        <v>1</v>
      </c>
      <c r="Y643" s="13" t="s">
        <v>904</v>
      </c>
      <c r="Z643" s="9" t="s">
        <v>359</v>
      </c>
      <c r="AA643" s="10" t="s">
        <v>372</v>
      </c>
      <c r="AB643" s="9" t="s">
        <v>355</v>
      </c>
      <c r="AC643" s="15">
        <v>305</v>
      </c>
      <c r="AD643" s="14">
        <f t="shared" si="82"/>
        <v>2.4842998393467859</v>
      </c>
      <c r="AE643" s="10" t="s">
        <v>937</v>
      </c>
      <c r="AF643" s="9" t="s">
        <v>420</v>
      </c>
      <c r="AG643" s="18">
        <v>27</v>
      </c>
      <c r="AH643" s="7">
        <f t="shared" si="83"/>
        <v>1</v>
      </c>
      <c r="AI643" s="7">
        <f t="shared" si="84"/>
        <v>0</v>
      </c>
      <c r="AJ643" s="7">
        <f t="shared" si="85"/>
        <v>0</v>
      </c>
      <c r="AK643" s="7">
        <f t="shared" si="86"/>
        <v>0</v>
      </c>
      <c r="AL643" s="7" t="s">
        <v>4159</v>
      </c>
      <c r="AM643" s="18">
        <f t="shared" si="87"/>
        <v>1.4313637641589874</v>
      </c>
      <c r="AN643" s="18">
        <v>27</v>
      </c>
      <c r="AO643" s="18">
        <v>-104.845462</v>
      </c>
      <c r="AP643" s="9" t="s">
        <v>363</v>
      </c>
      <c r="AQ643" s="9" t="s">
        <v>355</v>
      </c>
      <c r="AR643" s="15">
        <v>1968</v>
      </c>
      <c r="AS643" s="19" t="s">
        <v>906</v>
      </c>
      <c r="AT643" s="20" t="s">
        <v>907</v>
      </c>
      <c r="AU643" s="40">
        <v>17431</v>
      </c>
      <c r="AV643" s="35">
        <f t="shared" si="88"/>
        <v>4.241322302888773</v>
      </c>
      <c r="AW643" s="37" t="s">
        <v>366</v>
      </c>
      <c r="AX643" s="34" t="s">
        <v>355</v>
      </c>
      <c r="AY643" s="40" t="s">
        <v>355</v>
      </c>
      <c r="AZ643" s="15">
        <v>85</v>
      </c>
      <c r="BA643" s="14">
        <f t="shared" si="89"/>
        <v>1.9294189257142926</v>
      </c>
      <c r="BB643" s="37" t="s">
        <v>367</v>
      </c>
      <c r="BC643" s="20">
        <v>4.2442577030811918E-2</v>
      </c>
      <c r="BD643" s="9">
        <v>34.800000000000004</v>
      </c>
      <c r="BE643" s="9" t="s">
        <v>368</v>
      </c>
      <c r="BF643" s="9">
        <v>0</v>
      </c>
    </row>
    <row r="644" spans="1:58">
      <c r="A644" s="9">
        <v>222</v>
      </c>
      <c r="B644" s="10" t="s">
        <v>76</v>
      </c>
      <c r="C644" s="10" t="s">
        <v>389</v>
      </c>
      <c r="D644" s="20" t="s">
        <v>390</v>
      </c>
      <c r="E644" s="20" t="s">
        <v>990</v>
      </c>
      <c r="F644" s="10" t="s">
        <v>389</v>
      </c>
      <c r="G644" s="20" t="s">
        <v>390</v>
      </c>
      <c r="H644" s="20" t="s">
        <v>990</v>
      </c>
      <c r="I644" s="10" t="s">
        <v>389</v>
      </c>
      <c r="J644" s="20" t="s">
        <v>985</v>
      </c>
      <c r="K644" s="20" t="s">
        <v>990</v>
      </c>
      <c r="L644" s="9" t="s">
        <v>352</v>
      </c>
      <c r="M644" s="9">
        <v>10</v>
      </c>
      <c r="N644" s="9" t="s">
        <v>381</v>
      </c>
      <c r="O644" s="9" t="s">
        <v>455</v>
      </c>
      <c r="P644" s="12">
        <v>38.200000000000003</v>
      </c>
      <c r="Q644" s="12" t="s">
        <v>355</v>
      </c>
      <c r="R644" s="9" t="s">
        <v>356</v>
      </c>
      <c r="S644" s="13" t="s">
        <v>903</v>
      </c>
      <c r="T644" s="13" t="s">
        <v>903</v>
      </c>
      <c r="U644" s="14">
        <f t="shared" si="81"/>
        <v>1.1760912590556813</v>
      </c>
      <c r="V644" s="15">
        <v>23</v>
      </c>
      <c r="W644" s="12">
        <v>4.4622892000000007</v>
      </c>
      <c r="X644" s="12">
        <v>1</v>
      </c>
      <c r="Y644" s="13" t="s">
        <v>904</v>
      </c>
      <c r="Z644" s="9" t="s">
        <v>359</v>
      </c>
      <c r="AA644" s="10" t="s">
        <v>372</v>
      </c>
      <c r="AB644" s="9" t="s">
        <v>355</v>
      </c>
      <c r="AC644" s="15">
        <v>305</v>
      </c>
      <c r="AD644" s="14">
        <f t="shared" si="82"/>
        <v>2.4842998393467859</v>
      </c>
      <c r="AE644" s="10" t="s">
        <v>937</v>
      </c>
      <c r="AF644" s="9" t="s">
        <v>420</v>
      </c>
      <c r="AG644" s="18">
        <v>27</v>
      </c>
      <c r="AH644" s="7">
        <f t="shared" si="83"/>
        <v>1</v>
      </c>
      <c r="AI644" s="7">
        <f t="shared" si="84"/>
        <v>0</v>
      </c>
      <c r="AJ644" s="7">
        <f t="shared" si="85"/>
        <v>0</v>
      </c>
      <c r="AK644" s="7">
        <f t="shared" si="86"/>
        <v>0</v>
      </c>
      <c r="AL644" s="7" t="s">
        <v>4159</v>
      </c>
      <c r="AM644" s="18">
        <f t="shared" si="87"/>
        <v>1.4313637641589874</v>
      </c>
      <c r="AN644" s="18">
        <v>27</v>
      </c>
      <c r="AO644" s="18">
        <v>-104.845462</v>
      </c>
      <c r="AP644" s="9" t="s">
        <v>363</v>
      </c>
      <c r="AQ644" s="9" t="s">
        <v>355</v>
      </c>
      <c r="AR644" s="15">
        <v>1968</v>
      </c>
      <c r="AS644" s="19" t="s">
        <v>906</v>
      </c>
      <c r="AT644" s="20" t="s">
        <v>907</v>
      </c>
      <c r="AU644" s="40">
        <v>17431</v>
      </c>
      <c r="AV644" s="35">
        <f t="shared" si="88"/>
        <v>4.241322302888773</v>
      </c>
      <c r="AW644" s="37" t="s">
        <v>366</v>
      </c>
      <c r="AX644" s="34" t="s">
        <v>355</v>
      </c>
      <c r="AY644" s="40" t="s">
        <v>355</v>
      </c>
      <c r="AZ644" s="15">
        <v>85</v>
      </c>
      <c r="BA644" s="14">
        <f t="shared" si="89"/>
        <v>1.9294189257142926</v>
      </c>
      <c r="BB644" s="37" t="s">
        <v>367</v>
      </c>
      <c r="BC644" s="20">
        <v>4.2442577030811918E-2</v>
      </c>
      <c r="BD644" s="9">
        <v>34.800000000000004</v>
      </c>
      <c r="BE644" s="9" t="s">
        <v>368</v>
      </c>
      <c r="BF644" s="9">
        <v>0</v>
      </c>
    </row>
    <row r="645" spans="1:58">
      <c r="A645" s="9">
        <v>223</v>
      </c>
      <c r="B645" s="10" t="s">
        <v>76</v>
      </c>
      <c r="C645" s="10" t="s">
        <v>389</v>
      </c>
      <c r="D645" s="20" t="s">
        <v>390</v>
      </c>
      <c r="E645" s="20" t="s">
        <v>990</v>
      </c>
      <c r="F645" s="10" t="s">
        <v>389</v>
      </c>
      <c r="G645" s="20" t="s">
        <v>390</v>
      </c>
      <c r="H645" s="20" t="s">
        <v>990</v>
      </c>
      <c r="I645" s="10" t="s">
        <v>389</v>
      </c>
      <c r="J645" s="20" t="s">
        <v>985</v>
      </c>
      <c r="K645" s="20" t="s">
        <v>990</v>
      </c>
      <c r="L645" s="9" t="s">
        <v>352</v>
      </c>
      <c r="M645" s="9">
        <v>10</v>
      </c>
      <c r="N645" s="9" t="s">
        <v>381</v>
      </c>
      <c r="O645" s="9" t="s">
        <v>455</v>
      </c>
      <c r="P645" s="12">
        <v>39.9</v>
      </c>
      <c r="Q645" s="12" t="s">
        <v>355</v>
      </c>
      <c r="R645" s="9" t="s">
        <v>356</v>
      </c>
      <c r="S645" s="13" t="s">
        <v>903</v>
      </c>
      <c r="T645" s="13" t="s">
        <v>903</v>
      </c>
      <c r="U645" s="14">
        <f t="shared" ref="U645:U708" si="90">LOG(T645+1)</f>
        <v>1.1760912590556813</v>
      </c>
      <c r="V645" s="15">
        <v>30</v>
      </c>
      <c r="W645" s="12">
        <v>5.0687561999999957</v>
      </c>
      <c r="X645" s="12">
        <v>1</v>
      </c>
      <c r="Y645" s="13" t="s">
        <v>904</v>
      </c>
      <c r="Z645" s="9" t="s">
        <v>359</v>
      </c>
      <c r="AA645" s="10" t="s">
        <v>372</v>
      </c>
      <c r="AB645" s="9" t="s">
        <v>355</v>
      </c>
      <c r="AC645" s="15">
        <v>305</v>
      </c>
      <c r="AD645" s="14">
        <f t="shared" ref="AD645:AD708" si="91">LOG(AC645)</f>
        <v>2.4842998393467859</v>
      </c>
      <c r="AE645" s="10" t="s">
        <v>937</v>
      </c>
      <c r="AF645" s="9" t="s">
        <v>420</v>
      </c>
      <c r="AG645" s="18">
        <v>27</v>
      </c>
      <c r="AH645" s="7">
        <f t="shared" ref="AH645:AH708" si="92">IF(AG645&gt;15,1,0)</f>
        <v>1</v>
      </c>
      <c r="AI645" s="7">
        <f t="shared" ref="AI645:AI708" si="93">IF(AG645&gt;30,1,0)</f>
        <v>0</v>
      </c>
      <c r="AJ645" s="7">
        <f t="shared" ref="AJ645:AJ708" si="94">IF(AG645&gt;45,1,0)</f>
        <v>0</v>
      </c>
      <c r="AK645" s="7">
        <f t="shared" ref="AK645:AK708" si="95">IF(AG645&gt;60,1,0)</f>
        <v>0</v>
      </c>
      <c r="AL645" s="7" t="s">
        <v>4159</v>
      </c>
      <c r="AM645" s="18">
        <f t="shared" ref="AM645:AM708" si="96">LOG(AG645)</f>
        <v>1.4313637641589874</v>
      </c>
      <c r="AN645" s="18">
        <v>27</v>
      </c>
      <c r="AO645" s="18">
        <v>-104.845462</v>
      </c>
      <c r="AP645" s="9" t="s">
        <v>363</v>
      </c>
      <c r="AQ645" s="9" t="s">
        <v>355</v>
      </c>
      <c r="AR645" s="15">
        <v>1968</v>
      </c>
      <c r="AS645" s="19" t="s">
        <v>906</v>
      </c>
      <c r="AT645" s="20" t="s">
        <v>907</v>
      </c>
      <c r="AU645" s="40">
        <v>17431</v>
      </c>
      <c r="AV645" s="35">
        <f t="shared" ref="AV645:AV708" si="97">LOG(AU645)</f>
        <v>4.241322302888773</v>
      </c>
      <c r="AW645" s="37" t="s">
        <v>366</v>
      </c>
      <c r="AX645" s="34" t="s">
        <v>355</v>
      </c>
      <c r="AY645" s="40" t="s">
        <v>355</v>
      </c>
      <c r="AZ645" s="15">
        <v>85</v>
      </c>
      <c r="BA645" s="14">
        <f t="shared" ref="BA645:BA708" si="98">LOG(AZ645)</f>
        <v>1.9294189257142926</v>
      </c>
      <c r="BB645" s="37" t="s">
        <v>367</v>
      </c>
      <c r="BC645" s="20">
        <v>4.2442577030811918E-2</v>
      </c>
      <c r="BD645" s="9">
        <v>34.800000000000004</v>
      </c>
      <c r="BE645" s="9" t="s">
        <v>368</v>
      </c>
      <c r="BF645" s="9">
        <v>0</v>
      </c>
    </row>
    <row r="646" spans="1:58">
      <c r="A646" s="9">
        <v>276</v>
      </c>
      <c r="B646" s="10" t="s">
        <v>76</v>
      </c>
      <c r="C646" s="10" t="s">
        <v>426</v>
      </c>
      <c r="D646" s="20" t="s">
        <v>571</v>
      </c>
      <c r="E646" s="20" t="s">
        <v>991</v>
      </c>
      <c r="F646" s="10" t="s">
        <v>426</v>
      </c>
      <c r="G646" s="20" t="s">
        <v>571</v>
      </c>
      <c r="H646" s="20" t="s">
        <v>991</v>
      </c>
      <c r="I646" s="10" t="s">
        <v>426</v>
      </c>
      <c r="J646" s="20" t="s">
        <v>571</v>
      </c>
      <c r="K646" s="20" t="s">
        <v>992</v>
      </c>
      <c r="L646" s="9" t="s">
        <v>352</v>
      </c>
      <c r="M646" s="9">
        <v>10</v>
      </c>
      <c r="N646" s="9" t="s">
        <v>381</v>
      </c>
      <c r="O646" s="9" t="s">
        <v>455</v>
      </c>
      <c r="P646" s="12">
        <v>35.9</v>
      </c>
      <c r="Q646" s="12" t="s">
        <v>355</v>
      </c>
      <c r="R646" s="9" t="s">
        <v>356</v>
      </c>
      <c r="S646" s="13" t="s">
        <v>903</v>
      </c>
      <c r="T646" s="13" t="s">
        <v>903</v>
      </c>
      <c r="U646" s="14">
        <f t="shared" si="90"/>
        <v>1.1760912590556813</v>
      </c>
      <c r="V646" s="15">
        <v>23</v>
      </c>
      <c r="W646" s="12">
        <v>3.8498511999999963</v>
      </c>
      <c r="X646" s="12">
        <v>1</v>
      </c>
      <c r="Y646" s="13" t="s">
        <v>904</v>
      </c>
      <c r="Z646" s="9" t="s">
        <v>359</v>
      </c>
      <c r="AA646" s="10" t="s">
        <v>372</v>
      </c>
      <c r="AB646" s="9" t="s">
        <v>355</v>
      </c>
      <c r="AC646" s="15">
        <v>305</v>
      </c>
      <c r="AD646" s="14">
        <f t="shared" si="91"/>
        <v>2.4842998393467859</v>
      </c>
      <c r="AE646" s="10" t="s">
        <v>928</v>
      </c>
      <c r="AF646" s="9" t="s">
        <v>420</v>
      </c>
      <c r="AG646" s="18">
        <v>31</v>
      </c>
      <c r="AH646" s="7">
        <f t="shared" si="92"/>
        <v>1</v>
      </c>
      <c r="AI646" s="7">
        <f t="shared" si="93"/>
        <v>1</v>
      </c>
      <c r="AJ646" s="7">
        <f t="shared" si="94"/>
        <v>0</v>
      </c>
      <c r="AK646" s="7">
        <f t="shared" si="95"/>
        <v>0</v>
      </c>
      <c r="AL646" s="7" t="s">
        <v>4157</v>
      </c>
      <c r="AM646" s="18">
        <f t="shared" si="96"/>
        <v>1.4913616938342726</v>
      </c>
      <c r="AN646" s="18">
        <v>31</v>
      </c>
      <c r="AO646" s="18">
        <v>-110.33088100000001</v>
      </c>
      <c r="AP646" s="9" t="s">
        <v>363</v>
      </c>
      <c r="AQ646" s="9" t="s">
        <v>355</v>
      </c>
      <c r="AR646" s="15">
        <v>1968</v>
      </c>
      <c r="AS646" s="19" t="s">
        <v>906</v>
      </c>
      <c r="AT646" s="20" t="s">
        <v>907</v>
      </c>
      <c r="AU646" s="40">
        <v>818979</v>
      </c>
      <c r="AV646" s="35">
        <f t="shared" si="97"/>
        <v>5.9132727658617039</v>
      </c>
      <c r="AW646" s="37" t="s">
        <v>366</v>
      </c>
      <c r="AX646" s="34" t="s">
        <v>355</v>
      </c>
      <c r="AY646" s="40">
        <v>1300</v>
      </c>
      <c r="AZ646" s="15">
        <v>33</v>
      </c>
      <c r="BA646" s="14">
        <f t="shared" si="98"/>
        <v>1.5185139398778875</v>
      </c>
      <c r="BB646" s="37" t="s">
        <v>388</v>
      </c>
      <c r="BC646" s="20">
        <v>3.4967987194877911E-2</v>
      </c>
      <c r="BD646" s="9">
        <v>32.800000000000004</v>
      </c>
      <c r="BE646" s="9" t="s">
        <v>368</v>
      </c>
      <c r="BF646" s="9">
        <v>0</v>
      </c>
    </row>
    <row r="647" spans="1:58">
      <c r="A647" s="9">
        <v>277</v>
      </c>
      <c r="B647" s="10" t="s">
        <v>76</v>
      </c>
      <c r="C647" s="10" t="s">
        <v>426</v>
      </c>
      <c r="D647" s="20" t="s">
        <v>571</v>
      </c>
      <c r="E647" s="20" t="s">
        <v>991</v>
      </c>
      <c r="F647" s="10" t="s">
        <v>426</v>
      </c>
      <c r="G647" s="20" t="s">
        <v>571</v>
      </c>
      <c r="H647" s="20" t="s">
        <v>991</v>
      </c>
      <c r="I647" s="10" t="s">
        <v>426</v>
      </c>
      <c r="J647" s="20" t="s">
        <v>571</v>
      </c>
      <c r="K647" s="20" t="s">
        <v>992</v>
      </c>
      <c r="L647" s="9" t="s">
        <v>352</v>
      </c>
      <c r="M647" s="9">
        <v>10</v>
      </c>
      <c r="N647" s="9" t="s">
        <v>381</v>
      </c>
      <c r="O647" s="9" t="s">
        <v>455</v>
      </c>
      <c r="P647" s="12">
        <v>39.799999999999997</v>
      </c>
      <c r="Q647" s="12" t="s">
        <v>355</v>
      </c>
      <c r="R647" s="9" t="s">
        <v>356</v>
      </c>
      <c r="S647" s="13" t="s">
        <v>903</v>
      </c>
      <c r="T647" s="13" t="s">
        <v>903</v>
      </c>
      <c r="U647" s="14">
        <f t="shared" si="90"/>
        <v>1.1760912590556813</v>
      </c>
      <c r="V647" s="15">
        <v>30</v>
      </c>
      <c r="W647" s="12">
        <v>6.6563181999999941</v>
      </c>
      <c r="X647" s="12">
        <v>1</v>
      </c>
      <c r="Y647" s="13" t="s">
        <v>904</v>
      </c>
      <c r="Z647" s="9" t="s">
        <v>359</v>
      </c>
      <c r="AA647" s="10" t="s">
        <v>372</v>
      </c>
      <c r="AB647" s="9" t="s">
        <v>355</v>
      </c>
      <c r="AC647" s="15">
        <v>305</v>
      </c>
      <c r="AD647" s="14">
        <f t="shared" si="91"/>
        <v>2.4842998393467859</v>
      </c>
      <c r="AE647" s="10" t="s">
        <v>928</v>
      </c>
      <c r="AF647" s="9" t="s">
        <v>420</v>
      </c>
      <c r="AG647" s="18">
        <v>31</v>
      </c>
      <c r="AH647" s="7">
        <f t="shared" si="92"/>
        <v>1</v>
      </c>
      <c r="AI647" s="7">
        <f t="shared" si="93"/>
        <v>1</v>
      </c>
      <c r="AJ647" s="7">
        <f t="shared" si="94"/>
        <v>0</v>
      </c>
      <c r="AK647" s="7">
        <f t="shared" si="95"/>
        <v>0</v>
      </c>
      <c r="AL647" s="7" t="s">
        <v>4157</v>
      </c>
      <c r="AM647" s="18">
        <f t="shared" si="96"/>
        <v>1.4913616938342726</v>
      </c>
      <c r="AN647" s="18">
        <v>31</v>
      </c>
      <c r="AO647" s="18">
        <v>-110.33088100000001</v>
      </c>
      <c r="AP647" s="9" t="s">
        <v>363</v>
      </c>
      <c r="AQ647" s="9" t="s">
        <v>355</v>
      </c>
      <c r="AR647" s="15">
        <v>1968</v>
      </c>
      <c r="AS647" s="19" t="s">
        <v>906</v>
      </c>
      <c r="AT647" s="20" t="s">
        <v>907</v>
      </c>
      <c r="AU647" s="40">
        <v>818979</v>
      </c>
      <c r="AV647" s="35">
        <f t="shared" si="97"/>
        <v>5.9132727658617039</v>
      </c>
      <c r="AW647" s="37" t="s">
        <v>366</v>
      </c>
      <c r="AX647" s="34" t="s">
        <v>355</v>
      </c>
      <c r="AY647" s="40">
        <v>1300</v>
      </c>
      <c r="AZ647" s="15">
        <v>33</v>
      </c>
      <c r="BA647" s="14">
        <f t="shared" si="98"/>
        <v>1.5185139398778875</v>
      </c>
      <c r="BB647" s="37" t="s">
        <v>388</v>
      </c>
      <c r="BC647" s="20">
        <v>3.4967987194877911E-2</v>
      </c>
      <c r="BD647" s="9">
        <v>32.800000000000004</v>
      </c>
      <c r="BE647" s="9" t="s">
        <v>368</v>
      </c>
      <c r="BF647" s="9">
        <v>0</v>
      </c>
    </row>
    <row r="648" spans="1:58">
      <c r="A648" s="9">
        <v>333</v>
      </c>
      <c r="B648" s="10" t="s">
        <v>76</v>
      </c>
      <c r="C648" s="10" t="s">
        <v>721</v>
      </c>
      <c r="D648" s="10" t="s">
        <v>752</v>
      </c>
      <c r="E648" s="10" t="s">
        <v>618</v>
      </c>
      <c r="F648" s="10" t="s">
        <v>721</v>
      </c>
      <c r="G648" s="10" t="s">
        <v>752</v>
      </c>
      <c r="H648" s="10" t="s">
        <v>618</v>
      </c>
      <c r="I648" s="10" t="s">
        <v>101</v>
      </c>
      <c r="J648" s="10" t="s">
        <v>752</v>
      </c>
      <c r="K648" s="10" t="s">
        <v>618</v>
      </c>
      <c r="L648" s="9" t="s">
        <v>352</v>
      </c>
      <c r="M648" s="9">
        <v>2</v>
      </c>
      <c r="N648" s="9" t="s">
        <v>353</v>
      </c>
      <c r="O648" s="9" t="s">
        <v>354</v>
      </c>
      <c r="P648" s="12">
        <v>33.200000000000003</v>
      </c>
      <c r="Q648" s="12" t="s">
        <v>355</v>
      </c>
      <c r="R648" s="9" t="s">
        <v>356</v>
      </c>
      <c r="S648" s="13">
        <v>14</v>
      </c>
      <c r="T648" s="13">
        <v>14</v>
      </c>
      <c r="U648" s="14">
        <f t="shared" si="90"/>
        <v>1.1760912590556813</v>
      </c>
      <c r="V648" s="15">
        <v>10</v>
      </c>
      <c r="W648" s="12">
        <v>12.040398700000001</v>
      </c>
      <c r="X648" s="12">
        <v>1</v>
      </c>
      <c r="Y648" s="13" t="s">
        <v>384</v>
      </c>
      <c r="Z648" s="9" t="s">
        <v>359</v>
      </c>
      <c r="AA648" s="10" t="s">
        <v>372</v>
      </c>
      <c r="AB648" s="9" t="s">
        <v>417</v>
      </c>
      <c r="AC648" s="15">
        <v>304.7851264858275</v>
      </c>
      <c r="AD648" s="14">
        <f t="shared" si="91"/>
        <v>2.4839937696139525</v>
      </c>
      <c r="AE648" s="10" t="s">
        <v>993</v>
      </c>
      <c r="AF648" s="9" t="s">
        <v>362</v>
      </c>
      <c r="AG648" s="18">
        <v>38.916666999999997</v>
      </c>
      <c r="AH648" s="7">
        <f t="shared" si="92"/>
        <v>1</v>
      </c>
      <c r="AI648" s="7">
        <f t="shared" si="93"/>
        <v>1</v>
      </c>
      <c r="AJ648" s="7">
        <f t="shared" si="94"/>
        <v>0</v>
      </c>
      <c r="AK648" s="7">
        <f t="shared" si="95"/>
        <v>0</v>
      </c>
      <c r="AL648" s="7" t="s">
        <v>4157</v>
      </c>
      <c r="AM648" s="18">
        <f t="shared" si="96"/>
        <v>1.5901356382383545</v>
      </c>
      <c r="AN648" s="18">
        <v>-38.916666999999997</v>
      </c>
      <c r="AO648" s="18">
        <v>146.33333300000001</v>
      </c>
      <c r="AP648" s="9" t="s">
        <v>363</v>
      </c>
      <c r="AQ648" s="9" t="s">
        <v>355</v>
      </c>
      <c r="AR648" s="15">
        <v>1970</v>
      </c>
      <c r="AS648" s="19" t="s">
        <v>898</v>
      </c>
      <c r="AT648" s="10" t="s">
        <v>899</v>
      </c>
      <c r="AU648" s="40">
        <v>324894</v>
      </c>
      <c r="AV648" s="35">
        <f t="shared" si="97"/>
        <v>5.5117416910588872</v>
      </c>
      <c r="AW648" s="37" t="s">
        <v>366</v>
      </c>
      <c r="AX648" s="34" t="s">
        <v>355</v>
      </c>
      <c r="AY648" s="40">
        <v>600</v>
      </c>
      <c r="AZ648" s="15">
        <v>75</v>
      </c>
      <c r="BA648" s="14">
        <f t="shared" si="98"/>
        <v>1.8750612633917001</v>
      </c>
      <c r="BB648" s="37" t="s">
        <v>388</v>
      </c>
      <c r="BC648" s="20">
        <v>1.4894357743097119E-2</v>
      </c>
      <c r="BD648" s="9">
        <v>22.3</v>
      </c>
      <c r="BE648" s="9" t="s">
        <v>368</v>
      </c>
      <c r="BF648" s="9">
        <v>0</v>
      </c>
    </row>
    <row r="649" spans="1:58">
      <c r="A649" s="9">
        <v>334</v>
      </c>
      <c r="B649" s="10" t="s">
        <v>76</v>
      </c>
      <c r="C649" s="10" t="s">
        <v>721</v>
      </c>
      <c r="D649" s="10" t="s">
        <v>752</v>
      </c>
      <c r="E649" s="10" t="s">
        <v>618</v>
      </c>
      <c r="F649" s="10" t="s">
        <v>721</v>
      </c>
      <c r="G649" s="10" t="s">
        <v>752</v>
      </c>
      <c r="H649" s="10" t="s">
        <v>618</v>
      </c>
      <c r="I649" s="10" t="s">
        <v>101</v>
      </c>
      <c r="J649" s="10" t="s">
        <v>752</v>
      </c>
      <c r="K649" s="10" t="s">
        <v>618</v>
      </c>
      <c r="L649" s="9" t="s">
        <v>352</v>
      </c>
      <c r="M649" s="9">
        <v>2</v>
      </c>
      <c r="N649" s="9" t="s">
        <v>353</v>
      </c>
      <c r="O649" s="9" t="s">
        <v>354</v>
      </c>
      <c r="P649" s="12">
        <v>35</v>
      </c>
      <c r="Q649" s="12">
        <v>37</v>
      </c>
      <c r="R649" s="9" t="s">
        <v>356</v>
      </c>
      <c r="S649" s="13">
        <v>14</v>
      </c>
      <c r="T649" s="13">
        <v>14</v>
      </c>
      <c r="U649" s="14">
        <f t="shared" si="90"/>
        <v>1.1760912590556813</v>
      </c>
      <c r="V649" s="15">
        <v>30</v>
      </c>
      <c r="W649" s="12">
        <v>10.716018700000003</v>
      </c>
      <c r="X649" s="12">
        <v>1</v>
      </c>
      <c r="Y649" s="13" t="s">
        <v>384</v>
      </c>
      <c r="Z649" s="9" t="s">
        <v>359</v>
      </c>
      <c r="AA649" s="10" t="s">
        <v>372</v>
      </c>
      <c r="AB649" s="9" t="s">
        <v>417</v>
      </c>
      <c r="AC649" s="15">
        <v>304.7851264858275</v>
      </c>
      <c r="AD649" s="14">
        <f t="shared" si="91"/>
        <v>2.4839937696139525</v>
      </c>
      <c r="AE649" s="10" t="s">
        <v>993</v>
      </c>
      <c r="AF649" s="9" t="s">
        <v>362</v>
      </c>
      <c r="AG649" s="18">
        <v>38.916666999999997</v>
      </c>
      <c r="AH649" s="7">
        <f t="shared" si="92"/>
        <v>1</v>
      </c>
      <c r="AI649" s="7">
        <f t="shared" si="93"/>
        <v>1</v>
      </c>
      <c r="AJ649" s="7">
        <f t="shared" si="94"/>
        <v>0</v>
      </c>
      <c r="AK649" s="7">
        <f t="shared" si="95"/>
        <v>0</v>
      </c>
      <c r="AL649" s="7" t="s">
        <v>4157</v>
      </c>
      <c r="AM649" s="18">
        <f t="shared" si="96"/>
        <v>1.5901356382383545</v>
      </c>
      <c r="AN649" s="18">
        <v>-38.916666999999997</v>
      </c>
      <c r="AO649" s="18">
        <v>146.33333300000001</v>
      </c>
      <c r="AP649" s="9" t="s">
        <v>363</v>
      </c>
      <c r="AQ649" s="9" t="s">
        <v>355</v>
      </c>
      <c r="AR649" s="15">
        <v>1970</v>
      </c>
      <c r="AS649" s="19" t="s">
        <v>898</v>
      </c>
      <c r="AT649" s="10" t="s">
        <v>899</v>
      </c>
      <c r="AU649" s="40">
        <v>324894</v>
      </c>
      <c r="AV649" s="35">
        <f t="shared" si="97"/>
        <v>5.5117416910588872</v>
      </c>
      <c r="AW649" s="37" t="s">
        <v>366</v>
      </c>
      <c r="AX649" s="34" t="s">
        <v>355</v>
      </c>
      <c r="AY649" s="40">
        <v>600</v>
      </c>
      <c r="AZ649" s="15">
        <v>75</v>
      </c>
      <c r="BA649" s="14">
        <f t="shared" si="98"/>
        <v>1.8750612633917001</v>
      </c>
      <c r="BB649" s="37" t="s">
        <v>388</v>
      </c>
      <c r="BC649" s="20">
        <v>1.4894357743097119E-2</v>
      </c>
      <c r="BD649" s="9">
        <v>22.3</v>
      </c>
      <c r="BE649" s="9" t="s">
        <v>368</v>
      </c>
      <c r="BF649" s="9">
        <v>0</v>
      </c>
    </row>
    <row r="650" spans="1:58">
      <c r="A650" s="9">
        <v>331</v>
      </c>
      <c r="B650" s="10" t="s">
        <v>76</v>
      </c>
      <c r="C650" s="10" t="s">
        <v>721</v>
      </c>
      <c r="D650" s="10" t="s">
        <v>752</v>
      </c>
      <c r="E650" s="10" t="s">
        <v>618</v>
      </c>
      <c r="F650" s="10" t="s">
        <v>721</v>
      </c>
      <c r="G650" s="10" t="s">
        <v>752</v>
      </c>
      <c r="H650" s="10" t="s">
        <v>618</v>
      </c>
      <c r="I650" s="10" t="s">
        <v>101</v>
      </c>
      <c r="J650" s="10" t="s">
        <v>752</v>
      </c>
      <c r="K650" s="10" t="s">
        <v>618</v>
      </c>
      <c r="L650" s="9" t="s">
        <v>352</v>
      </c>
      <c r="M650" s="9">
        <v>5</v>
      </c>
      <c r="N650" s="9" t="s">
        <v>353</v>
      </c>
      <c r="O650" s="9" t="s">
        <v>354</v>
      </c>
      <c r="P650" s="12">
        <v>32.1</v>
      </c>
      <c r="Q650" s="12" t="s">
        <v>355</v>
      </c>
      <c r="R650" s="9" t="s">
        <v>356</v>
      </c>
      <c r="S650" s="13">
        <v>14</v>
      </c>
      <c r="T650" s="13">
        <v>14</v>
      </c>
      <c r="U650" s="14">
        <f t="shared" si="90"/>
        <v>1.1760912590556813</v>
      </c>
      <c r="V650" s="15">
        <v>5</v>
      </c>
      <c r="W650" s="12">
        <v>4.8868675999999986</v>
      </c>
      <c r="X650" s="12">
        <v>1</v>
      </c>
      <c r="Y650" s="13" t="s">
        <v>384</v>
      </c>
      <c r="Z650" s="9" t="s">
        <v>359</v>
      </c>
      <c r="AA650" s="10" t="s">
        <v>372</v>
      </c>
      <c r="AB650" s="9" t="s">
        <v>417</v>
      </c>
      <c r="AC650" s="15">
        <v>609.57025297165501</v>
      </c>
      <c r="AD650" s="14">
        <f t="shared" si="91"/>
        <v>2.7850237652779337</v>
      </c>
      <c r="AE650" s="10" t="s">
        <v>994</v>
      </c>
      <c r="AF650" s="9" t="s">
        <v>420</v>
      </c>
      <c r="AG650" s="18">
        <v>31.106316</v>
      </c>
      <c r="AH650" s="7">
        <f t="shared" si="92"/>
        <v>1</v>
      </c>
      <c r="AI650" s="7">
        <f t="shared" si="93"/>
        <v>1</v>
      </c>
      <c r="AJ650" s="7">
        <f t="shared" si="94"/>
        <v>0</v>
      </c>
      <c r="AK650" s="7">
        <f t="shared" si="95"/>
        <v>0</v>
      </c>
      <c r="AL650" s="7" t="s">
        <v>4157</v>
      </c>
      <c r="AM650" s="18">
        <f t="shared" si="96"/>
        <v>1.4928485795558226</v>
      </c>
      <c r="AN650" s="18">
        <v>-31.106316</v>
      </c>
      <c r="AO650" s="18">
        <v>150.930734</v>
      </c>
      <c r="AP650" s="9" t="s">
        <v>363</v>
      </c>
      <c r="AQ650" s="9" t="s">
        <v>355</v>
      </c>
      <c r="AR650" s="15">
        <v>1970</v>
      </c>
      <c r="AS650" s="19" t="s">
        <v>898</v>
      </c>
      <c r="AT650" s="10" t="s">
        <v>899</v>
      </c>
      <c r="AU650" s="40">
        <v>324894</v>
      </c>
      <c r="AV650" s="35">
        <f t="shared" si="97"/>
        <v>5.5117416910588872</v>
      </c>
      <c r="AW650" s="37" t="s">
        <v>366</v>
      </c>
      <c r="AX650" s="34" t="s">
        <v>355</v>
      </c>
      <c r="AY650" s="40">
        <v>600</v>
      </c>
      <c r="AZ650" s="15">
        <v>75</v>
      </c>
      <c r="BA650" s="14">
        <f t="shared" si="98"/>
        <v>1.8750612633917001</v>
      </c>
      <c r="BB650" s="37" t="s">
        <v>388</v>
      </c>
      <c r="BC650" s="20">
        <v>2.9925170068027529E-2</v>
      </c>
      <c r="BD650" s="9">
        <v>30.400000000000002</v>
      </c>
      <c r="BE650" s="9" t="s">
        <v>368</v>
      </c>
      <c r="BF650" s="9">
        <v>0</v>
      </c>
    </row>
    <row r="651" spans="1:58">
      <c r="A651" s="9">
        <v>332</v>
      </c>
      <c r="B651" s="10" t="s">
        <v>76</v>
      </c>
      <c r="C651" s="10" t="s">
        <v>721</v>
      </c>
      <c r="D651" s="10" t="s">
        <v>752</v>
      </c>
      <c r="E651" s="10" t="s">
        <v>618</v>
      </c>
      <c r="F651" s="10" t="s">
        <v>721</v>
      </c>
      <c r="G651" s="10" t="s">
        <v>752</v>
      </c>
      <c r="H651" s="10" t="s">
        <v>618</v>
      </c>
      <c r="I651" s="10" t="s">
        <v>101</v>
      </c>
      <c r="J651" s="10" t="s">
        <v>752</v>
      </c>
      <c r="K651" s="10" t="s">
        <v>618</v>
      </c>
      <c r="L651" s="9" t="s">
        <v>352</v>
      </c>
      <c r="M651" s="9">
        <v>5</v>
      </c>
      <c r="N651" s="9" t="s">
        <v>353</v>
      </c>
      <c r="O651" s="9" t="s">
        <v>354</v>
      </c>
      <c r="P651" s="12">
        <v>36.5</v>
      </c>
      <c r="Q651" s="12">
        <v>36.9</v>
      </c>
      <c r="R651" s="9" t="s">
        <v>356</v>
      </c>
      <c r="S651" s="13">
        <v>14</v>
      </c>
      <c r="T651" s="13">
        <v>14</v>
      </c>
      <c r="U651" s="14">
        <f t="shared" si="90"/>
        <v>1.1760912590556813</v>
      </c>
      <c r="V651" s="15">
        <v>25</v>
      </c>
      <c r="W651" s="12">
        <v>6.1624875999999951</v>
      </c>
      <c r="X651" s="12">
        <v>1</v>
      </c>
      <c r="Y651" s="13" t="s">
        <v>384</v>
      </c>
      <c r="Z651" s="9" t="s">
        <v>359</v>
      </c>
      <c r="AA651" s="10" t="s">
        <v>372</v>
      </c>
      <c r="AB651" s="9" t="s">
        <v>417</v>
      </c>
      <c r="AC651" s="15">
        <v>609.57025297165501</v>
      </c>
      <c r="AD651" s="14">
        <f t="shared" si="91"/>
        <v>2.7850237652779337</v>
      </c>
      <c r="AE651" s="10" t="s">
        <v>994</v>
      </c>
      <c r="AF651" s="9" t="s">
        <v>420</v>
      </c>
      <c r="AG651" s="18">
        <v>31.106316</v>
      </c>
      <c r="AH651" s="7">
        <f t="shared" si="92"/>
        <v>1</v>
      </c>
      <c r="AI651" s="7">
        <f t="shared" si="93"/>
        <v>1</v>
      </c>
      <c r="AJ651" s="7">
        <f t="shared" si="94"/>
        <v>0</v>
      </c>
      <c r="AK651" s="7">
        <f t="shared" si="95"/>
        <v>0</v>
      </c>
      <c r="AL651" s="7" t="s">
        <v>4157</v>
      </c>
      <c r="AM651" s="18">
        <f t="shared" si="96"/>
        <v>1.4928485795558226</v>
      </c>
      <c r="AN651" s="18">
        <v>-31.106316</v>
      </c>
      <c r="AO651" s="18">
        <v>150.930734</v>
      </c>
      <c r="AP651" s="9" t="s">
        <v>363</v>
      </c>
      <c r="AQ651" s="9" t="s">
        <v>355</v>
      </c>
      <c r="AR651" s="15">
        <v>1970</v>
      </c>
      <c r="AS651" s="19" t="s">
        <v>898</v>
      </c>
      <c r="AT651" s="10" t="s">
        <v>899</v>
      </c>
      <c r="AU651" s="40">
        <v>324894</v>
      </c>
      <c r="AV651" s="35">
        <f t="shared" si="97"/>
        <v>5.5117416910588872</v>
      </c>
      <c r="AW651" s="37" t="s">
        <v>366</v>
      </c>
      <c r="AX651" s="34" t="s">
        <v>355</v>
      </c>
      <c r="AY651" s="40">
        <v>600</v>
      </c>
      <c r="AZ651" s="15">
        <v>75</v>
      </c>
      <c r="BA651" s="14">
        <f t="shared" si="98"/>
        <v>1.8750612633917001</v>
      </c>
      <c r="BB651" s="37" t="s">
        <v>388</v>
      </c>
      <c r="BC651" s="20">
        <v>2.9925170068027529E-2</v>
      </c>
      <c r="BD651" s="9">
        <v>30.400000000000002</v>
      </c>
      <c r="BE651" s="9" t="s">
        <v>368</v>
      </c>
      <c r="BF651" s="9">
        <v>0</v>
      </c>
    </row>
    <row r="652" spans="1:58">
      <c r="A652" s="9">
        <v>330</v>
      </c>
      <c r="B652" s="10" t="s">
        <v>76</v>
      </c>
      <c r="C652" s="10" t="s">
        <v>721</v>
      </c>
      <c r="D652" s="10" t="s">
        <v>752</v>
      </c>
      <c r="E652" s="10" t="s">
        <v>995</v>
      </c>
      <c r="F652" s="10" t="s">
        <v>721</v>
      </c>
      <c r="G652" s="10" t="s">
        <v>752</v>
      </c>
      <c r="H652" s="10" t="s">
        <v>995</v>
      </c>
      <c r="I652" s="10" t="s">
        <v>101</v>
      </c>
      <c r="J652" s="10" t="s">
        <v>752</v>
      </c>
      <c r="K652" s="10" t="s">
        <v>995</v>
      </c>
      <c r="L652" s="9" t="s">
        <v>352</v>
      </c>
      <c r="M652" s="9">
        <v>10</v>
      </c>
      <c r="N652" s="9" t="s">
        <v>381</v>
      </c>
      <c r="O652" s="9" t="s">
        <v>354</v>
      </c>
      <c r="P652" s="12">
        <v>28.3</v>
      </c>
      <c r="Q652" s="12">
        <v>29.1</v>
      </c>
      <c r="R652" s="9" t="s">
        <v>356</v>
      </c>
      <c r="S652" s="13">
        <v>14</v>
      </c>
      <c r="T652" s="13">
        <v>14</v>
      </c>
      <c r="U652" s="14">
        <f t="shared" si="90"/>
        <v>1.1760912590556813</v>
      </c>
      <c r="V652" s="15">
        <v>5</v>
      </c>
      <c r="W652" s="12">
        <v>-1.6132315999999989</v>
      </c>
      <c r="X652" s="12">
        <v>1</v>
      </c>
      <c r="Y652" s="13" t="s">
        <v>384</v>
      </c>
      <c r="Z652" s="9" t="s">
        <v>359</v>
      </c>
      <c r="AA652" s="10" t="s">
        <v>372</v>
      </c>
      <c r="AB652" s="9" t="s">
        <v>417</v>
      </c>
      <c r="AC652" s="15">
        <v>304.7851264858275</v>
      </c>
      <c r="AD652" s="14">
        <f t="shared" si="91"/>
        <v>2.4839937696139525</v>
      </c>
      <c r="AE652" s="10" t="s">
        <v>955</v>
      </c>
      <c r="AF652" s="9" t="s">
        <v>420</v>
      </c>
      <c r="AG652" s="18">
        <v>31.563029</v>
      </c>
      <c r="AH652" s="7">
        <f t="shared" si="92"/>
        <v>1</v>
      </c>
      <c r="AI652" s="7">
        <f t="shared" si="93"/>
        <v>1</v>
      </c>
      <c r="AJ652" s="7">
        <f t="shared" si="94"/>
        <v>0</v>
      </c>
      <c r="AK652" s="7">
        <f t="shared" si="95"/>
        <v>0</v>
      </c>
      <c r="AL652" s="7" t="s">
        <v>4157</v>
      </c>
      <c r="AM652" s="18">
        <f t="shared" si="96"/>
        <v>1.4991786743492528</v>
      </c>
      <c r="AN652" s="18">
        <v>-31.563029</v>
      </c>
      <c r="AO652" s="18">
        <v>147.196157</v>
      </c>
      <c r="AP652" s="9" t="s">
        <v>363</v>
      </c>
      <c r="AQ652" s="9" t="s">
        <v>355</v>
      </c>
      <c r="AR652" s="15">
        <v>1970</v>
      </c>
      <c r="AS652" s="19" t="s">
        <v>898</v>
      </c>
      <c r="AT652" s="10" t="s">
        <v>899</v>
      </c>
      <c r="AU652" s="40">
        <v>1345573</v>
      </c>
      <c r="AV652" s="35">
        <f t="shared" si="97"/>
        <v>6.128907264074634</v>
      </c>
      <c r="AW652" s="37" t="s">
        <v>366</v>
      </c>
      <c r="AX652" s="34" t="s">
        <v>355</v>
      </c>
      <c r="AY652" s="40" t="s">
        <v>355</v>
      </c>
      <c r="AZ652" s="15">
        <v>55</v>
      </c>
      <c r="BA652" s="14">
        <f t="shared" si="98"/>
        <v>1.7403626894942439</v>
      </c>
      <c r="BB652" s="37" t="s">
        <v>388</v>
      </c>
      <c r="BC652" s="20">
        <v>2.843937575030011E-2</v>
      </c>
      <c r="BD652" s="9">
        <v>33.6</v>
      </c>
      <c r="BE652" s="9" t="s">
        <v>368</v>
      </c>
      <c r="BF652" s="9">
        <v>0</v>
      </c>
    </row>
    <row r="653" spans="1:58">
      <c r="A653" s="9">
        <v>328</v>
      </c>
      <c r="B653" s="10" t="s">
        <v>76</v>
      </c>
      <c r="C653" s="10" t="s">
        <v>721</v>
      </c>
      <c r="D653" s="10" t="s">
        <v>752</v>
      </c>
      <c r="E653" s="10" t="s">
        <v>755</v>
      </c>
      <c r="F653" s="10" t="s">
        <v>721</v>
      </c>
      <c r="G653" s="10" t="s">
        <v>752</v>
      </c>
      <c r="H653" s="10" t="s">
        <v>755</v>
      </c>
      <c r="I653" s="10" t="s">
        <v>101</v>
      </c>
      <c r="J653" s="10" t="s">
        <v>752</v>
      </c>
      <c r="K653" s="10" t="s">
        <v>755</v>
      </c>
      <c r="L653" s="9" t="s">
        <v>352</v>
      </c>
      <c r="M653" s="9">
        <v>10</v>
      </c>
      <c r="N653" s="9" t="s">
        <v>381</v>
      </c>
      <c r="O653" s="9" t="s">
        <v>354</v>
      </c>
      <c r="P653" s="12">
        <v>30.6</v>
      </c>
      <c r="Q653" s="12" t="s">
        <v>355</v>
      </c>
      <c r="R653" s="9" t="s">
        <v>356</v>
      </c>
      <c r="S653" s="13">
        <v>14</v>
      </c>
      <c r="T653" s="13">
        <v>14</v>
      </c>
      <c r="U653" s="14">
        <f t="shared" si="90"/>
        <v>1.1760912590556813</v>
      </c>
      <c r="V653" s="15">
        <v>10</v>
      </c>
      <c r="W653" s="12">
        <v>2.015125900000001</v>
      </c>
      <c r="X653" s="12">
        <v>1</v>
      </c>
      <c r="Y653" s="13" t="s">
        <v>384</v>
      </c>
      <c r="Z653" s="9" t="s">
        <v>359</v>
      </c>
      <c r="AA653" s="10" t="s">
        <v>372</v>
      </c>
      <c r="AB653" s="9" t="s">
        <v>417</v>
      </c>
      <c r="AC653" s="15">
        <v>304.7851264858275</v>
      </c>
      <c r="AD653" s="14">
        <f t="shared" si="91"/>
        <v>2.4839937696139525</v>
      </c>
      <c r="AE653" s="10" t="s">
        <v>996</v>
      </c>
      <c r="AF653" s="9" t="s">
        <v>408</v>
      </c>
      <c r="AG653" s="18">
        <v>17.932869</v>
      </c>
      <c r="AH653" s="7">
        <f t="shared" si="92"/>
        <v>1</v>
      </c>
      <c r="AI653" s="7">
        <f t="shared" si="93"/>
        <v>0</v>
      </c>
      <c r="AJ653" s="7">
        <f t="shared" si="94"/>
        <v>0</v>
      </c>
      <c r="AK653" s="7">
        <f t="shared" si="95"/>
        <v>0</v>
      </c>
      <c r="AL653" s="7" t="s">
        <v>4159</v>
      </c>
      <c r="AM653" s="18">
        <f t="shared" si="96"/>
        <v>1.2536497759644691</v>
      </c>
      <c r="AN653" s="18">
        <v>-17.932869</v>
      </c>
      <c r="AO653" s="18">
        <v>145.92355599999999</v>
      </c>
      <c r="AP653" s="9" t="s">
        <v>363</v>
      </c>
      <c r="AQ653" s="9" t="s">
        <v>355</v>
      </c>
      <c r="AR653" s="15">
        <v>1970</v>
      </c>
      <c r="AS653" s="19" t="s">
        <v>898</v>
      </c>
      <c r="AT653" s="10" t="s">
        <v>899</v>
      </c>
      <c r="AU653" s="40">
        <v>663231</v>
      </c>
      <c r="AV653" s="35">
        <f t="shared" si="97"/>
        <v>5.8216648173225174</v>
      </c>
      <c r="AW653" s="37" t="s">
        <v>366</v>
      </c>
      <c r="AX653" s="34" t="s">
        <v>355</v>
      </c>
      <c r="AY653" s="40" t="s">
        <v>355</v>
      </c>
      <c r="AZ653" s="15">
        <v>55</v>
      </c>
      <c r="BA653" s="14">
        <f t="shared" si="98"/>
        <v>1.7403626894942439</v>
      </c>
      <c r="BB653" s="37" t="s">
        <v>388</v>
      </c>
      <c r="BC653" s="20">
        <v>7.543817527010924E-3</v>
      </c>
      <c r="BD653" s="9">
        <v>31.1</v>
      </c>
      <c r="BE653" s="9" t="s">
        <v>368</v>
      </c>
      <c r="BF653" s="9">
        <v>0</v>
      </c>
    </row>
    <row r="654" spans="1:58">
      <c r="A654" s="9">
        <v>329</v>
      </c>
      <c r="B654" s="10" t="s">
        <v>76</v>
      </c>
      <c r="C654" s="10" t="s">
        <v>721</v>
      </c>
      <c r="D654" s="10" t="s">
        <v>752</v>
      </c>
      <c r="E654" s="10" t="s">
        <v>755</v>
      </c>
      <c r="F654" s="10" t="s">
        <v>721</v>
      </c>
      <c r="G654" s="10" t="s">
        <v>752</v>
      </c>
      <c r="H654" s="10" t="s">
        <v>755</v>
      </c>
      <c r="I654" s="10" t="s">
        <v>101</v>
      </c>
      <c r="J654" s="10" t="s">
        <v>752</v>
      </c>
      <c r="K654" s="10" t="s">
        <v>755</v>
      </c>
      <c r="L654" s="9" t="s">
        <v>352</v>
      </c>
      <c r="M654" s="9">
        <v>10</v>
      </c>
      <c r="N654" s="9" t="s">
        <v>381</v>
      </c>
      <c r="O654" s="9" t="s">
        <v>354</v>
      </c>
      <c r="P654" s="12">
        <v>34.1</v>
      </c>
      <c r="Q654" s="12">
        <v>36.299999999999997</v>
      </c>
      <c r="R654" s="9" t="s">
        <v>356</v>
      </c>
      <c r="S654" s="13">
        <v>14</v>
      </c>
      <c r="T654" s="13">
        <v>14</v>
      </c>
      <c r="U654" s="14">
        <f t="shared" si="90"/>
        <v>1.1760912590556813</v>
      </c>
      <c r="V654" s="15">
        <v>30</v>
      </c>
      <c r="W654" s="12">
        <v>2.3907458999999989</v>
      </c>
      <c r="X654" s="12">
        <v>1</v>
      </c>
      <c r="Y654" s="13" t="s">
        <v>384</v>
      </c>
      <c r="Z654" s="9" t="s">
        <v>359</v>
      </c>
      <c r="AA654" s="10" t="s">
        <v>372</v>
      </c>
      <c r="AB654" s="9" t="s">
        <v>417</v>
      </c>
      <c r="AC654" s="15">
        <v>304.7851264858275</v>
      </c>
      <c r="AD654" s="14">
        <f t="shared" si="91"/>
        <v>2.4839937696139525</v>
      </c>
      <c r="AE654" s="10" t="s">
        <v>996</v>
      </c>
      <c r="AF654" s="9" t="s">
        <v>408</v>
      </c>
      <c r="AG654" s="18">
        <v>17.932869</v>
      </c>
      <c r="AH654" s="7">
        <f t="shared" si="92"/>
        <v>1</v>
      </c>
      <c r="AI654" s="7">
        <f t="shared" si="93"/>
        <v>0</v>
      </c>
      <c r="AJ654" s="7">
        <f t="shared" si="94"/>
        <v>0</v>
      </c>
      <c r="AK654" s="7">
        <f t="shared" si="95"/>
        <v>0</v>
      </c>
      <c r="AL654" s="7" t="s">
        <v>4159</v>
      </c>
      <c r="AM654" s="18">
        <f t="shared" si="96"/>
        <v>1.2536497759644691</v>
      </c>
      <c r="AN654" s="18">
        <v>-17.932869</v>
      </c>
      <c r="AO654" s="18">
        <v>145.92355599999999</v>
      </c>
      <c r="AP654" s="9" t="s">
        <v>363</v>
      </c>
      <c r="AQ654" s="9" t="s">
        <v>355</v>
      </c>
      <c r="AR654" s="15">
        <v>1970</v>
      </c>
      <c r="AS654" s="19" t="s">
        <v>898</v>
      </c>
      <c r="AT654" s="10" t="s">
        <v>899</v>
      </c>
      <c r="AU654" s="40">
        <v>663231</v>
      </c>
      <c r="AV654" s="35">
        <f t="shared" si="97"/>
        <v>5.8216648173225174</v>
      </c>
      <c r="AW654" s="37" t="s">
        <v>366</v>
      </c>
      <c r="AX654" s="34" t="s">
        <v>355</v>
      </c>
      <c r="AY654" s="40" t="s">
        <v>355</v>
      </c>
      <c r="AZ654" s="15">
        <v>55</v>
      </c>
      <c r="BA654" s="14">
        <f t="shared" si="98"/>
        <v>1.7403626894942439</v>
      </c>
      <c r="BB654" s="37" t="s">
        <v>388</v>
      </c>
      <c r="BC654" s="20">
        <v>7.543817527010924E-3</v>
      </c>
      <c r="BD654" s="9">
        <v>31.1</v>
      </c>
      <c r="BE654" s="9" t="s">
        <v>368</v>
      </c>
      <c r="BF654" s="9">
        <v>0</v>
      </c>
    </row>
    <row r="655" spans="1:58">
      <c r="A655" s="9">
        <v>327</v>
      </c>
      <c r="B655" s="10" t="s">
        <v>76</v>
      </c>
      <c r="C655" s="10" t="s">
        <v>721</v>
      </c>
      <c r="D655" s="10" t="s">
        <v>752</v>
      </c>
      <c r="E655" s="10" t="s">
        <v>755</v>
      </c>
      <c r="F655" s="10" t="s">
        <v>721</v>
      </c>
      <c r="G655" s="10" t="s">
        <v>752</v>
      </c>
      <c r="H655" s="10" t="s">
        <v>755</v>
      </c>
      <c r="I655" s="10" t="s">
        <v>101</v>
      </c>
      <c r="J655" s="10" t="s">
        <v>752</v>
      </c>
      <c r="K655" s="10" t="s">
        <v>755</v>
      </c>
      <c r="L655" s="9" t="s">
        <v>352</v>
      </c>
      <c r="M655" s="9">
        <v>5</v>
      </c>
      <c r="N655" s="9" t="s">
        <v>353</v>
      </c>
      <c r="O655" s="9" t="s">
        <v>354</v>
      </c>
      <c r="P655" s="12">
        <v>32.700000000000003</v>
      </c>
      <c r="Q655" s="12">
        <v>34.299999999999997</v>
      </c>
      <c r="R655" s="9" t="s">
        <v>356</v>
      </c>
      <c r="S655" s="13">
        <v>14</v>
      </c>
      <c r="T655" s="13">
        <v>14</v>
      </c>
      <c r="U655" s="14">
        <f t="shared" si="90"/>
        <v>1.1760912590556813</v>
      </c>
      <c r="V655" s="15">
        <v>10</v>
      </c>
      <c r="W655" s="12">
        <v>7.9121403999999984</v>
      </c>
      <c r="X655" s="12">
        <v>1</v>
      </c>
      <c r="Y655" s="13" t="s">
        <v>384</v>
      </c>
      <c r="Z655" s="9" t="s">
        <v>359</v>
      </c>
      <c r="AA655" s="10" t="s">
        <v>372</v>
      </c>
      <c r="AB655" s="9" t="s">
        <v>417</v>
      </c>
      <c r="AC655" s="15">
        <v>304.7851264858275</v>
      </c>
      <c r="AD655" s="14">
        <f t="shared" si="91"/>
        <v>2.4839937696139525</v>
      </c>
      <c r="AE655" s="10" t="s">
        <v>897</v>
      </c>
      <c r="AF655" s="9" t="s">
        <v>420</v>
      </c>
      <c r="AG655" s="18">
        <v>33.425020000000004</v>
      </c>
      <c r="AH655" s="7">
        <f t="shared" si="92"/>
        <v>1</v>
      </c>
      <c r="AI655" s="7">
        <f t="shared" si="93"/>
        <v>1</v>
      </c>
      <c r="AJ655" s="7">
        <f t="shared" si="94"/>
        <v>0</v>
      </c>
      <c r="AK655" s="7">
        <f t="shared" si="95"/>
        <v>0</v>
      </c>
      <c r="AL655" s="7" t="s">
        <v>4157</v>
      </c>
      <c r="AM655" s="18">
        <f t="shared" si="96"/>
        <v>1.5240716757960127</v>
      </c>
      <c r="AN655" s="18">
        <v>-33.425020000000004</v>
      </c>
      <c r="AO655" s="18">
        <v>151.342219</v>
      </c>
      <c r="AP655" s="9" t="s">
        <v>363</v>
      </c>
      <c r="AQ655" s="9" t="s">
        <v>355</v>
      </c>
      <c r="AR655" s="15">
        <v>1970</v>
      </c>
      <c r="AS655" s="19" t="s">
        <v>898</v>
      </c>
      <c r="AT655" s="10" t="s">
        <v>899</v>
      </c>
      <c r="AU655" s="40">
        <v>663231</v>
      </c>
      <c r="AV655" s="35">
        <f t="shared" si="97"/>
        <v>5.8216648173225174</v>
      </c>
      <c r="AW655" s="37" t="s">
        <v>366</v>
      </c>
      <c r="AX655" s="34" t="s">
        <v>355</v>
      </c>
      <c r="AY655" s="40" t="s">
        <v>355</v>
      </c>
      <c r="AZ655" s="15">
        <v>55</v>
      </c>
      <c r="BA655" s="14">
        <f t="shared" si="98"/>
        <v>1.7403626894942439</v>
      </c>
      <c r="BB655" s="37" t="s">
        <v>388</v>
      </c>
      <c r="BC655" s="20">
        <v>7.0504201680672398E-3</v>
      </c>
      <c r="BD655" s="9">
        <v>26.6</v>
      </c>
      <c r="BE655" s="9" t="s">
        <v>368</v>
      </c>
      <c r="BF655" s="9">
        <v>0</v>
      </c>
    </row>
    <row r="656" spans="1:58">
      <c r="A656" s="9">
        <v>326</v>
      </c>
      <c r="B656" s="10" t="s">
        <v>76</v>
      </c>
      <c r="C656" s="10" t="s">
        <v>721</v>
      </c>
      <c r="D656" s="10" t="s">
        <v>752</v>
      </c>
      <c r="E656" s="10" t="s">
        <v>757</v>
      </c>
      <c r="F656" s="10" t="s">
        <v>721</v>
      </c>
      <c r="G656" s="10" t="s">
        <v>752</v>
      </c>
      <c r="H656" s="10" t="s">
        <v>757</v>
      </c>
      <c r="I656" s="10" t="s">
        <v>101</v>
      </c>
      <c r="J656" s="10" t="s">
        <v>752</v>
      </c>
      <c r="K656" s="10" t="s">
        <v>757</v>
      </c>
      <c r="L656" s="9" t="s">
        <v>352</v>
      </c>
      <c r="M656" s="9">
        <v>3</v>
      </c>
      <c r="N656" s="9" t="s">
        <v>353</v>
      </c>
      <c r="O656" s="9" t="s">
        <v>354</v>
      </c>
      <c r="P656" s="12">
        <v>34.5</v>
      </c>
      <c r="Q656" s="12" t="s">
        <v>355</v>
      </c>
      <c r="R656" s="9" t="s">
        <v>356</v>
      </c>
      <c r="S656" s="13">
        <v>14</v>
      </c>
      <c r="T656" s="13">
        <v>14</v>
      </c>
      <c r="U656" s="14">
        <f t="shared" si="90"/>
        <v>1.1760912590556813</v>
      </c>
      <c r="V656" s="15">
        <v>10</v>
      </c>
      <c r="W656" s="12">
        <v>9.7121403999999956</v>
      </c>
      <c r="X656" s="12">
        <v>1</v>
      </c>
      <c r="Y656" s="13" t="s">
        <v>384</v>
      </c>
      <c r="Z656" s="9" t="s">
        <v>359</v>
      </c>
      <c r="AA656" s="10" t="s">
        <v>372</v>
      </c>
      <c r="AB656" s="9" t="s">
        <v>417</v>
      </c>
      <c r="AC656" s="15">
        <v>304.7851264858275</v>
      </c>
      <c r="AD656" s="14">
        <f t="shared" si="91"/>
        <v>2.4839937696139525</v>
      </c>
      <c r="AE656" s="10" t="s">
        <v>897</v>
      </c>
      <c r="AF656" s="9" t="s">
        <v>420</v>
      </c>
      <c r="AG656" s="18">
        <v>33.425020000000004</v>
      </c>
      <c r="AH656" s="7">
        <f t="shared" si="92"/>
        <v>1</v>
      </c>
      <c r="AI656" s="7">
        <f t="shared" si="93"/>
        <v>1</v>
      </c>
      <c r="AJ656" s="7">
        <f t="shared" si="94"/>
        <v>0</v>
      </c>
      <c r="AK656" s="7">
        <f t="shared" si="95"/>
        <v>0</v>
      </c>
      <c r="AL656" s="7" t="s">
        <v>4157</v>
      </c>
      <c r="AM656" s="18">
        <f t="shared" si="96"/>
        <v>1.5240716757960127</v>
      </c>
      <c r="AN656" s="18">
        <v>-33.425020000000004</v>
      </c>
      <c r="AO656" s="18">
        <v>151.342219</v>
      </c>
      <c r="AP656" s="9" t="s">
        <v>363</v>
      </c>
      <c r="AQ656" s="9" t="s">
        <v>355</v>
      </c>
      <c r="AR656" s="15">
        <v>1970</v>
      </c>
      <c r="AS656" s="19" t="s">
        <v>898</v>
      </c>
      <c r="AT656" s="10" t="s">
        <v>899</v>
      </c>
      <c r="AU656" s="40">
        <v>604289</v>
      </c>
      <c r="AV656" s="35">
        <f t="shared" si="97"/>
        <v>5.7812446887664422</v>
      </c>
      <c r="AW656" s="37" t="s">
        <v>366</v>
      </c>
      <c r="AX656" s="34" t="s">
        <v>355</v>
      </c>
      <c r="AY656" s="40" t="s">
        <v>355</v>
      </c>
      <c r="AZ656" s="15">
        <v>75</v>
      </c>
      <c r="BA656" s="14">
        <f t="shared" si="98"/>
        <v>1.8750612633917001</v>
      </c>
      <c r="BB656" s="37" t="s">
        <v>388</v>
      </c>
      <c r="BC656" s="20">
        <v>7.0504201680672398E-3</v>
      </c>
      <c r="BD656" s="9">
        <v>26.6</v>
      </c>
      <c r="BE656" s="9" t="s">
        <v>368</v>
      </c>
      <c r="BF656" s="9">
        <v>0</v>
      </c>
    </row>
    <row r="657" spans="1:58">
      <c r="A657" s="9">
        <v>337</v>
      </c>
      <c r="B657" s="10" t="s">
        <v>76</v>
      </c>
      <c r="C657" s="10" t="s">
        <v>721</v>
      </c>
      <c r="D657" s="10" t="s">
        <v>752</v>
      </c>
      <c r="E657" s="10" t="s">
        <v>758</v>
      </c>
      <c r="F657" s="10" t="s">
        <v>721</v>
      </c>
      <c r="G657" s="10" t="s">
        <v>752</v>
      </c>
      <c r="H657" s="10" t="s">
        <v>758</v>
      </c>
      <c r="I657" s="10" t="s">
        <v>101</v>
      </c>
      <c r="J657" s="10" t="s">
        <v>752</v>
      </c>
      <c r="K657" s="10" t="s">
        <v>758</v>
      </c>
      <c r="L657" s="9" t="s">
        <v>352</v>
      </c>
      <c r="M657" s="9">
        <v>17</v>
      </c>
      <c r="N657" s="9" t="s">
        <v>381</v>
      </c>
      <c r="O657" s="9" t="s">
        <v>354</v>
      </c>
      <c r="P657" s="12">
        <v>34</v>
      </c>
      <c r="Q657" s="12">
        <v>35.1</v>
      </c>
      <c r="R657" s="9" t="s">
        <v>356</v>
      </c>
      <c r="S657" s="13">
        <v>14</v>
      </c>
      <c r="T657" s="13">
        <v>14</v>
      </c>
      <c r="U657" s="14">
        <f t="shared" si="90"/>
        <v>1.1760912590556813</v>
      </c>
      <c r="V657" s="15">
        <v>10</v>
      </c>
      <c r="W657" s="12">
        <v>6.765175499999998</v>
      </c>
      <c r="X657" s="12">
        <v>1</v>
      </c>
      <c r="Y657" s="13" t="s">
        <v>384</v>
      </c>
      <c r="Z657" s="9" t="s">
        <v>359</v>
      </c>
      <c r="AA657" s="10" t="s">
        <v>372</v>
      </c>
      <c r="AB657" s="9" t="s">
        <v>417</v>
      </c>
      <c r="AC657" s="15">
        <v>304.7851264858275</v>
      </c>
      <c r="AD657" s="14">
        <f t="shared" si="91"/>
        <v>2.4839937696139525</v>
      </c>
      <c r="AE657" s="10" t="s">
        <v>956</v>
      </c>
      <c r="AF657" s="9" t="s">
        <v>420</v>
      </c>
      <c r="AG657" s="18">
        <v>36.691721999999999</v>
      </c>
      <c r="AH657" s="7">
        <f t="shared" si="92"/>
        <v>1</v>
      </c>
      <c r="AI657" s="7">
        <f t="shared" si="93"/>
        <v>1</v>
      </c>
      <c r="AJ657" s="7">
        <f t="shared" si="94"/>
        <v>0</v>
      </c>
      <c r="AK657" s="7">
        <f t="shared" si="95"/>
        <v>0</v>
      </c>
      <c r="AL657" s="7" t="s">
        <v>4157</v>
      </c>
      <c r="AM657" s="18">
        <f t="shared" si="96"/>
        <v>1.5645680943547093</v>
      </c>
      <c r="AN657" s="18">
        <v>-36.691721999999999</v>
      </c>
      <c r="AO657" s="18">
        <v>145.88668899999999</v>
      </c>
      <c r="AP657" s="9" t="s">
        <v>363</v>
      </c>
      <c r="AQ657" s="9" t="s">
        <v>355</v>
      </c>
      <c r="AR657" s="15">
        <v>1970</v>
      </c>
      <c r="AS657" s="19" t="s">
        <v>898</v>
      </c>
      <c r="AT657" s="10" t="s">
        <v>899</v>
      </c>
      <c r="AU657" s="40">
        <v>2431022</v>
      </c>
      <c r="AV657" s="35">
        <f t="shared" si="97"/>
        <v>6.385788889092356</v>
      </c>
      <c r="AW657" s="37" t="s">
        <v>366</v>
      </c>
      <c r="AX657" s="34" t="s">
        <v>355</v>
      </c>
      <c r="AY657" s="40" t="s">
        <v>355</v>
      </c>
      <c r="AZ657" s="15">
        <v>33</v>
      </c>
      <c r="BA657" s="14">
        <f t="shared" si="98"/>
        <v>1.5185139398778875</v>
      </c>
      <c r="BB657" s="37" t="s">
        <v>388</v>
      </c>
      <c r="BC657" s="20">
        <v>1.4744297719087435E-2</v>
      </c>
      <c r="BD657" s="9">
        <v>29.5</v>
      </c>
      <c r="BE657" s="9" t="s">
        <v>368</v>
      </c>
      <c r="BF657" s="9">
        <v>0</v>
      </c>
    </row>
    <row r="658" spans="1:58">
      <c r="A658" s="9">
        <v>338</v>
      </c>
      <c r="B658" s="10" t="s">
        <v>76</v>
      </c>
      <c r="C658" s="10" t="s">
        <v>721</v>
      </c>
      <c r="D658" s="10" t="s">
        <v>752</v>
      </c>
      <c r="E658" s="10" t="s">
        <v>758</v>
      </c>
      <c r="F658" s="10" t="s">
        <v>721</v>
      </c>
      <c r="G658" s="10" t="s">
        <v>752</v>
      </c>
      <c r="H658" s="10" t="s">
        <v>758</v>
      </c>
      <c r="I658" s="10" t="s">
        <v>101</v>
      </c>
      <c r="J658" s="10" t="s">
        <v>752</v>
      </c>
      <c r="K658" s="10" t="s">
        <v>758</v>
      </c>
      <c r="L658" s="9" t="s">
        <v>352</v>
      </c>
      <c r="M658" s="9">
        <v>38</v>
      </c>
      <c r="N658" s="9" t="s">
        <v>381</v>
      </c>
      <c r="O658" s="9" t="s">
        <v>354</v>
      </c>
      <c r="P658" s="12">
        <v>34.9</v>
      </c>
      <c r="Q658" s="12">
        <v>36.6</v>
      </c>
      <c r="R658" s="9" t="s">
        <v>356</v>
      </c>
      <c r="S658" s="13">
        <v>14</v>
      </c>
      <c r="T658" s="13">
        <v>14</v>
      </c>
      <c r="U658" s="14">
        <f t="shared" si="90"/>
        <v>1.1760912590556813</v>
      </c>
      <c r="V658" s="15">
        <v>25</v>
      </c>
      <c r="W658" s="12">
        <v>7.3469648999999961</v>
      </c>
      <c r="X658" s="12">
        <v>1</v>
      </c>
      <c r="Y658" s="13" t="s">
        <v>384</v>
      </c>
      <c r="Z658" s="9" t="s">
        <v>359</v>
      </c>
      <c r="AA658" s="10" t="s">
        <v>372</v>
      </c>
      <c r="AB658" s="9" t="s">
        <v>417</v>
      </c>
      <c r="AC658" s="15">
        <v>304.7851264858275</v>
      </c>
      <c r="AD658" s="14">
        <f t="shared" si="91"/>
        <v>2.4839937696139525</v>
      </c>
      <c r="AE658" s="10" t="s">
        <v>957</v>
      </c>
      <c r="AF658" s="9" t="s">
        <v>420</v>
      </c>
      <c r="AG658" s="18">
        <v>37.133319999999998</v>
      </c>
      <c r="AH658" s="7">
        <f t="shared" si="92"/>
        <v>1</v>
      </c>
      <c r="AI658" s="7">
        <f t="shared" si="93"/>
        <v>1</v>
      </c>
      <c r="AJ658" s="7">
        <f t="shared" si="94"/>
        <v>0</v>
      </c>
      <c r="AK658" s="7">
        <f t="shared" si="95"/>
        <v>0</v>
      </c>
      <c r="AL658" s="7" t="s">
        <v>4157</v>
      </c>
      <c r="AM658" s="18">
        <f t="shared" si="96"/>
        <v>1.5697637801774516</v>
      </c>
      <c r="AN658" s="18">
        <v>-37.133319999999998</v>
      </c>
      <c r="AO658" s="18">
        <v>142.51835800000001</v>
      </c>
      <c r="AP658" s="9" t="s">
        <v>363</v>
      </c>
      <c r="AQ658" s="9" t="s">
        <v>355</v>
      </c>
      <c r="AR658" s="15">
        <v>1970</v>
      </c>
      <c r="AS658" s="19" t="s">
        <v>898</v>
      </c>
      <c r="AT658" s="10" t="s">
        <v>899</v>
      </c>
      <c r="AU658" s="40">
        <v>2431022</v>
      </c>
      <c r="AV658" s="35">
        <f t="shared" si="97"/>
        <v>6.385788889092356</v>
      </c>
      <c r="AW658" s="37" t="s">
        <v>366</v>
      </c>
      <c r="AX658" s="34" t="s">
        <v>355</v>
      </c>
      <c r="AY658" s="40" t="s">
        <v>355</v>
      </c>
      <c r="AZ658" s="15">
        <v>33</v>
      </c>
      <c r="BA658" s="14">
        <f t="shared" si="98"/>
        <v>1.5185139398778875</v>
      </c>
      <c r="BB658" s="37" t="s">
        <v>388</v>
      </c>
      <c r="BC658" s="20">
        <v>2.4296918767506899E-2</v>
      </c>
      <c r="BD658" s="9">
        <v>27.1</v>
      </c>
      <c r="BE658" s="9" t="s">
        <v>368</v>
      </c>
      <c r="BF658" s="9">
        <v>0</v>
      </c>
    </row>
    <row r="659" spans="1:58">
      <c r="A659" s="9">
        <v>335</v>
      </c>
      <c r="B659" s="10" t="s">
        <v>76</v>
      </c>
      <c r="C659" s="10" t="s">
        <v>721</v>
      </c>
      <c r="D659" s="10" t="s">
        <v>752</v>
      </c>
      <c r="E659" s="10" t="s">
        <v>758</v>
      </c>
      <c r="F659" s="10" t="s">
        <v>721</v>
      </c>
      <c r="G659" s="10" t="s">
        <v>752</v>
      </c>
      <c r="H659" s="10" t="s">
        <v>758</v>
      </c>
      <c r="I659" s="10" t="s">
        <v>101</v>
      </c>
      <c r="J659" s="10" t="s">
        <v>752</v>
      </c>
      <c r="K659" s="10" t="s">
        <v>758</v>
      </c>
      <c r="L659" s="9" t="s">
        <v>352</v>
      </c>
      <c r="M659" s="9">
        <v>12</v>
      </c>
      <c r="N659" s="9" t="s">
        <v>381</v>
      </c>
      <c r="O659" s="9" t="s">
        <v>354</v>
      </c>
      <c r="P659" s="12">
        <v>29.8</v>
      </c>
      <c r="Q659" s="12">
        <v>33.9</v>
      </c>
      <c r="R659" s="9" t="s">
        <v>356</v>
      </c>
      <c r="S659" s="13">
        <v>14</v>
      </c>
      <c r="T659" s="13">
        <v>14</v>
      </c>
      <c r="U659" s="14">
        <f t="shared" si="90"/>
        <v>1.1760912590556813</v>
      </c>
      <c r="V659" s="15">
        <v>5</v>
      </c>
      <c r="W659" s="12">
        <v>6.2151258999999968</v>
      </c>
      <c r="X659" s="12">
        <v>1</v>
      </c>
      <c r="Y659" s="13" t="s">
        <v>384</v>
      </c>
      <c r="Z659" s="9" t="s">
        <v>359</v>
      </c>
      <c r="AA659" s="10" t="s">
        <v>372</v>
      </c>
      <c r="AB659" s="9" t="s">
        <v>417</v>
      </c>
      <c r="AC659" s="15">
        <v>761.96281621456865</v>
      </c>
      <c r="AD659" s="14">
        <f t="shared" si="91"/>
        <v>2.88193377828599</v>
      </c>
      <c r="AE659" s="10" t="s">
        <v>962</v>
      </c>
      <c r="AF659" s="9" t="s">
        <v>420</v>
      </c>
      <c r="AG659" s="18">
        <v>30.514343</v>
      </c>
      <c r="AH659" s="7">
        <f t="shared" si="92"/>
        <v>1</v>
      </c>
      <c r="AI659" s="7">
        <f t="shared" si="93"/>
        <v>1</v>
      </c>
      <c r="AJ659" s="7">
        <f t="shared" si="94"/>
        <v>0</v>
      </c>
      <c r="AK659" s="7">
        <f t="shared" si="95"/>
        <v>0</v>
      </c>
      <c r="AL659" s="7" t="s">
        <v>4157</v>
      </c>
      <c r="AM659" s="18">
        <f t="shared" si="96"/>
        <v>1.4845040236602571</v>
      </c>
      <c r="AN659" s="18">
        <v>-30.514343</v>
      </c>
      <c r="AO659" s="18">
        <v>151.66696400000001</v>
      </c>
      <c r="AP659" s="9" t="s">
        <v>363</v>
      </c>
      <c r="AQ659" s="9" t="s">
        <v>355</v>
      </c>
      <c r="AR659" s="15">
        <v>1970</v>
      </c>
      <c r="AS659" s="19" t="s">
        <v>898</v>
      </c>
      <c r="AT659" s="10" t="s">
        <v>899</v>
      </c>
      <c r="AU659" s="40">
        <v>2431022</v>
      </c>
      <c r="AV659" s="35">
        <f t="shared" si="97"/>
        <v>6.385788889092356</v>
      </c>
      <c r="AW659" s="37" t="s">
        <v>366</v>
      </c>
      <c r="AX659" s="34" t="s">
        <v>355</v>
      </c>
      <c r="AY659" s="40" t="s">
        <v>355</v>
      </c>
      <c r="AZ659" s="15">
        <v>33</v>
      </c>
      <c r="BA659" s="14">
        <f t="shared" si="98"/>
        <v>1.5185139398778875</v>
      </c>
      <c r="BB659" s="37" t="s">
        <v>388</v>
      </c>
      <c r="BC659" s="20">
        <v>1.6987194877951452E-2</v>
      </c>
      <c r="BD659" s="9">
        <v>26.1</v>
      </c>
      <c r="BE659" s="9" t="s">
        <v>368</v>
      </c>
      <c r="BF659" s="9">
        <v>0</v>
      </c>
    </row>
    <row r="660" spans="1:58">
      <c r="A660" s="9">
        <v>336</v>
      </c>
      <c r="B660" s="10" t="s">
        <v>76</v>
      </c>
      <c r="C660" s="10" t="s">
        <v>721</v>
      </c>
      <c r="D660" s="10" t="s">
        <v>752</v>
      </c>
      <c r="E660" s="10" t="s">
        <v>758</v>
      </c>
      <c r="F660" s="10" t="s">
        <v>721</v>
      </c>
      <c r="G660" s="10" t="s">
        <v>752</v>
      </c>
      <c r="H660" s="10" t="s">
        <v>758</v>
      </c>
      <c r="I660" s="10" t="s">
        <v>101</v>
      </c>
      <c r="J660" s="10" t="s">
        <v>752</v>
      </c>
      <c r="K660" s="10" t="s">
        <v>758</v>
      </c>
      <c r="L660" s="9" t="s">
        <v>352</v>
      </c>
      <c r="M660" s="9">
        <v>12</v>
      </c>
      <c r="N660" s="9" t="s">
        <v>381</v>
      </c>
      <c r="O660" s="9" t="s">
        <v>354</v>
      </c>
      <c r="P660" s="12">
        <v>33.4</v>
      </c>
      <c r="Q660" s="12">
        <v>35</v>
      </c>
      <c r="R660" s="9" t="s">
        <v>356</v>
      </c>
      <c r="S660" s="13">
        <v>14</v>
      </c>
      <c r="T660" s="13">
        <v>14</v>
      </c>
      <c r="U660" s="14">
        <f t="shared" si="90"/>
        <v>1.1760912590556813</v>
      </c>
      <c r="V660" s="15">
        <v>25</v>
      </c>
      <c r="W660" s="12">
        <v>6.690745899999996</v>
      </c>
      <c r="X660" s="12">
        <v>1</v>
      </c>
      <c r="Y660" s="13" t="s">
        <v>384</v>
      </c>
      <c r="Z660" s="9" t="s">
        <v>359</v>
      </c>
      <c r="AA660" s="10" t="s">
        <v>372</v>
      </c>
      <c r="AB660" s="9" t="s">
        <v>417</v>
      </c>
      <c r="AC660" s="15">
        <v>761.96281621456865</v>
      </c>
      <c r="AD660" s="14">
        <f t="shared" si="91"/>
        <v>2.88193377828599</v>
      </c>
      <c r="AE660" s="10" t="s">
        <v>962</v>
      </c>
      <c r="AF660" s="9" t="s">
        <v>420</v>
      </c>
      <c r="AG660" s="18">
        <v>30.514343</v>
      </c>
      <c r="AH660" s="7">
        <f t="shared" si="92"/>
        <v>1</v>
      </c>
      <c r="AI660" s="7">
        <f t="shared" si="93"/>
        <v>1</v>
      </c>
      <c r="AJ660" s="7">
        <f t="shared" si="94"/>
        <v>0</v>
      </c>
      <c r="AK660" s="7">
        <f t="shared" si="95"/>
        <v>0</v>
      </c>
      <c r="AL660" s="7" t="s">
        <v>4157</v>
      </c>
      <c r="AM660" s="18">
        <f t="shared" si="96"/>
        <v>1.4845040236602571</v>
      </c>
      <c r="AN660" s="18">
        <v>-30.514343</v>
      </c>
      <c r="AO660" s="18">
        <v>151.66696400000001</v>
      </c>
      <c r="AP660" s="9" t="s">
        <v>363</v>
      </c>
      <c r="AQ660" s="9" t="s">
        <v>355</v>
      </c>
      <c r="AR660" s="15">
        <v>1970</v>
      </c>
      <c r="AS660" s="19" t="s">
        <v>898</v>
      </c>
      <c r="AT660" s="10" t="s">
        <v>899</v>
      </c>
      <c r="AU660" s="40">
        <v>2431022</v>
      </c>
      <c r="AV660" s="35">
        <f t="shared" si="97"/>
        <v>6.385788889092356</v>
      </c>
      <c r="AW660" s="37" t="s">
        <v>366</v>
      </c>
      <c r="AX660" s="34" t="s">
        <v>355</v>
      </c>
      <c r="AY660" s="40" t="s">
        <v>355</v>
      </c>
      <c r="AZ660" s="15">
        <v>33</v>
      </c>
      <c r="BA660" s="14">
        <f t="shared" si="98"/>
        <v>1.5185139398778875</v>
      </c>
      <c r="BB660" s="37" t="s">
        <v>388</v>
      </c>
      <c r="BC660" s="20">
        <v>1.6987194877951452E-2</v>
      </c>
      <c r="BD660" s="9">
        <v>26.1</v>
      </c>
      <c r="BE660" s="9" t="s">
        <v>368</v>
      </c>
      <c r="BF660" s="9">
        <v>0</v>
      </c>
    </row>
    <row r="661" spans="1:58">
      <c r="A661" s="9">
        <v>712</v>
      </c>
      <c r="B661" s="10" t="s">
        <v>76</v>
      </c>
      <c r="C661" s="10" t="s">
        <v>369</v>
      </c>
      <c r="D661" s="20" t="s">
        <v>370</v>
      </c>
      <c r="E661" s="20" t="s">
        <v>760</v>
      </c>
      <c r="F661" s="10" t="s">
        <v>369</v>
      </c>
      <c r="G661" s="20" t="s">
        <v>370</v>
      </c>
      <c r="H661" s="20" t="s">
        <v>760</v>
      </c>
      <c r="I661" s="10" t="s">
        <v>369</v>
      </c>
      <c r="J661" s="20" t="s">
        <v>398</v>
      </c>
      <c r="K661" s="20" t="s">
        <v>760</v>
      </c>
      <c r="L661" s="9" t="s">
        <v>352</v>
      </c>
      <c r="M661" s="9">
        <v>20</v>
      </c>
      <c r="N661" s="9" t="s">
        <v>381</v>
      </c>
      <c r="O661" s="9" t="s">
        <v>354</v>
      </c>
      <c r="P661" s="12">
        <v>39.18</v>
      </c>
      <c r="Q661" s="12" t="s">
        <v>355</v>
      </c>
      <c r="R661" s="9" t="s">
        <v>356</v>
      </c>
      <c r="S661" s="13" t="s">
        <v>903</v>
      </c>
      <c r="T661" s="13" t="s">
        <v>903</v>
      </c>
      <c r="U661" s="14">
        <f t="shared" si="90"/>
        <v>1.1760912590556813</v>
      </c>
      <c r="V661" s="15">
        <v>10</v>
      </c>
      <c r="W661" s="12">
        <v>7.8106486000000004</v>
      </c>
      <c r="X661" s="12">
        <v>1</v>
      </c>
      <c r="Y661" s="13" t="s">
        <v>358</v>
      </c>
      <c r="Z661" s="9" t="s">
        <v>417</v>
      </c>
      <c r="AA661" s="10" t="s">
        <v>418</v>
      </c>
      <c r="AB661" s="9" t="s">
        <v>355</v>
      </c>
      <c r="AC661" s="15">
        <v>340</v>
      </c>
      <c r="AD661" s="14">
        <f t="shared" si="91"/>
        <v>2.5314789170422549</v>
      </c>
      <c r="AE661" s="10" t="s">
        <v>916</v>
      </c>
      <c r="AF661" s="9" t="s">
        <v>420</v>
      </c>
      <c r="AG661" s="18">
        <v>35.254964000000001</v>
      </c>
      <c r="AH661" s="7">
        <f t="shared" si="92"/>
        <v>1</v>
      </c>
      <c r="AI661" s="7">
        <f t="shared" si="93"/>
        <v>1</v>
      </c>
      <c r="AJ661" s="7">
        <f t="shared" si="94"/>
        <v>0</v>
      </c>
      <c r="AK661" s="7">
        <f t="shared" si="95"/>
        <v>0</v>
      </c>
      <c r="AL661" s="7" t="s">
        <v>4157</v>
      </c>
      <c r="AM661" s="18">
        <f t="shared" si="96"/>
        <v>1.5472202755409485</v>
      </c>
      <c r="AN661" s="18">
        <v>35.254964000000001</v>
      </c>
      <c r="AO661" s="18">
        <v>-97.351656000000006</v>
      </c>
      <c r="AP661" s="9" t="s">
        <v>363</v>
      </c>
      <c r="AQ661" s="9" t="s">
        <v>355</v>
      </c>
      <c r="AR661" s="15">
        <v>1997</v>
      </c>
      <c r="AS661" s="19" t="s">
        <v>917</v>
      </c>
      <c r="AT661" s="20" t="s">
        <v>918</v>
      </c>
      <c r="AU661" s="40">
        <v>1489357</v>
      </c>
      <c r="AV661" s="35">
        <f t="shared" si="97"/>
        <v>6.1729988109466536</v>
      </c>
      <c r="AW661" s="37" t="s">
        <v>338</v>
      </c>
      <c r="AX661" s="34" t="s">
        <v>355</v>
      </c>
      <c r="AY661" s="40">
        <v>1650</v>
      </c>
      <c r="AZ661" s="15">
        <v>113</v>
      </c>
      <c r="BA661" s="14">
        <f t="shared" si="98"/>
        <v>2.0530784434834195</v>
      </c>
      <c r="BB661" s="37" t="s">
        <v>388</v>
      </c>
      <c r="BC661" s="20">
        <v>3.0460984393757294E-2</v>
      </c>
      <c r="BD661" s="9">
        <v>34.4</v>
      </c>
      <c r="BE661" s="9" t="s">
        <v>368</v>
      </c>
      <c r="BF661" s="9">
        <v>0</v>
      </c>
    </row>
    <row r="662" spans="1:58">
      <c r="A662" s="9">
        <v>723</v>
      </c>
      <c r="B662" s="10" t="s">
        <v>76</v>
      </c>
      <c r="C662" s="10" t="s">
        <v>369</v>
      </c>
      <c r="D662" s="20" t="s">
        <v>370</v>
      </c>
      <c r="E662" s="20" t="s">
        <v>397</v>
      </c>
      <c r="F662" s="10" t="s">
        <v>369</v>
      </c>
      <c r="G662" s="20" t="s">
        <v>370</v>
      </c>
      <c r="H662" s="20" t="s">
        <v>397</v>
      </c>
      <c r="I662" s="10" t="s">
        <v>369</v>
      </c>
      <c r="J662" s="20" t="s">
        <v>398</v>
      </c>
      <c r="K662" s="20" t="s">
        <v>397</v>
      </c>
      <c r="L662" s="9" t="s">
        <v>380</v>
      </c>
      <c r="M662" s="9">
        <v>3</v>
      </c>
      <c r="N662" s="9" t="s">
        <v>353</v>
      </c>
      <c r="O662" s="9" t="s">
        <v>382</v>
      </c>
      <c r="P662" s="12">
        <v>37.630000000000003</v>
      </c>
      <c r="Q662" s="12" t="s">
        <v>355</v>
      </c>
      <c r="R662" s="9" t="s">
        <v>356</v>
      </c>
      <c r="S662" s="13" t="s">
        <v>903</v>
      </c>
      <c r="T662" s="13" t="s">
        <v>903</v>
      </c>
      <c r="U662" s="14">
        <f t="shared" si="90"/>
        <v>1.1760912590556813</v>
      </c>
      <c r="V662" s="15">
        <v>5</v>
      </c>
      <c r="W662" s="12"/>
      <c r="X662" s="12">
        <v>1</v>
      </c>
      <c r="Y662" s="13" t="s">
        <v>358</v>
      </c>
      <c r="Z662" s="9" t="s">
        <v>359</v>
      </c>
      <c r="AA662" s="10" t="s">
        <v>997</v>
      </c>
      <c r="AB662" s="9" t="s">
        <v>355</v>
      </c>
      <c r="AC662" s="15">
        <v>188</v>
      </c>
      <c r="AD662" s="14">
        <f t="shared" si="91"/>
        <v>2.27415784926368</v>
      </c>
      <c r="AE662" s="10" t="s">
        <v>998</v>
      </c>
      <c r="AF662" s="9" t="s">
        <v>362</v>
      </c>
      <c r="AG662" s="18">
        <v>39.440463000000001</v>
      </c>
      <c r="AH662" s="7">
        <f t="shared" si="92"/>
        <v>1</v>
      </c>
      <c r="AI662" s="7">
        <f t="shared" si="93"/>
        <v>1</v>
      </c>
      <c r="AJ662" s="7">
        <f t="shared" si="94"/>
        <v>0</v>
      </c>
      <c r="AK662" s="7">
        <f t="shared" si="95"/>
        <v>0</v>
      </c>
      <c r="AL662" s="7" t="s">
        <v>4157</v>
      </c>
      <c r="AM662" s="18">
        <f t="shared" si="96"/>
        <v>1.5959420045745709</v>
      </c>
      <c r="AN662" s="18">
        <v>39.440463000000001</v>
      </c>
      <c r="AO662" s="18">
        <v>-84.522219000000007</v>
      </c>
      <c r="AP662" s="9" t="s">
        <v>363</v>
      </c>
      <c r="AQ662" s="9" t="s">
        <v>999</v>
      </c>
      <c r="AR662" s="15">
        <v>1982</v>
      </c>
      <c r="AS662" s="19" t="s">
        <v>1000</v>
      </c>
      <c r="AT662" s="20" t="s">
        <v>1001</v>
      </c>
      <c r="AU662" s="34">
        <v>6914656</v>
      </c>
      <c r="AV662" s="35">
        <f t="shared" si="97"/>
        <v>6.8397705790920504</v>
      </c>
      <c r="AW662" s="37" t="s">
        <v>338</v>
      </c>
      <c r="AX662" s="34" t="s">
        <v>355</v>
      </c>
      <c r="AY662" s="40" t="s">
        <v>355</v>
      </c>
      <c r="AZ662" s="37">
        <v>146</v>
      </c>
      <c r="BA662" s="14">
        <f t="shared" si="98"/>
        <v>2.1643528557844371</v>
      </c>
      <c r="BB662" s="37" t="s">
        <v>388</v>
      </c>
      <c r="BC662" s="20">
        <v>-1.8163265306122441E-3</v>
      </c>
      <c r="BD662" s="9">
        <v>30.1</v>
      </c>
      <c r="BE662" s="9" t="s">
        <v>368</v>
      </c>
      <c r="BF662" s="9">
        <v>0</v>
      </c>
    </row>
    <row r="663" spans="1:58">
      <c r="A663" s="9">
        <v>726</v>
      </c>
      <c r="B663" s="10" t="s">
        <v>76</v>
      </c>
      <c r="C663" s="10" t="s">
        <v>369</v>
      </c>
      <c r="D663" s="20" t="s">
        <v>370</v>
      </c>
      <c r="E663" s="20" t="s">
        <v>397</v>
      </c>
      <c r="F663" s="10" t="s">
        <v>369</v>
      </c>
      <c r="G663" s="20" t="s">
        <v>370</v>
      </c>
      <c r="H663" s="20" t="s">
        <v>397</v>
      </c>
      <c r="I663" s="10" t="s">
        <v>369</v>
      </c>
      <c r="J663" s="20" t="s">
        <v>398</v>
      </c>
      <c r="K663" s="20" t="s">
        <v>397</v>
      </c>
      <c r="L663" s="9" t="s">
        <v>380</v>
      </c>
      <c r="M663" s="9">
        <v>7</v>
      </c>
      <c r="N663" s="9" t="s">
        <v>353</v>
      </c>
      <c r="O663" s="9" t="s">
        <v>382</v>
      </c>
      <c r="P663" s="12">
        <v>37.81</v>
      </c>
      <c r="Q663" s="12" t="s">
        <v>355</v>
      </c>
      <c r="R663" s="9" t="s">
        <v>356</v>
      </c>
      <c r="S663" s="13" t="s">
        <v>903</v>
      </c>
      <c r="T663" s="13" t="s">
        <v>903</v>
      </c>
      <c r="U663" s="14">
        <f t="shared" si="90"/>
        <v>1.1760912590556813</v>
      </c>
      <c r="V663" s="15">
        <v>15</v>
      </c>
      <c r="W663" s="12"/>
      <c r="X663" s="12">
        <v>1</v>
      </c>
      <c r="Y663" s="13" t="s">
        <v>358</v>
      </c>
      <c r="Z663" s="9" t="s">
        <v>359</v>
      </c>
      <c r="AA663" s="10" t="s">
        <v>997</v>
      </c>
      <c r="AB663" s="9" t="s">
        <v>355</v>
      </c>
      <c r="AC663" s="15">
        <v>188</v>
      </c>
      <c r="AD663" s="14">
        <f t="shared" si="91"/>
        <v>2.27415784926368</v>
      </c>
      <c r="AE663" s="10" t="s">
        <v>998</v>
      </c>
      <c r="AF663" s="9" t="s">
        <v>362</v>
      </c>
      <c r="AG663" s="18">
        <v>39.440463000000001</v>
      </c>
      <c r="AH663" s="7">
        <f t="shared" si="92"/>
        <v>1</v>
      </c>
      <c r="AI663" s="7">
        <f t="shared" si="93"/>
        <v>1</v>
      </c>
      <c r="AJ663" s="7">
        <f t="shared" si="94"/>
        <v>0</v>
      </c>
      <c r="AK663" s="7">
        <f t="shared" si="95"/>
        <v>0</v>
      </c>
      <c r="AL663" s="7" t="s">
        <v>4157</v>
      </c>
      <c r="AM663" s="18">
        <f t="shared" si="96"/>
        <v>1.5959420045745709</v>
      </c>
      <c r="AN663" s="18">
        <v>39.440463000000001</v>
      </c>
      <c r="AO663" s="18">
        <v>-84.522219000000007</v>
      </c>
      <c r="AP663" s="9" t="s">
        <v>363</v>
      </c>
      <c r="AQ663" s="9" t="s">
        <v>1002</v>
      </c>
      <c r="AR663" s="15">
        <v>1982</v>
      </c>
      <c r="AS663" s="19" t="s">
        <v>1000</v>
      </c>
      <c r="AT663" s="20" t="s">
        <v>1001</v>
      </c>
      <c r="AU663" s="34">
        <v>6914656</v>
      </c>
      <c r="AV663" s="35">
        <f t="shared" si="97"/>
        <v>6.8397705790920504</v>
      </c>
      <c r="AW663" s="37" t="s">
        <v>338</v>
      </c>
      <c r="AX663" s="34" t="s">
        <v>355</v>
      </c>
      <c r="AY663" s="40" t="s">
        <v>355</v>
      </c>
      <c r="AZ663" s="37">
        <v>146</v>
      </c>
      <c r="BA663" s="14">
        <f t="shared" si="98"/>
        <v>2.1643528557844371</v>
      </c>
      <c r="BB663" s="37" t="s">
        <v>388</v>
      </c>
      <c r="BC663" s="20">
        <v>-1.8163265306122441E-3</v>
      </c>
      <c r="BD663" s="9">
        <v>30.1</v>
      </c>
      <c r="BE663" s="9" t="s">
        <v>368</v>
      </c>
      <c r="BF663" s="9">
        <v>0</v>
      </c>
    </row>
    <row r="664" spans="1:58">
      <c r="A664" s="9">
        <v>728</v>
      </c>
      <c r="B664" s="10" t="s">
        <v>76</v>
      </c>
      <c r="C664" s="10" t="s">
        <v>369</v>
      </c>
      <c r="D664" s="20" t="s">
        <v>370</v>
      </c>
      <c r="E664" s="20" t="s">
        <v>397</v>
      </c>
      <c r="F664" s="10" t="s">
        <v>369</v>
      </c>
      <c r="G664" s="20" t="s">
        <v>370</v>
      </c>
      <c r="H664" s="20" t="s">
        <v>397</v>
      </c>
      <c r="I664" s="10" t="s">
        <v>369</v>
      </c>
      <c r="J664" s="20" t="s">
        <v>398</v>
      </c>
      <c r="K664" s="20" t="s">
        <v>397</v>
      </c>
      <c r="L664" s="9" t="s">
        <v>380</v>
      </c>
      <c r="M664" s="9">
        <v>2</v>
      </c>
      <c r="N664" s="9" t="s">
        <v>353</v>
      </c>
      <c r="O664" s="9" t="s">
        <v>382</v>
      </c>
      <c r="P664" s="12">
        <v>37.950000000000003</v>
      </c>
      <c r="Q664" s="12" t="s">
        <v>355</v>
      </c>
      <c r="R664" s="9" t="s">
        <v>356</v>
      </c>
      <c r="S664" s="13" t="s">
        <v>903</v>
      </c>
      <c r="T664" s="13" t="s">
        <v>903</v>
      </c>
      <c r="U664" s="14">
        <f t="shared" si="90"/>
        <v>1.1760912590556813</v>
      </c>
      <c r="V664" s="15">
        <v>25</v>
      </c>
      <c r="W664" s="12"/>
      <c r="X664" s="12">
        <v>1</v>
      </c>
      <c r="Y664" s="13" t="s">
        <v>358</v>
      </c>
      <c r="Z664" s="9" t="s">
        <v>359</v>
      </c>
      <c r="AA664" s="10" t="s">
        <v>997</v>
      </c>
      <c r="AB664" s="9" t="s">
        <v>355</v>
      </c>
      <c r="AC664" s="15">
        <v>188</v>
      </c>
      <c r="AD664" s="14">
        <f t="shared" si="91"/>
        <v>2.27415784926368</v>
      </c>
      <c r="AE664" s="10" t="s">
        <v>998</v>
      </c>
      <c r="AF664" s="9" t="s">
        <v>362</v>
      </c>
      <c r="AG664" s="18">
        <v>39.440463000000001</v>
      </c>
      <c r="AH664" s="7">
        <f t="shared" si="92"/>
        <v>1</v>
      </c>
      <c r="AI664" s="7">
        <f t="shared" si="93"/>
        <v>1</v>
      </c>
      <c r="AJ664" s="7">
        <f t="shared" si="94"/>
        <v>0</v>
      </c>
      <c r="AK664" s="7">
        <f t="shared" si="95"/>
        <v>0</v>
      </c>
      <c r="AL664" s="7" t="s">
        <v>4157</v>
      </c>
      <c r="AM664" s="18">
        <f t="shared" si="96"/>
        <v>1.5959420045745709</v>
      </c>
      <c r="AN664" s="18">
        <v>39.440463000000001</v>
      </c>
      <c r="AO664" s="18">
        <v>-84.522219000000007</v>
      </c>
      <c r="AP664" s="9" t="s">
        <v>363</v>
      </c>
      <c r="AQ664" s="9" t="s">
        <v>1003</v>
      </c>
      <c r="AR664" s="15">
        <v>1982</v>
      </c>
      <c r="AS664" s="19" t="s">
        <v>1000</v>
      </c>
      <c r="AT664" s="20" t="s">
        <v>1001</v>
      </c>
      <c r="AU664" s="34">
        <v>6914656</v>
      </c>
      <c r="AV664" s="35">
        <f t="shared" si="97"/>
        <v>6.8397705790920504</v>
      </c>
      <c r="AW664" s="37" t="s">
        <v>338</v>
      </c>
      <c r="AX664" s="34" t="s">
        <v>355</v>
      </c>
      <c r="AY664" s="40" t="s">
        <v>355</v>
      </c>
      <c r="AZ664" s="37">
        <v>146</v>
      </c>
      <c r="BA664" s="14">
        <f t="shared" si="98"/>
        <v>2.1643528557844371</v>
      </c>
      <c r="BB664" s="37" t="s">
        <v>388</v>
      </c>
      <c r="BC664" s="20">
        <v>-1.8163265306122441E-3</v>
      </c>
      <c r="BD664" s="9">
        <v>30.1</v>
      </c>
      <c r="BE664" s="9" t="s">
        <v>368</v>
      </c>
      <c r="BF664" s="9">
        <v>0</v>
      </c>
    </row>
    <row r="665" spans="1:58">
      <c r="A665" s="9">
        <v>725</v>
      </c>
      <c r="B665" s="10" t="s">
        <v>76</v>
      </c>
      <c r="C665" s="10" t="s">
        <v>369</v>
      </c>
      <c r="D665" s="20" t="s">
        <v>370</v>
      </c>
      <c r="E665" s="20" t="s">
        <v>397</v>
      </c>
      <c r="F665" s="10" t="s">
        <v>369</v>
      </c>
      <c r="G665" s="20" t="s">
        <v>370</v>
      </c>
      <c r="H665" s="20" t="s">
        <v>397</v>
      </c>
      <c r="I665" s="10" t="s">
        <v>369</v>
      </c>
      <c r="J665" s="20" t="s">
        <v>398</v>
      </c>
      <c r="K665" s="20" t="s">
        <v>397</v>
      </c>
      <c r="L665" s="9" t="s">
        <v>380</v>
      </c>
      <c r="M665" s="9">
        <v>4</v>
      </c>
      <c r="N665" s="9" t="s">
        <v>353</v>
      </c>
      <c r="O665" s="9" t="s">
        <v>382</v>
      </c>
      <c r="P665" s="12">
        <v>38.5</v>
      </c>
      <c r="Q665" s="12" t="s">
        <v>355</v>
      </c>
      <c r="R665" s="9" t="s">
        <v>356</v>
      </c>
      <c r="S665" s="13" t="s">
        <v>903</v>
      </c>
      <c r="T665" s="13" t="s">
        <v>903</v>
      </c>
      <c r="U665" s="14">
        <f t="shared" si="90"/>
        <v>1.1760912590556813</v>
      </c>
      <c r="V665" s="15">
        <v>15</v>
      </c>
      <c r="W665" s="12"/>
      <c r="X665" s="12">
        <v>1</v>
      </c>
      <c r="Y665" s="13" t="s">
        <v>358</v>
      </c>
      <c r="Z665" s="9" t="s">
        <v>359</v>
      </c>
      <c r="AA665" s="10" t="s">
        <v>997</v>
      </c>
      <c r="AB665" s="9" t="s">
        <v>355</v>
      </c>
      <c r="AC665" s="15">
        <v>188</v>
      </c>
      <c r="AD665" s="14">
        <f t="shared" si="91"/>
        <v>2.27415784926368</v>
      </c>
      <c r="AE665" s="10" t="s">
        <v>998</v>
      </c>
      <c r="AF665" s="9" t="s">
        <v>362</v>
      </c>
      <c r="AG665" s="18">
        <v>39.440463000000001</v>
      </c>
      <c r="AH665" s="7">
        <f t="shared" si="92"/>
        <v>1</v>
      </c>
      <c r="AI665" s="7">
        <f t="shared" si="93"/>
        <v>1</v>
      </c>
      <c r="AJ665" s="7">
        <f t="shared" si="94"/>
        <v>0</v>
      </c>
      <c r="AK665" s="7">
        <f t="shared" si="95"/>
        <v>0</v>
      </c>
      <c r="AL665" s="7" t="s">
        <v>4157</v>
      </c>
      <c r="AM665" s="18">
        <f t="shared" si="96"/>
        <v>1.5959420045745709</v>
      </c>
      <c r="AN665" s="18">
        <v>39.440463000000001</v>
      </c>
      <c r="AO665" s="18">
        <v>-84.522219000000007</v>
      </c>
      <c r="AP665" s="9" t="s">
        <v>363</v>
      </c>
      <c r="AQ665" s="9" t="s">
        <v>1004</v>
      </c>
      <c r="AR665" s="15">
        <v>1982</v>
      </c>
      <c r="AS665" s="19" t="s">
        <v>1000</v>
      </c>
      <c r="AT665" s="20" t="s">
        <v>1001</v>
      </c>
      <c r="AU665" s="34">
        <v>6914656</v>
      </c>
      <c r="AV665" s="35">
        <f t="shared" si="97"/>
        <v>6.8397705790920504</v>
      </c>
      <c r="AW665" s="37" t="s">
        <v>338</v>
      </c>
      <c r="AX665" s="34" t="s">
        <v>355</v>
      </c>
      <c r="AY665" s="40" t="s">
        <v>355</v>
      </c>
      <c r="AZ665" s="37">
        <v>146</v>
      </c>
      <c r="BA665" s="14">
        <f t="shared" si="98"/>
        <v>2.1643528557844371</v>
      </c>
      <c r="BB665" s="37" t="s">
        <v>388</v>
      </c>
      <c r="BC665" s="20">
        <v>-1.8163265306122441E-3</v>
      </c>
      <c r="BD665" s="9">
        <v>30.1</v>
      </c>
      <c r="BE665" s="9" t="s">
        <v>368</v>
      </c>
      <c r="BF665" s="9">
        <v>0</v>
      </c>
    </row>
    <row r="666" spans="1:58">
      <c r="A666" s="9">
        <v>724</v>
      </c>
      <c r="B666" s="10" t="s">
        <v>76</v>
      </c>
      <c r="C666" s="10" t="s">
        <v>369</v>
      </c>
      <c r="D666" s="20" t="s">
        <v>370</v>
      </c>
      <c r="E666" s="20" t="s">
        <v>397</v>
      </c>
      <c r="F666" s="10" t="s">
        <v>369</v>
      </c>
      <c r="G666" s="20" t="s">
        <v>370</v>
      </c>
      <c r="H666" s="20" t="s">
        <v>397</v>
      </c>
      <c r="I666" s="10" t="s">
        <v>369</v>
      </c>
      <c r="J666" s="20" t="s">
        <v>398</v>
      </c>
      <c r="K666" s="20" t="s">
        <v>397</v>
      </c>
      <c r="L666" s="9" t="s">
        <v>380</v>
      </c>
      <c r="M666" s="9">
        <v>9</v>
      </c>
      <c r="N666" s="9" t="s">
        <v>353</v>
      </c>
      <c r="O666" s="9" t="s">
        <v>382</v>
      </c>
      <c r="P666" s="12">
        <v>38.76</v>
      </c>
      <c r="Q666" s="12" t="s">
        <v>355</v>
      </c>
      <c r="R666" s="9" t="s">
        <v>356</v>
      </c>
      <c r="S666" s="13" t="s">
        <v>903</v>
      </c>
      <c r="T666" s="13" t="s">
        <v>903</v>
      </c>
      <c r="U666" s="14">
        <f t="shared" si="90"/>
        <v>1.1760912590556813</v>
      </c>
      <c r="V666" s="15">
        <v>15</v>
      </c>
      <c r="W666" s="12"/>
      <c r="X666" s="12">
        <v>1</v>
      </c>
      <c r="Y666" s="13" t="s">
        <v>358</v>
      </c>
      <c r="Z666" s="9" t="s">
        <v>359</v>
      </c>
      <c r="AA666" s="10" t="s">
        <v>997</v>
      </c>
      <c r="AB666" s="9" t="s">
        <v>355</v>
      </c>
      <c r="AC666" s="15">
        <v>188</v>
      </c>
      <c r="AD666" s="14">
        <f t="shared" si="91"/>
        <v>2.27415784926368</v>
      </c>
      <c r="AE666" s="10" t="s">
        <v>998</v>
      </c>
      <c r="AF666" s="9" t="s">
        <v>362</v>
      </c>
      <c r="AG666" s="18">
        <v>39.440463000000001</v>
      </c>
      <c r="AH666" s="7">
        <f t="shared" si="92"/>
        <v>1</v>
      </c>
      <c r="AI666" s="7">
        <f t="shared" si="93"/>
        <v>1</v>
      </c>
      <c r="AJ666" s="7">
        <f t="shared" si="94"/>
        <v>0</v>
      </c>
      <c r="AK666" s="7">
        <f t="shared" si="95"/>
        <v>0</v>
      </c>
      <c r="AL666" s="7" t="s">
        <v>4157</v>
      </c>
      <c r="AM666" s="18">
        <f t="shared" si="96"/>
        <v>1.5959420045745709</v>
      </c>
      <c r="AN666" s="18">
        <v>39.440463000000001</v>
      </c>
      <c r="AO666" s="18">
        <v>-84.522219000000007</v>
      </c>
      <c r="AP666" s="9" t="s">
        <v>363</v>
      </c>
      <c r="AQ666" s="9" t="s">
        <v>1005</v>
      </c>
      <c r="AR666" s="15">
        <v>1982</v>
      </c>
      <c r="AS666" s="19" t="s">
        <v>1000</v>
      </c>
      <c r="AT666" s="20" t="s">
        <v>1001</v>
      </c>
      <c r="AU666" s="34">
        <v>6914656</v>
      </c>
      <c r="AV666" s="35">
        <f t="shared" si="97"/>
        <v>6.8397705790920504</v>
      </c>
      <c r="AW666" s="37" t="s">
        <v>338</v>
      </c>
      <c r="AX666" s="34" t="s">
        <v>355</v>
      </c>
      <c r="AY666" s="40" t="s">
        <v>355</v>
      </c>
      <c r="AZ666" s="37">
        <v>146</v>
      </c>
      <c r="BA666" s="14">
        <f t="shared" si="98"/>
        <v>2.1643528557844371</v>
      </c>
      <c r="BB666" s="37" t="s">
        <v>388</v>
      </c>
      <c r="BC666" s="20">
        <v>-1.8163265306122441E-3</v>
      </c>
      <c r="BD666" s="9">
        <v>30.1</v>
      </c>
      <c r="BE666" s="9" t="s">
        <v>368</v>
      </c>
      <c r="BF666" s="9">
        <v>0</v>
      </c>
    </row>
    <row r="667" spans="1:58">
      <c r="A667" s="9">
        <v>729</v>
      </c>
      <c r="B667" s="10" t="s">
        <v>76</v>
      </c>
      <c r="C667" s="10" t="s">
        <v>369</v>
      </c>
      <c r="D667" s="20" t="s">
        <v>370</v>
      </c>
      <c r="E667" s="20" t="s">
        <v>397</v>
      </c>
      <c r="F667" s="10" t="s">
        <v>369</v>
      </c>
      <c r="G667" s="20" t="s">
        <v>370</v>
      </c>
      <c r="H667" s="20" t="s">
        <v>397</v>
      </c>
      <c r="I667" s="10" t="s">
        <v>369</v>
      </c>
      <c r="J667" s="20" t="s">
        <v>398</v>
      </c>
      <c r="K667" s="20" t="s">
        <v>397</v>
      </c>
      <c r="L667" s="9" t="s">
        <v>380</v>
      </c>
      <c r="M667" s="9">
        <v>8</v>
      </c>
      <c r="N667" s="9" t="s">
        <v>353</v>
      </c>
      <c r="O667" s="9" t="s">
        <v>382</v>
      </c>
      <c r="P667" s="12">
        <v>39.450000000000003</v>
      </c>
      <c r="Q667" s="12" t="s">
        <v>355</v>
      </c>
      <c r="R667" s="9" t="s">
        <v>356</v>
      </c>
      <c r="S667" s="13" t="s">
        <v>903</v>
      </c>
      <c r="T667" s="13" t="s">
        <v>903</v>
      </c>
      <c r="U667" s="14">
        <f t="shared" si="90"/>
        <v>1.1760912590556813</v>
      </c>
      <c r="V667" s="15">
        <v>25</v>
      </c>
      <c r="W667" s="12"/>
      <c r="X667" s="12">
        <v>1</v>
      </c>
      <c r="Y667" s="13" t="s">
        <v>358</v>
      </c>
      <c r="Z667" s="9" t="s">
        <v>359</v>
      </c>
      <c r="AA667" s="10" t="s">
        <v>997</v>
      </c>
      <c r="AB667" s="9" t="s">
        <v>355</v>
      </c>
      <c r="AC667" s="15">
        <v>188</v>
      </c>
      <c r="AD667" s="14">
        <f t="shared" si="91"/>
        <v>2.27415784926368</v>
      </c>
      <c r="AE667" s="10" t="s">
        <v>998</v>
      </c>
      <c r="AF667" s="9" t="s">
        <v>362</v>
      </c>
      <c r="AG667" s="18">
        <v>39.440463000000001</v>
      </c>
      <c r="AH667" s="7">
        <f t="shared" si="92"/>
        <v>1</v>
      </c>
      <c r="AI667" s="7">
        <f t="shared" si="93"/>
        <v>1</v>
      </c>
      <c r="AJ667" s="7">
        <f t="shared" si="94"/>
        <v>0</v>
      </c>
      <c r="AK667" s="7">
        <f t="shared" si="95"/>
        <v>0</v>
      </c>
      <c r="AL667" s="7" t="s">
        <v>4157</v>
      </c>
      <c r="AM667" s="18">
        <f t="shared" si="96"/>
        <v>1.5959420045745709</v>
      </c>
      <c r="AN667" s="18">
        <v>39.440463000000001</v>
      </c>
      <c r="AO667" s="18">
        <v>-84.522219000000007</v>
      </c>
      <c r="AP667" s="9" t="s">
        <v>363</v>
      </c>
      <c r="AQ667" s="9" t="s">
        <v>1006</v>
      </c>
      <c r="AR667" s="15">
        <v>1982</v>
      </c>
      <c r="AS667" s="19" t="s">
        <v>1000</v>
      </c>
      <c r="AT667" s="20" t="s">
        <v>1001</v>
      </c>
      <c r="AU667" s="34">
        <v>6914656</v>
      </c>
      <c r="AV667" s="35">
        <f t="shared" si="97"/>
        <v>6.8397705790920504</v>
      </c>
      <c r="AW667" s="37" t="s">
        <v>338</v>
      </c>
      <c r="AX667" s="34" t="s">
        <v>355</v>
      </c>
      <c r="AY667" s="40" t="s">
        <v>355</v>
      </c>
      <c r="AZ667" s="37">
        <v>146</v>
      </c>
      <c r="BA667" s="14">
        <f t="shared" si="98"/>
        <v>2.1643528557844371</v>
      </c>
      <c r="BB667" s="37" t="s">
        <v>388</v>
      </c>
      <c r="BC667" s="20">
        <v>-1.8163265306122441E-3</v>
      </c>
      <c r="BD667" s="9">
        <v>30.1</v>
      </c>
      <c r="BE667" s="9" t="s">
        <v>368</v>
      </c>
      <c r="BF667" s="9">
        <v>0</v>
      </c>
    </row>
    <row r="668" spans="1:58">
      <c r="A668" s="9">
        <v>727</v>
      </c>
      <c r="B668" s="10" t="s">
        <v>76</v>
      </c>
      <c r="C668" s="10" t="s">
        <v>369</v>
      </c>
      <c r="D668" s="20" t="s">
        <v>370</v>
      </c>
      <c r="E668" s="20" t="s">
        <v>397</v>
      </c>
      <c r="F668" s="10" t="s">
        <v>369</v>
      </c>
      <c r="G668" s="20" t="s">
        <v>370</v>
      </c>
      <c r="H668" s="20" t="s">
        <v>397</v>
      </c>
      <c r="I668" s="10" t="s">
        <v>369</v>
      </c>
      <c r="J668" s="20" t="s">
        <v>398</v>
      </c>
      <c r="K668" s="20" t="s">
        <v>397</v>
      </c>
      <c r="L668" s="9" t="s">
        <v>380</v>
      </c>
      <c r="M668" s="9">
        <v>8</v>
      </c>
      <c r="N668" s="9" t="s">
        <v>353</v>
      </c>
      <c r="O668" s="9" t="s">
        <v>382</v>
      </c>
      <c r="P668" s="12">
        <v>39.46</v>
      </c>
      <c r="Q668" s="12" t="s">
        <v>355</v>
      </c>
      <c r="R668" s="9" t="s">
        <v>356</v>
      </c>
      <c r="S668" s="13" t="s">
        <v>903</v>
      </c>
      <c r="T668" s="13" t="s">
        <v>903</v>
      </c>
      <c r="U668" s="14">
        <f t="shared" si="90"/>
        <v>1.1760912590556813</v>
      </c>
      <c r="V668" s="15">
        <v>25</v>
      </c>
      <c r="W668" s="12"/>
      <c r="X668" s="12">
        <v>1</v>
      </c>
      <c r="Y668" s="13" t="s">
        <v>358</v>
      </c>
      <c r="Z668" s="9" t="s">
        <v>359</v>
      </c>
      <c r="AA668" s="10" t="s">
        <v>997</v>
      </c>
      <c r="AB668" s="9" t="s">
        <v>355</v>
      </c>
      <c r="AC668" s="15">
        <v>188</v>
      </c>
      <c r="AD668" s="14">
        <f t="shared" si="91"/>
        <v>2.27415784926368</v>
      </c>
      <c r="AE668" s="10" t="s">
        <v>998</v>
      </c>
      <c r="AF668" s="9" t="s">
        <v>362</v>
      </c>
      <c r="AG668" s="18">
        <v>39.440463000000001</v>
      </c>
      <c r="AH668" s="7">
        <f t="shared" si="92"/>
        <v>1</v>
      </c>
      <c r="AI668" s="7">
        <f t="shared" si="93"/>
        <v>1</v>
      </c>
      <c r="AJ668" s="7">
        <f t="shared" si="94"/>
        <v>0</v>
      </c>
      <c r="AK668" s="7">
        <f t="shared" si="95"/>
        <v>0</v>
      </c>
      <c r="AL668" s="7" t="s">
        <v>4157</v>
      </c>
      <c r="AM668" s="18">
        <f t="shared" si="96"/>
        <v>1.5959420045745709</v>
      </c>
      <c r="AN668" s="18">
        <v>39.440463000000001</v>
      </c>
      <c r="AO668" s="18">
        <v>-84.522219000000007</v>
      </c>
      <c r="AP668" s="9" t="s">
        <v>363</v>
      </c>
      <c r="AQ668" s="9" t="s">
        <v>1007</v>
      </c>
      <c r="AR668" s="15">
        <v>1982</v>
      </c>
      <c r="AS668" s="19" t="s">
        <v>1000</v>
      </c>
      <c r="AT668" s="20" t="s">
        <v>1001</v>
      </c>
      <c r="AU668" s="34">
        <v>6914656</v>
      </c>
      <c r="AV668" s="35">
        <f t="shared" si="97"/>
        <v>6.8397705790920504</v>
      </c>
      <c r="AW668" s="37" t="s">
        <v>338</v>
      </c>
      <c r="AX668" s="34" t="s">
        <v>355</v>
      </c>
      <c r="AY668" s="40" t="s">
        <v>355</v>
      </c>
      <c r="AZ668" s="37">
        <v>146</v>
      </c>
      <c r="BA668" s="14">
        <f t="shared" si="98"/>
        <v>2.1643528557844371</v>
      </c>
      <c r="BB668" s="37" t="s">
        <v>388</v>
      </c>
      <c r="BC668" s="20">
        <v>-1.8163265306122441E-3</v>
      </c>
      <c r="BD668" s="9">
        <v>30.1</v>
      </c>
      <c r="BE668" s="9" t="s">
        <v>368</v>
      </c>
      <c r="BF668" s="9">
        <v>0</v>
      </c>
    </row>
    <row r="669" spans="1:58">
      <c r="A669" s="9">
        <v>255</v>
      </c>
      <c r="B669" s="10" t="s">
        <v>76</v>
      </c>
      <c r="C669" s="10" t="s">
        <v>369</v>
      </c>
      <c r="D669" s="20" t="s">
        <v>370</v>
      </c>
      <c r="E669" s="20" t="s">
        <v>397</v>
      </c>
      <c r="F669" s="10" t="s">
        <v>369</v>
      </c>
      <c r="G669" s="20" t="s">
        <v>370</v>
      </c>
      <c r="H669" s="20" t="s">
        <v>397</v>
      </c>
      <c r="I669" s="10" t="s">
        <v>369</v>
      </c>
      <c r="J669" s="20" t="s">
        <v>398</v>
      </c>
      <c r="K669" s="20" t="s">
        <v>397</v>
      </c>
      <c r="L669" s="9" t="s">
        <v>352</v>
      </c>
      <c r="M669" s="9">
        <v>10</v>
      </c>
      <c r="N669" s="9" t="s">
        <v>381</v>
      </c>
      <c r="O669" s="9" t="s">
        <v>455</v>
      </c>
      <c r="P669" s="12">
        <v>31.7</v>
      </c>
      <c r="Q669" s="12" t="s">
        <v>355</v>
      </c>
      <c r="R669" s="9" t="s">
        <v>356</v>
      </c>
      <c r="S669" s="13" t="s">
        <v>903</v>
      </c>
      <c r="T669" s="13" t="s">
        <v>903</v>
      </c>
      <c r="U669" s="14">
        <f t="shared" si="90"/>
        <v>1.1760912590556813</v>
      </c>
      <c r="V669" s="15">
        <v>5</v>
      </c>
      <c r="W669" s="12">
        <v>8.4526382999999967</v>
      </c>
      <c r="X669" s="12">
        <v>1</v>
      </c>
      <c r="Y669" s="13" t="s">
        <v>904</v>
      </c>
      <c r="Z669" s="9" t="s">
        <v>359</v>
      </c>
      <c r="AA669" s="10" t="s">
        <v>372</v>
      </c>
      <c r="AB669" s="9" t="s">
        <v>355</v>
      </c>
      <c r="AC669" s="15">
        <v>305</v>
      </c>
      <c r="AD669" s="14">
        <f t="shared" si="91"/>
        <v>2.4842998393467859</v>
      </c>
      <c r="AE669" s="10" t="s">
        <v>373</v>
      </c>
      <c r="AF669" s="9" t="s">
        <v>362</v>
      </c>
      <c r="AG669" s="18">
        <v>42</v>
      </c>
      <c r="AH669" s="7">
        <f t="shared" si="92"/>
        <v>1</v>
      </c>
      <c r="AI669" s="7">
        <f t="shared" si="93"/>
        <v>1</v>
      </c>
      <c r="AJ669" s="7">
        <f t="shared" si="94"/>
        <v>0</v>
      </c>
      <c r="AK669" s="7">
        <f t="shared" si="95"/>
        <v>0</v>
      </c>
      <c r="AL669" s="7" t="s">
        <v>4157</v>
      </c>
      <c r="AM669" s="18">
        <f t="shared" si="96"/>
        <v>1.6232492903979006</v>
      </c>
      <c r="AN669" s="18">
        <v>42</v>
      </c>
      <c r="AO669" s="18">
        <v>-73.134960000000007</v>
      </c>
      <c r="AP669" s="9" t="s">
        <v>363</v>
      </c>
      <c r="AQ669" s="9" t="s">
        <v>355</v>
      </c>
      <c r="AR669" s="15">
        <v>1968</v>
      </c>
      <c r="AS669" s="19" t="s">
        <v>906</v>
      </c>
      <c r="AT669" s="20" t="s">
        <v>907</v>
      </c>
      <c r="AU669" s="34">
        <v>6914656</v>
      </c>
      <c r="AV669" s="35">
        <f t="shared" si="97"/>
        <v>6.8397705790920504</v>
      </c>
      <c r="AW669" s="37" t="s">
        <v>338</v>
      </c>
      <c r="AX669" s="34" t="s">
        <v>355</v>
      </c>
      <c r="AY669" s="40" t="s">
        <v>355</v>
      </c>
      <c r="AZ669" s="15">
        <v>146</v>
      </c>
      <c r="BA669" s="14">
        <f t="shared" si="98"/>
        <v>2.1643528557844371</v>
      </c>
      <c r="BB669" s="37" t="s">
        <v>388</v>
      </c>
      <c r="BC669" s="20">
        <v>2.6780712284914233E-2</v>
      </c>
      <c r="BD669" s="9">
        <v>25.700000000000003</v>
      </c>
      <c r="BE669" s="9" t="s">
        <v>368</v>
      </c>
      <c r="BF669" s="9">
        <v>0</v>
      </c>
    </row>
    <row r="670" spans="1:58">
      <c r="A670" s="9">
        <v>256</v>
      </c>
      <c r="B670" s="10" t="s">
        <v>76</v>
      </c>
      <c r="C670" s="10" t="s">
        <v>369</v>
      </c>
      <c r="D670" s="20" t="s">
        <v>370</v>
      </c>
      <c r="E670" s="20" t="s">
        <v>397</v>
      </c>
      <c r="F670" s="10" t="s">
        <v>369</v>
      </c>
      <c r="G670" s="20" t="s">
        <v>370</v>
      </c>
      <c r="H670" s="20" t="s">
        <v>397</v>
      </c>
      <c r="I670" s="10" t="s">
        <v>369</v>
      </c>
      <c r="J670" s="20" t="s">
        <v>398</v>
      </c>
      <c r="K670" s="20" t="s">
        <v>397</v>
      </c>
      <c r="L670" s="9" t="s">
        <v>352</v>
      </c>
      <c r="M670" s="9">
        <v>10</v>
      </c>
      <c r="N670" s="9" t="s">
        <v>381</v>
      </c>
      <c r="O670" s="9" t="s">
        <v>455</v>
      </c>
      <c r="P670" s="12">
        <v>33.6</v>
      </c>
      <c r="Q670" s="12" t="s">
        <v>355</v>
      </c>
      <c r="R670" s="9" t="s">
        <v>356</v>
      </c>
      <c r="S670" s="13" t="s">
        <v>903</v>
      </c>
      <c r="T670" s="13" t="s">
        <v>903</v>
      </c>
      <c r="U670" s="14">
        <f t="shared" si="90"/>
        <v>1.1760912590556813</v>
      </c>
      <c r="V670" s="15">
        <v>23</v>
      </c>
      <c r="W670" s="12">
        <v>7.5406963000000005</v>
      </c>
      <c r="X670" s="12">
        <v>1</v>
      </c>
      <c r="Y670" s="13" t="s">
        <v>904</v>
      </c>
      <c r="Z670" s="9" t="s">
        <v>359</v>
      </c>
      <c r="AA670" s="10" t="s">
        <v>372</v>
      </c>
      <c r="AB670" s="9" t="s">
        <v>355</v>
      </c>
      <c r="AC670" s="15">
        <v>305</v>
      </c>
      <c r="AD670" s="14">
        <f t="shared" si="91"/>
        <v>2.4842998393467859</v>
      </c>
      <c r="AE670" s="10" t="s">
        <v>373</v>
      </c>
      <c r="AF670" s="9" t="s">
        <v>362</v>
      </c>
      <c r="AG670" s="18">
        <v>42</v>
      </c>
      <c r="AH670" s="7">
        <f t="shared" si="92"/>
        <v>1</v>
      </c>
      <c r="AI670" s="7">
        <f t="shared" si="93"/>
        <v>1</v>
      </c>
      <c r="AJ670" s="7">
        <f t="shared" si="94"/>
        <v>0</v>
      </c>
      <c r="AK670" s="7">
        <f t="shared" si="95"/>
        <v>0</v>
      </c>
      <c r="AL670" s="7" t="s">
        <v>4157</v>
      </c>
      <c r="AM670" s="18">
        <f t="shared" si="96"/>
        <v>1.6232492903979006</v>
      </c>
      <c r="AN670" s="18">
        <v>42</v>
      </c>
      <c r="AO670" s="18">
        <v>-73.134960000000007</v>
      </c>
      <c r="AP670" s="9" t="s">
        <v>363</v>
      </c>
      <c r="AQ670" s="9" t="s">
        <v>355</v>
      </c>
      <c r="AR670" s="15">
        <v>1968</v>
      </c>
      <c r="AS670" s="19" t="s">
        <v>906</v>
      </c>
      <c r="AT670" s="20" t="s">
        <v>907</v>
      </c>
      <c r="AU670" s="34">
        <v>6914656</v>
      </c>
      <c r="AV670" s="35">
        <f t="shared" si="97"/>
        <v>6.8397705790920504</v>
      </c>
      <c r="AW670" s="37" t="s">
        <v>338</v>
      </c>
      <c r="AX670" s="34" t="s">
        <v>355</v>
      </c>
      <c r="AY670" s="40" t="s">
        <v>355</v>
      </c>
      <c r="AZ670" s="15">
        <v>146</v>
      </c>
      <c r="BA670" s="14">
        <f t="shared" si="98"/>
        <v>2.1643528557844371</v>
      </c>
      <c r="BB670" s="37" t="s">
        <v>388</v>
      </c>
      <c r="BC670" s="20">
        <v>2.6780712284914233E-2</v>
      </c>
      <c r="BD670" s="9">
        <v>25.700000000000003</v>
      </c>
      <c r="BE670" s="9" t="s">
        <v>368</v>
      </c>
      <c r="BF670" s="9">
        <v>0</v>
      </c>
    </row>
    <row r="671" spans="1:58">
      <c r="A671" s="9">
        <v>713</v>
      </c>
      <c r="B671" s="10" t="s">
        <v>76</v>
      </c>
      <c r="C671" s="10" t="s">
        <v>369</v>
      </c>
      <c r="D671" s="20" t="s">
        <v>370</v>
      </c>
      <c r="E671" s="20" t="s">
        <v>397</v>
      </c>
      <c r="F671" s="10" t="s">
        <v>369</v>
      </c>
      <c r="G671" s="20" t="s">
        <v>370</v>
      </c>
      <c r="H671" s="20" t="s">
        <v>397</v>
      </c>
      <c r="I671" s="10" t="s">
        <v>369</v>
      </c>
      <c r="J671" s="20" t="s">
        <v>398</v>
      </c>
      <c r="K671" s="20" t="s">
        <v>397</v>
      </c>
      <c r="L671" s="9" t="s">
        <v>352</v>
      </c>
      <c r="M671" s="9">
        <v>19</v>
      </c>
      <c r="N671" s="9" t="s">
        <v>381</v>
      </c>
      <c r="O671" s="9" t="s">
        <v>354</v>
      </c>
      <c r="P671" s="12">
        <v>40.65</v>
      </c>
      <c r="Q671" s="12" t="s">
        <v>355</v>
      </c>
      <c r="R671" s="9" t="s">
        <v>356</v>
      </c>
      <c r="S671" s="13" t="s">
        <v>903</v>
      </c>
      <c r="T671" s="13" t="s">
        <v>903</v>
      </c>
      <c r="U671" s="14">
        <f t="shared" si="90"/>
        <v>1.1760912590556813</v>
      </c>
      <c r="V671" s="15">
        <v>10</v>
      </c>
      <c r="W671" s="12">
        <v>9.2806485999999992</v>
      </c>
      <c r="X671" s="12">
        <v>1</v>
      </c>
      <c r="Y671" s="13" t="s">
        <v>358</v>
      </c>
      <c r="Z671" s="9" t="s">
        <v>417</v>
      </c>
      <c r="AA671" s="10" t="s">
        <v>418</v>
      </c>
      <c r="AB671" s="9" t="s">
        <v>355</v>
      </c>
      <c r="AC671" s="15">
        <v>340</v>
      </c>
      <c r="AD671" s="14">
        <f t="shared" si="91"/>
        <v>2.5314789170422549</v>
      </c>
      <c r="AE671" s="10" t="s">
        <v>916</v>
      </c>
      <c r="AF671" s="9" t="s">
        <v>420</v>
      </c>
      <c r="AG671" s="18">
        <v>35.254964000000001</v>
      </c>
      <c r="AH671" s="7">
        <f t="shared" si="92"/>
        <v>1</v>
      </c>
      <c r="AI671" s="7">
        <f t="shared" si="93"/>
        <v>1</v>
      </c>
      <c r="AJ671" s="7">
        <f t="shared" si="94"/>
        <v>0</v>
      </c>
      <c r="AK671" s="7">
        <f t="shared" si="95"/>
        <v>0</v>
      </c>
      <c r="AL671" s="7" t="s">
        <v>4157</v>
      </c>
      <c r="AM671" s="18">
        <f t="shared" si="96"/>
        <v>1.5472202755409485</v>
      </c>
      <c r="AN671" s="18">
        <v>35.254964000000001</v>
      </c>
      <c r="AO671" s="18">
        <v>-97.351656000000006</v>
      </c>
      <c r="AP671" s="9" t="s">
        <v>363</v>
      </c>
      <c r="AQ671" s="9" t="s">
        <v>355</v>
      </c>
      <c r="AR671" s="15">
        <v>1997</v>
      </c>
      <c r="AS671" s="19" t="s">
        <v>917</v>
      </c>
      <c r="AT671" s="20" t="s">
        <v>918</v>
      </c>
      <c r="AU671" s="34">
        <v>6914656</v>
      </c>
      <c r="AV671" s="35">
        <f t="shared" si="97"/>
        <v>6.8397705790920504</v>
      </c>
      <c r="AW671" s="37" t="s">
        <v>338</v>
      </c>
      <c r="AX671" s="34" t="s">
        <v>355</v>
      </c>
      <c r="AY671" s="40" t="s">
        <v>355</v>
      </c>
      <c r="AZ671" s="15">
        <v>146</v>
      </c>
      <c r="BA671" s="14">
        <f t="shared" si="98"/>
        <v>2.1643528557844371</v>
      </c>
      <c r="BB671" s="37" t="s">
        <v>388</v>
      </c>
      <c r="BC671" s="20">
        <v>3.0460984393757294E-2</v>
      </c>
      <c r="BD671" s="9">
        <v>34.4</v>
      </c>
      <c r="BE671" s="9" t="s">
        <v>368</v>
      </c>
      <c r="BF671" s="9">
        <v>0</v>
      </c>
    </row>
    <row r="672" spans="1:58">
      <c r="A672" s="9">
        <v>1021</v>
      </c>
      <c r="B672" s="20" t="s">
        <v>76</v>
      </c>
      <c r="C672" s="20" t="s">
        <v>369</v>
      </c>
      <c r="D672" s="20" t="s">
        <v>370</v>
      </c>
      <c r="E672" s="20" t="s">
        <v>397</v>
      </c>
      <c r="F672" s="20" t="s">
        <v>369</v>
      </c>
      <c r="G672" s="20" t="s">
        <v>370</v>
      </c>
      <c r="H672" s="20" t="s">
        <v>397</v>
      </c>
      <c r="I672" s="20" t="s">
        <v>369</v>
      </c>
      <c r="J672" s="20" t="s">
        <v>398</v>
      </c>
      <c r="K672" s="20" t="s">
        <v>397</v>
      </c>
      <c r="L672" s="9" t="s">
        <v>352</v>
      </c>
      <c r="M672" s="9">
        <v>3</v>
      </c>
      <c r="N672" s="9" t="s">
        <v>353</v>
      </c>
      <c r="O672" s="9" t="s">
        <v>354</v>
      </c>
      <c r="P672" s="12">
        <v>31.711390000000002</v>
      </c>
      <c r="Q672" s="9" t="s">
        <v>355</v>
      </c>
      <c r="R672" s="9" t="s">
        <v>356</v>
      </c>
      <c r="S672" s="9">
        <v>14</v>
      </c>
      <c r="T672" s="9">
        <v>14</v>
      </c>
      <c r="U672" s="14">
        <f t="shared" si="90"/>
        <v>1.1760912590556813</v>
      </c>
      <c r="V672" s="15">
        <v>5</v>
      </c>
      <c r="W672" s="12">
        <v>8.4640282999999954</v>
      </c>
      <c r="X672" s="9" t="s">
        <v>355</v>
      </c>
      <c r="Y672" s="13" t="s">
        <v>401</v>
      </c>
      <c r="Z672" s="9" t="s">
        <v>359</v>
      </c>
      <c r="AA672" s="10" t="s">
        <v>372</v>
      </c>
      <c r="AB672" s="9" t="s">
        <v>355</v>
      </c>
      <c r="AC672" s="15">
        <v>422</v>
      </c>
      <c r="AD672" s="14">
        <f t="shared" si="91"/>
        <v>2.6253124509616739</v>
      </c>
      <c r="AE672" s="10" t="s">
        <v>373</v>
      </c>
      <c r="AF672" s="9" t="s">
        <v>362</v>
      </c>
      <c r="AG672" s="18">
        <v>42</v>
      </c>
      <c r="AH672" s="7">
        <f t="shared" si="92"/>
        <v>1</v>
      </c>
      <c r="AI672" s="7">
        <f t="shared" si="93"/>
        <v>1</v>
      </c>
      <c r="AJ672" s="7">
        <f t="shared" si="94"/>
        <v>0</v>
      </c>
      <c r="AK672" s="7">
        <f t="shared" si="95"/>
        <v>0</v>
      </c>
      <c r="AL672" s="7" t="s">
        <v>4157</v>
      </c>
      <c r="AM672" s="18">
        <f t="shared" si="96"/>
        <v>1.6232492903979006</v>
      </c>
      <c r="AN672" s="18">
        <v>42</v>
      </c>
      <c r="AO672" s="18">
        <v>-73.134960000000007</v>
      </c>
      <c r="AP672" s="9" t="s">
        <v>363</v>
      </c>
      <c r="AQ672" s="9" t="s">
        <v>355</v>
      </c>
      <c r="AR672" s="9">
        <v>1962</v>
      </c>
      <c r="AS672" s="10" t="s">
        <v>374</v>
      </c>
      <c r="AT672" s="20" t="s">
        <v>375</v>
      </c>
      <c r="AU672" s="42">
        <v>6914656</v>
      </c>
      <c r="AV672" s="35">
        <f t="shared" si="97"/>
        <v>6.8397705790920504</v>
      </c>
      <c r="AW672" s="37" t="s">
        <v>338</v>
      </c>
      <c r="AX672" s="34" t="s">
        <v>355</v>
      </c>
      <c r="AY672" s="40" t="s">
        <v>355</v>
      </c>
      <c r="AZ672" s="15">
        <v>146</v>
      </c>
      <c r="BA672" s="14">
        <f t="shared" si="98"/>
        <v>2.1643528557844371</v>
      </c>
      <c r="BB672" s="37" t="s">
        <v>388</v>
      </c>
      <c r="BC672" s="20">
        <v>2.6780712284914233E-2</v>
      </c>
      <c r="BD672" s="9">
        <v>25.700000000000003</v>
      </c>
      <c r="BE672" s="9" t="s">
        <v>368</v>
      </c>
      <c r="BF672" s="9">
        <v>0</v>
      </c>
    </row>
    <row r="673" spans="1:58">
      <c r="A673" s="9">
        <v>238</v>
      </c>
      <c r="B673" s="10" t="s">
        <v>76</v>
      </c>
      <c r="C673" s="10" t="s">
        <v>369</v>
      </c>
      <c r="D673" s="20" t="s">
        <v>370</v>
      </c>
      <c r="E673" s="20" t="s">
        <v>1008</v>
      </c>
      <c r="F673" s="10" t="s">
        <v>369</v>
      </c>
      <c r="G673" s="20" t="s">
        <v>370</v>
      </c>
      <c r="H673" s="20" t="s">
        <v>1008</v>
      </c>
      <c r="I673" s="10" t="s">
        <v>369</v>
      </c>
      <c r="J673" s="20" t="s">
        <v>398</v>
      </c>
      <c r="K673" s="20" t="s">
        <v>1008</v>
      </c>
      <c r="L673" s="9" t="s">
        <v>352</v>
      </c>
      <c r="M673" s="9">
        <v>10</v>
      </c>
      <c r="N673" s="9" t="s">
        <v>381</v>
      </c>
      <c r="O673" s="9" t="s">
        <v>455</v>
      </c>
      <c r="P673" s="12">
        <v>35.200000000000003</v>
      </c>
      <c r="Q673" s="12" t="s">
        <v>355</v>
      </c>
      <c r="R673" s="9" t="s">
        <v>356</v>
      </c>
      <c r="S673" s="13" t="s">
        <v>903</v>
      </c>
      <c r="T673" s="13" t="s">
        <v>903</v>
      </c>
      <c r="U673" s="14">
        <f t="shared" si="90"/>
        <v>1.1760912590556813</v>
      </c>
      <c r="V673" s="15">
        <v>26</v>
      </c>
      <c r="W673" s="12">
        <v>6.5625867999999983</v>
      </c>
      <c r="X673" s="12">
        <v>1</v>
      </c>
      <c r="Y673" s="13" t="s">
        <v>904</v>
      </c>
      <c r="Z673" s="9" t="s">
        <v>359</v>
      </c>
      <c r="AA673" s="10" t="s">
        <v>372</v>
      </c>
      <c r="AB673" s="9" t="s">
        <v>355</v>
      </c>
      <c r="AC673" s="15">
        <v>579</v>
      </c>
      <c r="AD673" s="14">
        <f t="shared" si="91"/>
        <v>2.762678563727436</v>
      </c>
      <c r="AE673" s="10" t="s">
        <v>1009</v>
      </c>
      <c r="AF673" s="9" t="s">
        <v>408</v>
      </c>
      <c r="AG673" s="18">
        <v>9.9130559999999992</v>
      </c>
      <c r="AH673" s="7">
        <f t="shared" si="92"/>
        <v>0</v>
      </c>
      <c r="AI673" s="7">
        <f t="shared" si="93"/>
        <v>0</v>
      </c>
      <c r="AJ673" s="7">
        <f t="shared" si="94"/>
        <v>0</v>
      </c>
      <c r="AK673" s="7">
        <f t="shared" si="95"/>
        <v>0</v>
      </c>
      <c r="AL673" s="7" t="s">
        <v>4160</v>
      </c>
      <c r="AM673" s="18">
        <f t="shared" si="96"/>
        <v>0.99620755956501783</v>
      </c>
      <c r="AN673" s="18">
        <v>9.9130559999999992</v>
      </c>
      <c r="AO673" s="18">
        <v>-83.682777999999999</v>
      </c>
      <c r="AP673" s="9" t="s">
        <v>363</v>
      </c>
      <c r="AQ673" s="9" t="s">
        <v>355</v>
      </c>
      <c r="AR673" s="15">
        <v>1968</v>
      </c>
      <c r="AS673" s="19" t="s">
        <v>906</v>
      </c>
      <c r="AT673" s="20" t="s">
        <v>907</v>
      </c>
      <c r="AU673" s="40">
        <v>6997697</v>
      </c>
      <c r="AV673" s="35">
        <f t="shared" si="97"/>
        <v>6.8449551336203198</v>
      </c>
      <c r="AW673" s="37" t="s">
        <v>366</v>
      </c>
      <c r="AX673" s="34" t="s">
        <v>355</v>
      </c>
      <c r="AY673" s="40">
        <v>1000</v>
      </c>
      <c r="AZ673" s="15">
        <v>113</v>
      </c>
      <c r="BA673" s="14">
        <f t="shared" si="98"/>
        <v>2.0530784434834195</v>
      </c>
      <c r="BB673" s="37" t="s">
        <v>388</v>
      </c>
      <c r="BC673" s="20">
        <v>2.087034813925567E-2</v>
      </c>
      <c r="BD673" s="9">
        <v>28.200000000000003</v>
      </c>
      <c r="BE673" s="9" t="s">
        <v>368</v>
      </c>
      <c r="BF673" s="9">
        <v>0</v>
      </c>
    </row>
    <row r="674" spans="1:58">
      <c r="A674" s="9">
        <v>239</v>
      </c>
      <c r="B674" s="10" t="s">
        <v>76</v>
      </c>
      <c r="C674" s="10" t="s">
        <v>369</v>
      </c>
      <c r="D674" s="20" t="s">
        <v>370</v>
      </c>
      <c r="E674" s="20" t="s">
        <v>1008</v>
      </c>
      <c r="F674" s="10" t="s">
        <v>369</v>
      </c>
      <c r="G674" s="20" t="s">
        <v>370</v>
      </c>
      <c r="H674" s="20" t="s">
        <v>1008</v>
      </c>
      <c r="I674" s="10" t="s">
        <v>369</v>
      </c>
      <c r="J674" s="20" t="s">
        <v>398</v>
      </c>
      <c r="K674" s="20" t="s">
        <v>1008</v>
      </c>
      <c r="L674" s="9" t="s">
        <v>352</v>
      </c>
      <c r="M674" s="9">
        <v>10</v>
      </c>
      <c r="N674" s="9" t="s">
        <v>381</v>
      </c>
      <c r="O674" s="9" t="s">
        <v>455</v>
      </c>
      <c r="P674" s="12">
        <v>36.9</v>
      </c>
      <c r="Q674" s="12" t="s">
        <v>355</v>
      </c>
      <c r="R674" s="9" t="s">
        <v>356</v>
      </c>
      <c r="S674" s="13" t="s">
        <v>903</v>
      </c>
      <c r="T674" s="13" t="s">
        <v>903</v>
      </c>
      <c r="U674" s="14">
        <f t="shared" si="90"/>
        <v>1.1760912590556813</v>
      </c>
      <c r="V674" s="15">
        <v>30</v>
      </c>
      <c r="W674" s="12">
        <v>7.6377107999999936</v>
      </c>
      <c r="X674" s="12">
        <v>1</v>
      </c>
      <c r="Y674" s="13" t="s">
        <v>904</v>
      </c>
      <c r="Z674" s="9" t="s">
        <v>359</v>
      </c>
      <c r="AA674" s="10" t="s">
        <v>372</v>
      </c>
      <c r="AB674" s="9" t="s">
        <v>355</v>
      </c>
      <c r="AC674" s="15">
        <v>579</v>
      </c>
      <c r="AD674" s="14">
        <f t="shared" si="91"/>
        <v>2.762678563727436</v>
      </c>
      <c r="AE674" s="10" t="s">
        <v>1009</v>
      </c>
      <c r="AF674" s="9" t="s">
        <v>408</v>
      </c>
      <c r="AG674" s="18">
        <v>9.9130559999999992</v>
      </c>
      <c r="AH674" s="7">
        <f t="shared" si="92"/>
        <v>0</v>
      </c>
      <c r="AI674" s="7">
        <f t="shared" si="93"/>
        <v>0</v>
      </c>
      <c r="AJ674" s="7">
        <f t="shared" si="94"/>
        <v>0</v>
      </c>
      <c r="AK674" s="7">
        <f t="shared" si="95"/>
        <v>0</v>
      </c>
      <c r="AL674" s="7" t="s">
        <v>4160</v>
      </c>
      <c r="AM674" s="18">
        <f t="shared" si="96"/>
        <v>0.99620755956501783</v>
      </c>
      <c r="AN674" s="18">
        <v>9.9130559999999992</v>
      </c>
      <c r="AO674" s="18">
        <v>-83.682777999999999</v>
      </c>
      <c r="AP674" s="9" t="s">
        <v>363</v>
      </c>
      <c r="AQ674" s="9" t="s">
        <v>355</v>
      </c>
      <c r="AR674" s="15">
        <v>1968</v>
      </c>
      <c r="AS674" s="19" t="s">
        <v>906</v>
      </c>
      <c r="AT674" s="20" t="s">
        <v>907</v>
      </c>
      <c r="AU674" s="40">
        <v>6997697</v>
      </c>
      <c r="AV674" s="35">
        <f t="shared" si="97"/>
        <v>6.8449551336203198</v>
      </c>
      <c r="AW674" s="37" t="s">
        <v>366</v>
      </c>
      <c r="AX674" s="34" t="s">
        <v>355</v>
      </c>
      <c r="AY674" s="40">
        <v>1000</v>
      </c>
      <c r="AZ674" s="15">
        <v>113</v>
      </c>
      <c r="BA674" s="14">
        <f t="shared" si="98"/>
        <v>2.0530784434834195</v>
      </c>
      <c r="BB674" s="37" t="s">
        <v>388</v>
      </c>
      <c r="BC674" s="20">
        <v>2.087034813925567E-2</v>
      </c>
      <c r="BD674" s="9">
        <v>28.200000000000003</v>
      </c>
      <c r="BE674" s="9" t="s">
        <v>368</v>
      </c>
      <c r="BF674" s="9">
        <v>0</v>
      </c>
    </row>
    <row r="675" spans="1:58">
      <c r="A675" s="9">
        <v>257</v>
      </c>
      <c r="B675" s="10" t="s">
        <v>76</v>
      </c>
      <c r="C675" s="10" t="s">
        <v>369</v>
      </c>
      <c r="D675" s="20" t="s">
        <v>370</v>
      </c>
      <c r="E675" s="20" t="s">
        <v>399</v>
      </c>
      <c r="F675" s="10" t="s">
        <v>369</v>
      </c>
      <c r="G675" s="20" t="s">
        <v>370</v>
      </c>
      <c r="H675" s="20" t="s">
        <v>399</v>
      </c>
      <c r="I675" s="10" t="s">
        <v>369</v>
      </c>
      <c r="J675" s="20" t="s">
        <v>398</v>
      </c>
      <c r="K675" s="20" t="s">
        <v>399</v>
      </c>
      <c r="L675" s="9" t="s">
        <v>352</v>
      </c>
      <c r="M675" s="9">
        <v>10</v>
      </c>
      <c r="N675" s="9" t="s">
        <v>381</v>
      </c>
      <c r="O675" s="9" t="s">
        <v>455</v>
      </c>
      <c r="P675" s="12">
        <v>29.6</v>
      </c>
      <c r="Q675" s="12" t="s">
        <v>355</v>
      </c>
      <c r="R675" s="9" t="s">
        <v>356</v>
      </c>
      <c r="S675" s="13" t="s">
        <v>903</v>
      </c>
      <c r="T675" s="13" t="s">
        <v>903</v>
      </c>
      <c r="U675" s="14">
        <f t="shared" si="90"/>
        <v>1.1760912590556813</v>
      </c>
      <c r="V675" s="15">
        <v>5</v>
      </c>
      <c r="W675" s="12">
        <v>6.3526382999999953</v>
      </c>
      <c r="X675" s="12">
        <v>1</v>
      </c>
      <c r="Y675" s="13" t="s">
        <v>904</v>
      </c>
      <c r="Z675" s="9" t="s">
        <v>359</v>
      </c>
      <c r="AA675" s="10" t="s">
        <v>372</v>
      </c>
      <c r="AB675" s="9" t="s">
        <v>355</v>
      </c>
      <c r="AC675" s="15">
        <v>305</v>
      </c>
      <c r="AD675" s="14">
        <f t="shared" si="91"/>
        <v>2.4842998393467859</v>
      </c>
      <c r="AE675" s="10" t="s">
        <v>373</v>
      </c>
      <c r="AF675" s="9" t="s">
        <v>362</v>
      </c>
      <c r="AG675" s="18">
        <v>42</v>
      </c>
      <c r="AH675" s="7">
        <f t="shared" si="92"/>
        <v>1</v>
      </c>
      <c r="AI675" s="7">
        <f t="shared" si="93"/>
        <v>1</v>
      </c>
      <c r="AJ675" s="7">
        <f t="shared" si="94"/>
        <v>0</v>
      </c>
      <c r="AK675" s="7">
        <f t="shared" si="95"/>
        <v>0</v>
      </c>
      <c r="AL675" s="7" t="s">
        <v>4157</v>
      </c>
      <c r="AM675" s="18">
        <f t="shared" si="96"/>
        <v>1.6232492903979006</v>
      </c>
      <c r="AN675" s="18">
        <v>42</v>
      </c>
      <c r="AO675" s="18">
        <v>-73.134960000000007</v>
      </c>
      <c r="AP675" s="9" t="s">
        <v>363</v>
      </c>
      <c r="AQ675" s="9" t="s">
        <v>355</v>
      </c>
      <c r="AR675" s="15">
        <v>1968</v>
      </c>
      <c r="AS675" s="19" t="s">
        <v>906</v>
      </c>
      <c r="AT675" s="20" t="s">
        <v>907</v>
      </c>
      <c r="AU675" s="40">
        <v>2477116</v>
      </c>
      <c r="AV675" s="35">
        <f t="shared" si="97"/>
        <v>6.3939463444866496</v>
      </c>
      <c r="AW675" s="37" t="s">
        <v>366</v>
      </c>
      <c r="AX675" s="34" t="s">
        <v>355</v>
      </c>
      <c r="AY675" s="40" t="s">
        <v>355</v>
      </c>
      <c r="AZ675" s="15">
        <v>55</v>
      </c>
      <c r="BA675" s="14">
        <f t="shared" si="98"/>
        <v>1.7403626894942439</v>
      </c>
      <c r="BB675" s="37" t="s">
        <v>388</v>
      </c>
      <c r="BC675" s="20">
        <v>2.6780712284914233E-2</v>
      </c>
      <c r="BD675" s="9">
        <v>25.700000000000003</v>
      </c>
      <c r="BE675" s="9" t="s">
        <v>368</v>
      </c>
      <c r="BF675" s="9">
        <v>0</v>
      </c>
    </row>
    <row r="676" spans="1:58">
      <c r="A676" s="9">
        <v>258</v>
      </c>
      <c r="B676" s="10" t="s">
        <v>76</v>
      </c>
      <c r="C676" s="10" t="s">
        <v>369</v>
      </c>
      <c r="D676" s="20" t="s">
        <v>370</v>
      </c>
      <c r="E676" s="20" t="s">
        <v>399</v>
      </c>
      <c r="F676" s="10" t="s">
        <v>369</v>
      </c>
      <c r="G676" s="20" t="s">
        <v>370</v>
      </c>
      <c r="H676" s="20" t="s">
        <v>399</v>
      </c>
      <c r="I676" s="10" t="s">
        <v>369</v>
      </c>
      <c r="J676" s="20" t="s">
        <v>398</v>
      </c>
      <c r="K676" s="20" t="s">
        <v>399</v>
      </c>
      <c r="L676" s="9" t="s">
        <v>352</v>
      </c>
      <c r="M676" s="9">
        <v>10</v>
      </c>
      <c r="N676" s="9" t="s">
        <v>381</v>
      </c>
      <c r="O676" s="9" t="s">
        <v>455</v>
      </c>
      <c r="P676" s="12">
        <v>31.3</v>
      </c>
      <c r="Q676" s="12" t="s">
        <v>355</v>
      </c>
      <c r="R676" s="9" t="s">
        <v>356</v>
      </c>
      <c r="S676" s="13" t="s">
        <v>903</v>
      </c>
      <c r="T676" s="13" t="s">
        <v>903</v>
      </c>
      <c r="U676" s="14">
        <f t="shared" si="90"/>
        <v>1.1760912590556813</v>
      </c>
      <c r="V676" s="15">
        <v>23</v>
      </c>
      <c r="W676" s="12">
        <v>5.2406962999999998</v>
      </c>
      <c r="X676" s="12">
        <v>1</v>
      </c>
      <c r="Y676" s="13" t="s">
        <v>904</v>
      </c>
      <c r="Z676" s="9" t="s">
        <v>359</v>
      </c>
      <c r="AA676" s="10" t="s">
        <v>372</v>
      </c>
      <c r="AB676" s="9" t="s">
        <v>355</v>
      </c>
      <c r="AC676" s="15">
        <v>305</v>
      </c>
      <c r="AD676" s="14">
        <f t="shared" si="91"/>
        <v>2.4842998393467859</v>
      </c>
      <c r="AE676" s="10" t="s">
        <v>373</v>
      </c>
      <c r="AF676" s="9" t="s">
        <v>362</v>
      </c>
      <c r="AG676" s="18">
        <v>42</v>
      </c>
      <c r="AH676" s="7">
        <f t="shared" si="92"/>
        <v>1</v>
      </c>
      <c r="AI676" s="7">
        <f t="shared" si="93"/>
        <v>1</v>
      </c>
      <c r="AJ676" s="7">
        <f t="shared" si="94"/>
        <v>0</v>
      </c>
      <c r="AK676" s="7">
        <f t="shared" si="95"/>
        <v>0</v>
      </c>
      <c r="AL676" s="7" t="s">
        <v>4157</v>
      </c>
      <c r="AM676" s="18">
        <f t="shared" si="96"/>
        <v>1.6232492903979006</v>
      </c>
      <c r="AN676" s="18">
        <v>42</v>
      </c>
      <c r="AO676" s="18">
        <v>-73.134960000000007</v>
      </c>
      <c r="AP676" s="9" t="s">
        <v>363</v>
      </c>
      <c r="AQ676" s="9" t="s">
        <v>355</v>
      </c>
      <c r="AR676" s="15">
        <v>1968</v>
      </c>
      <c r="AS676" s="19" t="s">
        <v>906</v>
      </c>
      <c r="AT676" s="20" t="s">
        <v>907</v>
      </c>
      <c r="AU676" s="40">
        <v>2477116</v>
      </c>
      <c r="AV676" s="35">
        <f t="shared" si="97"/>
        <v>6.3939463444866496</v>
      </c>
      <c r="AW676" s="37" t="s">
        <v>366</v>
      </c>
      <c r="AX676" s="34" t="s">
        <v>355</v>
      </c>
      <c r="AY676" s="40" t="s">
        <v>355</v>
      </c>
      <c r="AZ676" s="15">
        <v>55</v>
      </c>
      <c r="BA676" s="14">
        <f t="shared" si="98"/>
        <v>1.7403626894942439</v>
      </c>
      <c r="BB676" s="37" t="s">
        <v>388</v>
      </c>
      <c r="BC676" s="20">
        <v>2.6780712284914233E-2</v>
      </c>
      <c r="BD676" s="9">
        <v>25.700000000000003</v>
      </c>
      <c r="BE676" s="9" t="s">
        <v>368</v>
      </c>
      <c r="BF676" s="9">
        <v>0</v>
      </c>
    </row>
    <row r="677" spans="1:58">
      <c r="A677" s="9">
        <v>1008</v>
      </c>
      <c r="B677" s="20" t="s">
        <v>76</v>
      </c>
      <c r="C677" s="20" t="s">
        <v>369</v>
      </c>
      <c r="D677" s="20" t="s">
        <v>370</v>
      </c>
      <c r="E677" s="20" t="s">
        <v>399</v>
      </c>
      <c r="F677" s="20" t="s">
        <v>369</v>
      </c>
      <c r="G677" s="20" t="s">
        <v>370</v>
      </c>
      <c r="H677" s="20" t="s">
        <v>399</v>
      </c>
      <c r="I677" s="20" t="s">
        <v>369</v>
      </c>
      <c r="J677" s="20" t="s">
        <v>398</v>
      </c>
      <c r="K677" s="20" t="s">
        <v>399</v>
      </c>
      <c r="L677" s="9" t="s">
        <v>352</v>
      </c>
      <c r="M677" s="9">
        <v>3</v>
      </c>
      <c r="N677" s="9" t="s">
        <v>353</v>
      </c>
      <c r="O677" s="9" t="s">
        <v>354</v>
      </c>
      <c r="P677" s="12">
        <v>29.632470000000001</v>
      </c>
      <c r="Q677" s="9" t="s">
        <v>355</v>
      </c>
      <c r="R677" s="9" t="s">
        <v>356</v>
      </c>
      <c r="S677" s="9">
        <v>14</v>
      </c>
      <c r="T677" s="9">
        <v>14</v>
      </c>
      <c r="U677" s="14">
        <f t="shared" si="90"/>
        <v>1.1760912590556813</v>
      </c>
      <c r="V677" s="15">
        <v>5</v>
      </c>
      <c r="W677" s="12">
        <v>6.3851082999999988</v>
      </c>
      <c r="X677" s="9" t="s">
        <v>355</v>
      </c>
      <c r="Y677" s="13" t="s">
        <v>401</v>
      </c>
      <c r="Z677" s="9" t="s">
        <v>359</v>
      </c>
      <c r="AA677" s="10" t="s">
        <v>372</v>
      </c>
      <c r="AB677" s="9" t="s">
        <v>355</v>
      </c>
      <c r="AC677" s="15">
        <v>422</v>
      </c>
      <c r="AD677" s="14">
        <f t="shared" si="91"/>
        <v>2.6253124509616739</v>
      </c>
      <c r="AE677" s="10" t="s">
        <v>373</v>
      </c>
      <c r="AF677" s="9" t="s">
        <v>362</v>
      </c>
      <c r="AG677" s="18">
        <v>42</v>
      </c>
      <c r="AH677" s="7">
        <f t="shared" si="92"/>
        <v>1</v>
      </c>
      <c r="AI677" s="7">
        <f t="shared" si="93"/>
        <v>1</v>
      </c>
      <c r="AJ677" s="7">
        <f t="shared" si="94"/>
        <v>0</v>
      </c>
      <c r="AK677" s="7">
        <f t="shared" si="95"/>
        <v>0</v>
      </c>
      <c r="AL677" s="7" t="s">
        <v>4157</v>
      </c>
      <c r="AM677" s="18">
        <f t="shared" si="96"/>
        <v>1.6232492903979006</v>
      </c>
      <c r="AN677" s="18">
        <v>42</v>
      </c>
      <c r="AO677" s="18">
        <v>-73.134960000000007</v>
      </c>
      <c r="AP677" s="9" t="s">
        <v>363</v>
      </c>
      <c r="AQ677" s="9" t="s">
        <v>355</v>
      </c>
      <c r="AR677" s="9">
        <v>1962</v>
      </c>
      <c r="AS677" s="10" t="s">
        <v>374</v>
      </c>
      <c r="AT677" s="20" t="s">
        <v>375</v>
      </c>
      <c r="AU677" s="39">
        <v>2477116</v>
      </c>
      <c r="AV677" s="35">
        <f t="shared" si="97"/>
        <v>6.3939463444866496</v>
      </c>
      <c r="AW677" s="37" t="s">
        <v>366</v>
      </c>
      <c r="AX677" s="34" t="s">
        <v>355</v>
      </c>
      <c r="AY677" s="40" t="s">
        <v>355</v>
      </c>
      <c r="AZ677" s="15">
        <v>55</v>
      </c>
      <c r="BA677" s="14">
        <f t="shared" si="98"/>
        <v>1.7403626894942439</v>
      </c>
      <c r="BB677" s="37" t="s">
        <v>388</v>
      </c>
      <c r="BC677" s="20">
        <v>2.6780712284914233E-2</v>
      </c>
      <c r="BD677" s="9">
        <v>25.700000000000003</v>
      </c>
      <c r="BE677" s="9" t="s">
        <v>368</v>
      </c>
      <c r="BF677" s="9">
        <v>0</v>
      </c>
    </row>
    <row r="678" spans="1:58">
      <c r="A678" s="9">
        <v>990</v>
      </c>
      <c r="B678" s="20" t="s">
        <v>76</v>
      </c>
      <c r="C678" s="20" t="s">
        <v>369</v>
      </c>
      <c r="D678" s="20" t="s">
        <v>370</v>
      </c>
      <c r="E678" s="20" t="s">
        <v>400</v>
      </c>
      <c r="F678" s="20" t="s">
        <v>369</v>
      </c>
      <c r="G678" s="20" t="s">
        <v>370</v>
      </c>
      <c r="H678" s="20" t="s">
        <v>400</v>
      </c>
      <c r="I678" s="20" t="s">
        <v>369</v>
      </c>
      <c r="J678" s="20" t="s">
        <v>398</v>
      </c>
      <c r="K678" s="20" t="s">
        <v>400</v>
      </c>
      <c r="L678" s="9" t="s">
        <v>352</v>
      </c>
      <c r="M678" s="9">
        <v>3</v>
      </c>
      <c r="N678" s="9" t="s">
        <v>353</v>
      </c>
      <c r="O678" s="9" t="s">
        <v>354</v>
      </c>
      <c r="P678" s="12">
        <v>31.37443</v>
      </c>
      <c r="Q678" s="9" t="s">
        <v>355</v>
      </c>
      <c r="R678" s="9" t="s">
        <v>356</v>
      </c>
      <c r="S678" s="9">
        <v>14</v>
      </c>
      <c r="T678" s="9">
        <v>14</v>
      </c>
      <c r="U678" s="14">
        <f t="shared" si="90"/>
        <v>1.1760912590556813</v>
      </c>
      <c r="V678" s="15">
        <v>5</v>
      </c>
      <c r="W678" s="12">
        <v>6.2707500999999972</v>
      </c>
      <c r="X678" s="9" t="s">
        <v>355</v>
      </c>
      <c r="Y678" s="13" t="s">
        <v>401</v>
      </c>
      <c r="Z678" s="9" t="s">
        <v>359</v>
      </c>
      <c r="AA678" s="10" t="s">
        <v>372</v>
      </c>
      <c r="AB678" s="9" t="s">
        <v>355</v>
      </c>
      <c r="AC678" s="38">
        <v>301</v>
      </c>
      <c r="AD678" s="14">
        <f t="shared" si="91"/>
        <v>2.4785664955938436</v>
      </c>
      <c r="AE678" s="10" t="s">
        <v>1010</v>
      </c>
      <c r="AF678" s="44" t="s">
        <v>362</v>
      </c>
      <c r="AG678" s="18">
        <v>43.784439999999996</v>
      </c>
      <c r="AH678" s="7">
        <f t="shared" si="92"/>
        <v>1</v>
      </c>
      <c r="AI678" s="7">
        <f t="shared" si="93"/>
        <v>1</v>
      </c>
      <c r="AJ678" s="7">
        <f t="shared" si="94"/>
        <v>0</v>
      </c>
      <c r="AK678" s="7">
        <f t="shared" si="95"/>
        <v>0</v>
      </c>
      <c r="AL678" s="7" t="s">
        <v>4157</v>
      </c>
      <c r="AM678" s="18">
        <f t="shared" si="96"/>
        <v>1.6413197994824269</v>
      </c>
      <c r="AN678" s="45">
        <v>43.784439999999996</v>
      </c>
      <c r="AO678" s="45">
        <v>-88.787868000000003</v>
      </c>
      <c r="AP678" s="9" t="s">
        <v>402</v>
      </c>
      <c r="AQ678" s="9" t="s">
        <v>355</v>
      </c>
      <c r="AR678" s="9">
        <v>1962</v>
      </c>
      <c r="AS678" s="10" t="s">
        <v>374</v>
      </c>
      <c r="AT678" s="20" t="s">
        <v>375</v>
      </c>
      <c r="AU678" s="39">
        <v>6011807</v>
      </c>
      <c r="AV678" s="35">
        <f t="shared" si="97"/>
        <v>6.77900502976909</v>
      </c>
      <c r="AW678" s="37" t="s">
        <v>366</v>
      </c>
      <c r="AX678" s="40">
        <v>100</v>
      </c>
      <c r="AY678" s="40">
        <v>600</v>
      </c>
      <c r="AZ678" s="15">
        <v>113</v>
      </c>
      <c r="BA678" s="14">
        <f t="shared" si="98"/>
        <v>2.0530784434834195</v>
      </c>
      <c r="BB678" s="37" t="s">
        <v>367</v>
      </c>
      <c r="BC678" s="20">
        <v>2.0721088435374201E-2</v>
      </c>
      <c r="BD678" s="9">
        <v>27.900000000000002</v>
      </c>
      <c r="BE678" s="9" t="s">
        <v>368</v>
      </c>
      <c r="BF678" s="9">
        <v>0</v>
      </c>
    </row>
    <row r="679" spans="1:58">
      <c r="A679" s="9">
        <v>229</v>
      </c>
      <c r="B679" s="10" t="s">
        <v>76</v>
      </c>
      <c r="C679" s="10" t="s">
        <v>369</v>
      </c>
      <c r="D679" s="20" t="s">
        <v>370</v>
      </c>
      <c r="E679" s="20" t="s">
        <v>400</v>
      </c>
      <c r="F679" s="10" t="s">
        <v>369</v>
      </c>
      <c r="G679" s="20" t="s">
        <v>370</v>
      </c>
      <c r="H679" s="20" t="s">
        <v>400</v>
      </c>
      <c r="I679" s="10" t="s">
        <v>369</v>
      </c>
      <c r="J679" s="20" t="s">
        <v>398</v>
      </c>
      <c r="K679" s="20" t="s">
        <v>400</v>
      </c>
      <c r="L679" s="9" t="s">
        <v>352</v>
      </c>
      <c r="M679" s="9">
        <v>100</v>
      </c>
      <c r="N679" s="9" t="s">
        <v>17</v>
      </c>
      <c r="O679" s="9" t="s">
        <v>455</v>
      </c>
      <c r="P679" s="12">
        <v>31.4</v>
      </c>
      <c r="Q679" s="12" t="s">
        <v>355</v>
      </c>
      <c r="R679" s="9" t="s">
        <v>356</v>
      </c>
      <c r="S679" s="13" t="s">
        <v>903</v>
      </c>
      <c r="T679" s="13" t="s">
        <v>903</v>
      </c>
      <c r="U679" s="14">
        <f t="shared" si="90"/>
        <v>1.1760912590556813</v>
      </c>
      <c r="V679" s="15">
        <v>5</v>
      </c>
      <c r="W679" s="12">
        <v>7.0557230000000004</v>
      </c>
      <c r="X679" s="12">
        <v>1</v>
      </c>
      <c r="Y679" s="13" t="s">
        <v>904</v>
      </c>
      <c r="Z679" s="9" t="s">
        <v>359</v>
      </c>
      <c r="AA679" s="10" t="s">
        <v>372</v>
      </c>
      <c r="AB679" s="9" t="s">
        <v>355</v>
      </c>
      <c r="AC679" s="15">
        <v>305</v>
      </c>
      <c r="AD679" s="14">
        <f t="shared" si="91"/>
        <v>2.4842998393467859</v>
      </c>
      <c r="AE679" s="10" t="s">
        <v>1011</v>
      </c>
      <c r="AF679" s="9" t="s">
        <v>362</v>
      </c>
      <c r="AG679" s="18">
        <v>45</v>
      </c>
      <c r="AH679" s="7">
        <f t="shared" si="92"/>
        <v>1</v>
      </c>
      <c r="AI679" s="7">
        <f t="shared" si="93"/>
        <v>1</v>
      </c>
      <c r="AJ679" s="7">
        <f t="shared" si="94"/>
        <v>0</v>
      </c>
      <c r="AK679" s="7">
        <f t="shared" si="95"/>
        <v>0</v>
      </c>
      <c r="AL679" s="7" t="s">
        <v>4157</v>
      </c>
      <c r="AM679" s="18">
        <f t="shared" si="96"/>
        <v>1.6532125137753437</v>
      </c>
      <c r="AN679" s="18">
        <v>45</v>
      </c>
      <c r="AO679" s="18">
        <v>-89.646174999999999</v>
      </c>
      <c r="AP679" s="9" t="s">
        <v>363</v>
      </c>
      <c r="AQ679" s="9" t="s">
        <v>355</v>
      </c>
      <c r="AR679" s="15">
        <v>1968</v>
      </c>
      <c r="AS679" s="19" t="s">
        <v>906</v>
      </c>
      <c r="AT679" s="20" t="s">
        <v>907</v>
      </c>
      <c r="AU679" s="40">
        <v>6011807</v>
      </c>
      <c r="AV679" s="35">
        <f t="shared" si="97"/>
        <v>6.77900502976909</v>
      </c>
      <c r="AW679" s="37" t="s">
        <v>366</v>
      </c>
      <c r="AX679" s="40">
        <v>100</v>
      </c>
      <c r="AY679" s="40">
        <v>600</v>
      </c>
      <c r="AZ679" s="15">
        <v>113</v>
      </c>
      <c r="BA679" s="14">
        <f t="shared" si="98"/>
        <v>2.0530784434834195</v>
      </c>
      <c r="BB679" s="37" t="s">
        <v>367</v>
      </c>
      <c r="BC679" s="20">
        <v>2.7615046018407158E-2</v>
      </c>
      <c r="BD679" s="9">
        <v>27</v>
      </c>
      <c r="BE679" s="9" t="s">
        <v>368</v>
      </c>
      <c r="BF679" s="9">
        <v>0</v>
      </c>
    </row>
    <row r="680" spans="1:58">
      <c r="A680" s="9">
        <v>230</v>
      </c>
      <c r="B680" s="10" t="s">
        <v>76</v>
      </c>
      <c r="C680" s="10" t="s">
        <v>369</v>
      </c>
      <c r="D680" s="20" t="s">
        <v>370</v>
      </c>
      <c r="E680" s="20" t="s">
        <v>400</v>
      </c>
      <c r="F680" s="10" t="s">
        <v>369</v>
      </c>
      <c r="G680" s="20" t="s">
        <v>370</v>
      </c>
      <c r="H680" s="20" t="s">
        <v>400</v>
      </c>
      <c r="I680" s="10" t="s">
        <v>369</v>
      </c>
      <c r="J680" s="20" t="s">
        <v>398</v>
      </c>
      <c r="K680" s="20" t="s">
        <v>400</v>
      </c>
      <c r="L680" s="9" t="s">
        <v>352</v>
      </c>
      <c r="M680" s="9">
        <v>100</v>
      </c>
      <c r="N680" s="9" t="s">
        <v>17</v>
      </c>
      <c r="O680" s="9" t="s">
        <v>455</v>
      </c>
      <c r="P680" s="12">
        <v>34.700000000000003</v>
      </c>
      <c r="Q680" s="12" t="s">
        <v>355</v>
      </c>
      <c r="R680" s="9" t="s">
        <v>356</v>
      </c>
      <c r="S680" s="13" t="s">
        <v>903</v>
      </c>
      <c r="T680" s="13" t="s">
        <v>903</v>
      </c>
      <c r="U680" s="14">
        <f t="shared" si="90"/>
        <v>1.1760912590556813</v>
      </c>
      <c r="V680" s="15">
        <v>23</v>
      </c>
      <c r="W680" s="12">
        <v>7.5437810000000027</v>
      </c>
      <c r="X680" s="12">
        <v>1</v>
      </c>
      <c r="Y680" s="13" t="s">
        <v>904</v>
      </c>
      <c r="Z680" s="9" t="s">
        <v>359</v>
      </c>
      <c r="AA680" s="10" t="s">
        <v>372</v>
      </c>
      <c r="AB680" s="9" t="s">
        <v>355</v>
      </c>
      <c r="AC680" s="15">
        <v>305</v>
      </c>
      <c r="AD680" s="14">
        <f t="shared" si="91"/>
        <v>2.4842998393467859</v>
      </c>
      <c r="AE680" s="10" t="s">
        <v>1011</v>
      </c>
      <c r="AF680" s="9" t="s">
        <v>362</v>
      </c>
      <c r="AG680" s="18">
        <v>45</v>
      </c>
      <c r="AH680" s="7">
        <f t="shared" si="92"/>
        <v>1</v>
      </c>
      <c r="AI680" s="7">
        <f t="shared" si="93"/>
        <v>1</v>
      </c>
      <c r="AJ680" s="7">
        <f t="shared" si="94"/>
        <v>0</v>
      </c>
      <c r="AK680" s="7">
        <f t="shared" si="95"/>
        <v>0</v>
      </c>
      <c r="AL680" s="7" t="s">
        <v>4157</v>
      </c>
      <c r="AM680" s="18">
        <f t="shared" si="96"/>
        <v>1.6532125137753437</v>
      </c>
      <c r="AN680" s="18">
        <v>45</v>
      </c>
      <c r="AO680" s="18">
        <v>-89.646174999999999</v>
      </c>
      <c r="AP680" s="9" t="s">
        <v>363</v>
      </c>
      <c r="AQ680" s="9" t="s">
        <v>355</v>
      </c>
      <c r="AR680" s="15">
        <v>1968</v>
      </c>
      <c r="AS680" s="19" t="s">
        <v>906</v>
      </c>
      <c r="AT680" s="20" t="s">
        <v>907</v>
      </c>
      <c r="AU680" s="40">
        <v>6011807</v>
      </c>
      <c r="AV680" s="35">
        <f t="shared" si="97"/>
        <v>6.77900502976909</v>
      </c>
      <c r="AW680" s="37" t="s">
        <v>366</v>
      </c>
      <c r="AX680" s="40">
        <v>100</v>
      </c>
      <c r="AY680" s="40">
        <v>600</v>
      </c>
      <c r="AZ680" s="15">
        <v>113</v>
      </c>
      <c r="BA680" s="14">
        <f t="shared" si="98"/>
        <v>2.0530784434834195</v>
      </c>
      <c r="BB680" s="37" t="s">
        <v>367</v>
      </c>
      <c r="BC680" s="20">
        <v>2.7615046018407158E-2</v>
      </c>
      <c r="BD680" s="9">
        <v>27</v>
      </c>
      <c r="BE680" s="9" t="s">
        <v>368</v>
      </c>
      <c r="BF680" s="9">
        <v>0</v>
      </c>
    </row>
    <row r="681" spans="1:58">
      <c r="A681" s="9">
        <v>231</v>
      </c>
      <c r="B681" s="10" t="s">
        <v>76</v>
      </c>
      <c r="C681" s="10" t="s">
        <v>369</v>
      </c>
      <c r="D681" s="20" t="s">
        <v>370</v>
      </c>
      <c r="E681" s="20" t="s">
        <v>400</v>
      </c>
      <c r="F681" s="10" t="s">
        <v>369</v>
      </c>
      <c r="G681" s="20" t="s">
        <v>370</v>
      </c>
      <c r="H681" s="20" t="s">
        <v>400</v>
      </c>
      <c r="I681" s="10" t="s">
        <v>369</v>
      </c>
      <c r="J681" s="20" t="s">
        <v>398</v>
      </c>
      <c r="K681" s="20" t="s">
        <v>400</v>
      </c>
      <c r="L681" s="9" t="s">
        <v>352</v>
      </c>
      <c r="M681" s="9">
        <v>100</v>
      </c>
      <c r="N681" s="9" t="s">
        <v>17</v>
      </c>
      <c r="O681" s="9" t="s">
        <v>455</v>
      </c>
      <c r="P681" s="12">
        <v>35.4</v>
      </c>
      <c r="Q681" s="12" t="s">
        <v>355</v>
      </c>
      <c r="R681" s="9" t="s">
        <v>356</v>
      </c>
      <c r="S681" s="13" t="s">
        <v>903</v>
      </c>
      <c r="T681" s="13" t="s">
        <v>903</v>
      </c>
      <c r="U681" s="14">
        <f t="shared" si="90"/>
        <v>1.1760912590556813</v>
      </c>
      <c r="V681" s="15">
        <v>30</v>
      </c>
      <c r="W681" s="12">
        <v>7.1502479999999977</v>
      </c>
      <c r="X681" s="12">
        <v>1</v>
      </c>
      <c r="Y681" s="13" t="s">
        <v>904</v>
      </c>
      <c r="Z681" s="9" t="s">
        <v>359</v>
      </c>
      <c r="AA681" s="10" t="s">
        <v>372</v>
      </c>
      <c r="AB681" s="9" t="s">
        <v>355</v>
      </c>
      <c r="AC681" s="15">
        <v>305</v>
      </c>
      <c r="AD681" s="14">
        <f t="shared" si="91"/>
        <v>2.4842998393467859</v>
      </c>
      <c r="AE681" s="10" t="s">
        <v>1011</v>
      </c>
      <c r="AF681" s="9" t="s">
        <v>362</v>
      </c>
      <c r="AG681" s="18">
        <v>45</v>
      </c>
      <c r="AH681" s="7">
        <f t="shared" si="92"/>
        <v>1</v>
      </c>
      <c r="AI681" s="7">
        <f t="shared" si="93"/>
        <v>1</v>
      </c>
      <c r="AJ681" s="7">
        <f t="shared" si="94"/>
        <v>0</v>
      </c>
      <c r="AK681" s="7">
        <f t="shared" si="95"/>
        <v>0</v>
      </c>
      <c r="AL681" s="7" t="s">
        <v>4157</v>
      </c>
      <c r="AM681" s="18">
        <f t="shared" si="96"/>
        <v>1.6532125137753437</v>
      </c>
      <c r="AN681" s="18">
        <v>45</v>
      </c>
      <c r="AO681" s="18">
        <v>-89.646174999999999</v>
      </c>
      <c r="AP681" s="9" t="s">
        <v>363</v>
      </c>
      <c r="AQ681" s="9" t="s">
        <v>355</v>
      </c>
      <c r="AR681" s="15">
        <v>1968</v>
      </c>
      <c r="AS681" s="19" t="s">
        <v>906</v>
      </c>
      <c r="AT681" s="20" t="s">
        <v>907</v>
      </c>
      <c r="AU681" s="40">
        <v>6011807</v>
      </c>
      <c r="AV681" s="35">
        <f t="shared" si="97"/>
        <v>6.77900502976909</v>
      </c>
      <c r="AW681" s="37" t="s">
        <v>366</v>
      </c>
      <c r="AX681" s="40">
        <v>100</v>
      </c>
      <c r="AY681" s="40">
        <v>600</v>
      </c>
      <c r="AZ681" s="15">
        <v>113</v>
      </c>
      <c r="BA681" s="14">
        <f t="shared" si="98"/>
        <v>2.0530784434834195</v>
      </c>
      <c r="BB681" s="37" t="s">
        <v>367</v>
      </c>
      <c r="BC681" s="20">
        <v>2.7615046018407158E-2</v>
      </c>
      <c r="BD681" s="9">
        <v>27</v>
      </c>
      <c r="BE681" s="9" t="s">
        <v>368</v>
      </c>
      <c r="BF681" s="9">
        <v>0</v>
      </c>
    </row>
    <row r="682" spans="1:58">
      <c r="A682" s="9">
        <v>1003</v>
      </c>
      <c r="B682" s="20" t="s">
        <v>76</v>
      </c>
      <c r="C682" s="20" t="s">
        <v>369</v>
      </c>
      <c r="D682" s="20" t="s">
        <v>370</v>
      </c>
      <c r="E682" s="20" t="s">
        <v>400</v>
      </c>
      <c r="F682" s="20" t="s">
        <v>369</v>
      </c>
      <c r="G682" s="20" t="s">
        <v>370</v>
      </c>
      <c r="H682" s="20" t="s">
        <v>400</v>
      </c>
      <c r="I682" s="20" t="s">
        <v>369</v>
      </c>
      <c r="J682" s="20" t="s">
        <v>398</v>
      </c>
      <c r="K682" s="20" t="s">
        <v>400</v>
      </c>
      <c r="L682" s="9" t="s">
        <v>352</v>
      </c>
      <c r="M682" s="9">
        <v>3</v>
      </c>
      <c r="N682" s="9" t="s">
        <v>353</v>
      </c>
      <c r="O682" s="9" t="s">
        <v>354</v>
      </c>
      <c r="P682" s="12">
        <v>31.275269999999999</v>
      </c>
      <c r="Q682" s="9" t="s">
        <v>355</v>
      </c>
      <c r="R682" s="9" t="s">
        <v>356</v>
      </c>
      <c r="S682" s="9">
        <v>14</v>
      </c>
      <c r="T682" s="9">
        <v>14</v>
      </c>
      <c r="U682" s="14">
        <f t="shared" si="90"/>
        <v>1.1760912590556813</v>
      </c>
      <c r="V682" s="15">
        <v>5</v>
      </c>
      <c r="W682" s="12">
        <v>6.0028338999999988</v>
      </c>
      <c r="X682" s="9" t="s">
        <v>355</v>
      </c>
      <c r="Y682" s="13" t="s">
        <v>401</v>
      </c>
      <c r="Z682" s="9" t="s">
        <v>359</v>
      </c>
      <c r="AA682" s="10" t="s">
        <v>372</v>
      </c>
      <c r="AB682" s="9" t="s">
        <v>355</v>
      </c>
      <c r="AC682" s="43">
        <v>349</v>
      </c>
      <c r="AD682" s="14">
        <f t="shared" si="91"/>
        <v>2.5428254269591797</v>
      </c>
      <c r="AE682" s="10" t="s">
        <v>402</v>
      </c>
      <c r="AF682" s="44" t="s">
        <v>362</v>
      </c>
      <c r="AG682" s="18">
        <v>43.680533500000003</v>
      </c>
      <c r="AH682" s="7">
        <f t="shared" si="92"/>
        <v>1</v>
      </c>
      <c r="AI682" s="7">
        <f t="shared" si="93"/>
        <v>1</v>
      </c>
      <c r="AJ682" s="7">
        <f t="shared" si="94"/>
        <v>0</v>
      </c>
      <c r="AK682" s="7">
        <f t="shared" si="95"/>
        <v>0</v>
      </c>
      <c r="AL682" s="7" t="s">
        <v>4157</v>
      </c>
      <c r="AM682" s="18">
        <f t="shared" si="96"/>
        <v>1.6402879340623209</v>
      </c>
      <c r="AN682" s="45">
        <v>43.680533500000003</v>
      </c>
      <c r="AO682" s="45">
        <v>-90.082397</v>
      </c>
      <c r="AP682" s="9" t="s">
        <v>402</v>
      </c>
      <c r="AQ682" s="9" t="s">
        <v>403</v>
      </c>
      <c r="AR682" s="9">
        <v>1962</v>
      </c>
      <c r="AS682" s="10" t="s">
        <v>374</v>
      </c>
      <c r="AT682" s="20" t="s">
        <v>375</v>
      </c>
      <c r="AU682" s="39">
        <v>6011807</v>
      </c>
      <c r="AV682" s="35">
        <f t="shared" si="97"/>
        <v>6.77900502976909</v>
      </c>
      <c r="AW682" s="37" t="s">
        <v>366</v>
      </c>
      <c r="AX682" s="40">
        <v>100</v>
      </c>
      <c r="AY682" s="40">
        <v>600</v>
      </c>
      <c r="AZ682" s="15">
        <v>113</v>
      </c>
      <c r="BA682" s="14">
        <f t="shared" si="98"/>
        <v>2.0530784434834195</v>
      </c>
      <c r="BB682" s="37" t="s">
        <v>367</v>
      </c>
      <c r="BC682" s="20">
        <v>1.9469787915165869E-2</v>
      </c>
      <c r="BD682" s="9">
        <v>28.1</v>
      </c>
      <c r="BE682" s="9" t="s">
        <v>368</v>
      </c>
      <c r="BF682" s="9">
        <v>0</v>
      </c>
    </row>
    <row r="683" spans="1:58">
      <c r="A683" s="9">
        <v>1004</v>
      </c>
      <c r="B683" s="20" t="s">
        <v>76</v>
      </c>
      <c r="C683" s="20" t="s">
        <v>369</v>
      </c>
      <c r="D683" s="20" t="s">
        <v>370</v>
      </c>
      <c r="E683" s="20" t="s">
        <v>400</v>
      </c>
      <c r="F683" s="20" t="s">
        <v>369</v>
      </c>
      <c r="G683" s="20" t="s">
        <v>370</v>
      </c>
      <c r="H683" s="20" t="s">
        <v>400</v>
      </c>
      <c r="I683" s="20" t="s">
        <v>369</v>
      </c>
      <c r="J683" s="20" t="s">
        <v>398</v>
      </c>
      <c r="K683" s="20" t="s">
        <v>400</v>
      </c>
      <c r="L683" s="9" t="s">
        <v>352</v>
      </c>
      <c r="M683" s="9">
        <v>3</v>
      </c>
      <c r="N683" s="9" t="s">
        <v>353</v>
      </c>
      <c r="O683" s="9" t="s">
        <v>354</v>
      </c>
      <c r="P683" s="12">
        <v>31.912140000000001</v>
      </c>
      <c r="Q683" s="9" t="s">
        <v>355</v>
      </c>
      <c r="R683" s="9" t="s">
        <v>356</v>
      </c>
      <c r="S683" s="9">
        <v>14</v>
      </c>
      <c r="T683" s="9">
        <v>14</v>
      </c>
      <c r="U683" s="14">
        <f t="shared" si="90"/>
        <v>1.1760912590556813</v>
      </c>
      <c r="V683" s="15">
        <v>7</v>
      </c>
      <c r="W683" s="12">
        <v>6.3272659000000004</v>
      </c>
      <c r="X683" s="9" t="s">
        <v>355</v>
      </c>
      <c r="Y683" s="13" t="s">
        <v>401</v>
      </c>
      <c r="Z683" s="9" t="s">
        <v>359</v>
      </c>
      <c r="AA683" s="10" t="s">
        <v>372</v>
      </c>
      <c r="AB683" s="9" t="s">
        <v>355</v>
      </c>
      <c r="AC683" s="43">
        <v>349</v>
      </c>
      <c r="AD683" s="14">
        <f t="shared" si="91"/>
        <v>2.5428254269591797</v>
      </c>
      <c r="AE683" s="10" t="s">
        <v>402</v>
      </c>
      <c r="AF683" s="44" t="s">
        <v>362</v>
      </c>
      <c r="AG683" s="18">
        <v>43.680533500000003</v>
      </c>
      <c r="AH683" s="7">
        <f t="shared" si="92"/>
        <v>1</v>
      </c>
      <c r="AI683" s="7">
        <f t="shared" si="93"/>
        <v>1</v>
      </c>
      <c r="AJ683" s="7">
        <f t="shared" si="94"/>
        <v>0</v>
      </c>
      <c r="AK683" s="7">
        <f t="shared" si="95"/>
        <v>0</v>
      </c>
      <c r="AL683" s="7" t="s">
        <v>4157</v>
      </c>
      <c r="AM683" s="18">
        <f t="shared" si="96"/>
        <v>1.6402879340623209</v>
      </c>
      <c r="AN683" s="45">
        <v>43.680533500000003</v>
      </c>
      <c r="AO683" s="45">
        <v>-90.082397</v>
      </c>
      <c r="AP683" s="9" t="s">
        <v>402</v>
      </c>
      <c r="AQ683" s="9" t="s">
        <v>403</v>
      </c>
      <c r="AR683" s="9">
        <v>1962</v>
      </c>
      <c r="AS683" s="10" t="s">
        <v>374</v>
      </c>
      <c r="AT683" s="20" t="s">
        <v>375</v>
      </c>
      <c r="AU683" s="39">
        <v>6011807</v>
      </c>
      <c r="AV683" s="35">
        <f t="shared" si="97"/>
        <v>6.77900502976909</v>
      </c>
      <c r="AW683" s="37" t="s">
        <v>366</v>
      </c>
      <c r="AX683" s="40">
        <v>100</v>
      </c>
      <c r="AY683" s="40">
        <v>600</v>
      </c>
      <c r="AZ683" s="15">
        <v>113</v>
      </c>
      <c r="BA683" s="14">
        <f t="shared" si="98"/>
        <v>2.0530784434834195</v>
      </c>
      <c r="BB683" s="37" t="s">
        <v>367</v>
      </c>
      <c r="BC683" s="20">
        <v>1.9469787915165869E-2</v>
      </c>
      <c r="BD683" s="9">
        <v>28.1</v>
      </c>
      <c r="BE683" s="9" t="s">
        <v>368</v>
      </c>
      <c r="BF683" s="9">
        <v>0</v>
      </c>
    </row>
    <row r="684" spans="1:58">
      <c r="A684" s="9">
        <v>1005</v>
      </c>
      <c r="B684" s="20" t="s">
        <v>76</v>
      </c>
      <c r="C684" s="20" t="s">
        <v>369</v>
      </c>
      <c r="D684" s="20" t="s">
        <v>370</v>
      </c>
      <c r="E684" s="20" t="s">
        <v>400</v>
      </c>
      <c r="F684" s="20" t="s">
        <v>369</v>
      </c>
      <c r="G684" s="20" t="s">
        <v>370</v>
      </c>
      <c r="H684" s="20" t="s">
        <v>400</v>
      </c>
      <c r="I684" s="20" t="s">
        <v>369</v>
      </c>
      <c r="J684" s="20" t="s">
        <v>398</v>
      </c>
      <c r="K684" s="20" t="s">
        <v>400</v>
      </c>
      <c r="L684" s="9" t="s">
        <v>352</v>
      </c>
      <c r="M684" s="9">
        <v>3</v>
      </c>
      <c r="N684" s="9" t="s">
        <v>353</v>
      </c>
      <c r="O684" s="9" t="s">
        <v>354</v>
      </c>
      <c r="P684" s="12">
        <v>33.807429999999997</v>
      </c>
      <c r="Q684" s="9" t="s">
        <v>355</v>
      </c>
      <c r="R684" s="9" t="s">
        <v>356</v>
      </c>
      <c r="S684" s="9">
        <v>14</v>
      </c>
      <c r="T684" s="9">
        <v>14</v>
      </c>
      <c r="U684" s="14">
        <f t="shared" si="90"/>
        <v>1.1760912590556813</v>
      </c>
      <c r="V684" s="15">
        <v>12</v>
      </c>
      <c r="W684" s="12">
        <v>7.4414608999999956</v>
      </c>
      <c r="X684" s="9" t="s">
        <v>355</v>
      </c>
      <c r="Y684" s="13" t="s">
        <v>401</v>
      </c>
      <c r="Z684" s="9" t="s">
        <v>359</v>
      </c>
      <c r="AA684" s="10" t="s">
        <v>372</v>
      </c>
      <c r="AB684" s="9" t="s">
        <v>355</v>
      </c>
      <c r="AC684" s="43">
        <v>349</v>
      </c>
      <c r="AD684" s="14">
        <f t="shared" si="91"/>
        <v>2.5428254269591797</v>
      </c>
      <c r="AE684" s="10" t="s">
        <v>402</v>
      </c>
      <c r="AF684" s="44" t="s">
        <v>362</v>
      </c>
      <c r="AG684" s="18">
        <v>43.680533500000003</v>
      </c>
      <c r="AH684" s="7">
        <f t="shared" si="92"/>
        <v>1</v>
      </c>
      <c r="AI684" s="7">
        <f t="shared" si="93"/>
        <v>1</v>
      </c>
      <c r="AJ684" s="7">
        <f t="shared" si="94"/>
        <v>0</v>
      </c>
      <c r="AK684" s="7">
        <f t="shared" si="95"/>
        <v>0</v>
      </c>
      <c r="AL684" s="7" t="s">
        <v>4157</v>
      </c>
      <c r="AM684" s="18">
        <f t="shared" si="96"/>
        <v>1.6402879340623209</v>
      </c>
      <c r="AN684" s="45">
        <v>43.680533500000003</v>
      </c>
      <c r="AO684" s="45">
        <v>-90.082397</v>
      </c>
      <c r="AP684" s="9" t="s">
        <v>402</v>
      </c>
      <c r="AQ684" s="9" t="s">
        <v>403</v>
      </c>
      <c r="AR684" s="9">
        <v>1962</v>
      </c>
      <c r="AS684" s="10" t="s">
        <v>374</v>
      </c>
      <c r="AT684" s="20" t="s">
        <v>375</v>
      </c>
      <c r="AU684" s="39">
        <v>6011807</v>
      </c>
      <c r="AV684" s="35">
        <f t="shared" si="97"/>
        <v>6.77900502976909</v>
      </c>
      <c r="AW684" s="37" t="s">
        <v>366</v>
      </c>
      <c r="AX684" s="40">
        <v>100</v>
      </c>
      <c r="AY684" s="40">
        <v>600</v>
      </c>
      <c r="AZ684" s="15">
        <v>113</v>
      </c>
      <c r="BA684" s="14">
        <f t="shared" si="98"/>
        <v>2.0530784434834195</v>
      </c>
      <c r="BB684" s="37" t="s">
        <v>367</v>
      </c>
      <c r="BC684" s="20">
        <v>1.9469787915165869E-2</v>
      </c>
      <c r="BD684" s="9">
        <v>28.1</v>
      </c>
      <c r="BE684" s="9" t="s">
        <v>368</v>
      </c>
      <c r="BF684" s="9">
        <v>0</v>
      </c>
    </row>
    <row r="685" spans="1:58">
      <c r="A685" s="9">
        <v>852</v>
      </c>
      <c r="B685" s="10" t="s">
        <v>76</v>
      </c>
      <c r="C685" s="10" t="s">
        <v>369</v>
      </c>
      <c r="D685" s="20" t="s">
        <v>370</v>
      </c>
      <c r="E685" s="20" t="s">
        <v>400</v>
      </c>
      <c r="F685" s="10" t="s">
        <v>369</v>
      </c>
      <c r="G685" s="20" t="s">
        <v>370</v>
      </c>
      <c r="H685" s="20" t="s">
        <v>400</v>
      </c>
      <c r="I685" s="10" t="s">
        <v>369</v>
      </c>
      <c r="J685" s="20" t="s">
        <v>398</v>
      </c>
      <c r="K685" s="20" t="s">
        <v>400</v>
      </c>
      <c r="L685" s="9" t="s">
        <v>352</v>
      </c>
      <c r="M685" s="9">
        <v>11</v>
      </c>
      <c r="N685" s="9" t="s">
        <v>381</v>
      </c>
      <c r="O685" s="9" t="s">
        <v>354</v>
      </c>
      <c r="P685" s="12">
        <v>34</v>
      </c>
      <c r="Q685" s="12" t="s">
        <v>355</v>
      </c>
      <c r="R685" s="9" t="s">
        <v>356</v>
      </c>
      <c r="S685" s="13" t="s">
        <v>903</v>
      </c>
      <c r="T685" s="13" t="s">
        <v>903</v>
      </c>
      <c r="U685" s="14">
        <f t="shared" si="90"/>
        <v>1.1760912590556813</v>
      </c>
      <c r="V685" s="15">
        <v>10</v>
      </c>
      <c r="W685" s="12">
        <v>7.9464688999999993</v>
      </c>
      <c r="X685" s="12" t="s">
        <v>355</v>
      </c>
      <c r="Y685" s="13" t="s">
        <v>384</v>
      </c>
      <c r="Z685" s="9" t="s">
        <v>359</v>
      </c>
      <c r="AA685" s="10" t="s">
        <v>372</v>
      </c>
      <c r="AB685" s="9" t="s">
        <v>355</v>
      </c>
      <c r="AC685" s="43">
        <v>349</v>
      </c>
      <c r="AD685" s="14">
        <f t="shared" si="91"/>
        <v>2.5428254269591797</v>
      </c>
      <c r="AE685" s="10" t="s">
        <v>402</v>
      </c>
      <c r="AF685" s="44" t="s">
        <v>362</v>
      </c>
      <c r="AG685" s="18">
        <v>43.680533500000003</v>
      </c>
      <c r="AH685" s="7">
        <f t="shared" si="92"/>
        <v>1</v>
      </c>
      <c r="AI685" s="7">
        <f t="shared" si="93"/>
        <v>1</v>
      </c>
      <c r="AJ685" s="7">
        <f t="shared" si="94"/>
        <v>0</v>
      </c>
      <c r="AK685" s="7">
        <f t="shared" si="95"/>
        <v>0</v>
      </c>
      <c r="AL685" s="7" t="s">
        <v>4157</v>
      </c>
      <c r="AM685" s="18">
        <f t="shared" si="96"/>
        <v>1.6402879340623209</v>
      </c>
      <c r="AN685" s="45">
        <v>43.680533500000003</v>
      </c>
      <c r="AO685" s="45">
        <v>-90.082397</v>
      </c>
      <c r="AP685" s="9" t="s">
        <v>402</v>
      </c>
      <c r="AQ685" s="9" t="s">
        <v>403</v>
      </c>
      <c r="AR685" s="15">
        <v>1970</v>
      </c>
      <c r="AS685" s="19" t="s">
        <v>1012</v>
      </c>
      <c r="AT685" s="20" t="s">
        <v>1013</v>
      </c>
      <c r="AU685" s="40">
        <v>6011807</v>
      </c>
      <c r="AV685" s="35">
        <f t="shared" si="97"/>
        <v>6.77900502976909</v>
      </c>
      <c r="AW685" s="37" t="s">
        <v>366</v>
      </c>
      <c r="AX685" s="40">
        <v>100</v>
      </c>
      <c r="AY685" s="40">
        <v>600</v>
      </c>
      <c r="AZ685" s="15">
        <v>113</v>
      </c>
      <c r="BA685" s="14">
        <f t="shared" si="98"/>
        <v>2.0530784434834195</v>
      </c>
      <c r="BB685" s="37" t="s">
        <v>367</v>
      </c>
      <c r="BC685" s="20">
        <v>1.9469787915165869E-2</v>
      </c>
      <c r="BD685" s="9">
        <v>28.1</v>
      </c>
      <c r="BE685" s="9" t="s">
        <v>368</v>
      </c>
      <c r="BF685" s="9">
        <v>0</v>
      </c>
    </row>
    <row r="686" spans="1:58">
      <c r="A686" s="9">
        <v>1006</v>
      </c>
      <c r="B686" s="20" t="s">
        <v>76</v>
      </c>
      <c r="C686" s="20" t="s">
        <v>369</v>
      </c>
      <c r="D686" s="20" t="s">
        <v>370</v>
      </c>
      <c r="E686" s="20" t="s">
        <v>400</v>
      </c>
      <c r="F686" s="20" t="s">
        <v>369</v>
      </c>
      <c r="G686" s="20" t="s">
        <v>370</v>
      </c>
      <c r="H686" s="20" t="s">
        <v>400</v>
      </c>
      <c r="I686" s="20" t="s">
        <v>369</v>
      </c>
      <c r="J686" s="20" t="s">
        <v>398</v>
      </c>
      <c r="K686" s="20" t="s">
        <v>400</v>
      </c>
      <c r="L686" s="9" t="s">
        <v>352</v>
      </c>
      <c r="M686" s="9">
        <v>3</v>
      </c>
      <c r="N686" s="9" t="s">
        <v>353</v>
      </c>
      <c r="O686" s="9" t="s">
        <v>354</v>
      </c>
      <c r="P686" s="12">
        <v>34.539409999999997</v>
      </c>
      <c r="Q686" s="9" t="s">
        <v>355</v>
      </c>
      <c r="R686" s="9" t="s">
        <v>356</v>
      </c>
      <c r="S686" s="9">
        <v>14</v>
      </c>
      <c r="T686" s="9">
        <v>14</v>
      </c>
      <c r="U686" s="14">
        <f t="shared" si="90"/>
        <v>1.1760912590556813</v>
      </c>
      <c r="V686" s="15">
        <v>23</v>
      </c>
      <c r="W686" s="12">
        <v>6.4550318999999945</v>
      </c>
      <c r="X686" s="9" t="s">
        <v>355</v>
      </c>
      <c r="Y686" s="13" t="s">
        <v>401</v>
      </c>
      <c r="Z686" s="9" t="s">
        <v>359</v>
      </c>
      <c r="AA686" s="10" t="s">
        <v>372</v>
      </c>
      <c r="AB686" s="9" t="s">
        <v>355</v>
      </c>
      <c r="AC686" s="43">
        <v>349</v>
      </c>
      <c r="AD686" s="14">
        <f t="shared" si="91"/>
        <v>2.5428254269591797</v>
      </c>
      <c r="AE686" s="10" t="s">
        <v>402</v>
      </c>
      <c r="AF686" s="44" t="s">
        <v>362</v>
      </c>
      <c r="AG686" s="18">
        <v>43.680533500000003</v>
      </c>
      <c r="AH686" s="7">
        <f t="shared" si="92"/>
        <v>1</v>
      </c>
      <c r="AI686" s="7">
        <f t="shared" si="93"/>
        <v>1</v>
      </c>
      <c r="AJ686" s="7">
        <f t="shared" si="94"/>
        <v>0</v>
      </c>
      <c r="AK686" s="7">
        <f t="shared" si="95"/>
        <v>0</v>
      </c>
      <c r="AL686" s="7" t="s">
        <v>4157</v>
      </c>
      <c r="AM686" s="18">
        <f t="shared" si="96"/>
        <v>1.6402879340623209</v>
      </c>
      <c r="AN686" s="45">
        <v>43.680533500000003</v>
      </c>
      <c r="AO686" s="45">
        <v>-90.082397</v>
      </c>
      <c r="AP686" s="9" t="s">
        <v>402</v>
      </c>
      <c r="AQ686" s="9" t="s">
        <v>403</v>
      </c>
      <c r="AR686" s="9">
        <v>1962</v>
      </c>
      <c r="AS686" s="10" t="s">
        <v>374</v>
      </c>
      <c r="AT686" s="20" t="s">
        <v>375</v>
      </c>
      <c r="AU686" s="39">
        <v>6011807</v>
      </c>
      <c r="AV686" s="35">
        <f t="shared" si="97"/>
        <v>6.77900502976909</v>
      </c>
      <c r="AW686" s="37" t="s">
        <v>366</v>
      </c>
      <c r="AX686" s="40">
        <v>100</v>
      </c>
      <c r="AY686" s="40">
        <v>600</v>
      </c>
      <c r="AZ686" s="15">
        <v>113</v>
      </c>
      <c r="BA686" s="14">
        <f t="shared" si="98"/>
        <v>2.0530784434834195</v>
      </c>
      <c r="BB686" s="37" t="s">
        <v>367</v>
      </c>
      <c r="BC686" s="20">
        <v>1.9469787915165869E-2</v>
      </c>
      <c r="BD686" s="9">
        <v>28.1</v>
      </c>
      <c r="BE686" s="9" t="s">
        <v>368</v>
      </c>
      <c r="BF686" s="9">
        <v>0</v>
      </c>
    </row>
    <row r="687" spans="1:58">
      <c r="A687" s="9">
        <v>848</v>
      </c>
      <c r="B687" s="10" t="s">
        <v>76</v>
      </c>
      <c r="C687" s="10" t="s">
        <v>369</v>
      </c>
      <c r="D687" s="20" t="s">
        <v>370</v>
      </c>
      <c r="E687" s="20" t="s">
        <v>400</v>
      </c>
      <c r="F687" s="10" t="s">
        <v>369</v>
      </c>
      <c r="G687" s="20" t="s">
        <v>370</v>
      </c>
      <c r="H687" s="20" t="s">
        <v>400</v>
      </c>
      <c r="I687" s="10" t="s">
        <v>369</v>
      </c>
      <c r="J687" s="20" t="s">
        <v>398</v>
      </c>
      <c r="K687" s="20" t="s">
        <v>400</v>
      </c>
      <c r="L687" s="9" t="s">
        <v>352</v>
      </c>
      <c r="M687" s="9">
        <v>9</v>
      </c>
      <c r="N687" s="9" t="s">
        <v>353</v>
      </c>
      <c r="O687" s="9" t="s">
        <v>354</v>
      </c>
      <c r="P687" s="12">
        <v>34.6</v>
      </c>
      <c r="Q687" s="12" t="s">
        <v>355</v>
      </c>
      <c r="R687" s="9" t="s">
        <v>356</v>
      </c>
      <c r="S687" s="13" t="s">
        <v>903</v>
      </c>
      <c r="T687" s="13" t="s">
        <v>903</v>
      </c>
      <c r="U687" s="14">
        <f t="shared" si="90"/>
        <v>1.1760912590556813</v>
      </c>
      <c r="V687" s="15">
        <v>10</v>
      </c>
      <c r="W687" s="12">
        <v>8.5464689000000007</v>
      </c>
      <c r="X687" s="12" t="s">
        <v>355</v>
      </c>
      <c r="Y687" s="13" t="s">
        <v>384</v>
      </c>
      <c r="Z687" s="9" t="s">
        <v>359</v>
      </c>
      <c r="AA687" s="10" t="s">
        <v>372</v>
      </c>
      <c r="AB687" s="9" t="s">
        <v>355</v>
      </c>
      <c r="AC687" s="43">
        <v>349</v>
      </c>
      <c r="AD687" s="14">
        <f t="shared" si="91"/>
        <v>2.5428254269591797</v>
      </c>
      <c r="AE687" s="10" t="s">
        <v>402</v>
      </c>
      <c r="AF687" s="44" t="s">
        <v>362</v>
      </c>
      <c r="AG687" s="18">
        <v>43.680533500000003</v>
      </c>
      <c r="AH687" s="7">
        <f t="shared" si="92"/>
        <v>1</v>
      </c>
      <c r="AI687" s="7">
        <f t="shared" si="93"/>
        <v>1</v>
      </c>
      <c r="AJ687" s="7">
        <f t="shared" si="94"/>
        <v>0</v>
      </c>
      <c r="AK687" s="7">
        <f t="shared" si="95"/>
        <v>0</v>
      </c>
      <c r="AL687" s="7" t="s">
        <v>4157</v>
      </c>
      <c r="AM687" s="18">
        <f t="shared" si="96"/>
        <v>1.6402879340623209</v>
      </c>
      <c r="AN687" s="45">
        <v>43.680533500000003</v>
      </c>
      <c r="AO687" s="45">
        <v>-90.082397</v>
      </c>
      <c r="AP687" s="9" t="s">
        <v>402</v>
      </c>
      <c r="AQ687" s="9" t="s">
        <v>403</v>
      </c>
      <c r="AR687" s="15">
        <v>1970</v>
      </c>
      <c r="AS687" s="19" t="s">
        <v>1012</v>
      </c>
      <c r="AT687" s="20" t="s">
        <v>1013</v>
      </c>
      <c r="AU687" s="40">
        <v>6011807</v>
      </c>
      <c r="AV687" s="35">
        <f t="shared" si="97"/>
        <v>6.77900502976909</v>
      </c>
      <c r="AW687" s="37" t="s">
        <v>366</v>
      </c>
      <c r="AX687" s="40">
        <v>100</v>
      </c>
      <c r="AY687" s="40">
        <v>600</v>
      </c>
      <c r="AZ687" s="15">
        <v>113</v>
      </c>
      <c r="BA687" s="14">
        <f t="shared" si="98"/>
        <v>2.0530784434834195</v>
      </c>
      <c r="BB687" s="37" t="s">
        <v>367</v>
      </c>
      <c r="BC687" s="20">
        <v>1.9469787915165869E-2</v>
      </c>
      <c r="BD687" s="9">
        <v>28.1</v>
      </c>
      <c r="BE687" s="9" t="s">
        <v>368</v>
      </c>
      <c r="BF687" s="9">
        <v>0</v>
      </c>
    </row>
    <row r="688" spans="1:58">
      <c r="A688" s="9">
        <v>849</v>
      </c>
      <c r="B688" s="10" t="s">
        <v>76</v>
      </c>
      <c r="C688" s="10" t="s">
        <v>369</v>
      </c>
      <c r="D688" s="20" t="s">
        <v>370</v>
      </c>
      <c r="E688" s="20" t="s">
        <v>400</v>
      </c>
      <c r="F688" s="10" t="s">
        <v>369</v>
      </c>
      <c r="G688" s="20" t="s">
        <v>370</v>
      </c>
      <c r="H688" s="20" t="s">
        <v>400</v>
      </c>
      <c r="I688" s="10" t="s">
        <v>369</v>
      </c>
      <c r="J688" s="20" t="s">
        <v>398</v>
      </c>
      <c r="K688" s="20" t="s">
        <v>400</v>
      </c>
      <c r="L688" s="9" t="s">
        <v>352</v>
      </c>
      <c r="M688" s="9">
        <v>9</v>
      </c>
      <c r="N688" s="9" t="s">
        <v>353</v>
      </c>
      <c r="O688" s="9" t="s">
        <v>354</v>
      </c>
      <c r="P688" s="12">
        <v>34.799999999999997</v>
      </c>
      <c r="Q688" s="12" t="s">
        <v>355</v>
      </c>
      <c r="R688" s="9" t="s">
        <v>356</v>
      </c>
      <c r="S688" s="13" t="s">
        <v>903</v>
      </c>
      <c r="T688" s="13" t="s">
        <v>903</v>
      </c>
      <c r="U688" s="14">
        <f t="shared" si="90"/>
        <v>1.1760912590556813</v>
      </c>
      <c r="V688" s="15">
        <v>10</v>
      </c>
      <c r="W688" s="12">
        <v>8.7464688999999964</v>
      </c>
      <c r="X688" s="12" t="s">
        <v>355</v>
      </c>
      <c r="Y688" s="13" t="s">
        <v>384</v>
      </c>
      <c r="Z688" s="9" t="s">
        <v>359</v>
      </c>
      <c r="AA688" s="10" t="s">
        <v>372</v>
      </c>
      <c r="AB688" s="9" t="s">
        <v>355</v>
      </c>
      <c r="AC688" s="43">
        <v>349</v>
      </c>
      <c r="AD688" s="14">
        <f t="shared" si="91"/>
        <v>2.5428254269591797</v>
      </c>
      <c r="AE688" s="10" t="s">
        <v>402</v>
      </c>
      <c r="AF688" s="44" t="s">
        <v>362</v>
      </c>
      <c r="AG688" s="18">
        <v>43.680533500000003</v>
      </c>
      <c r="AH688" s="7">
        <f t="shared" si="92"/>
        <v>1</v>
      </c>
      <c r="AI688" s="7">
        <f t="shared" si="93"/>
        <v>1</v>
      </c>
      <c r="AJ688" s="7">
        <f t="shared" si="94"/>
        <v>0</v>
      </c>
      <c r="AK688" s="7">
        <f t="shared" si="95"/>
        <v>0</v>
      </c>
      <c r="AL688" s="7" t="s">
        <v>4157</v>
      </c>
      <c r="AM688" s="18">
        <f t="shared" si="96"/>
        <v>1.6402879340623209</v>
      </c>
      <c r="AN688" s="45">
        <v>43.680533500000003</v>
      </c>
      <c r="AO688" s="45">
        <v>-90.082397</v>
      </c>
      <c r="AP688" s="9" t="s">
        <v>402</v>
      </c>
      <c r="AQ688" s="9" t="s">
        <v>403</v>
      </c>
      <c r="AR688" s="15">
        <v>1970</v>
      </c>
      <c r="AS688" s="19" t="s">
        <v>1012</v>
      </c>
      <c r="AT688" s="20" t="s">
        <v>1013</v>
      </c>
      <c r="AU688" s="40">
        <v>6011807</v>
      </c>
      <c r="AV688" s="35">
        <f t="shared" si="97"/>
        <v>6.77900502976909</v>
      </c>
      <c r="AW688" s="37" t="s">
        <v>366</v>
      </c>
      <c r="AX688" s="40">
        <v>100</v>
      </c>
      <c r="AY688" s="40">
        <v>600</v>
      </c>
      <c r="AZ688" s="15">
        <v>113</v>
      </c>
      <c r="BA688" s="14">
        <f t="shared" si="98"/>
        <v>2.0530784434834195</v>
      </c>
      <c r="BB688" s="37" t="s">
        <v>367</v>
      </c>
      <c r="BC688" s="20">
        <v>1.9469787915165869E-2</v>
      </c>
      <c r="BD688" s="9">
        <v>28.1</v>
      </c>
      <c r="BE688" s="9" t="s">
        <v>368</v>
      </c>
      <c r="BF688" s="9">
        <v>0</v>
      </c>
    </row>
    <row r="689" spans="1:58">
      <c r="A689" s="9">
        <v>847</v>
      </c>
      <c r="B689" s="10" t="s">
        <v>76</v>
      </c>
      <c r="C689" s="10" t="s">
        <v>369</v>
      </c>
      <c r="D689" s="20" t="s">
        <v>370</v>
      </c>
      <c r="E689" s="20" t="s">
        <v>400</v>
      </c>
      <c r="F689" s="10" t="s">
        <v>369</v>
      </c>
      <c r="G689" s="20" t="s">
        <v>370</v>
      </c>
      <c r="H689" s="20" t="s">
        <v>400</v>
      </c>
      <c r="I689" s="10" t="s">
        <v>369</v>
      </c>
      <c r="J689" s="20" t="s">
        <v>398</v>
      </c>
      <c r="K689" s="20" t="s">
        <v>400</v>
      </c>
      <c r="L689" s="9" t="s">
        <v>352</v>
      </c>
      <c r="M689" s="9">
        <v>6</v>
      </c>
      <c r="N689" s="9" t="s">
        <v>353</v>
      </c>
      <c r="O689" s="9" t="s">
        <v>354</v>
      </c>
      <c r="P689" s="12">
        <v>35.1</v>
      </c>
      <c r="Q689" s="12" t="s">
        <v>355</v>
      </c>
      <c r="R689" s="9" t="s">
        <v>356</v>
      </c>
      <c r="S689" s="13" t="s">
        <v>903</v>
      </c>
      <c r="T689" s="13" t="s">
        <v>903</v>
      </c>
      <c r="U689" s="14">
        <f t="shared" si="90"/>
        <v>1.1760912590556813</v>
      </c>
      <c r="V689" s="15">
        <v>25</v>
      </c>
      <c r="W689" s="12">
        <v>6.7031838999999991</v>
      </c>
      <c r="X689" s="12" t="s">
        <v>355</v>
      </c>
      <c r="Y689" s="13" t="s">
        <v>384</v>
      </c>
      <c r="Z689" s="9" t="s">
        <v>359</v>
      </c>
      <c r="AA689" s="10" t="s">
        <v>372</v>
      </c>
      <c r="AB689" s="9" t="s">
        <v>355</v>
      </c>
      <c r="AC689" s="43">
        <v>349</v>
      </c>
      <c r="AD689" s="14">
        <f t="shared" si="91"/>
        <v>2.5428254269591797</v>
      </c>
      <c r="AE689" s="10" t="s">
        <v>402</v>
      </c>
      <c r="AF689" s="44" t="s">
        <v>362</v>
      </c>
      <c r="AG689" s="18">
        <v>43.680533499999996</v>
      </c>
      <c r="AH689" s="7">
        <f t="shared" si="92"/>
        <v>1</v>
      </c>
      <c r="AI689" s="7">
        <f t="shared" si="93"/>
        <v>1</v>
      </c>
      <c r="AJ689" s="7">
        <f t="shared" si="94"/>
        <v>0</v>
      </c>
      <c r="AK689" s="7">
        <f t="shared" si="95"/>
        <v>0</v>
      </c>
      <c r="AL689" s="7" t="s">
        <v>4157</v>
      </c>
      <c r="AM689" s="18">
        <f t="shared" si="96"/>
        <v>1.6402879340623209</v>
      </c>
      <c r="AN689" s="45">
        <v>43.680533499999996</v>
      </c>
      <c r="AO689" s="45">
        <v>-90.082397</v>
      </c>
      <c r="AP689" s="9" t="s">
        <v>402</v>
      </c>
      <c r="AQ689" s="9" t="s">
        <v>403</v>
      </c>
      <c r="AR689" s="15">
        <v>1970</v>
      </c>
      <c r="AS689" s="19" t="s">
        <v>1012</v>
      </c>
      <c r="AT689" s="20" t="s">
        <v>1013</v>
      </c>
      <c r="AU689" s="40">
        <v>6011807</v>
      </c>
      <c r="AV689" s="35">
        <f t="shared" si="97"/>
        <v>6.77900502976909</v>
      </c>
      <c r="AW689" s="37" t="s">
        <v>366</v>
      </c>
      <c r="AX689" s="40">
        <v>100</v>
      </c>
      <c r="AY689" s="40">
        <v>600</v>
      </c>
      <c r="AZ689" s="15">
        <v>113</v>
      </c>
      <c r="BA689" s="14">
        <f t="shared" si="98"/>
        <v>2.0530784434834195</v>
      </c>
      <c r="BB689" s="37" t="s">
        <v>367</v>
      </c>
      <c r="BC689" s="20">
        <v>1.9469787915165869E-2</v>
      </c>
      <c r="BD689" s="9">
        <v>28.1</v>
      </c>
      <c r="BE689" s="9" t="s">
        <v>368</v>
      </c>
      <c r="BF689" s="9">
        <v>0</v>
      </c>
    </row>
    <row r="690" spans="1:58">
      <c r="A690" s="9">
        <v>1007</v>
      </c>
      <c r="B690" s="20" t="s">
        <v>76</v>
      </c>
      <c r="C690" s="20" t="s">
        <v>369</v>
      </c>
      <c r="D690" s="20" t="s">
        <v>370</v>
      </c>
      <c r="E690" s="20" t="s">
        <v>400</v>
      </c>
      <c r="F690" s="20" t="s">
        <v>369</v>
      </c>
      <c r="G690" s="20" t="s">
        <v>370</v>
      </c>
      <c r="H690" s="20" t="s">
        <v>400</v>
      </c>
      <c r="I690" s="20" t="s">
        <v>369</v>
      </c>
      <c r="J690" s="20" t="s">
        <v>398</v>
      </c>
      <c r="K690" s="20" t="s">
        <v>400</v>
      </c>
      <c r="L690" s="9" t="s">
        <v>352</v>
      </c>
      <c r="M690" s="9">
        <v>3</v>
      </c>
      <c r="N690" s="9" t="s">
        <v>353</v>
      </c>
      <c r="O690" s="9" t="s">
        <v>354</v>
      </c>
      <c r="P690" s="12">
        <v>35.342390000000002</v>
      </c>
      <c r="Q690" s="9" t="s">
        <v>355</v>
      </c>
      <c r="R690" s="9" t="s">
        <v>356</v>
      </c>
      <c r="S690" s="9">
        <v>14</v>
      </c>
      <c r="T690" s="9">
        <v>14</v>
      </c>
      <c r="U690" s="14">
        <f t="shared" si="90"/>
        <v>1.1760912590556813</v>
      </c>
      <c r="V690" s="15">
        <v>29</v>
      </c>
      <c r="W690" s="12">
        <v>6.320697899999999</v>
      </c>
      <c r="X690" s="9" t="s">
        <v>355</v>
      </c>
      <c r="Y690" s="13" t="s">
        <v>401</v>
      </c>
      <c r="Z690" s="9" t="s">
        <v>359</v>
      </c>
      <c r="AA690" s="10" t="s">
        <v>372</v>
      </c>
      <c r="AB690" s="9" t="s">
        <v>355</v>
      </c>
      <c r="AC690" s="43">
        <v>349</v>
      </c>
      <c r="AD690" s="14">
        <f t="shared" si="91"/>
        <v>2.5428254269591797</v>
      </c>
      <c r="AE690" s="10" t="s">
        <v>402</v>
      </c>
      <c r="AF690" s="44" t="s">
        <v>362</v>
      </c>
      <c r="AG690" s="18">
        <v>43.680533500000003</v>
      </c>
      <c r="AH690" s="7">
        <f t="shared" si="92"/>
        <v>1</v>
      </c>
      <c r="AI690" s="7">
        <f t="shared" si="93"/>
        <v>1</v>
      </c>
      <c r="AJ690" s="7">
        <f t="shared" si="94"/>
        <v>0</v>
      </c>
      <c r="AK690" s="7">
        <f t="shared" si="95"/>
        <v>0</v>
      </c>
      <c r="AL690" s="7" t="s">
        <v>4157</v>
      </c>
      <c r="AM690" s="18">
        <f t="shared" si="96"/>
        <v>1.6402879340623209</v>
      </c>
      <c r="AN690" s="45">
        <v>43.680533500000003</v>
      </c>
      <c r="AO690" s="45">
        <v>-90.082397</v>
      </c>
      <c r="AP690" s="9" t="s">
        <v>402</v>
      </c>
      <c r="AQ690" s="9" t="s">
        <v>403</v>
      </c>
      <c r="AR690" s="9">
        <v>1962</v>
      </c>
      <c r="AS690" s="10" t="s">
        <v>374</v>
      </c>
      <c r="AT690" s="20" t="s">
        <v>375</v>
      </c>
      <c r="AU690" s="39">
        <v>6011807</v>
      </c>
      <c r="AV690" s="35">
        <f t="shared" si="97"/>
        <v>6.77900502976909</v>
      </c>
      <c r="AW690" s="37" t="s">
        <v>366</v>
      </c>
      <c r="AX690" s="40">
        <v>100</v>
      </c>
      <c r="AY690" s="40">
        <v>600</v>
      </c>
      <c r="AZ690" s="15">
        <v>113</v>
      </c>
      <c r="BA690" s="14">
        <f t="shared" si="98"/>
        <v>2.0530784434834195</v>
      </c>
      <c r="BB690" s="37" t="s">
        <v>367</v>
      </c>
      <c r="BC690" s="20">
        <v>1.9469787915165869E-2</v>
      </c>
      <c r="BD690" s="9">
        <v>28.1</v>
      </c>
      <c r="BE690" s="9" t="s">
        <v>368</v>
      </c>
      <c r="BF690" s="9">
        <v>0</v>
      </c>
    </row>
    <row r="691" spans="1:58">
      <c r="A691" s="9">
        <v>851</v>
      </c>
      <c r="B691" s="10" t="s">
        <v>76</v>
      </c>
      <c r="C691" s="10" t="s">
        <v>369</v>
      </c>
      <c r="D691" s="20" t="s">
        <v>370</v>
      </c>
      <c r="E691" s="20" t="s">
        <v>400</v>
      </c>
      <c r="F691" s="10" t="s">
        <v>369</v>
      </c>
      <c r="G691" s="20" t="s">
        <v>370</v>
      </c>
      <c r="H691" s="20" t="s">
        <v>400</v>
      </c>
      <c r="I691" s="10" t="s">
        <v>369</v>
      </c>
      <c r="J691" s="20" t="s">
        <v>398</v>
      </c>
      <c r="K691" s="20" t="s">
        <v>400</v>
      </c>
      <c r="L691" s="9" t="s">
        <v>352</v>
      </c>
      <c r="M691" s="9">
        <v>10</v>
      </c>
      <c r="N691" s="9" t="s">
        <v>381</v>
      </c>
      <c r="O691" s="9" t="s">
        <v>354</v>
      </c>
      <c r="P691" s="12">
        <v>36.299999999999997</v>
      </c>
      <c r="Q691" s="12" t="s">
        <v>355</v>
      </c>
      <c r="R691" s="9" t="s">
        <v>356</v>
      </c>
      <c r="S691" s="13" t="s">
        <v>903</v>
      </c>
      <c r="T691" s="13" t="s">
        <v>903</v>
      </c>
      <c r="U691" s="14">
        <f t="shared" si="90"/>
        <v>1.1760912590556813</v>
      </c>
      <c r="V691" s="15">
        <v>30</v>
      </c>
      <c r="W691" s="12">
        <v>7.1220888999999943</v>
      </c>
      <c r="X691" s="12" t="s">
        <v>355</v>
      </c>
      <c r="Y691" s="13" t="s">
        <v>384</v>
      </c>
      <c r="Z691" s="9" t="s">
        <v>359</v>
      </c>
      <c r="AA691" s="10" t="s">
        <v>372</v>
      </c>
      <c r="AB691" s="9" t="s">
        <v>355</v>
      </c>
      <c r="AC691" s="43">
        <v>349</v>
      </c>
      <c r="AD691" s="14">
        <f t="shared" si="91"/>
        <v>2.5428254269591797</v>
      </c>
      <c r="AE691" s="10" t="s">
        <v>402</v>
      </c>
      <c r="AF691" s="44" t="s">
        <v>362</v>
      </c>
      <c r="AG691" s="18">
        <v>43.680533500000003</v>
      </c>
      <c r="AH691" s="7">
        <f t="shared" si="92"/>
        <v>1</v>
      </c>
      <c r="AI691" s="7">
        <f t="shared" si="93"/>
        <v>1</v>
      </c>
      <c r="AJ691" s="7">
        <f t="shared" si="94"/>
        <v>0</v>
      </c>
      <c r="AK691" s="7">
        <f t="shared" si="95"/>
        <v>0</v>
      </c>
      <c r="AL691" s="7" t="s">
        <v>4157</v>
      </c>
      <c r="AM691" s="18">
        <f t="shared" si="96"/>
        <v>1.6402879340623209</v>
      </c>
      <c r="AN691" s="45">
        <v>43.680533500000003</v>
      </c>
      <c r="AO691" s="45">
        <v>-90.082397</v>
      </c>
      <c r="AP691" s="9" t="s">
        <v>402</v>
      </c>
      <c r="AQ691" s="9" t="s">
        <v>403</v>
      </c>
      <c r="AR691" s="15">
        <v>1970</v>
      </c>
      <c r="AS691" s="19" t="s">
        <v>1012</v>
      </c>
      <c r="AT691" s="20" t="s">
        <v>1013</v>
      </c>
      <c r="AU691" s="40">
        <v>6011807</v>
      </c>
      <c r="AV691" s="35">
        <f t="shared" si="97"/>
        <v>6.77900502976909</v>
      </c>
      <c r="AW691" s="37" t="s">
        <v>366</v>
      </c>
      <c r="AX691" s="40">
        <v>100</v>
      </c>
      <c r="AY691" s="40">
        <v>600</v>
      </c>
      <c r="AZ691" s="15">
        <v>113</v>
      </c>
      <c r="BA691" s="14">
        <f t="shared" si="98"/>
        <v>2.0530784434834195</v>
      </c>
      <c r="BB691" s="37" t="s">
        <v>367</v>
      </c>
      <c r="BC691" s="20">
        <v>1.9469787915165869E-2</v>
      </c>
      <c r="BD691" s="9">
        <v>28.1</v>
      </c>
      <c r="BE691" s="9" t="s">
        <v>368</v>
      </c>
      <c r="BF691" s="9">
        <v>0</v>
      </c>
    </row>
    <row r="692" spans="1:58">
      <c r="A692" s="9">
        <v>854</v>
      </c>
      <c r="B692" s="10" t="s">
        <v>76</v>
      </c>
      <c r="C692" s="10" t="s">
        <v>369</v>
      </c>
      <c r="D692" s="20" t="s">
        <v>370</v>
      </c>
      <c r="E692" s="20" t="s">
        <v>400</v>
      </c>
      <c r="F692" s="10" t="s">
        <v>369</v>
      </c>
      <c r="G692" s="20" t="s">
        <v>370</v>
      </c>
      <c r="H692" s="20" t="s">
        <v>400</v>
      </c>
      <c r="I692" s="10" t="s">
        <v>369</v>
      </c>
      <c r="J692" s="20" t="s">
        <v>398</v>
      </c>
      <c r="K692" s="20" t="s">
        <v>400</v>
      </c>
      <c r="L692" s="9" t="s">
        <v>352</v>
      </c>
      <c r="M692" s="9">
        <v>10</v>
      </c>
      <c r="N692" s="9" t="s">
        <v>381</v>
      </c>
      <c r="O692" s="9" t="s">
        <v>354</v>
      </c>
      <c r="P692" s="12">
        <v>36.299999999999997</v>
      </c>
      <c r="Q692" s="12" t="s">
        <v>355</v>
      </c>
      <c r="R692" s="9" t="s">
        <v>356</v>
      </c>
      <c r="S692" s="13" t="s">
        <v>903</v>
      </c>
      <c r="T692" s="13" t="s">
        <v>903</v>
      </c>
      <c r="U692" s="14">
        <f t="shared" si="90"/>
        <v>1.1760912590556813</v>
      </c>
      <c r="V692" s="15">
        <v>30</v>
      </c>
      <c r="W692" s="12">
        <v>7.1220888999999943</v>
      </c>
      <c r="X692" s="12" t="s">
        <v>355</v>
      </c>
      <c r="Y692" s="13" t="s">
        <v>384</v>
      </c>
      <c r="Z692" s="9" t="s">
        <v>359</v>
      </c>
      <c r="AA692" s="10" t="s">
        <v>372</v>
      </c>
      <c r="AB692" s="9" t="s">
        <v>355</v>
      </c>
      <c r="AC692" s="43">
        <v>349</v>
      </c>
      <c r="AD692" s="14">
        <f t="shared" si="91"/>
        <v>2.5428254269591797</v>
      </c>
      <c r="AE692" s="10" t="s">
        <v>402</v>
      </c>
      <c r="AF692" s="44" t="s">
        <v>362</v>
      </c>
      <c r="AG692" s="18">
        <v>43.680533500000003</v>
      </c>
      <c r="AH692" s="7">
        <f t="shared" si="92"/>
        <v>1</v>
      </c>
      <c r="AI692" s="7">
        <f t="shared" si="93"/>
        <v>1</v>
      </c>
      <c r="AJ692" s="7">
        <f t="shared" si="94"/>
        <v>0</v>
      </c>
      <c r="AK692" s="7">
        <f t="shared" si="95"/>
        <v>0</v>
      </c>
      <c r="AL692" s="7" t="s">
        <v>4157</v>
      </c>
      <c r="AM692" s="18">
        <f t="shared" si="96"/>
        <v>1.6402879340623209</v>
      </c>
      <c r="AN692" s="45">
        <v>43.680533500000003</v>
      </c>
      <c r="AO692" s="45">
        <v>-90.082397</v>
      </c>
      <c r="AP692" s="9" t="s">
        <v>402</v>
      </c>
      <c r="AQ692" s="9" t="s">
        <v>403</v>
      </c>
      <c r="AR692" s="15">
        <v>1970</v>
      </c>
      <c r="AS692" s="19" t="s">
        <v>1012</v>
      </c>
      <c r="AT692" s="20" t="s">
        <v>1013</v>
      </c>
      <c r="AU692" s="40">
        <v>6011807</v>
      </c>
      <c r="AV692" s="35">
        <f t="shared" si="97"/>
        <v>6.77900502976909</v>
      </c>
      <c r="AW692" s="37" t="s">
        <v>366</v>
      </c>
      <c r="AX692" s="40">
        <v>100</v>
      </c>
      <c r="AY692" s="40">
        <v>600</v>
      </c>
      <c r="AZ692" s="15">
        <v>113</v>
      </c>
      <c r="BA692" s="14">
        <f t="shared" si="98"/>
        <v>2.0530784434834195</v>
      </c>
      <c r="BB692" s="37" t="s">
        <v>367</v>
      </c>
      <c r="BC692" s="20">
        <v>1.9469787915165869E-2</v>
      </c>
      <c r="BD692" s="9">
        <v>28.1</v>
      </c>
      <c r="BE692" s="9" t="s">
        <v>368</v>
      </c>
      <c r="BF692" s="9">
        <v>0</v>
      </c>
    </row>
    <row r="693" spans="1:58">
      <c r="A693" s="9">
        <v>846</v>
      </c>
      <c r="B693" s="10" t="s">
        <v>76</v>
      </c>
      <c r="C693" s="10" t="s">
        <v>369</v>
      </c>
      <c r="D693" s="20" t="s">
        <v>370</v>
      </c>
      <c r="E693" s="20" t="s">
        <v>400</v>
      </c>
      <c r="F693" s="10" t="s">
        <v>369</v>
      </c>
      <c r="G693" s="20" t="s">
        <v>370</v>
      </c>
      <c r="H693" s="20" t="s">
        <v>400</v>
      </c>
      <c r="I693" s="10" t="s">
        <v>369</v>
      </c>
      <c r="J693" s="20" t="s">
        <v>398</v>
      </c>
      <c r="K693" s="20" t="s">
        <v>400</v>
      </c>
      <c r="L693" s="9" t="s">
        <v>352</v>
      </c>
      <c r="M693" s="9">
        <v>12</v>
      </c>
      <c r="N693" s="9" t="s">
        <v>381</v>
      </c>
      <c r="O693" s="9" t="s">
        <v>354</v>
      </c>
      <c r="P693" s="12">
        <v>36.5</v>
      </c>
      <c r="Q693" s="12" t="s">
        <v>355</v>
      </c>
      <c r="R693" s="9" t="s">
        <v>356</v>
      </c>
      <c r="S693" s="13" t="s">
        <v>903</v>
      </c>
      <c r="T693" s="13" t="s">
        <v>903</v>
      </c>
      <c r="U693" s="14">
        <f t="shared" si="90"/>
        <v>1.1760912590556813</v>
      </c>
      <c r="V693" s="15">
        <v>25</v>
      </c>
      <c r="W693" s="12">
        <v>8.1031838999999977</v>
      </c>
      <c r="X693" s="12" t="s">
        <v>355</v>
      </c>
      <c r="Y693" s="13" t="s">
        <v>384</v>
      </c>
      <c r="Z693" s="9" t="s">
        <v>359</v>
      </c>
      <c r="AA693" s="10" t="s">
        <v>372</v>
      </c>
      <c r="AB693" s="9" t="s">
        <v>355</v>
      </c>
      <c r="AC693" s="43">
        <v>349</v>
      </c>
      <c r="AD693" s="14">
        <f t="shared" si="91"/>
        <v>2.5428254269591797</v>
      </c>
      <c r="AE693" s="10" t="s">
        <v>402</v>
      </c>
      <c r="AF693" s="44" t="s">
        <v>362</v>
      </c>
      <c r="AG693" s="18">
        <v>43.680533499999996</v>
      </c>
      <c r="AH693" s="7">
        <f t="shared" si="92"/>
        <v>1</v>
      </c>
      <c r="AI693" s="7">
        <f t="shared" si="93"/>
        <v>1</v>
      </c>
      <c r="AJ693" s="7">
        <f t="shared" si="94"/>
        <v>0</v>
      </c>
      <c r="AK693" s="7">
        <f t="shared" si="95"/>
        <v>0</v>
      </c>
      <c r="AL693" s="7" t="s">
        <v>4157</v>
      </c>
      <c r="AM693" s="18">
        <f t="shared" si="96"/>
        <v>1.6402879340623209</v>
      </c>
      <c r="AN693" s="45">
        <v>43.680533499999996</v>
      </c>
      <c r="AO693" s="45">
        <v>-90.082397</v>
      </c>
      <c r="AP693" s="9" t="s">
        <v>402</v>
      </c>
      <c r="AQ693" s="9" t="s">
        <v>403</v>
      </c>
      <c r="AR693" s="15">
        <v>1970</v>
      </c>
      <c r="AS693" s="19" t="s">
        <v>1012</v>
      </c>
      <c r="AT693" s="20" t="s">
        <v>1013</v>
      </c>
      <c r="AU693" s="40">
        <v>6011807</v>
      </c>
      <c r="AV693" s="35">
        <f t="shared" si="97"/>
        <v>6.77900502976909</v>
      </c>
      <c r="AW693" s="37" t="s">
        <v>366</v>
      </c>
      <c r="AX693" s="40">
        <v>100</v>
      </c>
      <c r="AY693" s="40">
        <v>600</v>
      </c>
      <c r="AZ693" s="15">
        <v>113</v>
      </c>
      <c r="BA693" s="14">
        <f t="shared" si="98"/>
        <v>2.0530784434834195</v>
      </c>
      <c r="BB693" s="37" t="s">
        <v>367</v>
      </c>
      <c r="BC693" s="20">
        <v>1.9469787915165869E-2</v>
      </c>
      <c r="BD693" s="9">
        <v>28.1</v>
      </c>
      <c r="BE693" s="9" t="s">
        <v>368</v>
      </c>
      <c r="BF693" s="9">
        <v>0</v>
      </c>
    </row>
    <row r="694" spans="1:58">
      <c r="A694" s="9">
        <v>850</v>
      </c>
      <c r="B694" s="10" t="s">
        <v>76</v>
      </c>
      <c r="C694" s="10" t="s">
        <v>369</v>
      </c>
      <c r="D694" s="20" t="s">
        <v>370</v>
      </c>
      <c r="E694" s="20" t="s">
        <v>400</v>
      </c>
      <c r="F694" s="10" t="s">
        <v>369</v>
      </c>
      <c r="G694" s="20" t="s">
        <v>370</v>
      </c>
      <c r="H694" s="20" t="s">
        <v>400</v>
      </c>
      <c r="I694" s="10" t="s">
        <v>369</v>
      </c>
      <c r="J694" s="20" t="s">
        <v>398</v>
      </c>
      <c r="K694" s="20" t="s">
        <v>400</v>
      </c>
      <c r="L694" s="9" t="s">
        <v>352</v>
      </c>
      <c r="M694" s="9">
        <v>13</v>
      </c>
      <c r="N694" s="9" t="s">
        <v>381</v>
      </c>
      <c r="O694" s="9" t="s">
        <v>354</v>
      </c>
      <c r="P694" s="12">
        <v>36.5</v>
      </c>
      <c r="Q694" s="12" t="s">
        <v>355</v>
      </c>
      <c r="R694" s="9" t="s">
        <v>356</v>
      </c>
      <c r="S694" s="13" t="s">
        <v>903</v>
      </c>
      <c r="T694" s="13" t="s">
        <v>903</v>
      </c>
      <c r="U694" s="14">
        <f t="shared" si="90"/>
        <v>1.1760912590556813</v>
      </c>
      <c r="V694" s="15">
        <v>30</v>
      </c>
      <c r="W694" s="12">
        <v>7.3220888999999971</v>
      </c>
      <c r="X694" s="12" t="s">
        <v>355</v>
      </c>
      <c r="Y694" s="13" t="s">
        <v>384</v>
      </c>
      <c r="Z694" s="9" t="s">
        <v>359</v>
      </c>
      <c r="AA694" s="10" t="s">
        <v>372</v>
      </c>
      <c r="AB694" s="9" t="s">
        <v>355</v>
      </c>
      <c r="AC694" s="43">
        <v>349</v>
      </c>
      <c r="AD694" s="14">
        <f t="shared" si="91"/>
        <v>2.5428254269591797</v>
      </c>
      <c r="AE694" s="10" t="s">
        <v>402</v>
      </c>
      <c r="AF694" s="44" t="s">
        <v>362</v>
      </c>
      <c r="AG694" s="18">
        <v>43.680533500000003</v>
      </c>
      <c r="AH694" s="7">
        <f t="shared" si="92"/>
        <v>1</v>
      </c>
      <c r="AI694" s="7">
        <f t="shared" si="93"/>
        <v>1</v>
      </c>
      <c r="AJ694" s="7">
        <f t="shared" si="94"/>
        <v>0</v>
      </c>
      <c r="AK694" s="7">
        <f t="shared" si="95"/>
        <v>0</v>
      </c>
      <c r="AL694" s="7" t="s">
        <v>4157</v>
      </c>
      <c r="AM694" s="18">
        <f t="shared" si="96"/>
        <v>1.6402879340623209</v>
      </c>
      <c r="AN694" s="45">
        <v>43.680533500000003</v>
      </c>
      <c r="AO694" s="45">
        <v>-90.082397</v>
      </c>
      <c r="AP694" s="9" t="s">
        <v>402</v>
      </c>
      <c r="AQ694" s="9" t="s">
        <v>403</v>
      </c>
      <c r="AR694" s="15">
        <v>1970</v>
      </c>
      <c r="AS694" s="19" t="s">
        <v>1012</v>
      </c>
      <c r="AT694" s="20" t="s">
        <v>1013</v>
      </c>
      <c r="AU694" s="40">
        <v>6011807</v>
      </c>
      <c r="AV694" s="35">
        <f t="shared" si="97"/>
        <v>6.77900502976909</v>
      </c>
      <c r="AW694" s="37" t="s">
        <v>366</v>
      </c>
      <c r="AX694" s="40">
        <v>100</v>
      </c>
      <c r="AY694" s="40">
        <v>600</v>
      </c>
      <c r="AZ694" s="15">
        <v>113</v>
      </c>
      <c r="BA694" s="14">
        <f t="shared" si="98"/>
        <v>2.0530784434834195</v>
      </c>
      <c r="BB694" s="37" t="s">
        <v>367</v>
      </c>
      <c r="BC694" s="20">
        <v>1.9469787915165869E-2</v>
      </c>
      <c r="BD694" s="9">
        <v>28.1</v>
      </c>
      <c r="BE694" s="9" t="s">
        <v>368</v>
      </c>
      <c r="BF694" s="9">
        <v>0</v>
      </c>
    </row>
    <row r="695" spans="1:58">
      <c r="A695" s="9">
        <v>236</v>
      </c>
      <c r="B695" s="10" t="s">
        <v>76</v>
      </c>
      <c r="C695" s="10" t="s">
        <v>369</v>
      </c>
      <c r="D695" s="20" t="s">
        <v>370</v>
      </c>
      <c r="E695" s="20" t="s">
        <v>400</v>
      </c>
      <c r="F695" s="10" t="s">
        <v>369</v>
      </c>
      <c r="G695" s="20" t="s">
        <v>370</v>
      </c>
      <c r="H695" s="20" t="s">
        <v>400</v>
      </c>
      <c r="I695" s="10" t="s">
        <v>369</v>
      </c>
      <c r="J695" s="20" t="s">
        <v>398</v>
      </c>
      <c r="K695" s="20" t="s">
        <v>400</v>
      </c>
      <c r="L695" s="9" t="s">
        <v>352</v>
      </c>
      <c r="M695" s="9">
        <v>10</v>
      </c>
      <c r="N695" s="9" t="s">
        <v>381</v>
      </c>
      <c r="O695" s="9" t="s">
        <v>455</v>
      </c>
      <c r="P695" s="12">
        <v>31</v>
      </c>
      <c r="Q695" s="12" t="s">
        <v>355</v>
      </c>
      <c r="R695" s="9" t="s">
        <v>356</v>
      </c>
      <c r="S695" s="13" t="s">
        <v>903</v>
      </c>
      <c r="T695" s="13" t="s">
        <v>903</v>
      </c>
      <c r="U695" s="14">
        <f t="shared" si="90"/>
        <v>1.1760912590556813</v>
      </c>
      <c r="V695" s="15">
        <v>5</v>
      </c>
      <c r="W695" s="12">
        <v>16.274826399999998</v>
      </c>
      <c r="X695" s="12">
        <v>1</v>
      </c>
      <c r="Y695" s="13" t="s">
        <v>904</v>
      </c>
      <c r="Z695" s="9" t="s">
        <v>359</v>
      </c>
      <c r="AA695" s="10" t="s">
        <v>372</v>
      </c>
      <c r="AB695" s="9" t="s">
        <v>355</v>
      </c>
      <c r="AC695" s="15">
        <v>1555</v>
      </c>
      <c r="AD695" s="14">
        <f t="shared" si="91"/>
        <v>3.1917303933628562</v>
      </c>
      <c r="AE695" s="10" t="s">
        <v>1014</v>
      </c>
      <c r="AF695" s="9" t="s">
        <v>408</v>
      </c>
      <c r="AG695" s="18">
        <v>10.01571</v>
      </c>
      <c r="AH695" s="7">
        <f t="shared" si="92"/>
        <v>0</v>
      </c>
      <c r="AI695" s="7">
        <f t="shared" si="93"/>
        <v>0</v>
      </c>
      <c r="AJ695" s="7">
        <f t="shared" si="94"/>
        <v>0</v>
      </c>
      <c r="AK695" s="7">
        <f t="shared" si="95"/>
        <v>0</v>
      </c>
      <c r="AL695" s="7" t="s">
        <v>4160</v>
      </c>
      <c r="AM695" s="18">
        <f t="shared" si="96"/>
        <v>1.0006817412634115</v>
      </c>
      <c r="AN695" s="18">
        <v>10.01571</v>
      </c>
      <c r="AO695" s="18">
        <v>-83.788398999999998</v>
      </c>
      <c r="AP695" s="9" t="s">
        <v>363</v>
      </c>
      <c r="AQ695" s="9" t="s">
        <v>355</v>
      </c>
      <c r="AR695" s="15">
        <v>1968</v>
      </c>
      <c r="AS695" s="19" t="s">
        <v>906</v>
      </c>
      <c r="AT695" s="20" t="s">
        <v>907</v>
      </c>
      <c r="AU695" s="40">
        <v>6011807</v>
      </c>
      <c r="AV695" s="35">
        <f t="shared" si="97"/>
        <v>6.77900502976909</v>
      </c>
      <c r="AW695" s="37" t="s">
        <v>366</v>
      </c>
      <c r="AX695" s="40">
        <v>100</v>
      </c>
      <c r="AY695" s="40">
        <v>600</v>
      </c>
      <c r="AZ695" s="15">
        <v>113</v>
      </c>
      <c r="BA695" s="14">
        <f t="shared" si="98"/>
        <v>2.0530784434834195</v>
      </c>
      <c r="BB695" s="37" t="s">
        <v>367</v>
      </c>
      <c r="BC695" s="20">
        <v>2.0751100440175817E-2</v>
      </c>
      <c r="BD695" s="9">
        <v>15.600000000000001</v>
      </c>
      <c r="BE695" s="9" t="s">
        <v>368</v>
      </c>
      <c r="BF695" s="9">
        <v>0</v>
      </c>
    </row>
    <row r="696" spans="1:58">
      <c r="A696" s="9">
        <v>237</v>
      </c>
      <c r="B696" s="10" t="s">
        <v>76</v>
      </c>
      <c r="C696" s="10" t="s">
        <v>369</v>
      </c>
      <c r="D696" s="20" t="s">
        <v>370</v>
      </c>
      <c r="E696" s="20" t="s">
        <v>400</v>
      </c>
      <c r="F696" s="10" t="s">
        <v>369</v>
      </c>
      <c r="G696" s="20" t="s">
        <v>370</v>
      </c>
      <c r="H696" s="20" t="s">
        <v>400</v>
      </c>
      <c r="I696" s="10" t="s">
        <v>369</v>
      </c>
      <c r="J696" s="20" t="s">
        <v>398</v>
      </c>
      <c r="K696" s="20" t="s">
        <v>400</v>
      </c>
      <c r="L696" s="9" t="s">
        <v>352</v>
      </c>
      <c r="M696" s="9">
        <v>10</v>
      </c>
      <c r="N696" s="9" t="s">
        <v>381</v>
      </c>
      <c r="O696" s="9" t="s">
        <v>455</v>
      </c>
      <c r="P696" s="12">
        <v>35.700000000000003</v>
      </c>
      <c r="Q696" s="12" t="s">
        <v>355</v>
      </c>
      <c r="R696" s="9" t="s">
        <v>356</v>
      </c>
      <c r="S696" s="13" t="s">
        <v>903</v>
      </c>
      <c r="T696" s="13" t="s">
        <v>903</v>
      </c>
      <c r="U696" s="14">
        <f t="shared" si="90"/>
        <v>1.1760912590556813</v>
      </c>
      <c r="V696" s="15">
        <v>26</v>
      </c>
      <c r="W696" s="12">
        <v>17.694227400000003</v>
      </c>
      <c r="X696" s="12">
        <v>1</v>
      </c>
      <c r="Y696" s="13" t="s">
        <v>904</v>
      </c>
      <c r="Z696" s="9" t="s">
        <v>359</v>
      </c>
      <c r="AA696" s="10" t="s">
        <v>372</v>
      </c>
      <c r="AB696" s="9" t="s">
        <v>355</v>
      </c>
      <c r="AC696" s="15">
        <v>1555</v>
      </c>
      <c r="AD696" s="14">
        <f t="shared" si="91"/>
        <v>3.1917303933628562</v>
      </c>
      <c r="AE696" s="10" t="s">
        <v>1014</v>
      </c>
      <c r="AF696" s="9" t="s">
        <v>408</v>
      </c>
      <c r="AG696" s="18">
        <v>10.01571</v>
      </c>
      <c r="AH696" s="7">
        <f t="shared" si="92"/>
        <v>0</v>
      </c>
      <c r="AI696" s="7">
        <f t="shared" si="93"/>
        <v>0</v>
      </c>
      <c r="AJ696" s="7">
        <f t="shared" si="94"/>
        <v>0</v>
      </c>
      <c r="AK696" s="7">
        <f t="shared" si="95"/>
        <v>0</v>
      </c>
      <c r="AL696" s="7" t="s">
        <v>4160</v>
      </c>
      <c r="AM696" s="18">
        <f t="shared" si="96"/>
        <v>1.0006817412634115</v>
      </c>
      <c r="AN696" s="18">
        <v>10.01571</v>
      </c>
      <c r="AO696" s="18">
        <v>-83.788398999999998</v>
      </c>
      <c r="AP696" s="9" t="s">
        <v>363</v>
      </c>
      <c r="AQ696" s="9" t="s">
        <v>355</v>
      </c>
      <c r="AR696" s="15">
        <v>1968</v>
      </c>
      <c r="AS696" s="19" t="s">
        <v>906</v>
      </c>
      <c r="AT696" s="20" t="s">
        <v>907</v>
      </c>
      <c r="AU696" s="40">
        <v>6011807</v>
      </c>
      <c r="AV696" s="35">
        <f t="shared" si="97"/>
        <v>6.77900502976909</v>
      </c>
      <c r="AW696" s="37" t="s">
        <v>366</v>
      </c>
      <c r="AX696" s="40">
        <v>100</v>
      </c>
      <c r="AY696" s="40">
        <v>600</v>
      </c>
      <c r="AZ696" s="15">
        <v>113</v>
      </c>
      <c r="BA696" s="14">
        <f t="shared" si="98"/>
        <v>2.0530784434834195</v>
      </c>
      <c r="BB696" s="37" t="s">
        <v>367</v>
      </c>
      <c r="BC696" s="20">
        <v>2.0751100440175817E-2</v>
      </c>
      <c r="BD696" s="9">
        <v>15.600000000000001</v>
      </c>
      <c r="BE696" s="9" t="s">
        <v>368</v>
      </c>
      <c r="BF696" s="9">
        <v>0</v>
      </c>
    </row>
    <row r="697" spans="1:58">
      <c r="A697" s="9">
        <v>234</v>
      </c>
      <c r="B697" s="10" t="s">
        <v>76</v>
      </c>
      <c r="C697" s="10" t="s">
        <v>369</v>
      </c>
      <c r="D697" s="20" t="s">
        <v>370</v>
      </c>
      <c r="E697" s="20" t="s">
        <v>400</v>
      </c>
      <c r="F697" s="10" t="s">
        <v>369</v>
      </c>
      <c r="G697" s="20" t="s">
        <v>370</v>
      </c>
      <c r="H697" s="20" t="s">
        <v>400</v>
      </c>
      <c r="I697" s="10" t="s">
        <v>369</v>
      </c>
      <c r="J697" s="20" t="s">
        <v>398</v>
      </c>
      <c r="K697" s="20" t="s">
        <v>400</v>
      </c>
      <c r="L697" s="9" t="s">
        <v>352</v>
      </c>
      <c r="M697" s="9">
        <v>10</v>
      </c>
      <c r="N697" s="9" t="s">
        <v>381</v>
      </c>
      <c r="O697" s="9" t="s">
        <v>455</v>
      </c>
      <c r="P697" s="12">
        <v>30</v>
      </c>
      <c r="Q697" s="12" t="s">
        <v>355</v>
      </c>
      <c r="R697" s="9" t="s">
        <v>356</v>
      </c>
      <c r="S697" s="13" t="s">
        <v>903</v>
      </c>
      <c r="T697" s="13" t="s">
        <v>903</v>
      </c>
      <c r="U697" s="14">
        <f t="shared" si="90"/>
        <v>1.1760912590556813</v>
      </c>
      <c r="V697" s="15">
        <v>5</v>
      </c>
      <c r="W697" s="12">
        <v>8.7777126999999986</v>
      </c>
      <c r="X697" s="12">
        <v>1</v>
      </c>
      <c r="Y697" s="13" t="s">
        <v>904</v>
      </c>
      <c r="Z697" s="9" t="s">
        <v>359</v>
      </c>
      <c r="AA697" s="10" t="s">
        <v>372</v>
      </c>
      <c r="AB697" s="9" t="s">
        <v>355</v>
      </c>
      <c r="AC697" s="15">
        <v>2012</v>
      </c>
      <c r="AD697" s="14">
        <f t="shared" si="91"/>
        <v>3.3036279763838898</v>
      </c>
      <c r="AE697" s="10" t="s">
        <v>1015</v>
      </c>
      <c r="AF697" s="9" t="s">
        <v>408</v>
      </c>
      <c r="AG697" s="18">
        <v>16.747214</v>
      </c>
      <c r="AH697" s="7">
        <f t="shared" si="92"/>
        <v>1</v>
      </c>
      <c r="AI697" s="7">
        <f t="shared" si="93"/>
        <v>0</v>
      </c>
      <c r="AJ697" s="7">
        <f t="shared" si="94"/>
        <v>0</v>
      </c>
      <c r="AK697" s="7">
        <f t="shared" si="95"/>
        <v>0</v>
      </c>
      <c r="AL697" s="7" t="s">
        <v>4159</v>
      </c>
      <c r="AM697" s="18">
        <f t="shared" si="96"/>
        <v>1.2239425698766386</v>
      </c>
      <c r="AN697" s="18">
        <v>16.747214</v>
      </c>
      <c r="AO697" s="18">
        <v>-92.646527000000006</v>
      </c>
      <c r="AP697" s="9" t="s">
        <v>363</v>
      </c>
      <c r="AQ697" s="9" t="s">
        <v>355</v>
      </c>
      <c r="AR697" s="15">
        <v>1968</v>
      </c>
      <c r="AS697" s="19" t="s">
        <v>906</v>
      </c>
      <c r="AT697" s="20" t="s">
        <v>907</v>
      </c>
      <c r="AU697" s="40">
        <v>6011807</v>
      </c>
      <c r="AV697" s="35">
        <f t="shared" si="97"/>
        <v>6.77900502976909</v>
      </c>
      <c r="AW697" s="37" t="s">
        <v>366</v>
      </c>
      <c r="AX697" s="40">
        <v>100</v>
      </c>
      <c r="AY697" s="40">
        <v>600</v>
      </c>
      <c r="AZ697" s="15">
        <v>113</v>
      </c>
      <c r="BA697" s="14">
        <f t="shared" si="98"/>
        <v>2.0530784434834195</v>
      </c>
      <c r="BB697" s="37" t="s">
        <v>367</v>
      </c>
      <c r="BC697" s="20">
        <v>2.7166066426570896E-2</v>
      </c>
      <c r="BD697" s="9">
        <v>23.3</v>
      </c>
      <c r="BE697" s="9" t="s">
        <v>368</v>
      </c>
      <c r="BF697" s="9">
        <v>0</v>
      </c>
    </row>
    <row r="698" spans="1:58">
      <c r="A698" s="9">
        <v>235</v>
      </c>
      <c r="B698" s="10" t="s">
        <v>76</v>
      </c>
      <c r="C698" s="10" t="s">
        <v>369</v>
      </c>
      <c r="D698" s="20" t="s">
        <v>370</v>
      </c>
      <c r="E698" s="20" t="s">
        <v>400</v>
      </c>
      <c r="F698" s="10" t="s">
        <v>369</v>
      </c>
      <c r="G698" s="20" t="s">
        <v>370</v>
      </c>
      <c r="H698" s="20" t="s">
        <v>400</v>
      </c>
      <c r="I698" s="10" t="s">
        <v>369</v>
      </c>
      <c r="J698" s="20" t="s">
        <v>398</v>
      </c>
      <c r="K698" s="20" t="s">
        <v>400</v>
      </c>
      <c r="L698" s="9" t="s">
        <v>352</v>
      </c>
      <c r="M698" s="9">
        <v>10</v>
      </c>
      <c r="N698" s="9" t="s">
        <v>381</v>
      </c>
      <c r="O698" s="9" t="s">
        <v>455</v>
      </c>
      <c r="P698" s="12">
        <v>37</v>
      </c>
      <c r="Q698" s="12" t="s">
        <v>355</v>
      </c>
      <c r="R698" s="9" t="s">
        <v>356</v>
      </c>
      <c r="S698" s="13" t="s">
        <v>903</v>
      </c>
      <c r="T698" s="13" t="s">
        <v>903</v>
      </c>
      <c r="U698" s="14">
        <f t="shared" si="90"/>
        <v>1.1760912590556813</v>
      </c>
      <c r="V698" s="15">
        <v>26</v>
      </c>
      <c r="W698" s="12">
        <v>12.497113699999996</v>
      </c>
      <c r="X698" s="12">
        <v>1</v>
      </c>
      <c r="Y698" s="13" t="s">
        <v>904</v>
      </c>
      <c r="Z698" s="9" t="s">
        <v>359</v>
      </c>
      <c r="AA698" s="10" t="s">
        <v>372</v>
      </c>
      <c r="AB698" s="9" t="s">
        <v>355</v>
      </c>
      <c r="AC698" s="15">
        <v>2012</v>
      </c>
      <c r="AD698" s="14">
        <f t="shared" si="91"/>
        <v>3.3036279763838898</v>
      </c>
      <c r="AE698" s="10" t="s">
        <v>1015</v>
      </c>
      <c r="AF698" s="9" t="s">
        <v>408</v>
      </c>
      <c r="AG698" s="18">
        <v>16.747214</v>
      </c>
      <c r="AH698" s="7">
        <f t="shared" si="92"/>
        <v>1</v>
      </c>
      <c r="AI698" s="7">
        <f t="shared" si="93"/>
        <v>0</v>
      </c>
      <c r="AJ698" s="7">
        <f t="shared" si="94"/>
        <v>0</v>
      </c>
      <c r="AK698" s="7">
        <f t="shared" si="95"/>
        <v>0</v>
      </c>
      <c r="AL698" s="7" t="s">
        <v>4159</v>
      </c>
      <c r="AM698" s="18">
        <f t="shared" si="96"/>
        <v>1.2239425698766386</v>
      </c>
      <c r="AN698" s="18">
        <v>16.747214</v>
      </c>
      <c r="AO698" s="18">
        <v>-92.646527000000006</v>
      </c>
      <c r="AP698" s="9" t="s">
        <v>363</v>
      </c>
      <c r="AQ698" s="9" t="s">
        <v>355</v>
      </c>
      <c r="AR698" s="15">
        <v>1968</v>
      </c>
      <c r="AS698" s="19" t="s">
        <v>906</v>
      </c>
      <c r="AT698" s="20" t="s">
        <v>907</v>
      </c>
      <c r="AU698" s="40">
        <v>6011807</v>
      </c>
      <c r="AV698" s="35">
        <f t="shared" si="97"/>
        <v>6.77900502976909</v>
      </c>
      <c r="AW698" s="37" t="s">
        <v>366</v>
      </c>
      <c r="AX698" s="40">
        <v>100</v>
      </c>
      <c r="AY698" s="40">
        <v>600</v>
      </c>
      <c r="AZ698" s="15">
        <v>113</v>
      </c>
      <c r="BA698" s="14">
        <f t="shared" si="98"/>
        <v>2.0530784434834195</v>
      </c>
      <c r="BB698" s="37" t="s">
        <v>367</v>
      </c>
      <c r="BC698" s="20">
        <v>2.7166066426570896E-2</v>
      </c>
      <c r="BD698" s="9">
        <v>23.3</v>
      </c>
      <c r="BE698" s="9" t="s">
        <v>368</v>
      </c>
      <c r="BF698" s="9">
        <v>0</v>
      </c>
    </row>
    <row r="699" spans="1:58">
      <c r="A699" s="9">
        <v>232</v>
      </c>
      <c r="B699" s="10" t="s">
        <v>76</v>
      </c>
      <c r="C699" s="10" t="s">
        <v>369</v>
      </c>
      <c r="D699" s="20" t="s">
        <v>370</v>
      </c>
      <c r="E699" s="20" t="s">
        <v>400</v>
      </c>
      <c r="F699" s="10" t="s">
        <v>369</v>
      </c>
      <c r="G699" s="20" t="s">
        <v>370</v>
      </c>
      <c r="H699" s="20" t="s">
        <v>400</v>
      </c>
      <c r="I699" s="10" t="s">
        <v>369</v>
      </c>
      <c r="J699" s="20" t="s">
        <v>398</v>
      </c>
      <c r="K699" s="20" t="s">
        <v>400</v>
      </c>
      <c r="L699" s="9" t="s">
        <v>352</v>
      </c>
      <c r="M699" s="9">
        <v>10</v>
      </c>
      <c r="N699" s="9" t="s">
        <v>381</v>
      </c>
      <c r="O699" s="9" t="s">
        <v>455</v>
      </c>
      <c r="P699" s="12">
        <v>30.8</v>
      </c>
      <c r="Q699" s="12" t="s">
        <v>355</v>
      </c>
      <c r="R699" s="9" t="s">
        <v>356</v>
      </c>
      <c r="S699" s="13" t="s">
        <v>903</v>
      </c>
      <c r="T699" s="13" t="s">
        <v>903</v>
      </c>
      <c r="U699" s="14">
        <f t="shared" si="90"/>
        <v>1.1760912590556813</v>
      </c>
      <c r="V699" s="15">
        <v>5</v>
      </c>
      <c r="W699" s="12">
        <v>9.5777127000000029</v>
      </c>
      <c r="X699" s="12">
        <v>1</v>
      </c>
      <c r="Y699" s="13" t="s">
        <v>904</v>
      </c>
      <c r="Z699" s="9" t="s">
        <v>359</v>
      </c>
      <c r="AA699" s="10" t="s">
        <v>372</v>
      </c>
      <c r="AB699" s="9" t="s">
        <v>355</v>
      </c>
      <c r="AC699" s="15">
        <v>2256</v>
      </c>
      <c r="AD699" s="14">
        <f t="shared" si="91"/>
        <v>3.3533390953113047</v>
      </c>
      <c r="AE699" s="10" t="s">
        <v>983</v>
      </c>
      <c r="AF699" s="9" t="s">
        <v>408</v>
      </c>
      <c r="AG699" s="18">
        <v>16.747214</v>
      </c>
      <c r="AH699" s="7">
        <f t="shared" si="92"/>
        <v>1</v>
      </c>
      <c r="AI699" s="7">
        <f t="shared" si="93"/>
        <v>0</v>
      </c>
      <c r="AJ699" s="7">
        <f t="shared" si="94"/>
        <v>0</v>
      </c>
      <c r="AK699" s="7">
        <f t="shared" si="95"/>
        <v>0</v>
      </c>
      <c r="AL699" s="7" t="s">
        <v>4159</v>
      </c>
      <c r="AM699" s="18">
        <f t="shared" si="96"/>
        <v>1.2239425698766386</v>
      </c>
      <c r="AN699" s="18">
        <v>16.747214</v>
      </c>
      <c r="AO699" s="18">
        <v>-92.646527000000006</v>
      </c>
      <c r="AP699" s="9" t="s">
        <v>363</v>
      </c>
      <c r="AQ699" s="9" t="s">
        <v>355</v>
      </c>
      <c r="AR699" s="15">
        <v>1968</v>
      </c>
      <c r="AS699" s="19" t="s">
        <v>906</v>
      </c>
      <c r="AT699" s="20" t="s">
        <v>907</v>
      </c>
      <c r="AU699" s="40">
        <v>6011807</v>
      </c>
      <c r="AV699" s="35">
        <f t="shared" si="97"/>
        <v>6.77900502976909</v>
      </c>
      <c r="AW699" s="37" t="s">
        <v>366</v>
      </c>
      <c r="AX699" s="40">
        <v>100</v>
      </c>
      <c r="AY699" s="40">
        <v>600</v>
      </c>
      <c r="AZ699" s="15">
        <v>113</v>
      </c>
      <c r="BA699" s="14">
        <f t="shared" si="98"/>
        <v>2.0530784434834195</v>
      </c>
      <c r="BB699" s="37" t="s">
        <v>367</v>
      </c>
      <c r="BC699" s="20">
        <v>2.7166066426570896E-2</v>
      </c>
      <c r="BD699" s="9">
        <v>23.3</v>
      </c>
      <c r="BE699" s="9" t="s">
        <v>368</v>
      </c>
      <c r="BF699" s="9">
        <v>0</v>
      </c>
    </row>
    <row r="700" spans="1:58">
      <c r="A700" s="9">
        <v>233</v>
      </c>
      <c r="B700" s="10" t="s">
        <v>76</v>
      </c>
      <c r="C700" s="10" t="s">
        <v>369</v>
      </c>
      <c r="D700" s="20" t="s">
        <v>370</v>
      </c>
      <c r="E700" s="20" t="s">
        <v>400</v>
      </c>
      <c r="F700" s="10" t="s">
        <v>369</v>
      </c>
      <c r="G700" s="20" t="s">
        <v>370</v>
      </c>
      <c r="H700" s="20" t="s">
        <v>400</v>
      </c>
      <c r="I700" s="10" t="s">
        <v>369</v>
      </c>
      <c r="J700" s="20" t="s">
        <v>398</v>
      </c>
      <c r="K700" s="20" t="s">
        <v>400</v>
      </c>
      <c r="L700" s="9" t="s">
        <v>352</v>
      </c>
      <c r="M700" s="9">
        <v>10</v>
      </c>
      <c r="N700" s="9" t="s">
        <v>381</v>
      </c>
      <c r="O700" s="9" t="s">
        <v>455</v>
      </c>
      <c r="P700" s="12">
        <v>35.200000000000003</v>
      </c>
      <c r="Q700" s="12" t="s">
        <v>355</v>
      </c>
      <c r="R700" s="9" t="s">
        <v>356</v>
      </c>
      <c r="S700" s="13" t="s">
        <v>903</v>
      </c>
      <c r="T700" s="13" t="s">
        <v>903</v>
      </c>
      <c r="U700" s="14">
        <f t="shared" si="90"/>
        <v>1.1760912590556813</v>
      </c>
      <c r="V700" s="15">
        <v>26</v>
      </c>
      <c r="W700" s="12">
        <v>10.697113699999999</v>
      </c>
      <c r="X700" s="12">
        <v>1</v>
      </c>
      <c r="Y700" s="13" t="s">
        <v>904</v>
      </c>
      <c r="Z700" s="9" t="s">
        <v>359</v>
      </c>
      <c r="AA700" s="10" t="s">
        <v>372</v>
      </c>
      <c r="AB700" s="9" t="s">
        <v>355</v>
      </c>
      <c r="AC700" s="15">
        <v>2256</v>
      </c>
      <c r="AD700" s="14">
        <f t="shared" si="91"/>
        <v>3.3533390953113047</v>
      </c>
      <c r="AE700" s="10" t="s">
        <v>983</v>
      </c>
      <c r="AF700" s="9" t="s">
        <v>408</v>
      </c>
      <c r="AG700" s="18">
        <v>16.747214</v>
      </c>
      <c r="AH700" s="7">
        <f t="shared" si="92"/>
        <v>1</v>
      </c>
      <c r="AI700" s="7">
        <f t="shared" si="93"/>
        <v>0</v>
      </c>
      <c r="AJ700" s="7">
        <f t="shared" si="94"/>
        <v>0</v>
      </c>
      <c r="AK700" s="7">
        <f t="shared" si="95"/>
        <v>0</v>
      </c>
      <c r="AL700" s="7" t="s">
        <v>4159</v>
      </c>
      <c r="AM700" s="18">
        <f t="shared" si="96"/>
        <v>1.2239425698766386</v>
      </c>
      <c r="AN700" s="18">
        <v>16.747214</v>
      </c>
      <c r="AO700" s="18">
        <v>-92.646527000000006</v>
      </c>
      <c r="AP700" s="9" t="s">
        <v>363</v>
      </c>
      <c r="AQ700" s="9" t="s">
        <v>355</v>
      </c>
      <c r="AR700" s="15">
        <v>1968</v>
      </c>
      <c r="AS700" s="19" t="s">
        <v>906</v>
      </c>
      <c r="AT700" s="20" t="s">
        <v>907</v>
      </c>
      <c r="AU700" s="40">
        <v>6011807</v>
      </c>
      <c r="AV700" s="35">
        <f t="shared" si="97"/>
        <v>6.77900502976909</v>
      </c>
      <c r="AW700" s="37" t="s">
        <v>366</v>
      </c>
      <c r="AX700" s="40">
        <v>100</v>
      </c>
      <c r="AY700" s="40">
        <v>600</v>
      </c>
      <c r="AZ700" s="15">
        <v>113</v>
      </c>
      <c r="BA700" s="14">
        <f t="shared" si="98"/>
        <v>2.0530784434834195</v>
      </c>
      <c r="BB700" s="37" t="s">
        <v>367</v>
      </c>
      <c r="BC700" s="20">
        <v>2.7166066426570896E-2</v>
      </c>
      <c r="BD700" s="9">
        <v>23.3</v>
      </c>
      <c r="BE700" s="9" t="s">
        <v>368</v>
      </c>
      <c r="BF700" s="9">
        <v>0</v>
      </c>
    </row>
    <row r="701" spans="1:58">
      <c r="A701" s="9">
        <v>1017</v>
      </c>
      <c r="B701" s="20" t="s">
        <v>76</v>
      </c>
      <c r="C701" s="20" t="s">
        <v>369</v>
      </c>
      <c r="D701" s="20" t="s">
        <v>370</v>
      </c>
      <c r="E701" s="20" t="s">
        <v>400</v>
      </c>
      <c r="F701" s="20" t="s">
        <v>369</v>
      </c>
      <c r="G701" s="20" t="s">
        <v>370</v>
      </c>
      <c r="H701" s="20" t="s">
        <v>400</v>
      </c>
      <c r="I701" s="20" t="s">
        <v>369</v>
      </c>
      <c r="J701" s="20" t="s">
        <v>398</v>
      </c>
      <c r="K701" s="20" t="s">
        <v>400</v>
      </c>
      <c r="L701" s="9" t="s">
        <v>352</v>
      </c>
      <c r="M701" s="9">
        <v>3</v>
      </c>
      <c r="N701" s="9" t="s">
        <v>353</v>
      </c>
      <c r="O701" s="9" t="s">
        <v>354</v>
      </c>
      <c r="P701" s="12">
        <v>29.9</v>
      </c>
      <c r="Q701" s="9" t="s">
        <v>355</v>
      </c>
      <c r="R701" s="9" t="s">
        <v>356</v>
      </c>
      <c r="S701" s="9">
        <v>14</v>
      </c>
      <c r="T701" s="9">
        <v>14</v>
      </c>
      <c r="U701" s="14">
        <f t="shared" si="90"/>
        <v>1.1760912590556813</v>
      </c>
      <c r="V701" s="15">
        <v>5</v>
      </c>
      <c r="W701" s="12">
        <v>4.7963200999999991</v>
      </c>
      <c r="X701" s="9" t="s">
        <v>355</v>
      </c>
      <c r="Y701" s="13" t="s">
        <v>401</v>
      </c>
      <c r="Z701" s="9" t="s">
        <v>359</v>
      </c>
      <c r="AA701" s="10" t="s">
        <v>372</v>
      </c>
      <c r="AB701" s="9" t="s">
        <v>355</v>
      </c>
      <c r="AC701" s="38">
        <v>301</v>
      </c>
      <c r="AD701" s="14">
        <f t="shared" si="91"/>
        <v>2.4785664955938436</v>
      </c>
      <c r="AE701" s="10" t="s">
        <v>1010</v>
      </c>
      <c r="AF701" s="44" t="s">
        <v>362</v>
      </c>
      <c r="AG701" s="18">
        <v>43.784439999999996</v>
      </c>
      <c r="AH701" s="7">
        <f t="shared" si="92"/>
        <v>1</v>
      </c>
      <c r="AI701" s="7">
        <f t="shared" si="93"/>
        <v>1</v>
      </c>
      <c r="AJ701" s="7">
        <f t="shared" si="94"/>
        <v>0</v>
      </c>
      <c r="AK701" s="7">
        <f t="shared" si="95"/>
        <v>0</v>
      </c>
      <c r="AL701" s="7" t="s">
        <v>4157</v>
      </c>
      <c r="AM701" s="18">
        <f t="shared" si="96"/>
        <v>1.6413197994824269</v>
      </c>
      <c r="AN701" s="45">
        <v>43.784439999999996</v>
      </c>
      <c r="AO701" s="45">
        <v>-88.787868000000003</v>
      </c>
      <c r="AP701" s="9" t="s">
        <v>402</v>
      </c>
      <c r="AQ701" s="9" t="s">
        <v>355</v>
      </c>
      <c r="AR701" s="9">
        <v>1962</v>
      </c>
      <c r="AS701" s="10" t="s">
        <v>374</v>
      </c>
      <c r="AT701" s="20" t="s">
        <v>375</v>
      </c>
      <c r="AU701" s="40">
        <v>6011807</v>
      </c>
      <c r="AV701" s="35">
        <f t="shared" si="97"/>
        <v>6.77900502976909</v>
      </c>
      <c r="AW701" s="37" t="s">
        <v>366</v>
      </c>
      <c r="AX701" s="40">
        <v>100</v>
      </c>
      <c r="AY701" s="40">
        <v>600</v>
      </c>
      <c r="AZ701" s="15">
        <v>113</v>
      </c>
      <c r="BA701" s="14">
        <f t="shared" si="98"/>
        <v>2.0530784434834195</v>
      </c>
      <c r="BB701" s="37" t="s">
        <v>367</v>
      </c>
      <c r="BC701" s="20">
        <v>2.0721088435374201E-2</v>
      </c>
      <c r="BD701" s="9">
        <v>27.900000000000002</v>
      </c>
      <c r="BE701" s="9" t="s">
        <v>368</v>
      </c>
      <c r="BF701" s="9">
        <v>0</v>
      </c>
    </row>
    <row r="702" spans="1:58">
      <c r="A702" s="9">
        <v>714</v>
      </c>
      <c r="B702" s="10" t="s">
        <v>76</v>
      </c>
      <c r="C702" s="10" t="s">
        <v>369</v>
      </c>
      <c r="D702" s="20" t="s">
        <v>370</v>
      </c>
      <c r="E702" s="20" t="s">
        <v>1016</v>
      </c>
      <c r="F702" s="10" t="s">
        <v>369</v>
      </c>
      <c r="G702" s="20" t="s">
        <v>370</v>
      </c>
      <c r="H702" s="20" t="s">
        <v>1017</v>
      </c>
      <c r="I702" s="10" t="s">
        <v>369</v>
      </c>
      <c r="J702" s="20" t="s">
        <v>398</v>
      </c>
      <c r="K702" s="20" t="s">
        <v>1018</v>
      </c>
      <c r="L702" s="9" t="s">
        <v>352</v>
      </c>
      <c r="M702" s="9">
        <v>20</v>
      </c>
      <c r="N702" s="9" t="s">
        <v>381</v>
      </c>
      <c r="O702" s="9" t="s">
        <v>354</v>
      </c>
      <c r="P702" s="12">
        <v>37.08</v>
      </c>
      <c r="Q702" s="12" t="s">
        <v>355</v>
      </c>
      <c r="R702" s="9" t="s">
        <v>356</v>
      </c>
      <c r="S702" s="13" t="s">
        <v>903</v>
      </c>
      <c r="T702" s="13" t="s">
        <v>903</v>
      </c>
      <c r="U702" s="14">
        <f t="shared" si="90"/>
        <v>1.1760912590556813</v>
      </c>
      <c r="V702" s="15">
        <v>10</v>
      </c>
      <c r="W702" s="12">
        <v>5.710648599999999</v>
      </c>
      <c r="X702" s="12">
        <v>1</v>
      </c>
      <c r="Y702" s="13" t="s">
        <v>358</v>
      </c>
      <c r="Z702" s="9" t="s">
        <v>417</v>
      </c>
      <c r="AA702" s="10" t="s">
        <v>418</v>
      </c>
      <c r="AB702" s="9" t="s">
        <v>355</v>
      </c>
      <c r="AC702" s="15">
        <v>340</v>
      </c>
      <c r="AD702" s="14">
        <f t="shared" si="91"/>
        <v>2.5314789170422549</v>
      </c>
      <c r="AE702" s="10" t="s">
        <v>916</v>
      </c>
      <c r="AF702" s="9" t="s">
        <v>420</v>
      </c>
      <c r="AG702" s="18">
        <v>35.254964000000001</v>
      </c>
      <c r="AH702" s="7">
        <f t="shared" si="92"/>
        <v>1</v>
      </c>
      <c r="AI702" s="7">
        <f t="shared" si="93"/>
        <v>1</v>
      </c>
      <c r="AJ702" s="7">
        <f t="shared" si="94"/>
        <v>0</v>
      </c>
      <c r="AK702" s="7">
        <f t="shared" si="95"/>
        <v>0</v>
      </c>
      <c r="AL702" s="7" t="s">
        <v>4157</v>
      </c>
      <c r="AM702" s="18">
        <f t="shared" si="96"/>
        <v>1.5472202755409485</v>
      </c>
      <c r="AN702" s="18">
        <v>35.254964000000001</v>
      </c>
      <c r="AO702" s="18">
        <v>-97.351656000000006</v>
      </c>
      <c r="AP702" s="9" t="s">
        <v>363</v>
      </c>
      <c r="AQ702" s="9" t="s">
        <v>355</v>
      </c>
      <c r="AR702" s="15">
        <v>1997</v>
      </c>
      <c r="AS702" s="19" t="s">
        <v>917</v>
      </c>
      <c r="AT702" s="20" t="s">
        <v>918</v>
      </c>
      <c r="AU702" s="40">
        <v>2004966</v>
      </c>
      <c r="AV702" s="35">
        <f t="shared" si="97"/>
        <v>6.3021070122990519</v>
      </c>
      <c r="AW702" s="37" t="s">
        <v>338</v>
      </c>
      <c r="AX702" s="34" t="s">
        <v>355</v>
      </c>
      <c r="AY702" s="40" t="s">
        <v>355</v>
      </c>
      <c r="AZ702" s="15">
        <v>113</v>
      </c>
      <c r="BA702" s="14">
        <f t="shared" si="98"/>
        <v>2.0530784434834195</v>
      </c>
      <c r="BB702" s="37" t="s">
        <v>388</v>
      </c>
      <c r="BC702" s="20">
        <v>3.0460984393757294E-2</v>
      </c>
      <c r="BD702" s="9">
        <v>34.4</v>
      </c>
      <c r="BE702" s="9" t="s">
        <v>368</v>
      </c>
      <c r="BF702" s="9">
        <v>0</v>
      </c>
    </row>
    <row r="703" spans="1:58">
      <c r="A703" s="9">
        <v>250</v>
      </c>
      <c r="B703" s="10" t="s">
        <v>76</v>
      </c>
      <c r="C703" s="10" t="s">
        <v>369</v>
      </c>
      <c r="D703" s="20" t="s">
        <v>370</v>
      </c>
      <c r="E703" s="20" t="s">
        <v>485</v>
      </c>
      <c r="F703" s="10" t="s">
        <v>369</v>
      </c>
      <c r="G703" s="20" t="s">
        <v>370</v>
      </c>
      <c r="H703" s="20" t="s">
        <v>485</v>
      </c>
      <c r="I703" s="10" t="s">
        <v>369</v>
      </c>
      <c r="J703" s="20" t="s">
        <v>398</v>
      </c>
      <c r="K703" s="20" t="s">
        <v>486</v>
      </c>
      <c r="L703" s="9" t="s">
        <v>352</v>
      </c>
      <c r="M703" s="9">
        <v>10</v>
      </c>
      <c r="N703" s="9" t="s">
        <v>381</v>
      </c>
      <c r="O703" s="9" t="s">
        <v>455</v>
      </c>
      <c r="P703" s="12">
        <v>30.3</v>
      </c>
      <c r="Q703" s="12" t="s">
        <v>355</v>
      </c>
      <c r="R703" s="9" t="s">
        <v>356</v>
      </c>
      <c r="S703" s="13" t="s">
        <v>903</v>
      </c>
      <c r="T703" s="13" t="s">
        <v>903</v>
      </c>
      <c r="U703" s="14">
        <f t="shared" si="90"/>
        <v>1.1760912590556813</v>
      </c>
      <c r="V703" s="15">
        <v>5</v>
      </c>
      <c r="W703" s="12">
        <v>9.6683593999999999</v>
      </c>
      <c r="X703" s="12">
        <v>1</v>
      </c>
      <c r="Y703" s="13" t="s">
        <v>904</v>
      </c>
      <c r="Z703" s="9" t="s">
        <v>359</v>
      </c>
      <c r="AA703" s="10" t="s">
        <v>372</v>
      </c>
      <c r="AB703" s="9" t="s">
        <v>355</v>
      </c>
      <c r="AC703" s="15">
        <v>610</v>
      </c>
      <c r="AD703" s="14">
        <f t="shared" si="91"/>
        <v>2.7853298350107671</v>
      </c>
      <c r="AE703" s="10" t="s">
        <v>923</v>
      </c>
      <c r="AF703" s="9" t="s">
        <v>362</v>
      </c>
      <c r="AG703" s="18">
        <v>51.091388999999999</v>
      </c>
      <c r="AH703" s="7">
        <f t="shared" si="92"/>
        <v>1</v>
      </c>
      <c r="AI703" s="7">
        <f t="shared" si="93"/>
        <v>1</v>
      </c>
      <c r="AJ703" s="7">
        <f t="shared" si="94"/>
        <v>1</v>
      </c>
      <c r="AK703" s="7">
        <f t="shared" si="95"/>
        <v>0</v>
      </c>
      <c r="AL703" s="7" t="s">
        <v>4158</v>
      </c>
      <c r="AM703" s="18">
        <f t="shared" si="96"/>
        <v>1.7083477098232958</v>
      </c>
      <c r="AN703" s="18">
        <v>51.091388999999999</v>
      </c>
      <c r="AO703" s="18">
        <v>-121.58666700000001</v>
      </c>
      <c r="AP703" s="9" t="s">
        <v>363</v>
      </c>
      <c r="AQ703" s="9" t="s">
        <v>355</v>
      </c>
      <c r="AR703" s="15">
        <v>1968</v>
      </c>
      <c r="AS703" s="19" t="s">
        <v>906</v>
      </c>
      <c r="AT703" s="20" t="s">
        <v>907</v>
      </c>
      <c r="AU703" s="40">
        <v>9096515</v>
      </c>
      <c r="AV703" s="35">
        <f t="shared" si="97"/>
        <v>6.9588750399961636</v>
      </c>
      <c r="AW703" s="37" t="s">
        <v>366</v>
      </c>
      <c r="AX703" s="34" t="s">
        <v>355</v>
      </c>
      <c r="AY703" s="40" t="s">
        <v>355</v>
      </c>
      <c r="AZ703" s="15">
        <v>55</v>
      </c>
      <c r="BA703" s="14">
        <f t="shared" si="98"/>
        <v>1.7403626894942439</v>
      </c>
      <c r="BB703" s="37" t="s">
        <v>388</v>
      </c>
      <c r="BC703" s="20">
        <v>2.165706282513008E-2</v>
      </c>
      <c r="BD703" s="9">
        <v>22.6</v>
      </c>
      <c r="BE703" s="9" t="s">
        <v>368</v>
      </c>
      <c r="BF703" s="9">
        <v>0</v>
      </c>
    </row>
    <row r="704" spans="1:58">
      <c r="A704" s="9">
        <v>251</v>
      </c>
      <c r="B704" s="10" t="s">
        <v>76</v>
      </c>
      <c r="C704" s="10" t="s">
        <v>369</v>
      </c>
      <c r="D704" s="20" t="s">
        <v>370</v>
      </c>
      <c r="E704" s="20" t="s">
        <v>485</v>
      </c>
      <c r="F704" s="10" t="s">
        <v>369</v>
      </c>
      <c r="G704" s="20" t="s">
        <v>370</v>
      </c>
      <c r="H704" s="20" t="s">
        <v>485</v>
      </c>
      <c r="I704" s="10" t="s">
        <v>369</v>
      </c>
      <c r="J704" s="20" t="s">
        <v>398</v>
      </c>
      <c r="K704" s="20" t="s">
        <v>486</v>
      </c>
      <c r="L704" s="9" t="s">
        <v>352</v>
      </c>
      <c r="M704" s="9">
        <v>10</v>
      </c>
      <c r="N704" s="9" t="s">
        <v>381</v>
      </c>
      <c r="O704" s="9" t="s">
        <v>455</v>
      </c>
      <c r="P704" s="12">
        <v>32.9</v>
      </c>
      <c r="Q704" s="12" t="s">
        <v>355</v>
      </c>
      <c r="R704" s="9" t="s">
        <v>356</v>
      </c>
      <c r="S704" s="13" t="s">
        <v>903</v>
      </c>
      <c r="T704" s="13" t="s">
        <v>903</v>
      </c>
      <c r="U704" s="14">
        <f t="shared" si="90"/>
        <v>1.1760912590556813</v>
      </c>
      <c r="V704" s="15">
        <v>23</v>
      </c>
      <c r="W704" s="12">
        <v>9.4564173999999994</v>
      </c>
      <c r="X704" s="12">
        <v>1</v>
      </c>
      <c r="Y704" s="13" t="s">
        <v>904</v>
      </c>
      <c r="Z704" s="9" t="s">
        <v>359</v>
      </c>
      <c r="AA704" s="10" t="s">
        <v>372</v>
      </c>
      <c r="AB704" s="9" t="s">
        <v>355</v>
      </c>
      <c r="AC704" s="15">
        <v>610</v>
      </c>
      <c r="AD704" s="14">
        <f t="shared" si="91"/>
        <v>2.7853298350107671</v>
      </c>
      <c r="AE704" s="10" t="s">
        <v>923</v>
      </c>
      <c r="AF704" s="9" t="s">
        <v>362</v>
      </c>
      <c r="AG704" s="18">
        <v>51.091388999999999</v>
      </c>
      <c r="AH704" s="7">
        <f t="shared" si="92"/>
        <v>1</v>
      </c>
      <c r="AI704" s="7">
        <f t="shared" si="93"/>
        <v>1</v>
      </c>
      <c r="AJ704" s="7">
        <f t="shared" si="94"/>
        <v>1</v>
      </c>
      <c r="AK704" s="7">
        <f t="shared" si="95"/>
        <v>0</v>
      </c>
      <c r="AL704" s="7" t="s">
        <v>4158</v>
      </c>
      <c r="AM704" s="18">
        <f t="shared" si="96"/>
        <v>1.7083477098232958</v>
      </c>
      <c r="AN704" s="18">
        <v>51.091388999999999</v>
      </c>
      <c r="AO704" s="18">
        <v>-121.58666700000001</v>
      </c>
      <c r="AP704" s="9" t="s">
        <v>363</v>
      </c>
      <c r="AQ704" s="9" t="s">
        <v>355</v>
      </c>
      <c r="AR704" s="15">
        <v>1968</v>
      </c>
      <c r="AS704" s="19" t="s">
        <v>906</v>
      </c>
      <c r="AT704" s="20" t="s">
        <v>907</v>
      </c>
      <c r="AU704" s="40">
        <v>9096515</v>
      </c>
      <c r="AV704" s="35">
        <f t="shared" si="97"/>
        <v>6.9588750399961636</v>
      </c>
      <c r="AW704" s="37" t="s">
        <v>366</v>
      </c>
      <c r="AX704" s="34" t="s">
        <v>355</v>
      </c>
      <c r="AY704" s="40" t="s">
        <v>355</v>
      </c>
      <c r="AZ704" s="15">
        <v>55</v>
      </c>
      <c r="BA704" s="14">
        <f t="shared" si="98"/>
        <v>1.7403626894942439</v>
      </c>
      <c r="BB704" s="37" t="s">
        <v>388</v>
      </c>
      <c r="BC704" s="20">
        <v>2.165706282513008E-2</v>
      </c>
      <c r="BD704" s="9">
        <v>22.6</v>
      </c>
      <c r="BE704" s="9" t="s">
        <v>368</v>
      </c>
      <c r="BF704" s="9">
        <v>0</v>
      </c>
    </row>
    <row r="705" spans="1:58">
      <c r="A705" s="9">
        <v>252</v>
      </c>
      <c r="B705" s="10" t="s">
        <v>76</v>
      </c>
      <c r="C705" s="10" t="s">
        <v>369</v>
      </c>
      <c r="D705" s="20" t="s">
        <v>370</v>
      </c>
      <c r="E705" s="20" t="s">
        <v>485</v>
      </c>
      <c r="F705" s="10" t="s">
        <v>369</v>
      </c>
      <c r="G705" s="20" t="s">
        <v>370</v>
      </c>
      <c r="H705" s="20" t="s">
        <v>485</v>
      </c>
      <c r="I705" s="10" t="s">
        <v>369</v>
      </c>
      <c r="J705" s="20" t="s">
        <v>398</v>
      </c>
      <c r="K705" s="20" t="s">
        <v>486</v>
      </c>
      <c r="L705" s="9" t="s">
        <v>352</v>
      </c>
      <c r="M705" s="9">
        <v>10</v>
      </c>
      <c r="N705" s="9" t="s">
        <v>381</v>
      </c>
      <c r="O705" s="9" t="s">
        <v>455</v>
      </c>
      <c r="P705" s="12">
        <v>33.6</v>
      </c>
      <c r="Q705" s="12" t="s">
        <v>355</v>
      </c>
      <c r="R705" s="9" t="s">
        <v>356</v>
      </c>
      <c r="S705" s="13" t="s">
        <v>903</v>
      </c>
      <c r="T705" s="13" t="s">
        <v>903</v>
      </c>
      <c r="U705" s="14">
        <f t="shared" si="90"/>
        <v>1.1760912590556813</v>
      </c>
      <c r="V705" s="15">
        <v>30</v>
      </c>
      <c r="W705" s="12">
        <v>9.0628844000000015</v>
      </c>
      <c r="X705" s="12">
        <v>1</v>
      </c>
      <c r="Y705" s="13" t="s">
        <v>904</v>
      </c>
      <c r="Z705" s="9" t="s">
        <v>359</v>
      </c>
      <c r="AA705" s="10" t="s">
        <v>372</v>
      </c>
      <c r="AB705" s="9" t="s">
        <v>355</v>
      </c>
      <c r="AC705" s="15">
        <v>610</v>
      </c>
      <c r="AD705" s="14">
        <f t="shared" si="91"/>
        <v>2.7853298350107671</v>
      </c>
      <c r="AE705" s="10" t="s">
        <v>923</v>
      </c>
      <c r="AF705" s="9" t="s">
        <v>362</v>
      </c>
      <c r="AG705" s="18">
        <v>51.091388999999999</v>
      </c>
      <c r="AH705" s="7">
        <f t="shared" si="92"/>
        <v>1</v>
      </c>
      <c r="AI705" s="7">
        <f t="shared" si="93"/>
        <v>1</v>
      </c>
      <c r="AJ705" s="7">
        <f t="shared" si="94"/>
        <v>1</v>
      </c>
      <c r="AK705" s="7">
        <f t="shared" si="95"/>
        <v>0</v>
      </c>
      <c r="AL705" s="7" t="s">
        <v>4158</v>
      </c>
      <c r="AM705" s="18">
        <f t="shared" si="96"/>
        <v>1.7083477098232958</v>
      </c>
      <c r="AN705" s="18">
        <v>51.091388999999999</v>
      </c>
      <c r="AO705" s="18">
        <v>-121.58666700000001</v>
      </c>
      <c r="AP705" s="9" t="s">
        <v>363</v>
      </c>
      <c r="AQ705" s="9" t="s">
        <v>355</v>
      </c>
      <c r="AR705" s="15">
        <v>1968</v>
      </c>
      <c r="AS705" s="19" t="s">
        <v>906</v>
      </c>
      <c r="AT705" s="20" t="s">
        <v>907</v>
      </c>
      <c r="AU705" s="40">
        <v>9096515</v>
      </c>
      <c r="AV705" s="35">
        <f t="shared" si="97"/>
        <v>6.9588750399961636</v>
      </c>
      <c r="AW705" s="37" t="s">
        <v>366</v>
      </c>
      <c r="AX705" s="34" t="s">
        <v>355</v>
      </c>
      <c r="AY705" s="40" t="s">
        <v>355</v>
      </c>
      <c r="AZ705" s="15">
        <v>55</v>
      </c>
      <c r="BA705" s="14">
        <f t="shared" si="98"/>
        <v>1.7403626894942439</v>
      </c>
      <c r="BB705" s="37" t="s">
        <v>388</v>
      </c>
      <c r="BC705" s="20">
        <v>2.165706282513008E-2</v>
      </c>
      <c r="BD705" s="9">
        <v>22.6</v>
      </c>
      <c r="BE705" s="9" t="s">
        <v>368</v>
      </c>
      <c r="BF705" s="9">
        <v>0</v>
      </c>
    </row>
    <row r="706" spans="1:58">
      <c r="A706" s="9">
        <v>240</v>
      </c>
      <c r="B706" s="10" t="s">
        <v>76</v>
      </c>
      <c r="C706" s="10" t="s">
        <v>369</v>
      </c>
      <c r="D706" s="20" t="s">
        <v>370</v>
      </c>
      <c r="E706" s="20" t="s">
        <v>1019</v>
      </c>
      <c r="F706" s="20" t="s">
        <v>369</v>
      </c>
      <c r="G706" s="20" t="s">
        <v>370</v>
      </c>
      <c r="H706" s="20" t="s">
        <v>1020</v>
      </c>
      <c r="I706" s="20" t="s">
        <v>369</v>
      </c>
      <c r="J706" s="20" t="s">
        <v>398</v>
      </c>
      <c r="K706" s="20" t="s">
        <v>1020</v>
      </c>
      <c r="L706" s="9" t="s">
        <v>352</v>
      </c>
      <c r="M706" s="9">
        <v>10</v>
      </c>
      <c r="N706" s="9" t="s">
        <v>381</v>
      </c>
      <c r="O706" s="9" t="s">
        <v>455</v>
      </c>
      <c r="P706" s="12">
        <v>32.799999999999997</v>
      </c>
      <c r="Q706" s="12" t="s">
        <v>355</v>
      </c>
      <c r="R706" s="9" t="s">
        <v>356</v>
      </c>
      <c r="S706" s="13" t="s">
        <v>903</v>
      </c>
      <c r="T706" s="13" t="s">
        <v>903</v>
      </c>
      <c r="U706" s="14">
        <f t="shared" si="90"/>
        <v>1.1760912590556813</v>
      </c>
      <c r="V706" s="15">
        <v>26</v>
      </c>
      <c r="W706" s="12">
        <v>14.794227399999997</v>
      </c>
      <c r="X706" s="12">
        <v>1</v>
      </c>
      <c r="Y706" s="13" t="s">
        <v>904</v>
      </c>
      <c r="Z706" s="9" t="s">
        <v>359</v>
      </c>
      <c r="AA706" s="10" t="s">
        <v>372</v>
      </c>
      <c r="AB706" s="9" t="s">
        <v>355</v>
      </c>
      <c r="AC706" s="15">
        <v>1555</v>
      </c>
      <c r="AD706" s="14">
        <f t="shared" si="91"/>
        <v>3.1917303933628562</v>
      </c>
      <c r="AE706" s="10" t="s">
        <v>1014</v>
      </c>
      <c r="AF706" s="9" t="s">
        <v>408</v>
      </c>
      <c r="AG706" s="18">
        <v>10.01571</v>
      </c>
      <c r="AH706" s="7">
        <f t="shared" si="92"/>
        <v>0</v>
      </c>
      <c r="AI706" s="7">
        <f t="shared" si="93"/>
        <v>0</v>
      </c>
      <c r="AJ706" s="7">
        <f t="shared" si="94"/>
        <v>0</v>
      </c>
      <c r="AK706" s="7">
        <f t="shared" si="95"/>
        <v>0</v>
      </c>
      <c r="AL706" s="7" t="s">
        <v>4160</v>
      </c>
      <c r="AM706" s="18">
        <f t="shared" si="96"/>
        <v>1.0006817412634115</v>
      </c>
      <c r="AN706" s="18">
        <v>10.01571</v>
      </c>
      <c r="AO706" s="18">
        <v>-83.788398999999998</v>
      </c>
      <c r="AP706" s="9" t="s">
        <v>363</v>
      </c>
      <c r="AQ706" s="9" t="s">
        <v>355</v>
      </c>
      <c r="AR706" s="15">
        <v>1968</v>
      </c>
      <c r="AS706" s="19" t="s">
        <v>906</v>
      </c>
      <c r="AT706" s="20" t="s">
        <v>907</v>
      </c>
      <c r="AU706" s="40">
        <v>157283</v>
      </c>
      <c r="AV706" s="35">
        <f t="shared" si="97"/>
        <v>5.1966817842559907</v>
      </c>
      <c r="AW706" s="37" t="s">
        <v>366</v>
      </c>
      <c r="AX706" s="40">
        <v>1</v>
      </c>
      <c r="AY706" s="40">
        <v>1740</v>
      </c>
      <c r="AZ706" s="15">
        <v>55</v>
      </c>
      <c r="BA706" s="14">
        <f t="shared" si="98"/>
        <v>1.7403626894942439</v>
      </c>
      <c r="BB706" s="37" t="s">
        <v>388</v>
      </c>
      <c r="BC706" s="20">
        <v>2.0751100440175817E-2</v>
      </c>
      <c r="BD706" s="9">
        <v>15.600000000000001</v>
      </c>
      <c r="BE706" s="9" t="s">
        <v>368</v>
      </c>
      <c r="BF706" s="9">
        <v>0</v>
      </c>
    </row>
    <row r="707" spans="1:58">
      <c r="A707" s="9">
        <v>341</v>
      </c>
      <c r="B707" s="10" t="s">
        <v>76</v>
      </c>
      <c r="C707" s="10" t="s">
        <v>77</v>
      </c>
      <c r="D707" s="10" t="s">
        <v>501</v>
      </c>
      <c r="E707" s="10" t="s">
        <v>768</v>
      </c>
      <c r="F707" s="10" t="s">
        <v>77</v>
      </c>
      <c r="G707" s="20" t="s">
        <v>766</v>
      </c>
      <c r="H707" s="20" t="s">
        <v>768</v>
      </c>
      <c r="I707" s="10" t="s">
        <v>77</v>
      </c>
      <c r="J707" s="20" t="s">
        <v>766</v>
      </c>
      <c r="K707" s="20" t="s">
        <v>768</v>
      </c>
      <c r="L707" s="9" t="s">
        <v>352</v>
      </c>
      <c r="M707" s="9">
        <v>1</v>
      </c>
      <c r="N707" s="9" t="s">
        <v>353</v>
      </c>
      <c r="O707" s="9" t="s">
        <v>354</v>
      </c>
      <c r="P707" s="12">
        <v>30</v>
      </c>
      <c r="Q707" s="12" t="s">
        <v>355</v>
      </c>
      <c r="R707" s="9" t="s">
        <v>356</v>
      </c>
      <c r="S707" s="13">
        <v>14</v>
      </c>
      <c r="T707" s="13">
        <v>14</v>
      </c>
      <c r="U707" s="14">
        <f t="shared" si="90"/>
        <v>1.1760912590556813</v>
      </c>
      <c r="V707" s="15">
        <v>10</v>
      </c>
      <c r="W707" s="12">
        <v>2.765175499999998</v>
      </c>
      <c r="X707" s="12">
        <v>1</v>
      </c>
      <c r="Y707" s="13" t="s">
        <v>384</v>
      </c>
      <c r="Z707" s="9" t="s">
        <v>359</v>
      </c>
      <c r="AA707" s="10" t="s">
        <v>372</v>
      </c>
      <c r="AB707" s="9" t="s">
        <v>417</v>
      </c>
      <c r="AC707" s="15">
        <v>304.7851264858275</v>
      </c>
      <c r="AD707" s="14">
        <f t="shared" si="91"/>
        <v>2.4839937696139525</v>
      </c>
      <c r="AE707" s="10" t="s">
        <v>956</v>
      </c>
      <c r="AF707" s="9" t="s">
        <v>420</v>
      </c>
      <c r="AG707" s="18">
        <v>36.691721999999999</v>
      </c>
      <c r="AH707" s="7">
        <f t="shared" si="92"/>
        <v>1</v>
      </c>
      <c r="AI707" s="7">
        <f t="shared" si="93"/>
        <v>1</v>
      </c>
      <c r="AJ707" s="7">
        <f t="shared" si="94"/>
        <v>0</v>
      </c>
      <c r="AK707" s="7">
        <f t="shared" si="95"/>
        <v>0</v>
      </c>
      <c r="AL707" s="7" t="s">
        <v>4157</v>
      </c>
      <c r="AM707" s="18">
        <f t="shared" si="96"/>
        <v>1.5645680943547093</v>
      </c>
      <c r="AN707" s="18">
        <v>-36.691721999999999</v>
      </c>
      <c r="AO707" s="18">
        <v>145.88668899999999</v>
      </c>
      <c r="AP707" s="9" t="s">
        <v>363</v>
      </c>
      <c r="AQ707" s="9" t="s">
        <v>355</v>
      </c>
      <c r="AR707" s="15">
        <v>1970</v>
      </c>
      <c r="AS707" s="19" t="s">
        <v>898</v>
      </c>
      <c r="AT707" s="10" t="s">
        <v>899</v>
      </c>
      <c r="AU707" s="40">
        <v>178247</v>
      </c>
      <c r="AV707" s="35">
        <f t="shared" si="97"/>
        <v>5.2510222291583499</v>
      </c>
      <c r="AW707" s="37" t="s">
        <v>338</v>
      </c>
      <c r="AX707" s="34" t="s">
        <v>355</v>
      </c>
      <c r="AY707" s="40">
        <v>670</v>
      </c>
      <c r="AZ707" s="15">
        <v>113</v>
      </c>
      <c r="BA707" s="14">
        <f t="shared" si="98"/>
        <v>2.0530784434834195</v>
      </c>
      <c r="BB707" s="37" t="s">
        <v>388</v>
      </c>
      <c r="BC707" s="20">
        <v>1.4744297719087435E-2</v>
      </c>
      <c r="BD707" s="9">
        <v>29.5</v>
      </c>
      <c r="BE707" s="9" t="s">
        <v>459</v>
      </c>
      <c r="BF707" s="9">
        <v>1</v>
      </c>
    </row>
    <row r="708" spans="1:58">
      <c r="A708" s="9">
        <v>339</v>
      </c>
      <c r="B708" s="10" t="s">
        <v>76</v>
      </c>
      <c r="C708" s="10" t="s">
        <v>77</v>
      </c>
      <c r="D708" s="10" t="s">
        <v>501</v>
      </c>
      <c r="E708" s="10" t="s">
        <v>768</v>
      </c>
      <c r="F708" s="10" t="s">
        <v>77</v>
      </c>
      <c r="G708" s="20" t="s">
        <v>766</v>
      </c>
      <c r="H708" s="20" t="s">
        <v>768</v>
      </c>
      <c r="I708" s="10" t="s">
        <v>77</v>
      </c>
      <c r="J708" s="20" t="s">
        <v>766</v>
      </c>
      <c r="K708" s="20" t="s">
        <v>768</v>
      </c>
      <c r="L708" s="9" t="s">
        <v>352</v>
      </c>
      <c r="M708" s="9">
        <v>5</v>
      </c>
      <c r="N708" s="9" t="s">
        <v>353</v>
      </c>
      <c r="O708" s="9" t="s">
        <v>354</v>
      </c>
      <c r="P708" s="12">
        <v>33.6</v>
      </c>
      <c r="Q708" s="12">
        <v>35.1</v>
      </c>
      <c r="R708" s="9" t="s">
        <v>356</v>
      </c>
      <c r="S708" s="13">
        <v>14</v>
      </c>
      <c r="T708" s="13">
        <v>14</v>
      </c>
      <c r="U708" s="14">
        <f t="shared" si="90"/>
        <v>1.1760912590556813</v>
      </c>
      <c r="V708" s="15">
        <v>10</v>
      </c>
      <c r="W708" s="12">
        <v>8.812140399999997</v>
      </c>
      <c r="X708" s="12">
        <v>1</v>
      </c>
      <c r="Y708" s="13" t="s">
        <v>384</v>
      </c>
      <c r="Z708" s="9" t="s">
        <v>359</v>
      </c>
      <c r="AA708" s="10" t="s">
        <v>372</v>
      </c>
      <c r="AB708" s="9" t="s">
        <v>417</v>
      </c>
      <c r="AC708" s="15">
        <v>304.7851264858275</v>
      </c>
      <c r="AD708" s="14">
        <f t="shared" si="91"/>
        <v>2.4839937696139525</v>
      </c>
      <c r="AE708" s="10" t="s">
        <v>897</v>
      </c>
      <c r="AF708" s="9" t="s">
        <v>420</v>
      </c>
      <c r="AG708" s="18">
        <v>33.425020000000004</v>
      </c>
      <c r="AH708" s="7">
        <f t="shared" si="92"/>
        <v>1</v>
      </c>
      <c r="AI708" s="7">
        <f t="shared" si="93"/>
        <v>1</v>
      </c>
      <c r="AJ708" s="7">
        <f t="shared" si="94"/>
        <v>0</v>
      </c>
      <c r="AK708" s="7">
        <f t="shared" si="95"/>
        <v>0</v>
      </c>
      <c r="AL708" s="7" t="s">
        <v>4157</v>
      </c>
      <c r="AM708" s="18">
        <f t="shared" si="96"/>
        <v>1.5240716757960127</v>
      </c>
      <c r="AN708" s="18">
        <v>-33.425020000000004</v>
      </c>
      <c r="AO708" s="18">
        <v>151.342219</v>
      </c>
      <c r="AP708" s="9" t="s">
        <v>363</v>
      </c>
      <c r="AQ708" s="9" t="s">
        <v>355</v>
      </c>
      <c r="AR708" s="15">
        <v>1970</v>
      </c>
      <c r="AS708" s="19" t="s">
        <v>898</v>
      </c>
      <c r="AT708" s="10" t="s">
        <v>899</v>
      </c>
      <c r="AU708" s="40">
        <v>178247</v>
      </c>
      <c r="AV708" s="35">
        <f t="shared" si="97"/>
        <v>5.2510222291583499</v>
      </c>
      <c r="AW708" s="37" t="s">
        <v>338</v>
      </c>
      <c r="AX708" s="34" t="s">
        <v>355</v>
      </c>
      <c r="AY708" s="40">
        <v>670</v>
      </c>
      <c r="AZ708" s="15">
        <v>113</v>
      </c>
      <c r="BA708" s="14">
        <f t="shared" si="98"/>
        <v>2.0530784434834195</v>
      </c>
      <c r="BB708" s="37" t="s">
        <v>388</v>
      </c>
      <c r="BC708" s="20">
        <v>7.0504201680672398E-3</v>
      </c>
      <c r="BD708" s="9">
        <v>26.6</v>
      </c>
      <c r="BE708" s="9" t="s">
        <v>459</v>
      </c>
      <c r="BF708" s="9">
        <v>1</v>
      </c>
    </row>
    <row r="709" spans="1:58">
      <c r="A709" s="9">
        <v>340</v>
      </c>
      <c r="B709" s="10" t="s">
        <v>76</v>
      </c>
      <c r="C709" s="10" t="s">
        <v>77</v>
      </c>
      <c r="D709" s="10" t="s">
        <v>501</v>
      </c>
      <c r="E709" s="10" t="s">
        <v>768</v>
      </c>
      <c r="F709" s="10" t="s">
        <v>77</v>
      </c>
      <c r="G709" s="20" t="s">
        <v>766</v>
      </c>
      <c r="H709" s="20" t="s">
        <v>768</v>
      </c>
      <c r="I709" s="10" t="s">
        <v>77</v>
      </c>
      <c r="J709" s="20" t="s">
        <v>766</v>
      </c>
      <c r="K709" s="20" t="s">
        <v>768</v>
      </c>
      <c r="L709" s="9" t="s">
        <v>352</v>
      </c>
      <c r="M709" s="9">
        <v>1</v>
      </c>
      <c r="N709" s="9" t="s">
        <v>353</v>
      </c>
      <c r="O709" s="9" t="s">
        <v>354</v>
      </c>
      <c r="P709" s="12">
        <v>34.200000000000003</v>
      </c>
      <c r="Q709" s="12">
        <v>35</v>
      </c>
      <c r="R709" s="9" t="s">
        <v>356</v>
      </c>
      <c r="S709" s="13">
        <v>14</v>
      </c>
      <c r="T709" s="13">
        <v>14</v>
      </c>
      <c r="U709" s="14">
        <f t="shared" ref="U709:U772" si="99">LOG(T709+1)</f>
        <v>1.1760912590556813</v>
      </c>
      <c r="V709" s="15">
        <v>10</v>
      </c>
      <c r="W709" s="12">
        <v>10.3402995</v>
      </c>
      <c r="X709" s="12">
        <v>1</v>
      </c>
      <c r="Y709" s="13" t="s">
        <v>384</v>
      </c>
      <c r="Z709" s="9" t="s">
        <v>359</v>
      </c>
      <c r="AA709" s="10" t="s">
        <v>372</v>
      </c>
      <c r="AB709" s="9" t="s">
        <v>417</v>
      </c>
      <c r="AC709" s="15">
        <v>304.7851264858275</v>
      </c>
      <c r="AD709" s="14">
        <f t="shared" ref="AD709:AD772" si="100">LOG(AC709)</f>
        <v>2.4839937696139525</v>
      </c>
      <c r="AE709" s="10" t="s">
        <v>959</v>
      </c>
      <c r="AF709" s="9" t="s">
        <v>420</v>
      </c>
      <c r="AG709" s="18">
        <v>37.496175000000001</v>
      </c>
      <c r="AH709" s="7">
        <f t="shared" ref="AH709:AH772" si="101">IF(AG709&gt;15,1,0)</f>
        <v>1</v>
      </c>
      <c r="AI709" s="7">
        <f t="shared" ref="AI709:AI772" si="102">IF(AG709&gt;30,1,0)</f>
        <v>1</v>
      </c>
      <c r="AJ709" s="7">
        <f t="shared" ref="AJ709:AJ772" si="103">IF(AG709&gt;45,1,0)</f>
        <v>0</v>
      </c>
      <c r="AK709" s="7">
        <f t="shared" ref="AK709:AK772" si="104">IF(AG709&gt;60,1,0)</f>
        <v>0</v>
      </c>
      <c r="AL709" s="7" t="s">
        <v>4157</v>
      </c>
      <c r="AM709" s="18">
        <f t="shared" ref="AM709:AM772" si="105">LOG(AG709)</f>
        <v>1.5739869674312112</v>
      </c>
      <c r="AN709" s="18">
        <v>-37.496175000000001</v>
      </c>
      <c r="AO709" s="18">
        <v>148.17353</v>
      </c>
      <c r="AP709" s="9" t="s">
        <v>363</v>
      </c>
      <c r="AQ709" s="9" t="s">
        <v>355</v>
      </c>
      <c r="AR709" s="15">
        <v>1970</v>
      </c>
      <c r="AS709" s="19" t="s">
        <v>898</v>
      </c>
      <c r="AT709" s="10" t="s">
        <v>899</v>
      </c>
      <c r="AU709" s="40">
        <v>178247</v>
      </c>
      <c r="AV709" s="35">
        <f t="shared" ref="AV709:AV772" si="106">LOG(AU709)</f>
        <v>5.2510222291583499</v>
      </c>
      <c r="AW709" s="37" t="s">
        <v>338</v>
      </c>
      <c r="AX709" s="34" t="s">
        <v>355</v>
      </c>
      <c r="AY709" s="40">
        <v>670</v>
      </c>
      <c r="AZ709" s="15">
        <v>113</v>
      </c>
      <c r="BA709" s="14">
        <f t="shared" ref="BA709:BA772" si="107">LOG(AZ709)</f>
        <v>2.0530784434834195</v>
      </c>
      <c r="BB709" s="37" t="s">
        <v>388</v>
      </c>
      <c r="BC709" s="20">
        <v>1.9120848339335778E-2</v>
      </c>
      <c r="BD709" s="9">
        <v>25.5</v>
      </c>
      <c r="BE709" s="9" t="s">
        <v>459</v>
      </c>
      <c r="BF709" s="9">
        <v>1</v>
      </c>
    </row>
    <row r="710" spans="1:58">
      <c r="A710" s="9">
        <v>342</v>
      </c>
      <c r="B710" s="10" t="s">
        <v>76</v>
      </c>
      <c r="C710" s="10" t="s">
        <v>77</v>
      </c>
      <c r="D710" s="10" t="s">
        <v>501</v>
      </c>
      <c r="E710" s="10" t="s">
        <v>768</v>
      </c>
      <c r="F710" s="10" t="s">
        <v>77</v>
      </c>
      <c r="G710" s="20" t="s">
        <v>766</v>
      </c>
      <c r="H710" s="20" t="s">
        <v>768</v>
      </c>
      <c r="I710" s="10" t="s">
        <v>77</v>
      </c>
      <c r="J710" s="20" t="s">
        <v>766</v>
      </c>
      <c r="K710" s="20" t="s">
        <v>768</v>
      </c>
      <c r="L710" s="9" t="s">
        <v>352</v>
      </c>
      <c r="M710" s="9">
        <v>4</v>
      </c>
      <c r="N710" s="9" t="s">
        <v>353</v>
      </c>
      <c r="O710" s="9" t="s">
        <v>354</v>
      </c>
      <c r="P710" s="12">
        <v>34.5</v>
      </c>
      <c r="Q710" s="12">
        <v>35.6</v>
      </c>
      <c r="R710" s="9" t="s">
        <v>356</v>
      </c>
      <c r="S710" s="13">
        <v>14</v>
      </c>
      <c r="T710" s="13">
        <v>14</v>
      </c>
      <c r="U710" s="14">
        <f t="shared" si="99"/>
        <v>1.1760912590556813</v>
      </c>
      <c r="V710" s="15">
        <v>10</v>
      </c>
      <c r="W710" s="12">
        <v>13.340398699999998</v>
      </c>
      <c r="X710" s="12">
        <v>1</v>
      </c>
      <c r="Y710" s="13" t="s">
        <v>384</v>
      </c>
      <c r="Z710" s="9" t="s">
        <v>359</v>
      </c>
      <c r="AA710" s="10" t="s">
        <v>372</v>
      </c>
      <c r="AB710" s="9" t="s">
        <v>417</v>
      </c>
      <c r="AC710" s="15">
        <v>304.7851264858275</v>
      </c>
      <c r="AD710" s="14">
        <f t="shared" si="100"/>
        <v>2.4839937696139525</v>
      </c>
      <c r="AE710" s="10" t="s">
        <v>993</v>
      </c>
      <c r="AF710" s="9" t="s">
        <v>362</v>
      </c>
      <c r="AG710" s="18">
        <v>38.916666999999997</v>
      </c>
      <c r="AH710" s="7">
        <f t="shared" si="101"/>
        <v>1</v>
      </c>
      <c r="AI710" s="7">
        <f t="shared" si="102"/>
        <v>1</v>
      </c>
      <c r="AJ710" s="7">
        <f t="shared" si="103"/>
        <v>0</v>
      </c>
      <c r="AK710" s="7">
        <f t="shared" si="104"/>
        <v>0</v>
      </c>
      <c r="AL710" s="7" t="s">
        <v>4157</v>
      </c>
      <c r="AM710" s="18">
        <f t="shared" si="105"/>
        <v>1.5901356382383545</v>
      </c>
      <c r="AN710" s="18">
        <v>-38.916666999999997</v>
      </c>
      <c r="AO710" s="18">
        <v>146.33333300000001</v>
      </c>
      <c r="AP710" s="9" t="s">
        <v>363</v>
      </c>
      <c r="AQ710" s="9" t="s">
        <v>355</v>
      </c>
      <c r="AR710" s="15">
        <v>1970</v>
      </c>
      <c r="AS710" s="19" t="s">
        <v>898</v>
      </c>
      <c r="AT710" s="10" t="s">
        <v>899</v>
      </c>
      <c r="AU710" s="40">
        <v>178247</v>
      </c>
      <c r="AV710" s="35">
        <f t="shared" si="106"/>
        <v>5.2510222291583499</v>
      </c>
      <c r="AW710" s="37" t="s">
        <v>338</v>
      </c>
      <c r="AX710" s="34" t="s">
        <v>355</v>
      </c>
      <c r="AY710" s="40">
        <v>670</v>
      </c>
      <c r="AZ710" s="15">
        <v>113</v>
      </c>
      <c r="BA710" s="14">
        <f t="shared" si="107"/>
        <v>2.0530784434834195</v>
      </c>
      <c r="BB710" s="37" t="s">
        <v>388</v>
      </c>
      <c r="BC710" s="20">
        <v>1.4894357743097119E-2</v>
      </c>
      <c r="BD710" s="9">
        <v>22.3</v>
      </c>
      <c r="BE710" s="9" t="s">
        <v>459</v>
      </c>
      <c r="BF710" s="9">
        <v>1</v>
      </c>
    </row>
    <row r="711" spans="1:58">
      <c r="A711" s="9">
        <v>343</v>
      </c>
      <c r="B711" s="10" t="s">
        <v>76</v>
      </c>
      <c r="C711" s="10" t="s">
        <v>77</v>
      </c>
      <c r="D711" s="10" t="s">
        <v>501</v>
      </c>
      <c r="E711" s="10" t="s">
        <v>768</v>
      </c>
      <c r="F711" s="10" t="s">
        <v>77</v>
      </c>
      <c r="G711" s="20" t="s">
        <v>766</v>
      </c>
      <c r="H711" s="20" t="s">
        <v>768</v>
      </c>
      <c r="I711" s="10" t="s">
        <v>77</v>
      </c>
      <c r="J711" s="20" t="s">
        <v>766</v>
      </c>
      <c r="K711" s="20" t="s">
        <v>768</v>
      </c>
      <c r="L711" s="9" t="s">
        <v>352</v>
      </c>
      <c r="M711" s="9">
        <v>4</v>
      </c>
      <c r="N711" s="9" t="s">
        <v>353</v>
      </c>
      <c r="O711" s="9" t="s">
        <v>354</v>
      </c>
      <c r="P711" s="12">
        <v>36.200000000000003</v>
      </c>
      <c r="Q711" s="12">
        <v>37</v>
      </c>
      <c r="R711" s="9" t="s">
        <v>356</v>
      </c>
      <c r="S711" s="13">
        <v>14</v>
      </c>
      <c r="T711" s="13">
        <v>14</v>
      </c>
      <c r="U711" s="14">
        <f t="shared" si="99"/>
        <v>1.1760912590556813</v>
      </c>
      <c r="V711" s="15">
        <v>30</v>
      </c>
      <c r="W711" s="12">
        <v>11.916018700000006</v>
      </c>
      <c r="X711" s="12">
        <v>1</v>
      </c>
      <c r="Y711" s="13" t="s">
        <v>384</v>
      </c>
      <c r="Z711" s="9" t="s">
        <v>359</v>
      </c>
      <c r="AA711" s="10" t="s">
        <v>372</v>
      </c>
      <c r="AB711" s="9" t="s">
        <v>417</v>
      </c>
      <c r="AC711" s="15">
        <v>304.7851264858275</v>
      </c>
      <c r="AD711" s="14">
        <f t="shared" si="100"/>
        <v>2.4839937696139525</v>
      </c>
      <c r="AE711" s="10" t="s">
        <v>993</v>
      </c>
      <c r="AF711" s="9" t="s">
        <v>362</v>
      </c>
      <c r="AG711" s="18">
        <v>38.916666999999997</v>
      </c>
      <c r="AH711" s="7">
        <f t="shared" si="101"/>
        <v>1</v>
      </c>
      <c r="AI711" s="7">
        <f t="shared" si="102"/>
        <v>1</v>
      </c>
      <c r="AJ711" s="7">
        <f t="shared" si="103"/>
        <v>0</v>
      </c>
      <c r="AK711" s="7">
        <f t="shared" si="104"/>
        <v>0</v>
      </c>
      <c r="AL711" s="7" t="s">
        <v>4157</v>
      </c>
      <c r="AM711" s="18">
        <f t="shared" si="105"/>
        <v>1.5901356382383545</v>
      </c>
      <c r="AN711" s="18">
        <v>-38.916666999999997</v>
      </c>
      <c r="AO711" s="18">
        <v>146.33333300000001</v>
      </c>
      <c r="AP711" s="9" t="s">
        <v>363</v>
      </c>
      <c r="AQ711" s="9" t="s">
        <v>355</v>
      </c>
      <c r="AR711" s="15">
        <v>1970</v>
      </c>
      <c r="AS711" s="19" t="s">
        <v>898</v>
      </c>
      <c r="AT711" s="10" t="s">
        <v>899</v>
      </c>
      <c r="AU711" s="40">
        <v>178247</v>
      </c>
      <c r="AV711" s="35">
        <f t="shared" si="106"/>
        <v>5.2510222291583499</v>
      </c>
      <c r="AW711" s="37" t="s">
        <v>338</v>
      </c>
      <c r="AX711" s="34" t="s">
        <v>355</v>
      </c>
      <c r="AY711" s="40">
        <v>670</v>
      </c>
      <c r="AZ711" s="15">
        <v>113</v>
      </c>
      <c r="BA711" s="14">
        <f t="shared" si="107"/>
        <v>2.0530784434834195</v>
      </c>
      <c r="BB711" s="37" t="s">
        <v>388</v>
      </c>
      <c r="BC711" s="20">
        <v>1.4894357743097119E-2</v>
      </c>
      <c r="BD711" s="9">
        <v>22.3</v>
      </c>
      <c r="BE711" s="9" t="s">
        <v>459</v>
      </c>
      <c r="BF711" s="9">
        <v>1</v>
      </c>
    </row>
    <row r="712" spans="1:58">
      <c r="A712" s="9">
        <v>383</v>
      </c>
      <c r="B712" s="10" t="s">
        <v>76</v>
      </c>
      <c r="C712" s="10" t="s">
        <v>77</v>
      </c>
      <c r="D712" s="10" t="s">
        <v>501</v>
      </c>
      <c r="E712" s="10" t="s">
        <v>544</v>
      </c>
      <c r="F712" s="10" t="s">
        <v>77</v>
      </c>
      <c r="G712" s="20" t="s">
        <v>766</v>
      </c>
      <c r="H712" s="20" t="s">
        <v>544</v>
      </c>
      <c r="I712" s="10" t="s">
        <v>77</v>
      </c>
      <c r="J712" s="20" t="s">
        <v>766</v>
      </c>
      <c r="K712" s="20" t="s">
        <v>544</v>
      </c>
      <c r="L712" s="9" t="s">
        <v>352</v>
      </c>
      <c r="M712" s="9">
        <v>37</v>
      </c>
      <c r="N712" s="9" t="s">
        <v>381</v>
      </c>
      <c r="O712" s="9" t="s">
        <v>354</v>
      </c>
      <c r="P712" s="12">
        <v>35.6</v>
      </c>
      <c r="Q712" s="12" t="s">
        <v>355</v>
      </c>
      <c r="R712" s="9" t="s">
        <v>356</v>
      </c>
      <c r="S712" s="13">
        <v>14</v>
      </c>
      <c r="T712" s="13">
        <v>14</v>
      </c>
      <c r="U712" s="14">
        <f t="shared" si="99"/>
        <v>1.1760912590556813</v>
      </c>
      <c r="V712" s="15">
        <v>10</v>
      </c>
      <c r="W712" s="12">
        <v>7.015125900000001</v>
      </c>
      <c r="X712" s="12">
        <v>1</v>
      </c>
      <c r="Y712" s="13" t="s">
        <v>384</v>
      </c>
      <c r="Z712" s="9" t="s">
        <v>359</v>
      </c>
      <c r="AA712" s="10" t="s">
        <v>372</v>
      </c>
      <c r="AB712" s="9" t="s">
        <v>417</v>
      </c>
      <c r="AC712" s="15">
        <v>304.7851264858275</v>
      </c>
      <c r="AD712" s="14">
        <f t="shared" si="100"/>
        <v>2.4839937696139525</v>
      </c>
      <c r="AE712" s="10" t="s">
        <v>996</v>
      </c>
      <c r="AF712" s="9" t="s">
        <v>408</v>
      </c>
      <c r="AG712" s="18">
        <v>17.932869</v>
      </c>
      <c r="AH712" s="7">
        <f t="shared" si="101"/>
        <v>1</v>
      </c>
      <c r="AI712" s="7">
        <f t="shared" si="102"/>
        <v>0</v>
      </c>
      <c r="AJ712" s="7">
        <f t="shared" si="103"/>
        <v>0</v>
      </c>
      <c r="AK712" s="7">
        <f t="shared" si="104"/>
        <v>0</v>
      </c>
      <c r="AL712" s="7" t="s">
        <v>4159</v>
      </c>
      <c r="AM712" s="18">
        <f t="shared" si="105"/>
        <v>1.2536497759644691</v>
      </c>
      <c r="AN712" s="18">
        <v>-17.932869</v>
      </c>
      <c r="AO712" s="18">
        <v>145.92355599999999</v>
      </c>
      <c r="AP712" s="9" t="s">
        <v>363</v>
      </c>
      <c r="AQ712" s="9" t="s">
        <v>355</v>
      </c>
      <c r="AR712" s="15">
        <v>1970</v>
      </c>
      <c r="AS712" s="19" t="s">
        <v>898</v>
      </c>
      <c r="AT712" s="10" t="s">
        <v>899</v>
      </c>
      <c r="AU712" s="40">
        <v>935470</v>
      </c>
      <c r="AV712" s="35">
        <f t="shared" si="106"/>
        <v>5.9710298644780719</v>
      </c>
      <c r="AW712" s="37" t="s">
        <v>366</v>
      </c>
      <c r="AX712" s="34" t="s">
        <v>355</v>
      </c>
      <c r="AY712" s="40" t="s">
        <v>355</v>
      </c>
      <c r="AZ712" s="15">
        <v>33</v>
      </c>
      <c r="BA712" s="14">
        <f t="shared" si="107"/>
        <v>1.5185139398778875</v>
      </c>
      <c r="BB712" s="37" t="s">
        <v>388</v>
      </c>
      <c r="BC712" s="20">
        <v>7.543817527010924E-3</v>
      </c>
      <c r="BD712" s="9">
        <v>31.1</v>
      </c>
      <c r="BE712" s="9" t="s">
        <v>368</v>
      </c>
      <c r="BF712" s="9">
        <v>0</v>
      </c>
    </row>
    <row r="713" spans="1:58">
      <c r="A713" s="9">
        <v>384</v>
      </c>
      <c r="B713" s="10" t="s">
        <v>76</v>
      </c>
      <c r="C713" s="10" t="s">
        <v>77</v>
      </c>
      <c r="D713" s="10" t="s">
        <v>501</v>
      </c>
      <c r="E713" s="10" t="s">
        <v>544</v>
      </c>
      <c r="F713" s="10" t="s">
        <v>77</v>
      </c>
      <c r="G713" s="20" t="s">
        <v>766</v>
      </c>
      <c r="H713" s="20" t="s">
        <v>544</v>
      </c>
      <c r="I713" s="10" t="s">
        <v>77</v>
      </c>
      <c r="J713" s="20" t="s">
        <v>766</v>
      </c>
      <c r="K713" s="20" t="s">
        <v>544</v>
      </c>
      <c r="L713" s="9" t="s">
        <v>352</v>
      </c>
      <c r="M713" s="9">
        <v>37</v>
      </c>
      <c r="N713" s="9" t="s">
        <v>381</v>
      </c>
      <c r="O713" s="9" t="s">
        <v>354</v>
      </c>
      <c r="P713" s="12">
        <v>41.4</v>
      </c>
      <c r="Q713" s="12">
        <v>41.8</v>
      </c>
      <c r="R713" s="9" t="s">
        <v>356</v>
      </c>
      <c r="S713" s="13">
        <v>14</v>
      </c>
      <c r="T713" s="13">
        <v>14</v>
      </c>
      <c r="U713" s="14">
        <f t="shared" si="99"/>
        <v>1.1760912590556813</v>
      </c>
      <c r="V713" s="15">
        <v>30</v>
      </c>
      <c r="W713" s="12">
        <v>9.690745899999996</v>
      </c>
      <c r="X713" s="12">
        <v>1</v>
      </c>
      <c r="Y713" s="13" t="s">
        <v>384</v>
      </c>
      <c r="Z713" s="9" t="s">
        <v>359</v>
      </c>
      <c r="AA713" s="10" t="s">
        <v>372</v>
      </c>
      <c r="AB713" s="9" t="s">
        <v>417</v>
      </c>
      <c r="AC713" s="15">
        <v>304.7851264858275</v>
      </c>
      <c r="AD713" s="14">
        <f t="shared" si="100"/>
        <v>2.4839937696139525</v>
      </c>
      <c r="AE713" s="10" t="s">
        <v>996</v>
      </c>
      <c r="AF713" s="9" t="s">
        <v>408</v>
      </c>
      <c r="AG713" s="18">
        <v>17.932869</v>
      </c>
      <c r="AH713" s="7">
        <f t="shared" si="101"/>
        <v>1</v>
      </c>
      <c r="AI713" s="7">
        <f t="shared" si="102"/>
        <v>0</v>
      </c>
      <c r="AJ713" s="7">
        <f t="shared" si="103"/>
        <v>0</v>
      </c>
      <c r="AK713" s="7">
        <f t="shared" si="104"/>
        <v>0</v>
      </c>
      <c r="AL713" s="7" t="s">
        <v>4159</v>
      </c>
      <c r="AM713" s="18">
        <f t="shared" si="105"/>
        <v>1.2536497759644691</v>
      </c>
      <c r="AN713" s="18">
        <v>-17.932869</v>
      </c>
      <c r="AO713" s="18">
        <v>145.92355599999999</v>
      </c>
      <c r="AP713" s="9" t="s">
        <v>363</v>
      </c>
      <c r="AQ713" s="9" t="s">
        <v>355</v>
      </c>
      <c r="AR713" s="15">
        <v>1970</v>
      </c>
      <c r="AS713" s="19" t="s">
        <v>898</v>
      </c>
      <c r="AT713" s="10" t="s">
        <v>899</v>
      </c>
      <c r="AU713" s="40">
        <v>935470</v>
      </c>
      <c r="AV713" s="35">
        <f t="shared" si="106"/>
        <v>5.9710298644780719</v>
      </c>
      <c r="AW713" s="37" t="s">
        <v>366</v>
      </c>
      <c r="AX713" s="34" t="s">
        <v>355</v>
      </c>
      <c r="AY713" s="40" t="s">
        <v>355</v>
      </c>
      <c r="AZ713" s="15">
        <v>33</v>
      </c>
      <c r="BA713" s="14">
        <f t="shared" si="107"/>
        <v>1.5185139398778875</v>
      </c>
      <c r="BB713" s="37" t="s">
        <v>388</v>
      </c>
      <c r="BC713" s="20">
        <v>7.543817527010924E-3</v>
      </c>
      <c r="BD713" s="9">
        <v>31.1</v>
      </c>
      <c r="BE713" s="9" t="s">
        <v>368</v>
      </c>
      <c r="BF713" s="9">
        <v>0</v>
      </c>
    </row>
    <row r="714" spans="1:58">
      <c r="A714" s="9">
        <v>320</v>
      </c>
      <c r="B714" s="10" t="s">
        <v>76</v>
      </c>
      <c r="C714" s="10" t="s">
        <v>721</v>
      </c>
      <c r="D714" s="10" t="s">
        <v>763</v>
      </c>
      <c r="E714" s="10" t="s">
        <v>1021</v>
      </c>
      <c r="F714" s="10" t="s">
        <v>721</v>
      </c>
      <c r="G714" s="10" t="s">
        <v>763</v>
      </c>
      <c r="H714" s="10" t="s">
        <v>1021</v>
      </c>
      <c r="I714" s="10" t="s">
        <v>77</v>
      </c>
      <c r="J714" s="10" t="s">
        <v>766</v>
      </c>
      <c r="K714" s="10" t="s">
        <v>1021</v>
      </c>
      <c r="L714" s="9" t="s">
        <v>352</v>
      </c>
      <c r="M714" s="9">
        <v>21</v>
      </c>
      <c r="N714" s="9" t="s">
        <v>381</v>
      </c>
      <c r="O714" s="9" t="s">
        <v>354</v>
      </c>
      <c r="P714" s="12">
        <v>40</v>
      </c>
      <c r="Q714" s="12">
        <v>40.5</v>
      </c>
      <c r="R714" s="9" t="s">
        <v>356</v>
      </c>
      <c r="S714" s="13">
        <v>14</v>
      </c>
      <c r="T714" s="13">
        <v>14</v>
      </c>
      <c r="U714" s="14">
        <f t="shared" si="99"/>
        <v>1.1760912590556813</v>
      </c>
      <c r="V714" s="15">
        <v>30</v>
      </c>
      <c r="W714" s="12">
        <v>7.6157210999999982</v>
      </c>
      <c r="X714" s="12">
        <v>1</v>
      </c>
      <c r="Y714" s="13" t="s">
        <v>384</v>
      </c>
      <c r="Z714" s="9" t="s">
        <v>359</v>
      </c>
      <c r="AA714" s="10" t="s">
        <v>372</v>
      </c>
      <c r="AB714" s="9" t="s">
        <v>417</v>
      </c>
      <c r="AC714" s="15">
        <v>304.7851264858275</v>
      </c>
      <c r="AD714" s="14">
        <f t="shared" si="100"/>
        <v>2.4839937696139525</v>
      </c>
      <c r="AE714" s="10" t="s">
        <v>1022</v>
      </c>
      <c r="AF714" s="9" t="s">
        <v>408</v>
      </c>
      <c r="AG714" s="18">
        <v>20.012194999999998</v>
      </c>
      <c r="AH714" s="7">
        <f t="shared" si="101"/>
        <v>1</v>
      </c>
      <c r="AI714" s="7">
        <f t="shared" si="102"/>
        <v>0</v>
      </c>
      <c r="AJ714" s="7">
        <f t="shared" si="103"/>
        <v>0</v>
      </c>
      <c r="AK714" s="7">
        <f t="shared" si="104"/>
        <v>0</v>
      </c>
      <c r="AL714" s="7" t="s">
        <v>4159</v>
      </c>
      <c r="AM714" s="18">
        <f t="shared" si="105"/>
        <v>1.3012947260228531</v>
      </c>
      <c r="AN714" s="18">
        <v>-20.012194999999998</v>
      </c>
      <c r="AO714" s="18">
        <v>148.24629100000001</v>
      </c>
      <c r="AP714" s="9" t="s">
        <v>363</v>
      </c>
      <c r="AQ714" s="9" t="s">
        <v>355</v>
      </c>
      <c r="AR714" s="15">
        <v>1970</v>
      </c>
      <c r="AS714" s="19" t="s">
        <v>898</v>
      </c>
      <c r="AT714" s="10" t="s">
        <v>899</v>
      </c>
      <c r="AU714" s="40">
        <v>852282</v>
      </c>
      <c r="AV714" s="35">
        <f t="shared" si="106"/>
        <v>5.9305833163397903</v>
      </c>
      <c r="AW714" s="37" t="s">
        <v>366</v>
      </c>
      <c r="AX714" s="34" t="s">
        <v>355</v>
      </c>
      <c r="AY714" s="40" t="s">
        <v>355</v>
      </c>
      <c r="AZ714" s="15">
        <v>33</v>
      </c>
      <c r="BA714" s="14">
        <f t="shared" si="107"/>
        <v>1.5185139398778875</v>
      </c>
      <c r="BB714" s="37" t="s">
        <v>367</v>
      </c>
      <c r="BC714" s="20">
        <v>1.1652661064425369E-2</v>
      </c>
      <c r="BD714" s="9">
        <v>31.900000000000002</v>
      </c>
      <c r="BE714" s="9" t="s">
        <v>368</v>
      </c>
      <c r="BF714" s="9">
        <v>0</v>
      </c>
    </row>
    <row r="715" spans="1:58">
      <c r="A715" s="9">
        <v>393</v>
      </c>
      <c r="B715" s="10" t="s">
        <v>76</v>
      </c>
      <c r="C715" s="10" t="s">
        <v>77</v>
      </c>
      <c r="D715" s="10" t="s">
        <v>501</v>
      </c>
      <c r="E715" s="10" t="s">
        <v>770</v>
      </c>
      <c r="F715" s="10" t="s">
        <v>77</v>
      </c>
      <c r="G715" s="20" t="s">
        <v>766</v>
      </c>
      <c r="H715" s="20" t="s">
        <v>770</v>
      </c>
      <c r="I715" s="10" t="s">
        <v>77</v>
      </c>
      <c r="J715" s="20" t="s">
        <v>766</v>
      </c>
      <c r="K715" s="20" t="s">
        <v>770</v>
      </c>
      <c r="L715" s="9" t="s">
        <v>352</v>
      </c>
      <c r="M715" s="9">
        <v>11</v>
      </c>
      <c r="N715" s="9" t="s">
        <v>381</v>
      </c>
      <c r="O715" s="9" t="s">
        <v>354</v>
      </c>
      <c r="P715" s="12">
        <v>35.4</v>
      </c>
      <c r="Q715" s="12">
        <v>36.5</v>
      </c>
      <c r="R715" s="9" t="s">
        <v>356</v>
      </c>
      <c r="S715" s="13">
        <v>14</v>
      </c>
      <c r="T715" s="13">
        <v>14</v>
      </c>
      <c r="U715" s="14">
        <f t="shared" si="99"/>
        <v>1.1760912590556813</v>
      </c>
      <c r="V715" s="15">
        <v>10</v>
      </c>
      <c r="W715" s="12">
        <v>6.140101099999999</v>
      </c>
      <c r="X715" s="12">
        <v>1</v>
      </c>
      <c r="Y715" s="13" t="s">
        <v>384</v>
      </c>
      <c r="Z715" s="9" t="s">
        <v>359</v>
      </c>
      <c r="AA715" s="10" t="s">
        <v>372</v>
      </c>
      <c r="AB715" s="9" t="s">
        <v>417</v>
      </c>
      <c r="AC715" s="15">
        <v>304.7851264858275</v>
      </c>
      <c r="AD715" s="14">
        <f t="shared" si="100"/>
        <v>2.4839937696139525</v>
      </c>
      <c r="AE715" s="10" t="s">
        <v>1022</v>
      </c>
      <c r="AF715" s="9" t="s">
        <v>408</v>
      </c>
      <c r="AG715" s="18">
        <v>20.012194999999998</v>
      </c>
      <c r="AH715" s="7">
        <f t="shared" si="101"/>
        <v>1</v>
      </c>
      <c r="AI715" s="7">
        <f t="shared" si="102"/>
        <v>0</v>
      </c>
      <c r="AJ715" s="7">
        <f t="shared" si="103"/>
        <v>0</v>
      </c>
      <c r="AK715" s="7">
        <f t="shared" si="104"/>
        <v>0</v>
      </c>
      <c r="AL715" s="7" t="s">
        <v>4159</v>
      </c>
      <c r="AM715" s="18">
        <f t="shared" si="105"/>
        <v>1.3012947260228531</v>
      </c>
      <c r="AN715" s="18">
        <v>-20.012194999999998</v>
      </c>
      <c r="AO715" s="18">
        <v>148.24629100000001</v>
      </c>
      <c r="AP715" s="9" t="s">
        <v>363</v>
      </c>
      <c r="AQ715" s="9" t="s">
        <v>355</v>
      </c>
      <c r="AR715" s="15">
        <v>1970</v>
      </c>
      <c r="AS715" s="19" t="s">
        <v>898</v>
      </c>
      <c r="AT715" s="10" t="s">
        <v>899</v>
      </c>
      <c r="AU715" s="40">
        <v>4108503</v>
      </c>
      <c r="AV715" s="35">
        <f t="shared" si="106"/>
        <v>6.6136836084285351</v>
      </c>
      <c r="AW715" s="37" t="s">
        <v>366</v>
      </c>
      <c r="AX715" s="34" t="s">
        <v>355</v>
      </c>
      <c r="AY715" s="40">
        <v>200</v>
      </c>
      <c r="AZ715" s="15">
        <v>146</v>
      </c>
      <c r="BA715" s="14">
        <f t="shared" si="107"/>
        <v>2.1643528557844371</v>
      </c>
      <c r="BB715" s="37" t="s">
        <v>388</v>
      </c>
      <c r="BC715" s="20">
        <v>1.1652661064425369E-2</v>
      </c>
      <c r="BD715" s="9">
        <v>31.900000000000002</v>
      </c>
      <c r="BE715" s="9" t="s">
        <v>368</v>
      </c>
      <c r="BF715" s="9">
        <v>0</v>
      </c>
    </row>
    <row r="716" spans="1:58">
      <c r="A716" s="9">
        <v>394</v>
      </c>
      <c r="B716" s="10" t="s">
        <v>76</v>
      </c>
      <c r="C716" s="10" t="s">
        <v>77</v>
      </c>
      <c r="D716" s="10" t="s">
        <v>501</v>
      </c>
      <c r="E716" s="10" t="s">
        <v>770</v>
      </c>
      <c r="F716" s="10" t="s">
        <v>77</v>
      </c>
      <c r="G716" s="20" t="s">
        <v>766</v>
      </c>
      <c r="H716" s="20" t="s">
        <v>770</v>
      </c>
      <c r="I716" s="10" t="s">
        <v>77</v>
      </c>
      <c r="J716" s="20" t="s">
        <v>766</v>
      </c>
      <c r="K716" s="20" t="s">
        <v>770</v>
      </c>
      <c r="L716" s="9" t="s">
        <v>352</v>
      </c>
      <c r="M716" s="9">
        <v>11</v>
      </c>
      <c r="N716" s="9" t="s">
        <v>381</v>
      </c>
      <c r="O716" s="9" t="s">
        <v>354</v>
      </c>
      <c r="P716" s="12">
        <v>39.200000000000003</v>
      </c>
      <c r="Q716" s="12">
        <v>39.9</v>
      </c>
      <c r="R716" s="9" t="s">
        <v>356</v>
      </c>
      <c r="S716" s="13">
        <v>14</v>
      </c>
      <c r="T716" s="13">
        <v>14</v>
      </c>
      <c r="U716" s="14">
        <f t="shared" si="99"/>
        <v>1.1760912590556813</v>
      </c>
      <c r="V716" s="15">
        <v>30</v>
      </c>
      <c r="W716" s="12">
        <v>6.8157211000000011</v>
      </c>
      <c r="X716" s="12">
        <v>1</v>
      </c>
      <c r="Y716" s="13" t="s">
        <v>384</v>
      </c>
      <c r="Z716" s="9" t="s">
        <v>359</v>
      </c>
      <c r="AA716" s="10" t="s">
        <v>372</v>
      </c>
      <c r="AB716" s="9" t="s">
        <v>417</v>
      </c>
      <c r="AC716" s="15">
        <v>304.7851264858275</v>
      </c>
      <c r="AD716" s="14">
        <f t="shared" si="100"/>
        <v>2.4839937696139525</v>
      </c>
      <c r="AE716" s="10" t="s">
        <v>1022</v>
      </c>
      <c r="AF716" s="9" t="s">
        <v>408</v>
      </c>
      <c r="AG716" s="18">
        <v>20.012194999999998</v>
      </c>
      <c r="AH716" s="7">
        <f t="shared" si="101"/>
        <v>1</v>
      </c>
      <c r="AI716" s="7">
        <f t="shared" si="102"/>
        <v>0</v>
      </c>
      <c r="AJ716" s="7">
        <f t="shared" si="103"/>
        <v>0</v>
      </c>
      <c r="AK716" s="7">
        <f t="shared" si="104"/>
        <v>0</v>
      </c>
      <c r="AL716" s="7" t="s">
        <v>4159</v>
      </c>
      <c r="AM716" s="18">
        <f t="shared" si="105"/>
        <v>1.3012947260228531</v>
      </c>
      <c r="AN716" s="18">
        <v>-20.012194999999998</v>
      </c>
      <c r="AO716" s="18">
        <v>148.24629100000001</v>
      </c>
      <c r="AP716" s="9" t="s">
        <v>363</v>
      </c>
      <c r="AQ716" s="9" t="s">
        <v>355</v>
      </c>
      <c r="AR716" s="15">
        <v>1970</v>
      </c>
      <c r="AS716" s="19" t="s">
        <v>898</v>
      </c>
      <c r="AT716" s="10" t="s">
        <v>899</v>
      </c>
      <c r="AU716" s="40">
        <v>4108503</v>
      </c>
      <c r="AV716" s="35">
        <f t="shared" si="106"/>
        <v>6.6136836084285351</v>
      </c>
      <c r="AW716" s="37" t="s">
        <v>366</v>
      </c>
      <c r="AX716" s="34" t="s">
        <v>355</v>
      </c>
      <c r="AY716" s="40">
        <v>200</v>
      </c>
      <c r="AZ716" s="15">
        <v>146</v>
      </c>
      <c r="BA716" s="14">
        <f t="shared" si="107"/>
        <v>2.1643528557844371</v>
      </c>
      <c r="BB716" s="37" t="s">
        <v>388</v>
      </c>
      <c r="BC716" s="20">
        <v>1.1652661064425369E-2</v>
      </c>
      <c r="BD716" s="9">
        <v>31.900000000000002</v>
      </c>
      <c r="BE716" s="9" t="s">
        <v>368</v>
      </c>
      <c r="BF716" s="9">
        <v>0</v>
      </c>
    </row>
    <row r="717" spans="1:58">
      <c r="A717" s="9">
        <v>392</v>
      </c>
      <c r="B717" s="10" t="s">
        <v>76</v>
      </c>
      <c r="C717" s="10" t="s">
        <v>77</v>
      </c>
      <c r="D717" s="10" t="s">
        <v>501</v>
      </c>
      <c r="E717" s="10" t="s">
        <v>770</v>
      </c>
      <c r="F717" s="10" t="s">
        <v>77</v>
      </c>
      <c r="G717" s="20" t="s">
        <v>766</v>
      </c>
      <c r="H717" s="20" t="s">
        <v>770</v>
      </c>
      <c r="I717" s="10" t="s">
        <v>77</v>
      </c>
      <c r="J717" s="20" t="s">
        <v>766</v>
      </c>
      <c r="K717" s="20" t="s">
        <v>770</v>
      </c>
      <c r="L717" s="9" t="s">
        <v>352</v>
      </c>
      <c r="M717" s="9">
        <v>7</v>
      </c>
      <c r="N717" s="9" t="s">
        <v>353</v>
      </c>
      <c r="O717" s="9" t="s">
        <v>354</v>
      </c>
      <c r="P717" s="12">
        <v>39.299999999999997</v>
      </c>
      <c r="Q717" s="12">
        <v>40</v>
      </c>
      <c r="R717" s="9" t="s">
        <v>356</v>
      </c>
      <c r="S717" s="13">
        <v>14</v>
      </c>
      <c r="T717" s="13">
        <v>14</v>
      </c>
      <c r="U717" s="14">
        <f t="shared" si="99"/>
        <v>1.1760912590556813</v>
      </c>
      <c r="V717" s="15">
        <v>30</v>
      </c>
      <c r="W717" s="12">
        <v>7.1688553999999982</v>
      </c>
      <c r="X717" s="12">
        <v>1</v>
      </c>
      <c r="Y717" s="13" t="s">
        <v>384</v>
      </c>
      <c r="Z717" s="9" t="s">
        <v>359</v>
      </c>
      <c r="AA717" s="10" t="s">
        <v>372</v>
      </c>
      <c r="AB717" s="9" t="s">
        <v>417</v>
      </c>
      <c r="AC717" s="15">
        <v>304.7851264858275</v>
      </c>
      <c r="AD717" s="14">
        <f t="shared" si="100"/>
        <v>2.4839937696139525</v>
      </c>
      <c r="AE717" s="10" t="s">
        <v>1023</v>
      </c>
      <c r="AF717" s="9" t="s">
        <v>408</v>
      </c>
      <c r="AG717" s="18">
        <v>19.257626999999999</v>
      </c>
      <c r="AH717" s="7">
        <f t="shared" si="101"/>
        <v>1</v>
      </c>
      <c r="AI717" s="7">
        <f t="shared" si="102"/>
        <v>0</v>
      </c>
      <c r="AJ717" s="7">
        <f t="shared" si="103"/>
        <v>0</v>
      </c>
      <c r="AK717" s="7">
        <f t="shared" si="104"/>
        <v>0</v>
      </c>
      <c r="AL717" s="7" t="s">
        <v>4159</v>
      </c>
      <c r="AM717" s="18">
        <f t="shared" si="105"/>
        <v>1.2846027706234564</v>
      </c>
      <c r="AN717" s="18">
        <v>-19.257626999999999</v>
      </c>
      <c r="AO717" s="18">
        <v>146.817871</v>
      </c>
      <c r="AP717" s="9" t="s">
        <v>363</v>
      </c>
      <c r="AQ717" s="9" t="s">
        <v>355</v>
      </c>
      <c r="AR717" s="15">
        <v>1970</v>
      </c>
      <c r="AS717" s="19" t="s">
        <v>898</v>
      </c>
      <c r="AT717" s="10" t="s">
        <v>899</v>
      </c>
      <c r="AU717" s="40">
        <v>4108503</v>
      </c>
      <c r="AV717" s="35">
        <f t="shared" si="106"/>
        <v>6.6136836084285351</v>
      </c>
      <c r="AW717" s="37" t="s">
        <v>366</v>
      </c>
      <c r="AX717" s="34" t="s">
        <v>355</v>
      </c>
      <c r="AY717" s="40">
        <v>200</v>
      </c>
      <c r="AZ717" s="15">
        <v>146</v>
      </c>
      <c r="BA717" s="14">
        <f t="shared" si="107"/>
        <v>2.1643528557844371</v>
      </c>
      <c r="BB717" s="37" t="s">
        <v>388</v>
      </c>
      <c r="BC717" s="20">
        <v>1.0623449379751775E-2</v>
      </c>
      <c r="BD717" s="9">
        <v>31.6</v>
      </c>
      <c r="BE717" s="9" t="s">
        <v>368</v>
      </c>
      <c r="BF717" s="9">
        <v>0</v>
      </c>
    </row>
    <row r="718" spans="1:58">
      <c r="A718" s="9">
        <v>395</v>
      </c>
      <c r="B718" s="10" t="s">
        <v>76</v>
      </c>
      <c r="C718" s="10" t="s">
        <v>77</v>
      </c>
      <c r="D718" s="10" t="s">
        <v>501</v>
      </c>
      <c r="E718" s="10" t="s">
        <v>770</v>
      </c>
      <c r="F718" s="10" t="s">
        <v>77</v>
      </c>
      <c r="G718" s="20" t="s">
        <v>766</v>
      </c>
      <c r="H718" s="20" t="s">
        <v>770</v>
      </c>
      <c r="I718" s="10" t="s">
        <v>77</v>
      </c>
      <c r="J718" s="20" t="s">
        <v>766</v>
      </c>
      <c r="K718" s="20" t="s">
        <v>770</v>
      </c>
      <c r="L718" s="9" t="s">
        <v>352</v>
      </c>
      <c r="M718" s="9">
        <v>2</v>
      </c>
      <c r="N718" s="9" t="s">
        <v>353</v>
      </c>
      <c r="O718" s="9" t="s">
        <v>354</v>
      </c>
      <c r="P718" s="12">
        <v>34.6</v>
      </c>
      <c r="Q718" s="12" t="s">
        <v>355</v>
      </c>
      <c r="R718" s="9" t="s">
        <v>356</v>
      </c>
      <c r="S718" s="13">
        <v>14</v>
      </c>
      <c r="T718" s="13">
        <v>14</v>
      </c>
      <c r="U718" s="14">
        <f t="shared" si="99"/>
        <v>1.1760912590556813</v>
      </c>
      <c r="V718" s="15">
        <v>10</v>
      </c>
      <c r="W718" s="12">
        <v>9.812140399999997</v>
      </c>
      <c r="X718" s="12">
        <v>1</v>
      </c>
      <c r="Y718" s="13" t="s">
        <v>384</v>
      </c>
      <c r="Z718" s="9" t="s">
        <v>359</v>
      </c>
      <c r="AA718" s="10" t="s">
        <v>372</v>
      </c>
      <c r="AB718" s="9" t="s">
        <v>417</v>
      </c>
      <c r="AC718" s="15">
        <v>304.7851264858275</v>
      </c>
      <c r="AD718" s="14">
        <f t="shared" si="100"/>
        <v>2.4839937696139525</v>
      </c>
      <c r="AE718" s="10" t="s">
        <v>897</v>
      </c>
      <c r="AF718" s="9" t="s">
        <v>420</v>
      </c>
      <c r="AG718" s="18">
        <v>33.425020000000004</v>
      </c>
      <c r="AH718" s="7">
        <f t="shared" si="101"/>
        <v>1</v>
      </c>
      <c r="AI718" s="7">
        <f t="shared" si="102"/>
        <v>1</v>
      </c>
      <c r="AJ718" s="7">
        <f t="shared" si="103"/>
        <v>0</v>
      </c>
      <c r="AK718" s="7">
        <f t="shared" si="104"/>
        <v>0</v>
      </c>
      <c r="AL718" s="7" t="s">
        <v>4157</v>
      </c>
      <c r="AM718" s="18">
        <f t="shared" si="105"/>
        <v>1.5240716757960127</v>
      </c>
      <c r="AN718" s="18">
        <v>-33.425020000000004</v>
      </c>
      <c r="AO718" s="18">
        <v>151.342219</v>
      </c>
      <c r="AP718" s="9" t="s">
        <v>363</v>
      </c>
      <c r="AQ718" s="9" t="s">
        <v>355</v>
      </c>
      <c r="AR718" s="15">
        <v>1970</v>
      </c>
      <c r="AS718" s="19" t="s">
        <v>898</v>
      </c>
      <c r="AT718" s="10" t="s">
        <v>899</v>
      </c>
      <c r="AU718" s="40">
        <v>4108503</v>
      </c>
      <c r="AV718" s="35">
        <f t="shared" si="106"/>
        <v>6.6136836084285351</v>
      </c>
      <c r="AW718" s="37" t="s">
        <v>366</v>
      </c>
      <c r="AX718" s="34" t="s">
        <v>355</v>
      </c>
      <c r="AY718" s="40">
        <v>200</v>
      </c>
      <c r="AZ718" s="15">
        <v>146</v>
      </c>
      <c r="BA718" s="14">
        <f t="shared" si="107"/>
        <v>2.1643528557844371</v>
      </c>
      <c r="BB718" s="37" t="s">
        <v>388</v>
      </c>
      <c r="BC718" s="20">
        <v>7.0504201680672398E-3</v>
      </c>
      <c r="BD718" s="9">
        <v>26.6</v>
      </c>
      <c r="BE718" s="9" t="s">
        <v>368</v>
      </c>
      <c r="BF718" s="9">
        <v>0</v>
      </c>
    </row>
    <row r="719" spans="1:58">
      <c r="A719" s="9">
        <v>398</v>
      </c>
      <c r="B719" s="10" t="s">
        <v>76</v>
      </c>
      <c r="C719" s="10" t="s">
        <v>77</v>
      </c>
      <c r="D719" s="10" t="s">
        <v>501</v>
      </c>
      <c r="E719" s="10" t="s">
        <v>1024</v>
      </c>
      <c r="F719" s="10" t="s">
        <v>77</v>
      </c>
      <c r="G719" s="20" t="s">
        <v>766</v>
      </c>
      <c r="H719" s="20" t="s">
        <v>1024</v>
      </c>
      <c r="I719" s="10" t="s">
        <v>77</v>
      </c>
      <c r="J719" s="20" t="s">
        <v>766</v>
      </c>
      <c r="K719" s="20" t="s">
        <v>1024</v>
      </c>
      <c r="L719" s="9" t="s">
        <v>352</v>
      </c>
      <c r="M719" s="9">
        <v>2</v>
      </c>
      <c r="N719" s="9" t="s">
        <v>353</v>
      </c>
      <c r="O719" s="9" t="s">
        <v>354</v>
      </c>
      <c r="P719" s="12">
        <v>38.9</v>
      </c>
      <c r="Q719" s="12">
        <v>40</v>
      </c>
      <c r="R719" s="9" t="s">
        <v>356</v>
      </c>
      <c r="S719" s="13">
        <v>14</v>
      </c>
      <c r="T719" s="13">
        <v>14</v>
      </c>
      <c r="U719" s="14">
        <f t="shared" si="99"/>
        <v>1.1760912590556813</v>
      </c>
      <c r="V719" s="15">
        <v>30</v>
      </c>
      <c r="W719" s="12">
        <v>6.8532335000000018</v>
      </c>
      <c r="X719" s="12">
        <v>1</v>
      </c>
      <c r="Y719" s="13" t="s">
        <v>384</v>
      </c>
      <c r="Z719" s="9" t="s">
        <v>359</v>
      </c>
      <c r="AA719" s="10" t="s">
        <v>372</v>
      </c>
      <c r="AB719" s="9" t="s">
        <v>417</v>
      </c>
      <c r="AC719" s="15">
        <v>304.7851264858275</v>
      </c>
      <c r="AD719" s="14">
        <f t="shared" si="100"/>
        <v>2.4839937696139525</v>
      </c>
      <c r="AE719" s="10" t="s">
        <v>1025</v>
      </c>
      <c r="AF719" s="9" t="s">
        <v>408</v>
      </c>
      <c r="AG719" s="18">
        <v>16.920334</v>
      </c>
      <c r="AH719" s="7">
        <f t="shared" si="101"/>
        <v>1</v>
      </c>
      <c r="AI719" s="7">
        <f t="shared" si="102"/>
        <v>0</v>
      </c>
      <c r="AJ719" s="7">
        <f t="shared" si="103"/>
        <v>0</v>
      </c>
      <c r="AK719" s="7">
        <f t="shared" si="104"/>
        <v>0</v>
      </c>
      <c r="AL719" s="7" t="s">
        <v>4159</v>
      </c>
      <c r="AM719" s="18">
        <f t="shared" si="105"/>
        <v>1.2284089315709297</v>
      </c>
      <c r="AN719" s="18">
        <v>-16.920334</v>
      </c>
      <c r="AO719" s="18">
        <v>145.77086</v>
      </c>
      <c r="AP719" s="9" t="s">
        <v>363</v>
      </c>
      <c r="AQ719" s="9" t="s">
        <v>355</v>
      </c>
      <c r="AR719" s="15">
        <v>1970</v>
      </c>
      <c r="AS719" s="19" t="s">
        <v>898</v>
      </c>
      <c r="AT719" s="10" t="s">
        <v>899</v>
      </c>
      <c r="AU719" s="40">
        <v>213186</v>
      </c>
      <c r="AV719" s="35">
        <f t="shared" si="106"/>
        <v>5.3287586810187744</v>
      </c>
      <c r="AW719" s="37" t="s">
        <v>366</v>
      </c>
      <c r="AX719" s="34" t="s">
        <v>355</v>
      </c>
      <c r="AY719" s="40" t="s">
        <v>355</v>
      </c>
      <c r="AZ719" s="15">
        <v>75</v>
      </c>
      <c r="BA719" s="14">
        <f t="shared" si="107"/>
        <v>1.8750612633917001</v>
      </c>
      <c r="BB719" s="37" t="s">
        <v>388</v>
      </c>
      <c r="BC719" s="20">
        <v>4.4601840736292987E-3</v>
      </c>
      <c r="BD719" s="9">
        <v>31.5</v>
      </c>
      <c r="BE719" s="9" t="s">
        <v>368</v>
      </c>
      <c r="BF719" s="9">
        <v>0</v>
      </c>
    </row>
    <row r="720" spans="1:58">
      <c r="A720" s="9">
        <v>396</v>
      </c>
      <c r="B720" s="10" t="s">
        <v>76</v>
      </c>
      <c r="C720" s="10" t="s">
        <v>77</v>
      </c>
      <c r="D720" s="10" t="s">
        <v>501</v>
      </c>
      <c r="E720" s="10" t="s">
        <v>1024</v>
      </c>
      <c r="F720" s="10" t="s">
        <v>77</v>
      </c>
      <c r="G720" s="20" t="s">
        <v>766</v>
      </c>
      <c r="H720" s="20" t="s">
        <v>1024</v>
      </c>
      <c r="I720" s="10" t="s">
        <v>77</v>
      </c>
      <c r="J720" s="20" t="s">
        <v>766</v>
      </c>
      <c r="K720" s="20" t="s">
        <v>1024</v>
      </c>
      <c r="L720" s="9" t="s">
        <v>352</v>
      </c>
      <c r="M720" s="9">
        <v>29</v>
      </c>
      <c r="N720" s="9" t="s">
        <v>381</v>
      </c>
      <c r="O720" s="9" t="s">
        <v>354</v>
      </c>
      <c r="P720" s="12">
        <v>37</v>
      </c>
      <c r="Q720" s="12">
        <v>38</v>
      </c>
      <c r="R720" s="9" t="s">
        <v>356</v>
      </c>
      <c r="S720" s="13">
        <v>14</v>
      </c>
      <c r="T720" s="13">
        <v>14</v>
      </c>
      <c r="U720" s="14">
        <f t="shared" si="99"/>
        <v>1.1760912590556813</v>
      </c>
      <c r="V720" s="15">
        <v>10</v>
      </c>
      <c r="W720" s="12">
        <v>10.102687899999999</v>
      </c>
      <c r="X720" s="12">
        <v>1</v>
      </c>
      <c r="Y720" s="13" t="s">
        <v>384</v>
      </c>
      <c r="Z720" s="9" t="s">
        <v>359</v>
      </c>
      <c r="AA720" s="10" t="s">
        <v>372</v>
      </c>
      <c r="AB720" s="9" t="s">
        <v>417</v>
      </c>
      <c r="AC720" s="15">
        <v>731.4843035659859</v>
      </c>
      <c r="AD720" s="14">
        <f t="shared" si="100"/>
        <v>2.8642050113255584</v>
      </c>
      <c r="AE720" s="10" t="s">
        <v>788</v>
      </c>
      <c r="AF720" s="9" t="s">
        <v>408</v>
      </c>
      <c r="AG720" s="18">
        <v>17.266815000000001</v>
      </c>
      <c r="AH720" s="7">
        <f t="shared" si="101"/>
        <v>1</v>
      </c>
      <c r="AI720" s="7">
        <f t="shared" si="102"/>
        <v>0</v>
      </c>
      <c r="AJ720" s="7">
        <f t="shared" si="103"/>
        <v>0</v>
      </c>
      <c r="AK720" s="7">
        <f t="shared" si="104"/>
        <v>0</v>
      </c>
      <c r="AL720" s="7" t="s">
        <v>4159</v>
      </c>
      <c r="AM720" s="18">
        <f t="shared" si="105"/>
        <v>1.2372122359177391</v>
      </c>
      <c r="AN720" s="18">
        <v>-17.266815000000001</v>
      </c>
      <c r="AO720" s="18">
        <v>145.476079</v>
      </c>
      <c r="AP720" s="9" t="s">
        <v>363</v>
      </c>
      <c r="AQ720" s="9" t="s">
        <v>355</v>
      </c>
      <c r="AR720" s="15">
        <v>1970</v>
      </c>
      <c r="AS720" s="19" t="s">
        <v>898</v>
      </c>
      <c r="AT720" s="10" t="s">
        <v>899</v>
      </c>
      <c r="AU720" s="40">
        <v>213186</v>
      </c>
      <c r="AV720" s="35">
        <f t="shared" si="106"/>
        <v>5.3287586810187744</v>
      </c>
      <c r="AW720" s="37" t="s">
        <v>366</v>
      </c>
      <c r="AX720" s="34" t="s">
        <v>355</v>
      </c>
      <c r="AY720" s="40" t="s">
        <v>355</v>
      </c>
      <c r="AZ720" s="15">
        <v>75</v>
      </c>
      <c r="BA720" s="14">
        <f t="shared" si="107"/>
        <v>1.8750612633917001</v>
      </c>
      <c r="BB720" s="37" t="s">
        <v>388</v>
      </c>
      <c r="BC720" s="20">
        <v>2.5786314525810738E-3</v>
      </c>
      <c r="BD720" s="9">
        <v>29.1</v>
      </c>
      <c r="BE720" s="9" t="s">
        <v>368</v>
      </c>
      <c r="BF720" s="9">
        <v>0</v>
      </c>
    </row>
    <row r="721" spans="1:58">
      <c r="A721" s="9">
        <v>397</v>
      </c>
      <c r="B721" s="10" t="s">
        <v>76</v>
      </c>
      <c r="C721" s="10" t="s">
        <v>77</v>
      </c>
      <c r="D721" s="10" t="s">
        <v>501</v>
      </c>
      <c r="E721" s="10" t="s">
        <v>1024</v>
      </c>
      <c r="F721" s="10" t="s">
        <v>77</v>
      </c>
      <c r="G721" s="20" t="s">
        <v>766</v>
      </c>
      <c r="H721" s="20" t="s">
        <v>1024</v>
      </c>
      <c r="I721" s="10" t="s">
        <v>77</v>
      </c>
      <c r="J721" s="20" t="s">
        <v>766</v>
      </c>
      <c r="K721" s="20" t="s">
        <v>1024</v>
      </c>
      <c r="L721" s="9" t="s">
        <v>352</v>
      </c>
      <c r="M721" s="9">
        <v>29</v>
      </c>
      <c r="N721" s="9" t="s">
        <v>381</v>
      </c>
      <c r="O721" s="9" t="s">
        <v>354</v>
      </c>
      <c r="P721" s="12">
        <v>38.299999999999997</v>
      </c>
      <c r="Q721" s="12">
        <v>39.5</v>
      </c>
      <c r="R721" s="9" t="s">
        <v>356</v>
      </c>
      <c r="S721" s="13">
        <v>14</v>
      </c>
      <c r="T721" s="13">
        <v>14</v>
      </c>
      <c r="U721" s="14">
        <f t="shared" si="99"/>
        <v>1.1760912590556813</v>
      </c>
      <c r="V721" s="15">
        <v>30</v>
      </c>
      <c r="W721" s="12">
        <v>8.2783078999999944</v>
      </c>
      <c r="X721" s="12">
        <v>1</v>
      </c>
      <c r="Y721" s="13" t="s">
        <v>384</v>
      </c>
      <c r="Z721" s="9" t="s">
        <v>359</v>
      </c>
      <c r="AA721" s="10" t="s">
        <v>372</v>
      </c>
      <c r="AB721" s="9" t="s">
        <v>417</v>
      </c>
      <c r="AC721" s="15">
        <v>731.4843035659859</v>
      </c>
      <c r="AD721" s="14">
        <f t="shared" si="100"/>
        <v>2.8642050113255584</v>
      </c>
      <c r="AE721" s="10" t="s">
        <v>788</v>
      </c>
      <c r="AF721" s="9" t="s">
        <v>408</v>
      </c>
      <c r="AG721" s="18">
        <v>17.266815000000001</v>
      </c>
      <c r="AH721" s="7">
        <f t="shared" si="101"/>
        <v>1</v>
      </c>
      <c r="AI721" s="7">
        <f t="shared" si="102"/>
        <v>0</v>
      </c>
      <c r="AJ721" s="7">
        <f t="shared" si="103"/>
        <v>0</v>
      </c>
      <c r="AK721" s="7">
        <f t="shared" si="104"/>
        <v>0</v>
      </c>
      <c r="AL721" s="7" t="s">
        <v>4159</v>
      </c>
      <c r="AM721" s="18">
        <f t="shared" si="105"/>
        <v>1.2372122359177391</v>
      </c>
      <c r="AN721" s="18">
        <v>-17.266815000000001</v>
      </c>
      <c r="AO721" s="18">
        <v>145.476079</v>
      </c>
      <c r="AP721" s="9" t="s">
        <v>363</v>
      </c>
      <c r="AQ721" s="9" t="s">
        <v>355</v>
      </c>
      <c r="AR721" s="15">
        <v>1970</v>
      </c>
      <c r="AS721" s="19" t="s">
        <v>898</v>
      </c>
      <c r="AT721" s="10" t="s">
        <v>899</v>
      </c>
      <c r="AU721" s="40">
        <v>213186</v>
      </c>
      <c r="AV721" s="35">
        <f t="shared" si="106"/>
        <v>5.3287586810187744</v>
      </c>
      <c r="AW721" s="37" t="s">
        <v>366</v>
      </c>
      <c r="AX721" s="34" t="s">
        <v>355</v>
      </c>
      <c r="AY721" s="40" t="s">
        <v>355</v>
      </c>
      <c r="AZ721" s="15">
        <v>75</v>
      </c>
      <c r="BA721" s="14">
        <f t="shared" si="107"/>
        <v>1.8750612633917001</v>
      </c>
      <c r="BB721" s="37" t="s">
        <v>388</v>
      </c>
      <c r="BC721" s="20">
        <v>2.5786314525810738E-3</v>
      </c>
      <c r="BD721" s="9">
        <v>29.1</v>
      </c>
      <c r="BE721" s="9" t="s">
        <v>368</v>
      </c>
      <c r="BF721" s="9">
        <v>0</v>
      </c>
    </row>
    <row r="722" spans="1:58">
      <c r="A722" s="9">
        <v>402</v>
      </c>
      <c r="B722" s="10" t="s">
        <v>76</v>
      </c>
      <c r="C722" s="10" t="s">
        <v>77</v>
      </c>
      <c r="D722" s="10" t="s">
        <v>501</v>
      </c>
      <c r="E722" s="10" t="s">
        <v>1026</v>
      </c>
      <c r="F722" s="10" t="s">
        <v>77</v>
      </c>
      <c r="G722" s="20" t="s">
        <v>766</v>
      </c>
      <c r="H722" s="20" t="s">
        <v>1026</v>
      </c>
      <c r="I722" s="10" t="s">
        <v>77</v>
      </c>
      <c r="J722" s="20" t="s">
        <v>766</v>
      </c>
      <c r="K722" s="20" t="s">
        <v>1026</v>
      </c>
      <c r="L722" s="9" t="s">
        <v>352</v>
      </c>
      <c r="M722" s="9">
        <v>4</v>
      </c>
      <c r="N722" s="9" t="s">
        <v>353</v>
      </c>
      <c r="O722" s="9" t="s">
        <v>354</v>
      </c>
      <c r="P722" s="12">
        <v>30.7</v>
      </c>
      <c r="Q722" s="12">
        <v>32.5</v>
      </c>
      <c r="R722" s="9" t="s">
        <v>356</v>
      </c>
      <c r="S722" s="13">
        <v>14</v>
      </c>
      <c r="T722" s="13">
        <v>14</v>
      </c>
      <c r="U722" s="14">
        <f t="shared" si="99"/>
        <v>1.1760912590556813</v>
      </c>
      <c r="V722" s="15">
        <v>5</v>
      </c>
      <c r="W722" s="12">
        <v>6.0182105999999997</v>
      </c>
      <c r="X722" s="12">
        <v>1</v>
      </c>
      <c r="Y722" s="13" t="s">
        <v>384</v>
      </c>
      <c r="Z722" s="9" t="s">
        <v>359</v>
      </c>
      <c r="AA722" s="10" t="s">
        <v>372</v>
      </c>
      <c r="AB722" s="9" t="s">
        <v>417</v>
      </c>
      <c r="AC722" s="15">
        <v>1371.5330691862237</v>
      </c>
      <c r="AD722" s="14">
        <f t="shared" si="100"/>
        <v>3.137206283389296</v>
      </c>
      <c r="AE722" s="10" t="s">
        <v>1027</v>
      </c>
      <c r="AF722" s="9" t="s">
        <v>420</v>
      </c>
      <c r="AG722" s="18">
        <v>30.631667</v>
      </c>
      <c r="AH722" s="7">
        <f t="shared" si="101"/>
        <v>1</v>
      </c>
      <c r="AI722" s="7">
        <f t="shared" si="102"/>
        <v>1</v>
      </c>
      <c r="AJ722" s="7">
        <f t="shared" si="103"/>
        <v>0</v>
      </c>
      <c r="AK722" s="7">
        <f t="shared" si="104"/>
        <v>0</v>
      </c>
      <c r="AL722" s="7" t="s">
        <v>4157</v>
      </c>
      <c r="AM722" s="18">
        <f t="shared" si="105"/>
        <v>1.4861706321053481</v>
      </c>
      <c r="AN722" s="18">
        <v>-30.631667</v>
      </c>
      <c r="AO722" s="18">
        <v>151.317778</v>
      </c>
      <c r="AP722" s="9" t="s">
        <v>363</v>
      </c>
      <c r="AQ722" s="9" t="s">
        <v>355</v>
      </c>
      <c r="AR722" s="15">
        <v>1970</v>
      </c>
      <c r="AS722" s="19" t="s">
        <v>898</v>
      </c>
      <c r="AT722" s="10" t="s">
        <v>899</v>
      </c>
      <c r="AU722" s="40">
        <v>63425</v>
      </c>
      <c r="AV722" s="35">
        <f t="shared" si="106"/>
        <v>4.8022604758937684</v>
      </c>
      <c r="AW722" s="37" t="s">
        <v>366</v>
      </c>
      <c r="AX722" s="40">
        <v>100</v>
      </c>
      <c r="AY722" s="40">
        <v>800</v>
      </c>
      <c r="AZ722" s="15">
        <v>75</v>
      </c>
      <c r="BA722" s="14">
        <f t="shared" si="107"/>
        <v>1.8750612633917001</v>
      </c>
      <c r="BB722" s="37" t="s">
        <v>388</v>
      </c>
      <c r="BC722" s="20">
        <v>2.2547418967587437E-2</v>
      </c>
      <c r="BD722" s="9">
        <v>27.400000000000002</v>
      </c>
      <c r="BE722" s="9" t="s">
        <v>368</v>
      </c>
      <c r="BF722" s="9">
        <v>0</v>
      </c>
    </row>
    <row r="723" spans="1:58">
      <c r="A723" s="9">
        <v>403</v>
      </c>
      <c r="B723" s="10" t="s">
        <v>76</v>
      </c>
      <c r="C723" s="10" t="s">
        <v>77</v>
      </c>
      <c r="D723" s="10" t="s">
        <v>501</v>
      </c>
      <c r="E723" s="10" t="s">
        <v>1026</v>
      </c>
      <c r="F723" s="10" t="s">
        <v>77</v>
      </c>
      <c r="G723" s="20" t="s">
        <v>766</v>
      </c>
      <c r="H723" s="20" t="s">
        <v>1026</v>
      </c>
      <c r="I723" s="10" t="s">
        <v>77</v>
      </c>
      <c r="J723" s="20" t="s">
        <v>766</v>
      </c>
      <c r="K723" s="20" t="s">
        <v>1026</v>
      </c>
      <c r="L723" s="9" t="s">
        <v>352</v>
      </c>
      <c r="M723" s="9">
        <v>4</v>
      </c>
      <c r="N723" s="9" t="s">
        <v>353</v>
      </c>
      <c r="O723" s="9" t="s">
        <v>354</v>
      </c>
      <c r="P723" s="12">
        <v>31.5</v>
      </c>
      <c r="Q723" s="12">
        <v>33.6</v>
      </c>
      <c r="R723" s="9" t="s">
        <v>356</v>
      </c>
      <c r="S723" s="13">
        <v>14</v>
      </c>
      <c r="T723" s="13">
        <v>14</v>
      </c>
      <c r="U723" s="14">
        <f t="shared" si="99"/>
        <v>1.1760912590556813</v>
      </c>
      <c r="V723" s="15">
        <v>20</v>
      </c>
      <c r="W723" s="12">
        <v>4.4749255999999988</v>
      </c>
      <c r="X723" s="12">
        <v>1</v>
      </c>
      <c r="Y723" s="13" t="s">
        <v>384</v>
      </c>
      <c r="Z723" s="9" t="s">
        <v>359</v>
      </c>
      <c r="AA723" s="10" t="s">
        <v>372</v>
      </c>
      <c r="AB723" s="9" t="s">
        <v>417</v>
      </c>
      <c r="AC723" s="15">
        <v>1371.5330691862237</v>
      </c>
      <c r="AD723" s="14">
        <f t="shared" si="100"/>
        <v>3.137206283389296</v>
      </c>
      <c r="AE723" s="10" t="s">
        <v>1027</v>
      </c>
      <c r="AF723" s="9" t="s">
        <v>420</v>
      </c>
      <c r="AG723" s="18">
        <v>30.631667</v>
      </c>
      <c r="AH723" s="7">
        <f t="shared" si="101"/>
        <v>1</v>
      </c>
      <c r="AI723" s="7">
        <f t="shared" si="102"/>
        <v>1</v>
      </c>
      <c r="AJ723" s="7">
        <f t="shared" si="103"/>
        <v>0</v>
      </c>
      <c r="AK723" s="7">
        <f t="shared" si="104"/>
        <v>0</v>
      </c>
      <c r="AL723" s="7" t="s">
        <v>4157</v>
      </c>
      <c r="AM723" s="18">
        <f t="shared" si="105"/>
        <v>1.4861706321053481</v>
      </c>
      <c r="AN723" s="18">
        <v>-30.631667</v>
      </c>
      <c r="AO723" s="18">
        <v>151.317778</v>
      </c>
      <c r="AP723" s="9" t="s">
        <v>363</v>
      </c>
      <c r="AQ723" s="9" t="s">
        <v>355</v>
      </c>
      <c r="AR723" s="15">
        <v>1970</v>
      </c>
      <c r="AS723" s="19" t="s">
        <v>898</v>
      </c>
      <c r="AT723" s="10" t="s">
        <v>899</v>
      </c>
      <c r="AU723" s="40">
        <v>63425</v>
      </c>
      <c r="AV723" s="35">
        <f t="shared" si="106"/>
        <v>4.8022604758937684</v>
      </c>
      <c r="AW723" s="37" t="s">
        <v>366</v>
      </c>
      <c r="AX723" s="40">
        <v>100</v>
      </c>
      <c r="AY723" s="40">
        <v>800</v>
      </c>
      <c r="AZ723" s="15">
        <v>75</v>
      </c>
      <c r="BA723" s="14">
        <f t="shared" si="107"/>
        <v>1.8750612633917001</v>
      </c>
      <c r="BB723" s="37" t="s">
        <v>388</v>
      </c>
      <c r="BC723" s="20">
        <v>2.2547418967587437E-2</v>
      </c>
      <c r="BD723" s="9">
        <v>27.400000000000002</v>
      </c>
      <c r="BE723" s="9" t="s">
        <v>368</v>
      </c>
      <c r="BF723" s="9">
        <v>0</v>
      </c>
    </row>
    <row r="724" spans="1:58">
      <c r="A724" s="9">
        <v>371</v>
      </c>
      <c r="B724" s="10" t="s">
        <v>76</v>
      </c>
      <c r="C724" s="10" t="s">
        <v>77</v>
      </c>
      <c r="D724" s="10" t="s">
        <v>501</v>
      </c>
      <c r="E724" s="10" t="s">
        <v>1028</v>
      </c>
      <c r="F724" s="10" t="s">
        <v>77</v>
      </c>
      <c r="G724" s="20" t="s">
        <v>766</v>
      </c>
      <c r="H724" s="20" t="s">
        <v>1028</v>
      </c>
      <c r="I724" s="10" t="s">
        <v>77</v>
      </c>
      <c r="J724" s="20" t="s">
        <v>766</v>
      </c>
      <c r="K724" s="20" t="s">
        <v>1029</v>
      </c>
      <c r="L724" s="9" t="s">
        <v>352</v>
      </c>
      <c r="M724" s="9">
        <v>6</v>
      </c>
      <c r="N724" s="9" t="s">
        <v>353</v>
      </c>
      <c r="O724" s="9" t="s">
        <v>354</v>
      </c>
      <c r="P724" s="12">
        <v>33</v>
      </c>
      <c r="Q724" s="12">
        <v>35.299999999999997</v>
      </c>
      <c r="R724" s="9" t="s">
        <v>356</v>
      </c>
      <c r="S724" s="13">
        <v>14</v>
      </c>
      <c r="T724" s="13">
        <v>14</v>
      </c>
      <c r="U724" s="14">
        <f t="shared" si="99"/>
        <v>1.1760912590556813</v>
      </c>
      <c r="V724" s="15">
        <v>10</v>
      </c>
      <c r="W724" s="12">
        <v>5.765175499999998</v>
      </c>
      <c r="X724" s="12">
        <v>1</v>
      </c>
      <c r="Y724" s="13" t="s">
        <v>384</v>
      </c>
      <c r="Z724" s="9" t="s">
        <v>359</v>
      </c>
      <c r="AA724" s="10" t="s">
        <v>372</v>
      </c>
      <c r="AB724" s="9" t="s">
        <v>417</v>
      </c>
      <c r="AC724" s="15">
        <v>304.7851264858275</v>
      </c>
      <c r="AD724" s="14">
        <f t="shared" si="100"/>
        <v>2.4839937696139525</v>
      </c>
      <c r="AE724" s="10" t="s">
        <v>956</v>
      </c>
      <c r="AF724" s="9" t="s">
        <v>420</v>
      </c>
      <c r="AG724" s="18">
        <v>36.691721999999999</v>
      </c>
      <c r="AH724" s="7">
        <f t="shared" si="101"/>
        <v>1</v>
      </c>
      <c r="AI724" s="7">
        <f t="shared" si="102"/>
        <v>1</v>
      </c>
      <c r="AJ724" s="7">
        <f t="shared" si="103"/>
        <v>0</v>
      </c>
      <c r="AK724" s="7">
        <f t="shared" si="104"/>
        <v>0</v>
      </c>
      <c r="AL724" s="7" t="s">
        <v>4157</v>
      </c>
      <c r="AM724" s="18">
        <f t="shared" si="105"/>
        <v>1.5645680943547093</v>
      </c>
      <c r="AN724" s="18">
        <v>-36.691721999999999</v>
      </c>
      <c r="AO724" s="18">
        <v>145.88668899999999</v>
      </c>
      <c r="AP724" s="9" t="s">
        <v>363</v>
      </c>
      <c r="AQ724" s="9" t="s">
        <v>355</v>
      </c>
      <c r="AR724" s="15">
        <v>1970</v>
      </c>
      <c r="AS724" s="19" t="s">
        <v>898</v>
      </c>
      <c r="AT724" s="10" t="s">
        <v>899</v>
      </c>
      <c r="AU724" s="40">
        <v>480312</v>
      </c>
      <c r="AV724" s="35">
        <f t="shared" si="106"/>
        <v>5.6815234370838521</v>
      </c>
      <c r="AW724" s="37" t="s">
        <v>338</v>
      </c>
      <c r="AX724" s="34" t="s">
        <v>355</v>
      </c>
      <c r="AY724" s="40">
        <v>1200</v>
      </c>
      <c r="AZ724" s="15">
        <v>33</v>
      </c>
      <c r="BA724" s="14">
        <f t="shared" si="107"/>
        <v>1.5185139398778875</v>
      </c>
      <c r="BB724" s="37" t="s">
        <v>388</v>
      </c>
      <c r="BC724" s="20">
        <v>1.4744297719087435E-2</v>
      </c>
      <c r="BD724" s="9">
        <v>29.5</v>
      </c>
      <c r="BE724" s="9" t="s">
        <v>368</v>
      </c>
      <c r="BF724" s="9">
        <v>0</v>
      </c>
    </row>
    <row r="725" spans="1:58">
      <c r="A725" s="9">
        <v>372</v>
      </c>
      <c r="B725" s="10" t="s">
        <v>76</v>
      </c>
      <c r="C725" s="10" t="s">
        <v>77</v>
      </c>
      <c r="D725" s="10" t="s">
        <v>501</v>
      </c>
      <c r="E725" s="10" t="s">
        <v>1028</v>
      </c>
      <c r="F725" s="10" t="s">
        <v>77</v>
      </c>
      <c r="G725" s="20" t="s">
        <v>766</v>
      </c>
      <c r="H725" s="20" t="s">
        <v>1028</v>
      </c>
      <c r="I725" s="10" t="s">
        <v>77</v>
      </c>
      <c r="J725" s="20" t="s">
        <v>766</v>
      </c>
      <c r="K725" s="20" t="s">
        <v>1029</v>
      </c>
      <c r="L725" s="9" t="s">
        <v>352</v>
      </c>
      <c r="M725" s="9">
        <v>8</v>
      </c>
      <c r="N725" s="9" t="s">
        <v>353</v>
      </c>
      <c r="O725" s="9" t="s">
        <v>354</v>
      </c>
      <c r="P725" s="12">
        <v>30.8</v>
      </c>
      <c r="Q725" s="12">
        <v>33.6</v>
      </c>
      <c r="R725" s="9" t="s">
        <v>356</v>
      </c>
      <c r="S725" s="13">
        <v>14</v>
      </c>
      <c r="T725" s="13">
        <v>14</v>
      </c>
      <c r="U725" s="14">
        <f t="shared" si="99"/>
        <v>1.1760912590556813</v>
      </c>
      <c r="V725" s="15">
        <v>5</v>
      </c>
      <c r="W725" s="12">
        <v>6.3713448999999969</v>
      </c>
      <c r="X725" s="12">
        <v>1</v>
      </c>
      <c r="Y725" s="13" t="s">
        <v>384</v>
      </c>
      <c r="Z725" s="9" t="s">
        <v>359</v>
      </c>
      <c r="AA725" s="10" t="s">
        <v>372</v>
      </c>
      <c r="AB725" s="9" t="s">
        <v>417</v>
      </c>
      <c r="AC725" s="15">
        <v>304.7851264858275</v>
      </c>
      <c r="AD725" s="14">
        <f t="shared" si="100"/>
        <v>2.4839937696139525</v>
      </c>
      <c r="AE725" s="10" t="s">
        <v>957</v>
      </c>
      <c r="AF725" s="9" t="s">
        <v>420</v>
      </c>
      <c r="AG725" s="18">
        <v>37.133319999999998</v>
      </c>
      <c r="AH725" s="7">
        <f t="shared" si="101"/>
        <v>1</v>
      </c>
      <c r="AI725" s="7">
        <f t="shared" si="102"/>
        <v>1</v>
      </c>
      <c r="AJ725" s="7">
        <f t="shared" si="103"/>
        <v>0</v>
      </c>
      <c r="AK725" s="7">
        <f t="shared" si="104"/>
        <v>0</v>
      </c>
      <c r="AL725" s="7" t="s">
        <v>4157</v>
      </c>
      <c r="AM725" s="18">
        <f t="shared" si="105"/>
        <v>1.5697637801774516</v>
      </c>
      <c r="AN725" s="18">
        <v>-37.133319999999998</v>
      </c>
      <c r="AO725" s="18">
        <v>142.51835800000001</v>
      </c>
      <c r="AP725" s="9" t="s">
        <v>363</v>
      </c>
      <c r="AQ725" s="9" t="s">
        <v>355</v>
      </c>
      <c r="AR725" s="15">
        <v>1970</v>
      </c>
      <c r="AS725" s="19" t="s">
        <v>898</v>
      </c>
      <c r="AT725" s="10" t="s">
        <v>899</v>
      </c>
      <c r="AU725" s="40">
        <v>480312</v>
      </c>
      <c r="AV725" s="35">
        <f t="shared" si="106"/>
        <v>5.6815234370838521</v>
      </c>
      <c r="AW725" s="37" t="s">
        <v>338</v>
      </c>
      <c r="AX725" s="34" t="s">
        <v>355</v>
      </c>
      <c r="AY725" s="40">
        <v>1200</v>
      </c>
      <c r="AZ725" s="15">
        <v>33</v>
      </c>
      <c r="BA725" s="14">
        <f t="shared" si="107"/>
        <v>1.5185139398778875</v>
      </c>
      <c r="BB725" s="37" t="s">
        <v>388</v>
      </c>
      <c r="BC725" s="20">
        <v>2.4296918767506899E-2</v>
      </c>
      <c r="BD725" s="9">
        <v>27.1</v>
      </c>
      <c r="BE725" s="9" t="s">
        <v>368</v>
      </c>
      <c r="BF725" s="9">
        <v>0</v>
      </c>
    </row>
    <row r="726" spans="1:58">
      <c r="A726" s="9">
        <v>373</v>
      </c>
      <c r="B726" s="10" t="s">
        <v>76</v>
      </c>
      <c r="C726" s="10" t="s">
        <v>77</v>
      </c>
      <c r="D726" s="10" t="s">
        <v>501</v>
      </c>
      <c r="E726" s="10" t="s">
        <v>1028</v>
      </c>
      <c r="F726" s="10" t="s">
        <v>77</v>
      </c>
      <c r="G726" s="20" t="s">
        <v>766</v>
      </c>
      <c r="H726" s="20" t="s">
        <v>1028</v>
      </c>
      <c r="I726" s="10" t="s">
        <v>77</v>
      </c>
      <c r="J726" s="20" t="s">
        <v>766</v>
      </c>
      <c r="K726" s="20" t="s">
        <v>1029</v>
      </c>
      <c r="L726" s="9" t="s">
        <v>352</v>
      </c>
      <c r="M726" s="9">
        <v>8</v>
      </c>
      <c r="N726" s="9" t="s">
        <v>353</v>
      </c>
      <c r="O726" s="9" t="s">
        <v>354</v>
      </c>
      <c r="P726" s="12">
        <v>32.6</v>
      </c>
      <c r="Q726" s="12">
        <v>35.5</v>
      </c>
      <c r="R726" s="9" t="s">
        <v>356</v>
      </c>
      <c r="S726" s="13">
        <v>14</v>
      </c>
      <c r="T726" s="13">
        <v>14</v>
      </c>
      <c r="U726" s="14">
        <f t="shared" si="99"/>
        <v>1.1760912590556813</v>
      </c>
      <c r="V726" s="15">
        <v>25</v>
      </c>
      <c r="W726" s="12">
        <v>5.046964899999999</v>
      </c>
      <c r="X726" s="12">
        <v>1</v>
      </c>
      <c r="Y726" s="13" t="s">
        <v>384</v>
      </c>
      <c r="Z726" s="9" t="s">
        <v>359</v>
      </c>
      <c r="AA726" s="10" t="s">
        <v>372</v>
      </c>
      <c r="AB726" s="9" t="s">
        <v>417</v>
      </c>
      <c r="AC726" s="15">
        <v>304.7851264858275</v>
      </c>
      <c r="AD726" s="14">
        <f t="shared" si="100"/>
        <v>2.4839937696139525</v>
      </c>
      <c r="AE726" s="10" t="s">
        <v>957</v>
      </c>
      <c r="AF726" s="9" t="s">
        <v>420</v>
      </c>
      <c r="AG726" s="18">
        <v>37.133319999999998</v>
      </c>
      <c r="AH726" s="7">
        <f t="shared" si="101"/>
        <v>1</v>
      </c>
      <c r="AI726" s="7">
        <f t="shared" si="102"/>
        <v>1</v>
      </c>
      <c r="AJ726" s="7">
        <f t="shared" si="103"/>
        <v>0</v>
      </c>
      <c r="AK726" s="7">
        <f t="shared" si="104"/>
        <v>0</v>
      </c>
      <c r="AL726" s="7" t="s">
        <v>4157</v>
      </c>
      <c r="AM726" s="18">
        <f t="shared" si="105"/>
        <v>1.5697637801774516</v>
      </c>
      <c r="AN726" s="18">
        <v>-37.133319999999998</v>
      </c>
      <c r="AO726" s="18">
        <v>142.51835800000001</v>
      </c>
      <c r="AP726" s="9" t="s">
        <v>363</v>
      </c>
      <c r="AQ726" s="9" t="s">
        <v>355</v>
      </c>
      <c r="AR726" s="15">
        <v>1970</v>
      </c>
      <c r="AS726" s="19" t="s">
        <v>898</v>
      </c>
      <c r="AT726" s="10" t="s">
        <v>899</v>
      </c>
      <c r="AU726" s="40">
        <v>480312</v>
      </c>
      <c r="AV726" s="35">
        <f t="shared" si="106"/>
        <v>5.6815234370838521</v>
      </c>
      <c r="AW726" s="37" t="s">
        <v>338</v>
      </c>
      <c r="AX726" s="34" t="s">
        <v>355</v>
      </c>
      <c r="AY726" s="40">
        <v>1200</v>
      </c>
      <c r="AZ726" s="15">
        <v>33</v>
      </c>
      <c r="BA726" s="14">
        <f t="shared" si="107"/>
        <v>1.5185139398778875</v>
      </c>
      <c r="BB726" s="37" t="s">
        <v>388</v>
      </c>
      <c r="BC726" s="20">
        <v>2.4296918767506899E-2</v>
      </c>
      <c r="BD726" s="9">
        <v>27.1</v>
      </c>
      <c r="BE726" s="9" t="s">
        <v>368</v>
      </c>
      <c r="BF726" s="9">
        <v>0</v>
      </c>
    </row>
    <row r="727" spans="1:58">
      <c r="A727" s="9">
        <v>375</v>
      </c>
      <c r="B727" s="10" t="s">
        <v>76</v>
      </c>
      <c r="C727" s="10" t="s">
        <v>77</v>
      </c>
      <c r="D727" s="10" t="s">
        <v>501</v>
      </c>
      <c r="E727" s="10" t="s">
        <v>1028</v>
      </c>
      <c r="F727" s="10" t="s">
        <v>77</v>
      </c>
      <c r="G727" s="20" t="s">
        <v>766</v>
      </c>
      <c r="H727" s="20" t="s">
        <v>1028</v>
      </c>
      <c r="I727" s="10" t="s">
        <v>77</v>
      </c>
      <c r="J727" s="20" t="s">
        <v>766</v>
      </c>
      <c r="K727" s="20" t="s">
        <v>1029</v>
      </c>
      <c r="L727" s="9" t="s">
        <v>352</v>
      </c>
      <c r="M727" s="9">
        <v>53</v>
      </c>
      <c r="N727" s="9" t="s">
        <v>381</v>
      </c>
      <c r="O727" s="9" t="s">
        <v>354</v>
      </c>
      <c r="P727" s="12">
        <v>31.9</v>
      </c>
      <c r="Q727" s="12">
        <v>34.5</v>
      </c>
      <c r="R727" s="9" t="s">
        <v>356</v>
      </c>
      <c r="S727" s="13">
        <v>14</v>
      </c>
      <c r="T727" s="13">
        <v>14</v>
      </c>
      <c r="U727" s="14">
        <f t="shared" si="99"/>
        <v>1.1760912590556813</v>
      </c>
      <c r="V727" s="15">
        <v>10</v>
      </c>
      <c r="W727" s="12">
        <v>7.4496527999999955</v>
      </c>
      <c r="X727" s="12">
        <v>1</v>
      </c>
      <c r="Y727" s="13" t="s">
        <v>384</v>
      </c>
      <c r="Z727" s="9" t="s">
        <v>359</v>
      </c>
      <c r="AA727" s="10" t="s">
        <v>372</v>
      </c>
      <c r="AB727" s="9" t="s">
        <v>417</v>
      </c>
      <c r="AC727" s="15">
        <v>304.7851264858275</v>
      </c>
      <c r="AD727" s="14">
        <f t="shared" si="100"/>
        <v>2.4839937696139525</v>
      </c>
      <c r="AE727" s="10" t="s">
        <v>958</v>
      </c>
      <c r="AF727" s="9" t="s">
        <v>420</v>
      </c>
      <c r="AG727" s="18">
        <v>37.871645000000001</v>
      </c>
      <c r="AH727" s="7">
        <f t="shared" si="101"/>
        <v>1</v>
      </c>
      <c r="AI727" s="7">
        <f t="shared" si="102"/>
        <v>1</v>
      </c>
      <c r="AJ727" s="7">
        <f t="shared" si="103"/>
        <v>0</v>
      </c>
      <c r="AK727" s="7">
        <f t="shared" si="104"/>
        <v>0</v>
      </c>
      <c r="AL727" s="7" t="s">
        <v>4157</v>
      </c>
      <c r="AM727" s="18">
        <f t="shared" si="105"/>
        <v>1.5783141696285312</v>
      </c>
      <c r="AN727" s="18">
        <v>-37.871645000000001</v>
      </c>
      <c r="AO727" s="18">
        <v>145.24514300000001</v>
      </c>
      <c r="AP727" s="9" t="s">
        <v>363</v>
      </c>
      <c r="AQ727" s="9" t="s">
        <v>355</v>
      </c>
      <c r="AR727" s="15">
        <v>1970</v>
      </c>
      <c r="AS727" s="19" t="s">
        <v>898</v>
      </c>
      <c r="AT727" s="10" t="s">
        <v>899</v>
      </c>
      <c r="AU727" s="40">
        <v>480312</v>
      </c>
      <c r="AV727" s="35">
        <f t="shared" si="106"/>
        <v>5.6815234370838521</v>
      </c>
      <c r="AW727" s="37" t="s">
        <v>338</v>
      </c>
      <c r="AX727" s="34" t="s">
        <v>355</v>
      </c>
      <c r="AY727" s="40">
        <v>1200</v>
      </c>
      <c r="AZ727" s="15">
        <v>33</v>
      </c>
      <c r="BA727" s="14">
        <f t="shared" si="107"/>
        <v>1.5185139398778875</v>
      </c>
      <c r="BB727" s="37" t="s">
        <v>388</v>
      </c>
      <c r="BC727" s="20">
        <v>1.7584633853541302E-2</v>
      </c>
      <c r="BD727" s="9">
        <v>26.200000000000003</v>
      </c>
      <c r="BE727" s="9" t="s">
        <v>368</v>
      </c>
      <c r="BF727" s="9">
        <v>0</v>
      </c>
    </row>
    <row r="728" spans="1:58">
      <c r="A728" s="9">
        <v>374</v>
      </c>
      <c r="B728" s="10" t="s">
        <v>76</v>
      </c>
      <c r="C728" s="10" t="s">
        <v>77</v>
      </c>
      <c r="D728" s="10" t="s">
        <v>501</v>
      </c>
      <c r="E728" s="10" t="s">
        <v>1028</v>
      </c>
      <c r="F728" s="10" t="s">
        <v>77</v>
      </c>
      <c r="G728" s="20" t="s">
        <v>766</v>
      </c>
      <c r="H728" s="20" t="s">
        <v>1028</v>
      </c>
      <c r="I728" s="10" t="s">
        <v>77</v>
      </c>
      <c r="J728" s="20" t="s">
        <v>766</v>
      </c>
      <c r="K728" s="20" t="s">
        <v>1029</v>
      </c>
      <c r="L728" s="9" t="s">
        <v>352</v>
      </c>
      <c r="M728" s="9">
        <v>53</v>
      </c>
      <c r="N728" s="9" t="s">
        <v>381</v>
      </c>
      <c r="O728" s="9" t="s">
        <v>354</v>
      </c>
      <c r="P728" s="12">
        <v>32</v>
      </c>
      <c r="Q728" s="12">
        <v>33.799999999999997</v>
      </c>
      <c r="R728" s="9" t="s">
        <v>356</v>
      </c>
      <c r="S728" s="13">
        <v>14</v>
      </c>
      <c r="T728" s="13">
        <v>14</v>
      </c>
      <c r="U728" s="14">
        <f t="shared" si="99"/>
        <v>1.1760912590556813</v>
      </c>
      <c r="V728" s="15">
        <v>5</v>
      </c>
      <c r="W728" s="12">
        <v>8.3307477999999975</v>
      </c>
      <c r="X728" s="12">
        <v>1</v>
      </c>
      <c r="Y728" s="13" t="s">
        <v>384</v>
      </c>
      <c r="Z728" s="9" t="s">
        <v>359</v>
      </c>
      <c r="AA728" s="10" t="s">
        <v>372</v>
      </c>
      <c r="AB728" s="9" t="s">
        <v>417</v>
      </c>
      <c r="AC728" s="15">
        <v>304.7851264858275</v>
      </c>
      <c r="AD728" s="14">
        <f t="shared" si="100"/>
        <v>2.4839937696139525</v>
      </c>
      <c r="AE728" s="10" t="s">
        <v>958</v>
      </c>
      <c r="AF728" s="9" t="s">
        <v>420</v>
      </c>
      <c r="AG728" s="18">
        <v>37.871645000000001</v>
      </c>
      <c r="AH728" s="7">
        <f t="shared" si="101"/>
        <v>1</v>
      </c>
      <c r="AI728" s="7">
        <f t="shared" si="102"/>
        <v>1</v>
      </c>
      <c r="AJ728" s="7">
        <f t="shared" si="103"/>
        <v>0</v>
      </c>
      <c r="AK728" s="7">
        <f t="shared" si="104"/>
        <v>0</v>
      </c>
      <c r="AL728" s="7" t="s">
        <v>4157</v>
      </c>
      <c r="AM728" s="18">
        <f t="shared" si="105"/>
        <v>1.5783141696285312</v>
      </c>
      <c r="AN728" s="18">
        <v>-37.871645000000001</v>
      </c>
      <c r="AO728" s="18">
        <v>145.24514300000001</v>
      </c>
      <c r="AP728" s="9" t="s">
        <v>363</v>
      </c>
      <c r="AQ728" s="9" t="s">
        <v>355</v>
      </c>
      <c r="AR728" s="15">
        <v>1970</v>
      </c>
      <c r="AS728" s="19" t="s">
        <v>898</v>
      </c>
      <c r="AT728" s="10" t="s">
        <v>899</v>
      </c>
      <c r="AU728" s="40">
        <v>480312</v>
      </c>
      <c r="AV728" s="35">
        <f t="shared" si="106"/>
        <v>5.6815234370838521</v>
      </c>
      <c r="AW728" s="37" t="s">
        <v>338</v>
      </c>
      <c r="AX728" s="34" t="s">
        <v>355</v>
      </c>
      <c r="AY728" s="40">
        <v>1200</v>
      </c>
      <c r="AZ728" s="15">
        <v>33</v>
      </c>
      <c r="BA728" s="14">
        <f t="shared" si="107"/>
        <v>1.5185139398778875</v>
      </c>
      <c r="BB728" s="37" t="s">
        <v>388</v>
      </c>
      <c r="BC728" s="20">
        <v>1.7584633853541302E-2</v>
      </c>
      <c r="BD728" s="9">
        <v>26.200000000000003</v>
      </c>
      <c r="BE728" s="9" t="s">
        <v>368</v>
      </c>
      <c r="BF728" s="9">
        <v>0</v>
      </c>
    </row>
    <row r="729" spans="1:58">
      <c r="A729" s="9">
        <v>370</v>
      </c>
      <c r="B729" s="10" t="s">
        <v>76</v>
      </c>
      <c r="C729" s="10" t="s">
        <v>77</v>
      </c>
      <c r="D729" s="10" t="s">
        <v>501</v>
      </c>
      <c r="E729" s="10" t="s">
        <v>1028</v>
      </c>
      <c r="F729" s="10" t="s">
        <v>77</v>
      </c>
      <c r="G729" s="20" t="s">
        <v>766</v>
      </c>
      <c r="H729" s="20" t="s">
        <v>1028</v>
      </c>
      <c r="I729" s="10" t="s">
        <v>77</v>
      </c>
      <c r="J729" s="20" t="s">
        <v>766</v>
      </c>
      <c r="K729" s="20" t="s">
        <v>1029</v>
      </c>
      <c r="L729" s="9" t="s">
        <v>352</v>
      </c>
      <c r="M729" s="9">
        <v>2</v>
      </c>
      <c r="N729" s="9" t="s">
        <v>353</v>
      </c>
      <c r="O729" s="9" t="s">
        <v>354</v>
      </c>
      <c r="P729" s="12">
        <v>32.700000000000003</v>
      </c>
      <c r="Q729" s="12">
        <v>36</v>
      </c>
      <c r="R729" s="9" t="s">
        <v>356</v>
      </c>
      <c r="S729" s="13">
        <v>14</v>
      </c>
      <c r="T729" s="13">
        <v>14</v>
      </c>
      <c r="U729" s="14">
        <f t="shared" si="99"/>
        <v>1.1760912590556813</v>
      </c>
      <c r="V729" s="15">
        <v>5</v>
      </c>
      <c r="W729" s="12">
        <v>8.6932353999999989</v>
      </c>
      <c r="X729" s="12">
        <v>1</v>
      </c>
      <c r="Y729" s="13" t="s">
        <v>384</v>
      </c>
      <c r="Z729" s="9" t="s">
        <v>359</v>
      </c>
      <c r="AA729" s="10" t="s">
        <v>372</v>
      </c>
      <c r="AB729" s="9" t="s">
        <v>417</v>
      </c>
      <c r="AC729" s="15">
        <v>304.7851264858275</v>
      </c>
      <c r="AD729" s="14">
        <f t="shared" si="100"/>
        <v>2.4839937696139525</v>
      </c>
      <c r="AE729" s="10" t="s">
        <v>897</v>
      </c>
      <c r="AF729" s="9" t="s">
        <v>420</v>
      </c>
      <c r="AG729" s="18">
        <v>33.425020000000004</v>
      </c>
      <c r="AH729" s="7">
        <f t="shared" si="101"/>
        <v>1</v>
      </c>
      <c r="AI729" s="7">
        <f t="shared" si="102"/>
        <v>1</v>
      </c>
      <c r="AJ729" s="7">
        <f t="shared" si="103"/>
        <v>0</v>
      </c>
      <c r="AK729" s="7">
        <f t="shared" si="104"/>
        <v>0</v>
      </c>
      <c r="AL729" s="7" t="s">
        <v>4157</v>
      </c>
      <c r="AM729" s="18">
        <f t="shared" si="105"/>
        <v>1.5240716757960127</v>
      </c>
      <c r="AN729" s="18">
        <v>-33.425020000000004</v>
      </c>
      <c r="AO729" s="18">
        <v>151.342219</v>
      </c>
      <c r="AP729" s="9" t="s">
        <v>363</v>
      </c>
      <c r="AQ729" s="9" t="s">
        <v>355</v>
      </c>
      <c r="AR729" s="15">
        <v>1970</v>
      </c>
      <c r="AS729" s="19" t="s">
        <v>898</v>
      </c>
      <c r="AT729" s="10" t="s">
        <v>899</v>
      </c>
      <c r="AU729" s="40">
        <v>480312</v>
      </c>
      <c r="AV729" s="35">
        <f t="shared" si="106"/>
        <v>5.6815234370838521</v>
      </c>
      <c r="AW729" s="37" t="s">
        <v>338</v>
      </c>
      <c r="AX729" s="34" t="s">
        <v>355</v>
      </c>
      <c r="AY729" s="40">
        <v>1200</v>
      </c>
      <c r="AZ729" s="15">
        <v>33</v>
      </c>
      <c r="BA729" s="14">
        <f t="shared" si="107"/>
        <v>1.5185139398778875</v>
      </c>
      <c r="BB729" s="37" t="s">
        <v>388</v>
      </c>
      <c r="BC729" s="20">
        <v>7.0504201680672398E-3</v>
      </c>
      <c r="BD729" s="9">
        <v>26.6</v>
      </c>
      <c r="BE729" s="9" t="s">
        <v>368</v>
      </c>
      <c r="BF729" s="9">
        <v>0</v>
      </c>
    </row>
    <row r="730" spans="1:58">
      <c r="A730" s="9">
        <v>376</v>
      </c>
      <c r="B730" s="10" t="s">
        <v>76</v>
      </c>
      <c r="C730" s="10" t="s">
        <v>77</v>
      </c>
      <c r="D730" s="10" t="s">
        <v>501</v>
      </c>
      <c r="E730" s="10" t="s">
        <v>1028</v>
      </c>
      <c r="F730" s="10" t="s">
        <v>77</v>
      </c>
      <c r="G730" s="20" t="s">
        <v>766</v>
      </c>
      <c r="H730" s="20" t="s">
        <v>1028</v>
      </c>
      <c r="I730" s="10" t="s">
        <v>77</v>
      </c>
      <c r="J730" s="20" t="s">
        <v>766</v>
      </c>
      <c r="K730" s="20" t="s">
        <v>1029</v>
      </c>
      <c r="L730" s="9" t="s">
        <v>352</v>
      </c>
      <c r="M730" s="9">
        <v>53</v>
      </c>
      <c r="N730" s="9" t="s">
        <v>381</v>
      </c>
      <c r="O730" s="9" t="s">
        <v>354</v>
      </c>
      <c r="P730" s="12">
        <v>34</v>
      </c>
      <c r="Q730" s="12">
        <v>36.1</v>
      </c>
      <c r="R730" s="9" t="s">
        <v>356</v>
      </c>
      <c r="S730" s="13">
        <v>14</v>
      </c>
      <c r="T730" s="13">
        <v>14</v>
      </c>
      <c r="U730" s="14">
        <f t="shared" si="99"/>
        <v>1.1760912590556813</v>
      </c>
      <c r="V730" s="15">
        <v>20</v>
      </c>
      <c r="W730" s="12">
        <v>7.9874627999999959</v>
      </c>
      <c r="X730" s="12">
        <v>1</v>
      </c>
      <c r="Y730" s="13" t="s">
        <v>384</v>
      </c>
      <c r="Z730" s="9" t="s">
        <v>359</v>
      </c>
      <c r="AA730" s="10" t="s">
        <v>372</v>
      </c>
      <c r="AB730" s="9" t="s">
        <v>417</v>
      </c>
      <c r="AC730" s="15">
        <v>304.7851264858275</v>
      </c>
      <c r="AD730" s="14">
        <f t="shared" si="100"/>
        <v>2.4839937696139525</v>
      </c>
      <c r="AE730" s="10" t="s">
        <v>958</v>
      </c>
      <c r="AF730" s="9" t="s">
        <v>420</v>
      </c>
      <c r="AG730" s="18">
        <v>37.871645000000001</v>
      </c>
      <c r="AH730" s="7">
        <f t="shared" si="101"/>
        <v>1</v>
      </c>
      <c r="AI730" s="7">
        <f t="shared" si="102"/>
        <v>1</v>
      </c>
      <c r="AJ730" s="7">
        <f t="shared" si="103"/>
        <v>0</v>
      </c>
      <c r="AK730" s="7">
        <f t="shared" si="104"/>
        <v>0</v>
      </c>
      <c r="AL730" s="7" t="s">
        <v>4157</v>
      </c>
      <c r="AM730" s="18">
        <f t="shared" si="105"/>
        <v>1.5783141696285312</v>
      </c>
      <c r="AN730" s="18">
        <v>-37.871645000000001</v>
      </c>
      <c r="AO730" s="18">
        <v>145.24514300000001</v>
      </c>
      <c r="AP730" s="9" t="s">
        <v>363</v>
      </c>
      <c r="AQ730" s="9" t="s">
        <v>355</v>
      </c>
      <c r="AR730" s="15">
        <v>1970</v>
      </c>
      <c r="AS730" s="19" t="s">
        <v>898</v>
      </c>
      <c r="AT730" s="10" t="s">
        <v>899</v>
      </c>
      <c r="AU730" s="40">
        <v>480312</v>
      </c>
      <c r="AV730" s="35">
        <f t="shared" si="106"/>
        <v>5.6815234370838521</v>
      </c>
      <c r="AW730" s="37" t="s">
        <v>338</v>
      </c>
      <c r="AX730" s="34" t="s">
        <v>355</v>
      </c>
      <c r="AY730" s="40">
        <v>1200</v>
      </c>
      <c r="AZ730" s="15">
        <v>33</v>
      </c>
      <c r="BA730" s="14">
        <f t="shared" si="107"/>
        <v>1.5185139398778875</v>
      </c>
      <c r="BB730" s="37" t="s">
        <v>388</v>
      </c>
      <c r="BC730" s="20">
        <v>1.7584633853541302E-2</v>
      </c>
      <c r="BD730" s="9">
        <v>26.200000000000003</v>
      </c>
      <c r="BE730" s="9" t="s">
        <v>368</v>
      </c>
      <c r="BF730" s="9">
        <v>0</v>
      </c>
    </row>
    <row r="731" spans="1:58">
      <c r="A731" s="9">
        <v>368</v>
      </c>
      <c r="B731" s="10" t="s">
        <v>76</v>
      </c>
      <c r="C731" s="10" t="s">
        <v>77</v>
      </c>
      <c r="D731" s="10" t="s">
        <v>501</v>
      </c>
      <c r="E731" s="10" t="s">
        <v>1028</v>
      </c>
      <c r="F731" s="10" t="s">
        <v>77</v>
      </c>
      <c r="G731" s="20" t="s">
        <v>766</v>
      </c>
      <c r="H731" s="20" t="s">
        <v>1028</v>
      </c>
      <c r="I731" s="10" t="s">
        <v>77</v>
      </c>
      <c r="J731" s="20" t="s">
        <v>766</v>
      </c>
      <c r="K731" s="20" t="s">
        <v>1029</v>
      </c>
      <c r="L731" s="9" t="s">
        <v>352</v>
      </c>
      <c r="M731" s="9">
        <v>8</v>
      </c>
      <c r="N731" s="9" t="s">
        <v>353</v>
      </c>
      <c r="O731" s="9" t="s">
        <v>354</v>
      </c>
      <c r="P731" s="12">
        <v>30.7</v>
      </c>
      <c r="Q731" s="12">
        <v>33.9</v>
      </c>
      <c r="R731" s="9" t="s">
        <v>356</v>
      </c>
      <c r="S731" s="13">
        <v>14</v>
      </c>
      <c r="T731" s="13">
        <v>14</v>
      </c>
      <c r="U731" s="14">
        <f t="shared" si="99"/>
        <v>1.1760912590556813</v>
      </c>
      <c r="V731" s="15">
        <v>5</v>
      </c>
      <c r="W731" s="12">
        <v>7.1151258999999953</v>
      </c>
      <c r="X731" s="12">
        <v>1</v>
      </c>
      <c r="Y731" s="13" t="s">
        <v>384</v>
      </c>
      <c r="Z731" s="9" t="s">
        <v>359</v>
      </c>
      <c r="AA731" s="10" t="s">
        <v>372</v>
      </c>
      <c r="AB731" s="9" t="s">
        <v>417</v>
      </c>
      <c r="AC731" s="15">
        <v>1066.7479427003962</v>
      </c>
      <c r="AD731" s="14">
        <f t="shared" si="100"/>
        <v>3.0280618139642281</v>
      </c>
      <c r="AE731" s="10" t="s">
        <v>962</v>
      </c>
      <c r="AF731" s="9" t="s">
        <v>420</v>
      </c>
      <c r="AG731" s="18">
        <v>30.514343</v>
      </c>
      <c r="AH731" s="7">
        <f t="shared" si="101"/>
        <v>1</v>
      </c>
      <c r="AI731" s="7">
        <f t="shared" si="102"/>
        <v>1</v>
      </c>
      <c r="AJ731" s="7">
        <f t="shared" si="103"/>
        <v>0</v>
      </c>
      <c r="AK731" s="7">
        <f t="shared" si="104"/>
        <v>0</v>
      </c>
      <c r="AL731" s="7" t="s">
        <v>4157</v>
      </c>
      <c r="AM731" s="18">
        <f t="shared" si="105"/>
        <v>1.4845040236602571</v>
      </c>
      <c r="AN731" s="18">
        <v>-30.514343</v>
      </c>
      <c r="AO731" s="18">
        <v>151.66696400000001</v>
      </c>
      <c r="AP731" s="9" t="s">
        <v>363</v>
      </c>
      <c r="AQ731" s="9" t="s">
        <v>355</v>
      </c>
      <c r="AR731" s="15">
        <v>1970</v>
      </c>
      <c r="AS731" s="19" t="s">
        <v>898</v>
      </c>
      <c r="AT731" s="10" t="s">
        <v>899</v>
      </c>
      <c r="AU731" s="40">
        <v>480312</v>
      </c>
      <c r="AV731" s="35">
        <f t="shared" si="106"/>
        <v>5.6815234370838521</v>
      </c>
      <c r="AW731" s="37" t="s">
        <v>338</v>
      </c>
      <c r="AX731" s="34" t="s">
        <v>355</v>
      </c>
      <c r="AY731" s="40">
        <v>1200</v>
      </c>
      <c r="AZ731" s="15">
        <v>33</v>
      </c>
      <c r="BA731" s="14">
        <f t="shared" si="107"/>
        <v>1.5185139398778875</v>
      </c>
      <c r="BB731" s="37" t="s">
        <v>388</v>
      </c>
      <c r="BC731" s="20">
        <v>1.6987194877951452E-2</v>
      </c>
      <c r="BD731" s="9">
        <v>26.1</v>
      </c>
      <c r="BE731" s="9" t="s">
        <v>368</v>
      </c>
      <c r="BF731" s="9">
        <v>0</v>
      </c>
    </row>
    <row r="732" spans="1:58">
      <c r="A732" s="9">
        <v>369</v>
      </c>
      <c r="B732" s="10" t="s">
        <v>76</v>
      </c>
      <c r="C732" s="10" t="s">
        <v>77</v>
      </c>
      <c r="D732" s="10" t="s">
        <v>501</v>
      </c>
      <c r="E732" s="10" t="s">
        <v>1028</v>
      </c>
      <c r="F732" s="10" t="s">
        <v>77</v>
      </c>
      <c r="G732" s="20" t="s">
        <v>766</v>
      </c>
      <c r="H732" s="20" t="s">
        <v>1028</v>
      </c>
      <c r="I732" s="10" t="s">
        <v>77</v>
      </c>
      <c r="J732" s="20" t="s">
        <v>766</v>
      </c>
      <c r="K732" s="20" t="s">
        <v>1029</v>
      </c>
      <c r="L732" s="9" t="s">
        <v>352</v>
      </c>
      <c r="M732" s="9">
        <v>8</v>
      </c>
      <c r="N732" s="9" t="s">
        <v>353</v>
      </c>
      <c r="O732" s="9" t="s">
        <v>354</v>
      </c>
      <c r="P732" s="12">
        <v>32.799999999999997</v>
      </c>
      <c r="Q732" s="12">
        <v>34.299999999999997</v>
      </c>
      <c r="R732" s="9" t="s">
        <v>356</v>
      </c>
      <c r="S732" s="13">
        <v>14</v>
      </c>
      <c r="T732" s="13">
        <v>14</v>
      </c>
      <c r="U732" s="14">
        <f t="shared" si="99"/>
        <v>1.1760912590556813</v>
      </c>
      <c r="V732" s="15">
        <v>25</v>
      </c>
      <c r="W732" s="12">
        <v>6.0907458999999946</v>
      </c>
      <c r="X732" s="12">
        <v>1</v>
      </c>
      <c r="Y732" s="13" t="s">
        <v>384</v>
      </c>
      <c r="Z732" s="9" t="s">
        <v>359</v>
      </c>
      <c r="AA732" s="10" t="s">
        <v>372</v>
      </c>
      <c r="AB732" s="9" t="s">
        <v>417</v>
      </c>
      <c r="AC732" s="15">
        <v>1066.7479427003962</v>
      </c>
      <c r="AD732" s="14">
        <f t="shared" si="100"/>
        <v>3.0280618139642281</v>
      </c>
      <c r="AE732" s="10" t="s">
        <v>962</v>
      </c>
      <c r="AF732" s="9" t="s">
        <v>420</v>
      </c>
      <c r="AG732" s="18">
        <v>30.514343</v>
      </c>
      <c r="AH732" s="7">
        <f t="shared" si="101"/>
        <v>1</v>
      </c>
      <c r="AI732" s="7">
        <f t="shared" si="102"/>
        <v>1</v>
      </c>
      <c r="AJ732" s="7">
        <f t="shared" si="103"/>
        <v>0</v>
      </c>
      <c r="AK732" s="7">
        <f t="shared" si="104"/>
        <v>0</v>
      </c>
      <c r="AL732" s="7" t="s">
        <v>4157</v>
      </c>
      <c r="AM732" s="18">
        <f t="shared" si="105"/>
        <v>1.4845040236602571</v>
      </c>
      <c r="AN732" s="18">
        <v>-30.514343</v>
      </c>
      <c r="AO732" s="18">
        <v>151.66696400000001</v>
      </c>
      <c r="AP732" s="9" t="s">
        <v>363</v>
      </c>
      <c r="AQ732" s="9" t="s">
        <v>355</v>
      </c>
      <c r="AR732" s="15">
        <v>1970</v>
      </c>
      <c r="AS732" s="19" t="s">
        <v>898</v>
      </c>
      <c r="AT732" s="10" t="s">
        <v>899</v>
      </c>
      <c r="AU732" s="40">
        <v>480312</v>
      </c>
      <c r="AV732" s="35">
        <f t="shared" si="106"/>
        <v>5.6815234370838521</v>
      </c>
      <c r="AW732" s="37" t="s">
        <v>338</v>
      </c>
      <c r="AX732" s="34" t="s">
        <v>355</v>
      </c>
      <c r="AY732" s="40">
        <v>1200</v>
      </c>
      <c r="AZ732" s="15">
        <v>33</v>
      </c>
      <c r="BA732" s="14">
        <f t="shared" si="107"/>
        <v>1.5185139398778875</v>
      </c>
      <c r="BB732" s="37" t="s">
        <v>388</v>
      </c>
      <c r="BC732" s="20">
        <v>1.6987194877951452E-2</v>
      </c>
      <c r="BD732" s="9">
        <v>26.1</v>
      </c>
      <c r="BE732" s="9" t="s">
        <v>368</v>
      </c>
      <c r="BF732" s="9">
        <v>0</v>
      </c>
    </row>
    <row r="733" spans="1:58">
      <c r="A733" s="9">
        <v>387</v>
      </c>
      <c r="B733" s="10" t="s">
        <v>76</v>
      </c>
      <c r="C733" s="10" t="s">
        <v>77</v>
      </c>
      <c r="D733" s="10" t="s">
        <v>501</v>
      </c>
      <c r="E733" s="10" t="s">
        <v>789</v>
      </c>
      <c r="F733" s="10" t="s">
        <v>77</v>
      </c>
      <c r="G733" s="20" t="s">
        <v>766</v>
      </c>
      <c r="H733" s="20" t="s">
        <v>790</v>
      </c>
      <c r="I733" s="10" t="s">
        <v>77</v>
      </c>
      <c r="J733" s="20" t="s">
        <v>766</v>
      </c>
      <c r="K733" s="20" t="s">
        <v>790</v>
      </c>
      <c r="L733" s="9" t="s">
        <v>352</v>
      </c>
      <c r="M733" s="9">
        <v>12</v>
      </c>
      <c r="N733" s="9" t="s">
        <v>381</v>
      </c>
      <c r="O733" s="9" t="s">
        <v>354</v>
      </c>
      <c r="P733" s="12">
        <v>39</v>
      </c>
      <c r="Q733" s="12">
        <v>40.299999999999997</v>
      </c>
      <c r="R733" s="9" t="s">
        <v>356</v>
      </c>
      <c r="S733" s="13">
        <v>14</v>
      </c>
      <c r="T733" s="13">
        <v>14</v>
      </c>
      <c r="U733" s="14">
        <f t="shared" si="99"/>
        <v>1.1760912590556813</v>
      </c>
      <c r="V733" s="15">
        <v>10</v>
      </c>
      <c r="W733" s="12">
        <v>9.9932353999999961</v>
      </c>
      <c r="X733" s="12">
        <v>1</v>
      </c>
      <c r="Y733" s="13" t="s">
        <v>384</v>
      </c>
      <c r="Z733" s="9" t="s">
        <v>359</v>
      </c>
      <c r="AA733" s="10" t="s">
        <v>372</v>
      </c>
      <c r="AB733" s="9" t="s">
        <v>417</v>
      </c>
      <c r="AC733" s="15">
        <v>30.478512648582747</v>
      </c>
      <c r="AD733" s="14">
        <f t="shared" si="100"/>
        <v>1.4839937696139522</v>
      </c>
      <c r="AE733" s="10" t="s">
        <v>1023</v>
      </c>
      <c r="AF733" s="9" t="s">
        <v>408</v>
      </c>
      <c r="AG733" s="18">
        <v>19.257626999999999</v>
      </c>
      <c r="AH733" s="7">
        <f t="shared" si="101"/>
        <v>1</v>
      </c>
      <c r="AI733" s="7">
        <f t="shared" si="102"/>
        <v>0</v>
      </c>
      <c r="AJ733" s="7">
        <f t="shared" si="103"/>
        <v>0</v>
      </c>
      <c r="AK733" s="7">
        <f t="shared" si="104"/>
        <v>0</v>
      </c>
      <c r="AL733" s="7" t="s">
        <v>4159</v>
      </c>
      <c r="AM733" s="18">
        <f t="shared" si="105"/>
        <v>1.2846027706234564</v>
      </c>
      <c r="AN733" s="18">
        <v>-19.257626999999999</v>
      </c>
      <c r="AO733" s="18">
        <v>146.817871</v>
      </c>
      <c r="AP733" s="9" t="s">
        <v>363</v>
      </c>
      <c r="AQ733" s="9" t="s">
        <v>355</v>
      </c>
      <c r="AR733" s="15">
        <v>1970</v>
      </c>
      <c r="AS733" s="19" t="s">
        <v>898</v>
      </c>
      <c r="AT733" s="10" t="s">
        <v>899</v>
      </c>
      <c r="AU733" s="40">
        <v>576165</v>
      </c>
      <c r="AV733" s="35">
        <f t="shared" si="106"/>
        <v>5.7605468728813261</v>
      </c>
      <c r="AW733" s="37" t="s">
        <v>366</v>
      </c>
      <c r="AX733" s="34" t="s">
        <v>355</v>
      </c>
      <c r="AY733" s="40" t="s">
        <v>355</v>
      </c>
      <c r="AZ733" s="15">
        <v>33</v>
      </c>
      <c r="BA733" s="14">
        <f t="shared" si="107"/>
        <v>1.5185139398778875</v>
      </c>
      <c r="BB733" s="37" t="s">
        <v>388</v>
      </c>
      <c r="BC733" s="20">
        <v>1.0623449379751775E-2</v>
      </c>
      <c r="BD733" s="9">
        <v>31.6</v>
      </c>
      <c r="BE733" s="9" t="s">
        <v>368</v>
      </c>
      <c r="BF733" s="9">
        <v>0</v>
      </c>
    </row>
    <row r="734" spans="1:58">
      <c r="A734" s="9">
        <v>385</v>
      </c>
      <c r="B734" s="10" t="s">
        <v>76</v>
      </c>
      <c r="C734" s="10" t="s">
        <v>77</v>
      </c>
      <c r="D734" s="10" t="s">
        <v>501</v>
      </c>
      <c r="E734" s="10" t="s">
        <v>789</v>
      </c>
      <c r="F734" s="10" t="s">
        <v>77</v>
      </c>
      <c r="G734" s="20" t="s">
        <v>766</v>
      </c>
      <c r="H734" s="20" t="s">
        <v>790</v>
      </c>
      <c r="I734" s="10" t="s">
        <v>77</v>
      </c>
      <c r="J734" s="20" t="s">
        <v>766</v>
      </c>
      <c r="K734" s="20" t="s">
        <v>790</v>
      </c>
      <c r="L734" s="9" t="s">
        <v>352</v>
      </c>
      <c r="M734" s="9">
        <v>27</v>
      </c>
      <c r="N734" s="9" t="s">
        <v>381</v>
      </c>
      <c r="O734" s="9" t="s">
        <v>354</v>
      </c>
      <c r="P734" s="12">
        <v>37.5</v>
      </c>
      <c r="Q734" s="12">
        <v>38.9</v>
      </c>
      <c r="R734" s="9" t="s">
        <v>356</v>
      </c>
      <c r="S734" s="13">
        <v>14</v>
      </c>
      <c r="T734" s="13">
        <v>14</v>
      </c>
      <c r="U734" s="14">
        <f t="shared" si="99"/>
        <v>1.1760912590556813</v>
      </c>
      <c r="V734" s="15">
        <v>10</v>
      </c>
      <c r="W734" s="12">
        <v>8.9151258999999996</v>
      </c>
      <c r="X734" s="12">
        <v>1</v>
      </c>
      <c r="Y734" s="13" t="s">
        <v>384</v>
      </c>
      <c r="Z734" s="9" t="s">
        <v>359</v>
      </c>
      <c r="AA734" s="10" t="s">
        <v>372</v>
      </c>
      <c r="AB734" s="9" t="s">
        <v>417</v>
      </c>
      <c r="AC734" s="15">
        <v>304.7851264858275</v>
      </c>
      <c r="AD734" s="14">
        <f t="shared" si="100"/>
        <v>2.4839937696139525</v>
      </c>
      <c r="AE734" s="10" t="s">
        <v>996</v>
      </c>
      <c r="AF734" s="9" t="s">
        <v>408</v>
      </c>
      <c r="AG734" s="18">
        <v>17.932869</v>
      </c>
      <c r="AH734" s="7">
        <f t="shared" si="101"/>
        <v>1</v>
      </c>
      <c r="AI734" s="7">
        <f t="shared" si="102"/>
        <v>0</v>
      </c>
      <c r="AJ734" s="7">
        <f t="shared" si="103"/>
        <v>0</v>
      </c>
      <c r="AK734" s="7">
        <f t="shared" si="104"/>
        <v>0</v>
      </c>
      <c r="AL734" s="7" t="s">
        <v>4159</v>
      </c>
      <c r="AM734" s="18">
        <f t="shared" si="105"/>
        <v>1.2536497759644691</v>
      </c>
      <c r="AN734" s="18">
        <v>-17.932869</v>
      </c>
      <c r="AO734" s="18">
        <v>145.92355599999999</v>
      </c>
      <c r="AP734" s="9" t="s">
        <v>363</v>
      </c>
      <c r="AQ734" s="9" t="s">
        <v>355</v>
      </c>
      <c r="AR734" s="15">
        <v>1970</v>
      </c>
      <c r="AS734" s="19" t="s">
        <v>898</v>
      </c>
      <c r="AT734" s="10" t="s">
        <v>899</v>
      </c>
      <c r="AU734" s="40">
        <v>576165</v>
      </c>
      <c r="AV734" s="35">
        <f t="shared" si="106"/>
        <v>5.7605468728813261</v>
      </c>
      <c r="AW734" s="37" t="s">
        <v>366</v>
      </c>
      <c r="AX734" s="34" t="s">
        <v>355</v>
      </c>
      <c r="AY734" s="40" t="s">
        <v>355</v>
      </c>
      <c r="AZ734" s="15">
        <v>33</v>
      </c>
      <c r="BA734" s="14">
        <f t="shared" si="107"/>
        <v>1.5185139398778875</v>
      </c>
      <c r="BB734" s="37" t="s">
        <v>388</v>
      </c>
      <c r="BC734" s="20">
        <v>7.543817527010924E-3</v>
      </c>
      <c r="BD734" s="9">
        <v>31.1</v>
      </c>
      <c r="BE734" s="9" t="s">
        <v>368</v>
      </c>
      <c r="BF734" s="9">
        <v>0</v>
      </c>
    </row>
    <row r="735" spans="1:58">
      <c r="A735" s="9">
        <v>388</v>
      </c>
      <c r="B735" s="10" t="s">
        <v>76</v>
      </c>
      <c r="C735" s="10" t="s">
        <v>77</v>
      </c>
      <c r="D735" s="10" t="s">
        <v>501</v>
      </c>
      <c r="E735" s="10" t="s">
        <v>789</v>
      </c>
      <c r="F735" s="10" t="s">
        <v>77</v>
      </c>
      <c r="G735" s="20" t="s">
        <v>766</v>
      </c>
      <c r="H735" s="20" t="s">
        <v>790</v>
      </c>
      <c r="I735" s="10" t="s">
        <v>77</v>
      </c>
      <c r="J735" s="20" t="s">
        <v>766</v>
      </c>
      <c r="K735" s="20" t="s">
        <v>790</v>
      </c>
      <c r="L735" s="9" t="s">
        <v>352</v>
      </c>
      <c r="M735" s="9">
        <v>12</v>
      </c>
      <c r="N735" s="9" t="s">
        <v>381</v>
      </c>
      <c r="O735" s="9" t="s">
        <v>354</v>
      </c>
      <c r="P735" s="12">
        <v>39.6</v>
      </c>
      <c r="Q735" s="12">
        <v>40.6</v>
      </c>
      <c r="R735" s="9" t="s">
        <v>356</v>
      </c>
      <c r="S735" s="13">
        <v>14</v>
      </c>
      <c r="T735" s="13">
        <v>14</v>
      </c>
      <c r="U735" s="14">
        <f t="shared" si="99"/>
        <v>1.1760912590556813</v>
      </c>
      <c r="V735" s="15">
        <v>30</v>
      </c>
      <c r="W735" s="12">
        <v>7.4688554000000025</v>
      </c>
      <c r="X735" s="12">
        <v>1</v>
      </c>
      <c r="Y735" s="13" t="s">
        <v>384</v>
      </c>
      <c r="Z735" s="9" t="s">
        <v>359</v>
      </c>
      <c r="AA735" s="10" t="s">
        <v>372</v>
      </c>
      <c r="AB735" s="9" t="s">
        <v>417</v>
      </c>
      <c r="AC735" s="15">
        <v>304.7851264858275</v>
      </c>
      <c r="AD735" s="14">
        <f t="shared" si="100"/>
        <v>2.4839937696139525</v>
      </c>
      <c r="AE735" s="10" t="s">
        <v>1023</v>
      </c>
      <c r="AF735" s="9" t="s">
        <v>408</v>
      </c>
      <c r="AG735" s="18">
        <v>19.257626999999999</v>
      </c>
      <c r="AH735" s="7">
        <f t="shared" si="101"/>
        <v>1</v>
      </c>
      <c r="AI735" s="7">
        <f t="shared" si="102"/>
        <v>0</v>
      </c>
      <c r="AJ735" s="7">
        <f t="shared" si="103"/>
        <v>0</v>
      </c>
      <c r="AK735" s="7">
        <f t="shared" si="104"/>
        <v>0</v>
      </c>
      <c r="AL735" s="7" t="s">
        <v>4159</v>
      </c>
      <c r="AM735" s="18">
        <f t="shared" si="105"/>
        <v>1.2846027706234564</v>
      </c>
      <c r="AN735" s="18">
        <v>-19.257626999999999</v>
      </c>
      <c r="AO735" s="18">
        <v>146.817871</v>
      </c>
      <c r="AP735" s="9" t="s">
        <v>363</v>
      </c>
      <c r="AQ735" s="9" t="s">
        <v>355</v>
      </c>
      <c r="AR735" s="15">
        <v>1970</v>
      </c>
      <c r="AS735" s="19" t="s">
        <v>898</v>
      </c>
      <c r="AT735" s="10" t="s">
        <v>899</v>
      </c>
      <c r="AU735" s="40">
        <v>576165</v>
      </c>
      <c r="AV735" s="35">
        <f t="shared" si="106"/>
        <v>5.7605468728813261</v>
      </c>
      <c r="AW735" s="37" t="s">
        <v>366</v>
      </c>
      <c r="AX735" s="34" t="s">
        <v>355</v>
      </c>
      <c r="AY735" s="40" t="s">
        <v>355</v>
      </c>
      <c r="AZ735" s="15">
        <v>33</v>
      </c>
      <c r="BA735" s="14">
        <f t="shared" si="107"/>
        <v>1.5185139398778875</v>
      </c>
      <c r="BB735" s="37" t="s">
        <v>388</v>
      </c>
      <c r="BC735" s="20">
        <v>1.0623449379751775E-2</v>
      </c>
      <c r="BD735" s="9">
        <v>31.6</v>
      </c>
      <c r="BE735" s="9" t="s">
        <v>368</v>
      </c>
      <c r="BF735" s="9">
        <v>0</v>
      </c>
    </row>
    <row r="736" spans="1:58">
      <c r="A736" s="9">
        <v>390</v>
      </c>
      <c r="B736" s="10" t="s">
        <v>76</v>
      </c>
      <c r="C736" s="10" t="s">
        <v>77</v>
      </c>
      <c r="D736" s="10" t="s">
        <v>501</v>
      </c>
      <c r="E736" s="10" t="s">
        <v>789</v>
      </c>
      <c r="F736" s="10" t="s">
        <v>77</v>
      </c>
      <c r="G736" s="20" t="s">
        <v>766</v>
      </c>
      <c r="H736" s="20" t="s">
        <v>790</v>
      </c>
      <c r="I736" s="10" t="s">
        <v>77</v>
      </c>
      <c r="J736" s="20" t="s">
        <v>766</v>
      </c>
      <c r="K736" s="20" t="s">
        <v>790</v>
      </c>
      <c r="L736" s="9" t="s">
        <v>352</v>
      </c>
      <c r="M736" s="9">
        <v>73</v>
      </c>
      <c r="N736" s="9" t="s">
        <v>381</v>
      </c>
      <c r="O736" s="9" t="s">
        <v>354</v>
      </c>
      <c r="P736" s="12">
        <v>34.6</v>
      </c>
      <c r="Q736" s="12">
        <v>35.9</v>
      </c>
      <c r="R736" s="9" t="s">
        <v>356</v>
      </c>
      <c r="S736" s="13">
        <v>14</v>
      </c>
      <c r="T736" s="13">
        <v>14</v>
      </c>
      <c r="U736" s="14">
        <f t="shared" si="99"/>
        <v>1.1760912590556813</v>
      </c>
      <c r="V736" s="15">
        <v>5</v>
      </c>
      <c r="W736" s="12">
        <v>10.593235399999998</v>
      </c>
      <c r="X736" s="12">
        <v>1</v>
      </c>
      <c r="Y736" s="13" t="s">
        <v>384</v>
      </c>
      <c r="Z736" s="9" t="s">
        <v>359</v>
      </c>
      <c r="AA736" s="10" t="s">
        <v>372</v>
      </c>
      <c r="AB736" s="9" t="s">
        <v>417</v>
      </c>
      <c r="AC736" s="15">
        <v>304.7851264858275</v>
      </c>
      <c r="AD736" s="14">
        <f t="shared" si="100"/>
        <v>2.4839937696139525</v>
      </c>
      <c r="AE736" s="10" t="s">
        <v>897</v>
      </c>
      <c r="AF736" s="9" t="s">
        <v>420</v>
      </c>
      <c r="AG736" s="18">
        <v>33.425020000000004</v>
      </c>
      <c r="AH736" s="7">
        <f t="shared" si="101"/>
        <v>1</v>
      </c>
      <c r="AI736" s="7">
        <f t="shared" si="102"/>
        <v>1</v>
      </c>
      <c r="AJ736" s="7">
        <f t="shared" si="103"/>
        <v>0</v>
      </c>
      <c r="AK736" s="7">
        <f t="shared" si="104"/>
        <v>0</v>
      </c>
      <c r="AL736" s="7" t="s">
        <v>4157</v>
      </c>
      <c r="AM736" s="18">
        <f t="shared" si="105"/>
        <v>1.5240716757960127</v>
      </c>
      <c r="AN736" s="18">
        <v>-33.425020000000004</v>
      </c>
      <c r="AO736" s="18">
        <v>151.342219</v>
      </c>
      <c r="AP736" s="9" t="s">
        <v>363</v>
      </c>
      <c r="AQ736" s="9" t="s">
        <v>355</v>
      </c>
      <c r="AR736" s="15">
        <v>1970</v>
      </c>
      <c r="AS736" s="19" t="s">
        <v>898</v>
      </c>
      <c r="AT736" s="10" t="s">
        <v>899</v>
      </c>
      <c r="AU736" s="40">
        <v>576165</v>
      </c>
      <c r="AV736" s="35">
        <f t="shared" si="106"/>
        <v>5.7605468728813261</v>
      </c>
      <c r="AW736" s="37" t="s">
        <v>366</v>
      </c>
      <c r="AX736" s="34" t="s">
        <v>355</v>
      </c>
      <c r="AY736" s="40" t="s">
        <v>355</v>
      </c>
      <c r="AZ736" s="15">
        <v>33</v>
      </c>
      <c r="BA736" s="14">
        <f t="shared" si="107"/>
        <v>1.5185139398778875</v>
      </c>
      <c r="BB736" s="37" t="s">
        <v>388</v>
      </c>
      <c r="BC736" s="20">
        <v>7.0504201680672398E-3</v>
      </c>
      <c r="BD736" s="9">
        <v>26.6</v>
      </c>
      <c r="BE736" s="9" t="s">
        <v>368</v>
      </c>
      <c r="BF736" s="9">
        <v>0</v>
      </c>
    </row>
    <row r="737" spans="1:58">
      <c r="A737" s="9">
        <v>389</v>
      </c>
      <c r="B737" s="10" t="s">
        <v>76</v>
      </c>
      <c r="C737" s="10" t="s">
        <v>77</v>
      </c>
      <c r="D737" s="10" t="s">
        <v>501</v>
      </c>
      <c r="E737" s="10" t="s">
        <v>789</v>
      </c>
      <c r="F737" s="10" t="s">
        <v>77</v>
      </c>
      <c r="G737" s="20" t="s">
        <v>766</v>
      </c>
      <c r="H737" s="20" t="s">
        <v>790</v>
      </c>
      <c r="I737" s="10" t="s">
        <v>77</v>
      </c>
      <c r="J737" s="20" t="s">
        <v>766</v>
      </c>
      <c r="K737" s="20" t="s">
        <v>790</v>
      </c>
      <c r="L737" s="9" t="s">
        <v>352</v>
      </c>
      <c r="M737" s="9">
        <v>3</v>
      </c>
      <c r="N737" s="9" t="s">
        <v>353</v>
      </c>
      <c r="O737" s="9" t="s">
        <v>354</v>
      </c>
      <c r="P737" s="12">
        <v>37.1</v>
      </c>
      <c r="Q737" s="12">
        <v>38.200000000000003</v>
      </c>
      <c r="R737" s="9" t="s">
        <v>356</v>
      </c>
      <c r="S737" s="13">
        <v>14</v>
      </c>
      <c r="T737" s="13">
        <v>14</v>
      </c>
      <c r="U737" s="14">
        <f t="shared" si="99"/>
        <v>1.1760912590556813</v>
      </c>
      <c r="V737" s="15">
        <v>10</v>
      </c>
      <c r="W737" s="12">
        <v>12.312140399999997</v>
      </c>
      <c r="X737" s="12">
        <v>1</v>
      </c>
      <c r="Y737" s="13" t="s">
        <v>384</v>
      </c>
      <c r="Z737" s="9" t="s">
        <v>359</v>
      </c>
      <c r="AA737" s="10" t="s">
        <v>372</v>
      </c>
      <c r="AB737" s="9" t="s">
        <v>417</v>
      </c>
      <c r="AC737" s="15">
        <v>304.7851264858275</v>
      </c>
      <c r="AD737" s="14">
        <f t="shared" si="100"/>
        <v>2.4839937696139525</v>
      </c>
      <c r="AE737" s="10" t="s">
        <v>897</v>
      </c>
      <c r="AF737" s="9" t="s">
        <v>420</v>
      </c>
      <c r="AG737" s="18">
        <v>33.425020000000004</v>
      </c>
      <c r="AH737" s="7">
        <f t="shared" si="101"/>
        <v>1</v>
      </c>
      <c r="AI737" s="7">
        <f t="shared" si="102"/>
        <v>1</v>
      </c>
      <c r="AJ737" s="7">
        <f t="shared" si="103"/>
        <v>0</v>
      </c>
      <c r="AK737" s="7">
        <f t="shared" si="104"/>
        <v>0</v>
      </c>
      <c r="AL737" s="7" t="s">
        <v>4157</v>
      </c>
      <c r="AM737" s="18">
        <f t="shared" si="105"/>
        <v>1.5240716757960127</v>
      </c>
      <c r="AN737" s="18">
        <v>-33.425020000000004</v>
      </c>
      <c r="AO737" s="18">
        <v>151.342219</v>
      </c>
      <c r="AP737" s="9" t="s">
        <v>363</v>
      </c>
      <c r="AQ737" s="9" t="s">
        <v>355</v>
      </c>
      <c r="AR737" s="15">
        <v>1970</v>
      </c>
      <c r="AS737" s="19" t="s">
        <v>898</v>
      </c>
      <c r="AT737" s="10" t="s">
        <v>899</v>
      </c>
      <c r="AU737" s="40">
        <v>576165</v>
      </c>
      <c r="AV737" s="35">
        <f t="shared" si="106"/>
        <v>5.7605468728813261</v>
      </c>
      <c r="AW737" s="37" t="s">
        <v>366</v>
      </c>
      <c r="AX737" s="34" t="s">
        <v>355</v>
      </c>
      <c r="AY737" s="40" t="s">
        <v>355</v>
      </c>
      <c r="AZ737" s="15">
        <v>33</v>
      </c>
      <c r="BA737" s="14">
        <f t="shared" si="107"/>
        <v>1.5185139398778875</v>
      </c>
      <c r="BB737" s="37" t="s">
        <v>388</v>
      </c>
      <c r="BC737" s="20">
        <v>7.0504201680672398E-3</v>
      </c>
      <c r="BD737" s="9">
        <v>26.6</v>
      </c>
      <c r="BE737" s="9" t="s">
        <v>368</v>
      </c>
      <c r="BF737" s="9">
        <v>0</v>
      </c>
    </row>
    <row r="738" spans="1:58">
      <c r="A738" s="9">
        <v>386</v>
      </c>
      <c r="B738" s="10" t="s">
        <v>76</v>
      </c>
      <c r="C738" s="10" t="s">
        <v>77</v>
      </c>
      <c r="D738" s="10" t="s">
        <v>501</v>
      </c>
      <c r="E738" s="10" t="s">
        <v>789</v>
      </c>
      <c r="F738" s="10" t="s">
        <v>77</v>
      </c>
      <c r="G738" s="20" t="s">
        <v>766</v>
      </c>
      <c r="H738" s="20" t="s">
        <v>790</v>
      </c>
      <c r="I738" s="10" t="s">
        <v>77</v>
      </c>
      <c r="J738" s="20" t="s">
        <v>766</v>
      </c>
      <c r="K738" s="20" t="s">
        <v>790</v>
      </c>
      <c r="L738" s="9" t="s">
        <v>352</v>
      </c>
      <c r="M738" s="9">
        <v>27</v>
      </c>
      <c r="N738" s="9" t="s">
        <v>381</v>
      </c>
      <c r="O738" s="9" t="s">
        <v>354</v>
      </c>
      <c r="P738" s="12">
        <v>41.6</v>
      </c>
      <c r="Q738" s="12">
        <v>41.7</v>
      </c>
      <c r="R738" s="9" t="s">
        <v>356</v>
      </c>
      <c r="S738" s="13">
        <v>14</v>
      </c>
      <c r="T738" s="13">
        <v>14</v>
      </c>
      <c r="U738" s="14">
        <f t="shared" si="99"/>
        <v>1.1760912590556813</v>
      </c>
      <c r="V738" s="15">
        <v>30</v>
      </c>
      <c r="W738" s="12">
        <v>9.8907458999999989</v>
      </c>
      <c r="X738" s="12">
        <v>1</v>
      </c>
      <c r="Y738" s="13" t="s">
        <v>384</v>
      </c>
      <c r="Z738" s="9" t="s">
        <v>359</v>
      </c>
      <c r="AA738" s="10" t="s">
        <v>372</v>
      </c>
      <c r="AB738" s="9" t="s">
        <v>417</v>
      </c>
      <c r="AC738" s="15">
        <v>304.7851264858275</v>
      </c>
      <c r="AD738" s="14">
        <f t="shared" si="100"/>
        <v>2.4839937696139525</v>
      </c>
      <c r="AE738" s="10" t="s">
        <v>996</v>
      </c>
      <c r="AF738" s="9" t="s">
        <v>408</v>
      </c>
      <c r="AG738" s="18">
        <v>17.932869</v>
      </c>
      <c r="AH738" s="7">
        <f t="shared" si="101"/>
        <v>1</v>
      </c>
      <c r="AI738" s="7">
        <f t="shared" si="102"/>
        <v>0</v>
      </c>
      <c r="AJ738" s="7">
        <f t="shared" si="103"/>
        <v>0</v>
      </c>
      <c r="AK738" s="7">
        <f t="shared" si="104"/>
        <v>0</v>
      </c>
      <c r="AL738" s="7" t="s">
        <v>4159</v>
      </c>
      <c r="AM738" s="18">
        <f t="shared" si="105"/>
        <v>1.2536497759644691</v>
      </c>
      <c r="AN738" s="18">
        <v>-17.932869</v>
      </c>
      <c r="AO738" s="18">
        <v>145.92355599999999</v>
      </c>
      <c r="AP738" s="9" t="s">
        <v>363</v>
      </c>
      <c r="AQ738" s="9" t="s">
        <v>355</v>
      </c>
      <c r="AR738" s="15">
        <v>1970</v>
      </c>
      <c r="AS738" s="19" t="s">
        <v>898</v>
      </c>
      <c r="AT738" s="10" t="s">
        <v>899</v>
      </c>
      <c r="AU738" s="40">
        <v>576165</v>
      </c>
      <c r="AV738" s="35">
        <f t="shared" si="106"/>
        <v>5.7605468728813261</v>
      </c>
      <c r="AW738" s="37" t="s">
        <v>366</v>
      </c>
      <c r="AX738" s="34" t="s">
        <v>355</v>
      </c>
      <c r="AY738" s="40" t="s">
        <v>355</v>
      </c>
      <c r="AZ738" s="15">
        <v>33</v>
      </c>
      <c r="BA738" s="14">
        <f t="shared" si="107"/>
        <v>1.5185139398778875</v>
      </c>
      <c r="BB738" s="37" t="s">
        <v>388</v>
      </c>
      <c r="BC738" s="20">
        <v>7.543817527010924E-3</v>
      </c>
      <c r="BD738" s="9">
        <v>31.1</v>
      </c>
      <c r="BE738" s="9" t="s">
        <v>368</v>
      </c>
      <c r="BF738" s="9">
        <v>0</v>
      </c>
    </row>
    <row r="739" spans="1:58">
      <c r="A739" s="9">
        <v>391</v>
      </c>
      <c r="B739" s="10" t="s">
        <v>76</v>
      </c>
      <c r="C739" s="10" t="s">
        <v>77</v>
      </c>
      <c r="D739" s="10" t="s">
        <v>501</v>
      </c>
      <c r="E739" s="10" t="s">
        <v>789</v>
      </c>
      <c r="F739" s="10" t="s">
        <v>77</v>
      </c>
      <c r="G739" s="20" t="s">
        <v>766</v>
      </c>
      <c r="H739" s="20" t="s">
        <v>790</v>
      </c>
      <c r="I739" s="10" t="s">
        <v>77</v>
      </c>
      <c r="J739" s="20" t="s">
        <v>766</v>
      </c>
      <c r="K739" s="20" t="s">
        <v>790</v>
      </c>
      <c r="L739" s="9" t="s">
        <v>352</v>
      </c>
      <c r="M739" s="9">
        <v>73</v>
      </c>
      <c r="N739" s="9" t="s">
        <v>381</v>
      </c>
      <c r="O739" s="9" t="s">
        <v>354</v>
      </c>
      <c r="P739" s="12">
        <v>37.5</v>
      </c>
      <c r="Q739" s="12">
        <v>38.4</v>
      </c>
      <c r="R739" s="9" t="s">
        <v>356</v>
      </c>
      <c r="S739" s="13">
        <v>14</v>
      </c>
      <c r="T739" s="13">
        <v>14</v>
      </c>
      <c r="U739" s="14">
        <f t="shared" si="99"/>
        <v>1.1760912590556813</v>
      </c>
      <c r="V739" s="15">
        <v>25</v>
      </c>
      <c r="W739" s="12">
        <v>10.368855400000001</v>
      </c>
      <c r="X739" s="12">
        <v>1</v>
      </c>
      <c r="Y739" s="13" t="s">
        <v>384</v>
      </c>
      <c r="Z739" s="9" t="s">
        <v>359</v>
      </c>
      <c r="AA739" s="10" t="s">
        <v>372</v>
      </c>
      <c r="AB739" s="9" t="s">
        <v>417</v>
      </c>
      <c r="AC739" s="15">
        <v>304.7851264858275</v>
      </c>
      <c r="AD739" s="14">
        <f t="shared" si="100"/>
        <v>2.4839937696139525</v>
      </c>
      <c r="AE739" s="10" t="s">
        <v>897</v>
      </c>
      <c r="AF739" s="9" t="s">
        <v>420</v>
      </c>
      <c r="AG739" s="18">
        <v>33.425020000000004</v>
      </c>
      <c r="AH739" s="7">
        <f t="shared" si="101"/>
        <v>1</v>
      </c>
      <c r="AI739" s="7">
        <f t="shared" si="102"/>
        <v>1</v>
      </c>
      <c r="AJ739" s="7">
        <f t="shared" si="103"/>
        <v>0</v>
      </c>
      <c r="AK739" s="7">
        <f t="shared" si="104"/>
        <v>0</v>
      </c>
      <c r="AL739" s="7" t="s">
        <v>4157</v>
      </c>
      <c r="AM739" s="18">
        <f t="shared" si="105"/>
        <v>1.5240716757960127</v>
      </c>
      <c r="AN739" s="18">
        <v>-33.425020000000004</v>
      </c>
      <c r="AO739" s="18">
        <v>151.342219</v>
      </c>
      <c r="AP739" s="9" t="s">
        <v>363</v>
      </c>
      <c r="AQ739" s="9" t="s">
        <v>355</v>
      </c>
      <c r="AR739" s="15">
        <v>1970</v>
      </c>
      <c r="AS739" s="19" t="s">
        <v>898</v>
      </c>
      <c r="AT739" s="10" t="s">
        <v>899</v>
      </c>
      <c r="AU739" s="40">
        <v>576165</v>
      </c>
      <c r="AV739" s="35">
        <f t="shared" si="106"/>
        <v>5.7605468728813261</v>
      </c>
      <c r="AW739" s="37" t="s">
        <v>366</v>
      </c>
      <c r="AX739" s="34" t="s">
        <v>355</v>
      </c>
      <c r="AY739" s="40" t="s">
        <v>355</v>
      </c>
      <c r="AZ739" s="15">
        <v>33</v>
      </c>
      <c r="BA739" s="14">
        <f t="shared" si="107"/>
        <v>1.5185139398778875</v>
      </c>
      <c r="BB739" s="37" t="s">
        <v>388</v>
      </c>
      <c r="BC739" s="20">
        <v>7.0504201680672398E-3</v>
      </c>
      <c r="BD739" s="9">
        <v>26.6</v>
      </c>
      <c r="BE739" s="9" t="s">
        <v>368</v>
      </c>
      <c r="BF739" s="9">
        <v>0</v>
      </c>
    </row>
    <row r="740" spans="1:58">
      <c r="A740" s="9">
        <v>361</v>
      </c>
      <c r="B740" s="10" t="s">
        <v>76</v>
      </c>
      <c r="C740" s="10" t="s">
        <v>77</v>
      </c>
      <c r="D740" s="10" t="s">
        <v>501</v>
      </c>
      <c r="E740" s="10" t="s">
        <v>791</v>
      </c>
      <c r="F740" s="10" t="s">
        <v>77</v>
      </c>
      <c r="G740" s="20" t="s">
        <v>766</v>
      </c>
      <c r="H740" s="20" t="s">
        <v>791</v>
      </c>
      <c r="I740" s="10" t="s">
        <v>77</v>
      </c>
      <c r="J740" s="20" t="s">
        <v>766</v>
      </c>
      <c r="K740" s="20" t="s">
        <v>791</v>
      </c>
      <c r="L740" s="9" t="s">
        <v>352</v>
      </c>
      <c r="M740" s="9">
        <v>2</v>
      </c>
      <c r="N740" s="9" t="s">
        <v>353</v>
      </c>
      <c r="O740" s="9" t="s">
        <v>354</v>
      </c>
      <c r="P740" s="12">
        <v>31.3</v>
      </c>
      <c r="Q740" s="12" t="s">
        <v>355</v>
      </c>
      <c r="R740" s="9" t="s">
        <v>356</v>
      </c>
      <c r="S740" s="13">
        <v>14</v>
      </c>
      <c r="T740" s="13">
        <v>14</v>
      </c>
      <c r="U740" s="14">
        <f t="shared" si="99"/>
        <v>1.1760912590556813</v>
      </c>
      <c r="V740" s="15">
        <v>5</v>
      </c>
      <c r="W740" s="12">
        <v>7.2932354000000004</v>
      </c>
      <c r="X740" s="12">
        <v>1</v>
      </c>
      <c r="Y740" s="13" t="s">
        <v>384</v>
      </c>
      <c r="Z740" s="9" t="s">
        <v>359</v>
      </c>
      <c r="AA740" s="10" t="s">
        <v>372</v>
      </c>
      <c r="AB740" s="9" t="s">
        <v>417</v>
      </c>
      <c r="AC740" s="15">
        <v>304.7851264858275</v>
      </c>
      <c r="AD740" s="14">
        <f t="shared" si="100"/>
        <v>2.4839937696139525</v>
      </c>
      <c r="AE740" s="10" t="s">
        <v>897</v>
      </c>
      <c r="AF740" s="9" t="s">
        <v>420</v>
      </c>
      <c r="AG740" s="18">
        <v>33.425020000000004</v>
      </c>
      <c r="AH740" s="7">
        <f t="shared" si="101"/>
        <v>1</v>
      </c>
      <c r="AI740" s="7">
        <f t="shared" si="102"/>
        <v>1</v>
      </c>
      <c r="AJ740" s="7">
        <f t="shared" si="103"/>
        <v>0</v>
      </c>
      <c r="AK740" s="7">
        <f t="shared" si="104"/>
        <v>0</v>
      </c>
      <c r="AL740" s="7" t="s">
        <v>4157</v>
      </c>
      <c r="AM740" s="18">
        <f t="shared" si="105"/>
        <v>1.5240716757960127</v>
      </c>
      <c r="AN740" s="18">
        <v>-33.425020000000004</v>
      </c>
      <c r="AO740" s="18">
        <v>151.342219</v>
      </c>
      <c r="AP740" s="9" t="s">
        <v>363</v>
      </c>
      <c r="AQ740" s="9" t="s">
        <v>355</v>
      </c>
      <c r="AR740" s="15">
        <v>1970</v>
      </c>
      <c r="AS740" s="19" t="s">
        <v>898</v>
      </c>
      <c r="AT740" s="10" t="s">
        <v>899</v>
      </c>
      <c r="AU740" s="40">
        <v>58574</v>
      </c>
      <c r="AV740" s="35">
        <f t="shared" si="106"/>
        <v>4.7677048828739661</v>
      </c>
      <c r="AW740" s="37" t="s">
        <v>366</v>
      </c>
      <c r="AX740" s="34" t="s">
        <v>355</v>
      </c>
      <c r="AY740" s="40" t="s">
        <v>355</v>
      </c>
      <c r="AZ740" s="15">
        <v>33</v>
      </c>
      <c r="BA740" s="14">
        <f t="shared" si="107"/>
        <v>1.5185139398778875</v>
      </c>
      <c r="BB740" s="37" t="s">
        <v>388</v>
      </c>
      <c r="BC740" s="20">
        <v>7.0504201680672398E-3</v>
      </c>
      <c r="BD740" s="9">
        <v>26.6</v>
      </c>
      <c r="BE740" s="9" t="s">
        <v>459</v>
      </c>
      <c r="BF740" s="9">
        <v>1</v>
      </c>
    </row>
    <row r="741" spans="1:58">
      <c r="A741" s="9">
        <v>401</v>
      </c>
      <c r="B741" s="10" t="s">
        <v>76</v>
      </c>
      <c r="C741" s="10" t="s">
        <v>77</v>
      </c>
      <c r="D741" s="10" t="s">
        <v>501</v>
      </c>
      <c r="E741" s="10" t="s">
        <v>793</v>
      </c>
      <c r="F741" s="10" t="s">
        <v>77</v>
      </c>
      <c r="G741" s="20" t="s">
        <v>766</v>
      </c>
      <c r="H741" s="20" t="s">
        <v>793</v>
      </c>
      <c r="I741" s="10" t="s">
        <v>77</v>
      </c>
      <c r="J741" s="20" t="s">
        <v>766</v>
      </c>
      <c r="K741" s="20" t="s">
        <v>793</v>
      </c>
      <c r="L741" s="9" t="s">
        <v>352</v>
      </c>
      <c r="M741" s="9">
        <v>2</v>
      </c>
      <c r="N741" s="9" t="s">
        <v>353</v>
      </c>
      <c r="O741" s="9" t="s">
        <v>354</v>
      </c>
      <c r="P741" s="12">
        <v>38.299999999999997</v>
      </c>
      <c r="Q741" s="12" t="s">
        <v>355</v>
      </c>
      <c r="R741" s="9" t="s">
        <v>356</v>
      </c>
      <c r="S741" s="13">
        <v>14</v>
      </c>
      <c r="T741" s="13">
        <v>14</v>
      </c>
      <c r="U741" s="14">
        <f t="shared" si="99"/>
        <v>1.1760912590556813</v>
      </c>
      <c r="V741" s="15">
        <v>30</v>
      </c>
      <c r="W741" s="12">
        <v>6.2532335000000003</v>
      </c>
      <c r="X741" s="12">
        <v>1</v>
      </c>
      <c r="Y741" s="13" t="s">
        <v>384</v>
      </c>
      <c r="Z741" s="9" t="s">
        <v>359</v>
      </c>
      <c r="AA741" s="10" t="s">
        <v>372</v>
      </c>
      <c r="AB741" s="9" t="s">
        <v>417</v>
      </c>
      <c r="AC741" s="15">
        <v>304.7851264858275</v>
      </c>
      <c r="AD741" s="14">
        <f t="shared" si="100"/>
        <v>2.4839937696139525</v>
      </c>
      <c r="AE741" s="10" t="s">
        <v>1025</v>
      </c>
      <c r="AF741" s="9" t="s">
        <v>408</v>
      </c>
      <c r="AG741" s="18">
        <v>16.920334</v>
      </c>
      <c r="AH741" s="7">
        <f t="shared" si="101"/>
        <v>1</v>
      </c>
      <c r="AI741" s="7">
        <f t="shared" si="102"/>
        <v>0</v>
      </c>
      <c r="AJ741" s="7">
        <f t="shared" si="103"/>
        <v>0</v>
      </c>
      <c r="AK741" s="7">
        <f t="shared" si="104"/>
        <v>0</v>
      </c>
      <c r="AL741" s="7" t="s">
        <v>4159</v>
      </c>
      <c r="AM741" s="18">
        <f t="shared" si="105"/>
        <v>1.2284089315709297</v>
      </c>
      <c r="AN741" s="18">
        <v>-16.920334</v>
      </c>
      <c r="AO741" s="18">
        <v>145.77086</v>
      </c>
      <c r="AP741" s="9" t="s">
        <v>363</v>
      </c>
      <c r="AQ741" s="9" t="s">
        <v>355</v>
      </c>
      <c r="AR741" s="15">
        <v>1970</v>
      </c>
      <c r="AS741" s="19" t="s">
        <v>898</v>
      </c>
      <c r="AT741" s="10" t="s">
        <v>899</v>
      </c>
      <c r="AU741" s="40">
        <v>318857</v>
      </c>
      <c r="AV741" s="35">
        <f t="shared" si="106"/>
        <v>5.5035959556748599</v>
      </c>
      <c r="AW741" s="37" t="s">
        <v>366</v>
      </c>
      <c r="AX741" s="34" t="s">
        <v>355</v>
      </c>
      <c r="AY741" s="40" t="s">
        <v>355</v>
      </c>
      <c r="AZ741" s="15">
        <v>33</v>
      </c>
      <c r="BA741" s="14">
        <f t="shared" si="107"/>
        <v>1.5185139398778875</v>
      </c>
      <c r="BB741" s="37" t="s">
        <v>388</v>
      </c>
      <c r="BC741" s="20">
        <v>4.4601840736292987E-3</v>
      </c>
      <c r="BD741" s="9">
        <v>31.5</v>
      </c>
      <c r="BE741" s="9" t="s">
        <v>368</v>
      </c>
      <c r="BF741" s="9">
        <v>0</v>
      </c>
    </row>
    <row r="742" spans="1:58">
      <c r="A742" s="9">
        <v>399</v>
      </c>
      <c r="B742" s="10" t="s">
        <v>76</v>
      </c>
      <c r="C742" s="10" t="s">
        <v>77</v>
      </c>
      <c r="D742" s="10" t="s">
        <v>501</v>
      </c>
      <c r="E742" s="10" t="s">
        <v>793</v>
      </c>
      <c r="F742" s="10" t="s">
        <v>77</v>
      </c>
      <c r="G742" s="20" t="s">
        <v>766</v>
      </c>
      <c r="H742" s="20" t="s">
        <v>793</v>
      </c>
      <c r="I742" s="10" t="s">
        <v>77</v>
      </c>
      <c r="J742" s="20" t="s">
        <v>766</v>
      </c>
      <c r="K742" s="20" t="s">
        <v>793</v>
      </c>
      <c r="L742" s="9" t="s">
        <v>352</v>
      </c>
      <c r="M742" s="9">
        <v>32</v>
      </c>
      <c r="N742" s="9" t="s">
        <v>381</v>
      </c>
      <c r="O742" s="9" t="s">
        <v>354</v>
      </c>
      <c r="P742" s="12">
        <v>36.6</v>
      </c>
      <c r="Q742" s="12">
        <v>39</v>
      </c>
      <c r="R742" s="9" t="s">
        <v>356</v>
      </c>
      <c r="S742" s="13">
        <v>14</v>
      </c>
      <c r="T742" s="13">
        <v>14</v>
      </c>
      <c r="U742" s="14">
        <f t="shared" si="99"/>
        <v>1.1760912590556813</v>
      </c>
      <c r="V742" s="15">
        <v>10</v>
      </c>
      <c r="W742" s="12">
        <v>9.7026879000000008</v>
      </c>
      <c r="X742" s="12">
        <v>1</v>
      </c>
      <c r="Y742" s="13" t="s">
        <v>384</v>
      </c>
      <c r="Z742" s="9" t="s">
        <v>359</v>
      </c>
      <c r="AA742" s="10" t="s">
        <v>372</v>
      </c>
      <c r="AB742" s="9" t="s">
        <v>417</v>
      </c>
      <c r="AC742" s="15">
        <v>304.7851264858275</v>
      </c>
      <c r="AD742" s="14">
        <f t="shared" si="100"/>
        <v>2.4839937696139525</v>
      </c>
      <c r="AE742" s="10" t="s">
        <v>788</v>
      </c>
      <c r="AF742" s="9" t="s">
        <v>408</v>
      </c>
      <c r="AG742" s="18">
        <v>17.266815000000001</v>
      </c>
      <c r="AH742" s="7">
        <f t="shared" si="101"/>
        <v>1</v>
      </c>
      <c r="AI742" s="7">
        <f t="shared" si="102"/>
        <v>0</v>
      </c>
      <c r="AJ742" s="7">
        <f t="shared" si="103"/>
        <v>0</v>
      </c>
      <c r="AK742" s="7">
        <f t="shared" si="104"/>
        <v>0</v>
      </c>
      <c r="AL742" s="7" t="s">
        <v>4159</v>
      </c>
      <c r="AM742" s="18">
        <f t="shared" si="105"/>
        <v>1.2372122359177391</v>
      </c>
      <c r="AN742" s="18">
        <v>-17.266815000000001</v>
      </c>
      <c r="AO742" s="18">
        <v>145.476079</v>
      </c>
      <c r="AP742" s="9" t="s">
        <v>363</v>
      </c>
      <c r="AQ742" s="9" t="s">
        <v>355</v>
      </c>
      <c r="AR742" s="15">
        <v>1970</v>
      </c>
      <c r="AS742" s="19" t="s">
        <v>898</v>
      </c>
      <c r="AT742" s="10" t="s">
        <v>899</v>
      </c>
      <c r="AU742" s="40">
        <v>318857</v>
      </c>
      <c r="AV742" s="35">
        <f t="shared" si="106"/>
        <v>5.5035959556748599</v>
      </c>
      <c r="AW742" s="37" t="s">
        <v>366</v>
      </c>
      <c r="AX742" s="34" t="s">
        <v>355</v>
      </c>
      <c r="AY742" s="40" t="s">
        <v>355</v>
      </c>
      <c r="AZ742" s="15">
        <v>33</v>
      </c>
      <c r="BA742" s="14">
        <f t="shared" si="107"/>
        <v>1.5185139398778875</v>
      </c>
      <c r="BB742" s="37" t="s">
        <v>388</v>
      </c>
      <c r="BC742" s="20">
        <v>2.5786314525810738E-3</v>
      </c>
      <c r="BD742" s="9">
        <v>29.1</v>
      </c>
      <c r="BE742" s="9" t="s">
        <v>368</v>
      </c>
      <c r="BF742" s="9">
        <v>0</v>
      </c>
    </row>
    <row r="743" spans="1:58">
      <c r="A743" s="9">
        <v>400</v>
      </c>
      <c r="B743" s="10" t="s">
        <v>76</v>
      </c>
      <c r="C743" s="10" t="s">
        <v>77</v>
      </c>
      <c r="D743" s="10" t="s">
        <v>501</v>
      </c>
      <c r="E743" s="10" t="s">
        <v>793</v>
      </c>
      <c r="F743" s="10" t="s">
        <v>77</v>
      </c>
      <c r="G743" s="20" t="s">
        <v>766</v>
      </c>
      <c r="H743" s="20" t="s">
        <v>793</v>
      </c>
      <c r="I743" s="10" t="s">
        <v>77</v>
      </c>
      <c r="J743" s="20" t="s">
        <v>766</v>
      </c>
      <c r="K743" s="20" t="s">
        <v>793</v>
      </c>
      <c r="L743" s="9" t="s">
        <v>352</v>
      </c>
      <c r="M743" s="9">
        <v>32</v>
      </c>
      <c r="N743" s="9" t="s">
        <v>381</v>
      </c>
      <c r="O743" s="9" t="s">
        <v>354</v>
      </c>
      <c r="P743" s="12">
        <v>38.299999999999997</v>
      </c>
      <c r="Q743" s="12">
        <v>39.6</v>
      </c>
      <c r="R743" s="9" t="s">
        <v>356</v>
      </c>
      <c r="S743" s="13">
        <v>14</v>
      </c>
      <c r="T743" s="13">
        <v>14</v>
      </c>
      <c r="U743" s="14">
        <f t="shared" si="99"/>
        <v>1.1760912590556813</v>
      </c>
      <c r="V743" s="15">
        <v>30</v>
      </c>
      <c r="W743" s="12">
        <v>8.2783078999999944</v>
      </c>
      <c r="X743" s="12">
        <v>1</v>
      </c>
      <c r="Y743" s="13" t="s">
        <v>384</v>
      </c>
      <c r="Z743" s="9" t="s">
        <v>359</v>
      </c>
      <c r="AA743" s="10" t="s">
        <v>372</v>
      </c>
      <c r="AB743" s="9" t="s">
        <v>417</v>
      </c>
      <c r="AC743" s="15">
        <v>304.7851264858275</v>
      </c>
      <c r="AD743" s="14">
        <f t="shared" si="100"/>
        <v>2.4839937696139525</v>
      </c>
      <c r="AE743" s="10" t="s">
        <v>788</v>
      </c>
      <c r="AF743" s="9" t="s">
        <v>408</v>
      </c>
      <c r="AG743" s="18">
        <v>17.266815000000001</v>
      </c>
      <c r="AH743" s="7">
        <f t="shared" si="101"/>
        <v>1</v>
      </c>
      <c r="AI743" s="7">
        <f t="shared" si="102"/>
        <v>0</v>
      </c>
      <c r="AJ743" s="7">
        <f t="shared" si="103"/>
        <v>0</v>
      </c>
      <c r="AK743" s="7">
        <f t="shared" si="104"/>
        <v>0</v>
      </c>
      <c r="AL743" s="7" t="s">
        <v>4159</v>
      </c>
      <c r="AM743" s="18">
        <f t="shared" si="105"/>
        <v>1.2372122359177391</v>
      </c>
      <c r="AN743" s="18">
        <v>-17.266815000000001</v>
      </c>
      <c r="AO743" s="18">
        <v>145.476079</v>
      </c>
      <c r="AP743" s="9" t="s">
        <v>363</v>
      </c>
      <c r="AQ743" s="9" t="s">
        <v>355</v>
      </c>
      <c r="AR743" s="15">
        <v>1970</v>
      </c>
      <c r="AS743" s="19" t="s">
        <v>898</v>
      </c>
      <c r="AT743" s="10" t="s">
        <v>899</v>
      </c>
      <c r="AU743" s="40">
        <v>318857</v>
      </c>
      <c r="AV743" s="35">
        <f t="shared" si="106"/>
        <v>5.5035959556748599</v>
      </c>
      <c r="AW743" s="37" t="s">
        <v>366</v>
      </c>
      <c r="AX743" s="34" t="s">
        <v>355</v>
      </c>
      <c r="AY743" s="40" t="s">
        <v>355</v>
      </c>
      <c r="AZ743" s="15">
        <v>33</v>
      </c>
      <c r="BA743" s="14">
        <f t="shared" si="107"/>
        <v>1.5185139398778875</v>
      </c>
      <c r="BB743" s="37" t="s">
        <v>388</v>
      </c>
      <c r="BC743" s="20">
        <v>2.5786314525810738E-3</v>
      </c>
      <c r="BD743" s="9">
        <v>29.1</v>
      </c>
      <c r="BE743" s="9" t="s">
        <v>368</v>
      </c>
      <c r="BF743" s="9">
        <v>0</v>
      </c>
    </row>
    <row r="744" spans="1:58">
      <c r="A744" s="9">
        <v>362</v>
      </c>
      <c r="B744" s="10" t="s">
        <v>76</v>
      </c>
      <c r="C744" s="10" t="s">
        <v>77</v>
      </c>
      <c r="D744" s="10" t="s">
        <v>501</v>
      </c>
      <c r="E744" s="10" t="s">
        <v>801</v>
      </c>
      <c r="F744" s="10" t="s">
        <v>77</v>
      </c>
      <c r="G744" s="20" t="s">
        <v>766</v>
      </c>
      <c r="H744" s="20" t="s">
        <v>801</v>
      </c>
      <c r="I744" s="10" t="s">
        <v>77</v>
      </c>
      <c r="J744" s="20" t="s">
        <v>766</v>
      </c>
      <c r="K744" s="20" t="s">
        <v>801</v>
      </c>
      <c r="L744" s="9" t="s">
        <v>352</v>
      </c>
      <c r="M744" s="9">
        <v>10</v>
      </c>
      <c r="N744" s="9" t="s">
        <v>381</v>
      </c>
      <c r="O744" s="9" t="s">
        <v>354</v>
      </c>
      <c r="P744" s="12">
        <v>32.700000000000003</v>
      </c>
      <c r="Q744" s="12" t="s">
        <v>355</v>
      </c>
      <c r="R744" s="9" t="s">
        <v>356</v>
      </c>
      <c r="S744" s="13">
        <v>14</v>
      </c>
      <c r="T744" s="13">
        <v>14</v>
      </c>
      <c r="U744" s="14">
        <f t="shared" si="99"/>
        <v>1.1760912590556813</v>
      </c>
      <c r="V744" s="15">
        <v>10</v>
      </c>
      <c r="W744" s="12">
        <v>3.7776135000000011</v>
      </c>
      <c r="X744" s="12">
        <v>1</v>
      </c>
      <c r="Y744" s="13" t="s">
        <v>384</v>
      </c>
      <c r="Z744" s="9" t="s">
        <v>359</v>
      </c>
      <c r="AA744" s="10" t="s">
        <v>372</v>
      </c>
      <c r="AB744" s="9" t="s">
        <v>417</v>
      </c>
      <c r="AC744" s="15">
        <v>304.7851264858275</v>
      </c>
      <c r="AD744" s="14">
        <f t="shared" si="100"/>
        <v>2.4839937696139525</v>
      </c>
      <c r="AE744" s="10" t="s">
        <v>1025</v>
      </c>
      <c r="AF744" s="9" t="s">
        <v>408</v>
      </c>
      <c r="AG744" s="18">
        <v>16.920334</v>
      </c>
      <c r="AH744" s="7">
        <f t="shared" si="101"/>
        <v>1</v>
      </c>
      <c r="AI744" s="7">
        <f t="shared" si="102"/>
        <v>0</v>
      </c>
      <c r="AJ744" s="7">
        <f t="shared" si="103"/>
        <v>0</v>
      </c>
      <c r="AK744" s="7">
        <f t="shared" si="104"/>
        <v>0</v>
      </c>
      <c r="AL744" s="7" t="s">
        <v>4159</v>
      </c>
      <c r="AM744" s="18">
        <f t="shared" si="105"/>
        <v>1.2284089315709297</v>
      </c>
      <c r="AN744" s="18">
        <v>-16.920334</v>
      </c>
      <c r="AO744" s="18">
        <v>145.77086</v>
      </c>
      <c r="AP744" s="9" t="s">
        <v>363</v>
      </c>
      <c r="AQ744" s="9" t="s">
        <v>355</v>
      </c>
      <c r="AR744" s="15">
        <v>1970</v>
      </c>
      <c r="AS744" s="19" t="s">
        <v>898</v>
      </c>
      <c r="AT744" s="10" t="s">
        <v>899</v>
      </c>
      <c r="AU744" s="40">
        <v>766265</v>
      </c>
      <c r="AV744" s="35">
        <f t="shared" si="106"/>
        <v>5.8843789891296909</v>
      </c>
      <c r="AW744" s="37" t="s">
        <v>366</v>
      </c>
      <c r="AX744" s="34" t="s">
        <v>355</v>
      </c>
      <c r="AY744" s="40" t="s">
        <v>355</v>
      </c>
      <c r="AZ744" s="15">
        <v>55</v>
      </c>
      <c r="BA744" s="14">
        <f t="shared" si="107"/>
        <v>1.7403626894942439</v>
      </c>
      <c r="BB744" s="37" t="s">
        <v>388</v>
      </c>
      <c r="BC744" s="20">
        <v>4.4601840736292987E-3</v>
      </c>
      <c r="BD744" s="9">
        <v>31.5</v>
      </c>
      <c r="BE744" s="9" t="s">
        <v>368</v>
      </c>
      <c r="BF744" s="9">
        <v>0</v>
      </c>
    </row>
    <row r="745" spans="1:58">
      <c r="A745" s="9">
        <v>363</v>
      </c>
      <c r="B745" s="10" t="s">
        <v>76</v>
      </c>
      <c r="C745" s="10" t="s">
        <v>77</v>
      </c>
      <c r="D745" s="10" t="s">
        <v>501</v>
      </c>
      <c r="E745" s="10" t="s">
        <v>801</v>
      </c>
      <c r="F745" s="10" t="s">
        <v>77</v>
      </c>
      <c r="G745" s="20" t="s">
        <v>766</v>
      </c>
      <c r="H745" s="20" t="s">
        <v>801</v>
      </c>
      <c r="I745" s="10" t="s">
        <v>77</v>
      </c>
      <c r="J745" s="20" t="s">
        <v>766</v>
      </c>
      <c r="K745" s="20" t="s">
        <v>801</v>
      </c>
      <c r="L745" s="9" t="s">
        <v>352</v>
      </c>
      <c r="M745" s="9">
        <v>10</v>
      </c>
      <c r="N745" s="9" t="s">
        <v>381</v>
      </c>
      <c r="O745" s="9" t="s">
        <v>354</v>
      </c>
      <c r="P745" s="12">
        <v>34.200000000000003</v>
      </c>
      <c r="Q745" s="12">
        <v>35.6</v>
      </c>
      <c r="R745" s="9" t="s">
        <v>356</v>
      </c>
      <c r="S745" s="13">
        <v>14</v>
      </c>
      <c r="T745" s="13">
        <v>14</v>
      </c>
      <c r="U745" s="14">
        <f t="shared" si="99"/>
        <v>1.1760912590556813</v>
      </c>
      <c r="V745" s="15">
        <v>30</v>
      </c>
      <c r="W745" s="12">
        <v>2.153233500000006</v>
      </c>
      <c r="X745" s="12">
        <v>1</v>
      </c>
      <c r="Y745" s="13" t="s">
        <v>384</v>
      </c>
      <c r="Z745" s="9" t="s">
        <v>359</v>
      </c>
      <c r="AA745" s="10" t="s">
        <v>372</v>
      </c>
      <c r="AB745" s="9" t="s">
        <v>417</v>
      </c>
      <c r="AC745" s="15">
        <v>304.7851264858275</v>
      </c>
      <c r="AD745" s="14">
        <f t="shared" si="100"/>
        <v>2.4839937696139525</v>
      </c>
      <c r="AE745" s="10" t="s">
        <v>1025</v>
      </c>
      <c r="AF745" s="9" t="s">
        <v>408</v>
      </c>
      <c r="AG745" s="18">
        <v>16.920334</v>
      </c>
      <c r="AH745" s="7">
        <f t="shared" si="101"/>
        <v>1</v>
      </c>
      <c r="AI745" s="7">
        <f t="shared" si="102"/>
        <v>0</v>
      </c>
      <c r="AJ745" s="7">
        <f t="shared" si="103"/>
        <v>0</v>
      </c>
      <c r="AK745" s="7">
        <f t="shared" si="104"/>
        <v>0</v>
      </c>
      <c r="AL745" s="7" t="s">
        <v>4159</v>
      </c>
      <c r="AM745" s="18">
        <f t="shared" si="105"/>
        <v>1.2284089315709297</v>
      </c>
      <c r="AN745" s="18">
        <v>-16.920334</v>
      </c>
      <c r="AO745" s="18">
        <v>145.77086</v>
      </c>
      <c r="AP745" s="9" t="s">
        <v>363</v>
      </c>
      <c r="AQ745" s="9" t="s">
        <v>355</v>
      </c>
      <c r="AR745" s="15">
        <v>1970</v>
      </c>
      <c r="AS745" s="19" t="s">
        <v>898</v>
      </c>
      <c r="AT745" s="10" t="s">
        <v>899</v>
      </c>
      <c r="AU745" s="40">
        <v>766265</v>
      </c>
      <c r="AV745" s="35">
        <f t="shared" si="106"/>
        <v>5.8843789891296909</v>
      </c>
      <c r="AW745" s="37" t="s">
        <v>366</v>
      </c>
      <c r="AX745" s="34" t="s">
        <v>355</v>
      </c>
      <c r="AY745" s="40" t="s">
        <v>355</v>
      </c>
      <c r="AZ745" s="15">
        <v>55</v>
      </c>
      <c r="BA745" s="14">
        <f t="shared" si="107"/>
        <v>1.7403626894942439</v>
      </c>
      <c r="BB745" s="37" t="s">
        <v>388</v>
      </c>
      <c r="BC745" s="20">
        <v>4.4601840736292987E-3</v>
      </c>
      <c r="BD745" s="9">
        <v>31.5</v>
      </c>
      <c r="BE745" s="9" t="s">
        <v>368</v>
      </c>
      <c r="BF745" s="9">
        <v>0</v>
      </c>
    </row>
    <row r="746" spans="1:58">
      <c r="A746" s="9">
        <v>364</v>
      </c>
      <c r="B746" s="10" t="s">
        <v>76</v>
      </c>
      <c r="C746" s="10" t="s">
        <v>77</v>
      </c>
      <c r="D746" s="10" t="s">
        <v>501</v>
      </c>
      <c r="E746" s="10" t="s">
        <v>801</v>
      </c>
      <c r="F746" s="10" t="s">
        <v>77</v>
      </c>
      <c r="G746" s="20" t="s">
        <v>766</v>
      </c>
      <c r="H746" s="20" t="s">
        <v>801</v>
      </c>
      <c r="I746" s="10" t="s">
        <v>77</v>
      </c>
      <c r="J746" s="20" t="s">
        <v>766</v>
      </c>
      <c r="K746" s="20" t="s">
        <v>801</v>
      </c>
      <c r="L746" s="9" t="s">
        <v>352</v>
      </c>
      <c r="M746" s="9">
        <v>5</v>
      </c>
      <c r="N746" s="9" t="s">
        <v>353</v>
      </c>
      <c r="O746" s="9" t="s">
        <v>354</v>
      </c>
      <c r="P746" s="12">
        <v>31.5</v>
      </c>
      <c r="Q746" s="12">
        <v>34.1</v>
      </c>
      <c r="R746" s="9" t="s">
        <v>356</v>
      </c>
      <c r="S746" s="13">
        <v>14</v>
      </c>
      <c r="T746" s="13">
        <v>14</v>
      </c>
      <c r="U746" s="14">
        <f t="shared" si="99"/>
        <v>1.1760912590556813</v>
      </c>
      <c r="V746" s="15">
        <v>10</v>
      </c>
      <c r="W746" s="12">
        <v>7.6402994999999976</v>
      </c>
      <c r="X746" s="12">
        <v>1</v>
      </c>
      <c r="Y746" s="13" t="s">
        <v>384</v>
      </c>
      <c r="Z746" s="9" t="s">
        <v>359</v>
      </c>
      <c r="AA746" s="10" t="s">
        <v>372</v>
      </c>
      <c r="AB746" s="9" t="s">
        <v>417</v>
      </c>
      <c r="AC746" s="15">
        <v>304.7851264858275</v>
      </c>
      <c r="AD746" s="14">
        <f t="shared" si="100"/>
        <v>2.4839937696139525</v>
      </c>
      <c r="AE746" s="10" t="s">
        <v>959</v>
      </c>
      <c r="AF746" s="9" t="s">
        <v>420</v>
      </c>
      <c r="AG746" s="18">
        <v>37.496175000000001</v>
      </c>
      <c r="AH746" s="7">
        <f t="shared" si="101"/>
        <v>1</v>
      </c>
      <c r="AI746" s="7">
        <f t="shared" si="102"/>
        <v>1</v>
      </c>
      <c r="AJ746" s="7">
        <f t="shared" si="103"/>
        <v>0</v>
      </c>
      <c r="AK746" s="7">
        <f t="shared" si="104"/>
        <v>0</v>
      </c>
      <c r="AL746" s="7" t="s">
        <v>4157</v>
      </c>
      <c r="AM746" s="18">
        <f t="shared" si="105"/>
        <v>1.5739869674312112</v>
      </c>
      <c r="AN746" s="18">
        <v>-37.496175000000001</v>
      </c>
      <c r="AO746" s="18">
        <v>148.17353</v>
      </c>
      <c r="AP746" s="9" t="s">
        <v>363</v>
      </c>
      <c r="AQ746" s="9" t="s">
        <v>355</v>
      </c>
      <c r="AR746" s="15">
        <v>1970</v>
      </c>
      <c r="AS746" s="19" t="s">
        <v>898</v>
      </c>
      <c r="AT746" s="10" t="s">
        <v>899</v>
      </c>
      <c r="AU746" s="40">
        <v>766265</v>
      </c>
      <c r="AV746" s="35">
        <f t="shared" si="106"/>
        <v>5.8843789891296909</v>
      </c>
      <c r="AW746" s="37" t="s">
        <v>366</v>
      </c>
      <c r="AX746" s="34" t="s">
        <v>355</v>
      </c>
      <c r="AY746" s="40" t="s">
        <v>355</v>
      </c>
      <c r="AZ746" s="15">
        <v>55</v>
      </c>
      <c r="BA746" s="14">
        <f t="shared" si="107"/>
        <v>1.7403626894942439</v>
      </c>
      <c r="BB746" s="37" t="s">
        <v>388</v>
      </c>
      <c r="BC746" s="20">
        <v>1.9120848339335778E-2</v>
      </c>
      <c r="BD746" s="9">
        <v>25.5</v>
      </c>
      <c r="BE746" s="9" t="s">
        <v>368</v>
      </c>
      <c r="BF746" s="9">
        <v>0</v>
      </c>
    </row>
    <row r="747" spans="1:58">
      <c r="A747" s="9">
        <v>366</v>
      </c>
      <c r="B747" s="10" t="s">
        <v>76</v>
      </c>
      <c r="C747" s="10" t="s">
        <v>77</v>
      </c>
      <c r="D747" s="10" t="s">
        <v>501</v>
      </c>
      <c r="E747" s="10" t="s">
        <v>801</v>
      </c>
      <c r="F747" s="10" t="s">
        <v>77</v>
      </c>
      <c r="G747" s="20" t="s">
        <v>766</v>
      </c>
      <c r="H747" s="20" t="s">
        <v>801</v>
      </c>
      <c r="I747" s="10" t="s">
        <v>77</v>
      </c>
      <c r="J747" s="20" t="s">
        <v>766</v>
      </c>
      <c r="K747" s="20" t="s">
        <v>801</v>
      </c>
      <c r="L747" s="9" t="s">
        <v>352</v>
      </c>
      <c r="M747" s="9">
        <v>35</v>
      </c>
      <c r="N747" s="9" t="s">
        <v>381</v>
      </c>
      <c r="O747" s="9" t="s">
        <v>354</v>
      </c>
      <c r="P747" s="12">
        <v>30.3</v>
      </c>
      <c r="Q747" s="12">
        <v>32</v>
      </c>
      <c r="R747" s="9" t="s">
        <v>356</v>
      </c>
      <c r="S747" s="13">
        <v>14</v>
      </c>
      <c r="T747" s="13">
        <v>14</v>
      </c>
      <c r="U747" s="14">
        <f t="shared" si="99"/>
        <v>1.1760912590556813</v>
      </c>
      <c r="V747" s="15">
        <v>5</v>
      </c>
      <c r="W747" s="12">
        <v>8.233931700000003</v>
      </c>
      <c r="X747" s="12">
        <v>1</v>
      </c>
      <c r="Y747" s="13" t="s">
        <v>384</v>
      </c>
      <c r="Z747" s="9" t="s">
        <v>359</v>
      </c>
      <c r="AA747" s="10" t="s">
        <v>372</v>
      </c>
      <c r="AB747" s="9" t="s">
        <v>417</v>
      </c>
      <c r="AC747" s="15">
        <v>304.7851264858275</v>
      </c>
      <c r="AD747" s="14">
        <f t="shared" si="100"/>
        <v>2.4839937696139525</v>
      </c>
      <c r="AE747" s="10" t="s">
        <v>960</v>
      </c>
      <c r="AF747" s="9" t="s">
        <v>420</v>
      </c>
      <c r="AG747" s="18">
        <v>37.411949</v>
      </c>
      <c r="AH747" s="7">
        <f t="shared" si="101"/>
        <v>1</v>
      </c>
      <c r="AI747" s="7">
        <f t="shared" si="102"/>
        <v>1</v>
      </c>
      <c r="AJ747" s="7">
        <f t="shared" si="103"/>
        <v>0</v>
      </c>
      <c r="AK747" s="7">
        <f t="shared" si="104"/>
        <v>0</v>
      </c>
      <c r="AL747" s="7" t="s">
        <v>4157</v>
      </c>
      <c r="AM747" s="18">
        <f t="shared" si="105"/>
        <v>1.5730103336431911</v>
      </c>
      <c r="AN747" s="18">
        <v>-37.411949</v>
      </c>
      <c r="AO747" s="18">
        <v>148.20599799999999</v>
      </c>
      <c r="AP747" s="9" t="s">
        <v>363</v>
      </c>
      <c r="AQ747" s="9" t="s">
        <v>355</v>
      </c>
      <c r="AR747" s="15">
        <v>1970</v>
      </c>
      <c r="AS747" s="19" t="s">
        <v>898</v>
      </c>
      <c r="AT747" s="10" t="s">
        <v>899</v>
      </c>
      <c r="AU747" s="40">
        <v>766265</v>
      </c>
      <c r="AV747" s="35">
        <f t="shared" si="106"/>
        <v>5.8843789891296909</v>
      </c>
      <c r="AW747" s="37" t="s">
        <v>366</v>
      </c>
      <c r="AX747" s="34" t="s">
        <v>355</v>
      </c>
      <c r="AY747" s="40" t="s">
        <v>355</v>
      </c>
      <c r="AZ747" s="15">
        <v>55</v>
      </c>
      <c r="BA747" s="14">
        <f t="shared" si="107"/>
        <v>1.7403626894942439</v>
      </c>
      <c r="BB747" s="37" t="s">
        <v>388</v>
      </c>
      <c r="BC747" s="20">
        <v>1.9120848339335778E-2</v>
      </c>
      <c r="BD747" s="9">
        <v>24.3</v>
      </c>
      <c r="BE747" s="9" t="s">
        <v>368</v>
      </c>
      <c r="BF747" s="9">
        <v>0</v>
      </c>
    </row>
    <row r="748" spans="1:58">
      <c r="A748" s="9">
        <v>367</v>
      </c>
      <c r="B748" s="10" t="s">
        <v>76</v>
      </c>
      <c r="C748" s="10" t="s">
        <v>77</v>
      </c>
      <c r="D748" s="10" t="s">
        <v>501</v>
      </c>
      <c r="E748" s="10" t="s">
        <v>801</v>
      </c>
      <c r="F748" s="10" t="s">
        <v>77</v>
      </c>
      <c r="G748" s="20" t="s">
        <v>766</v>
      </c>
      <c r="H748" s="20" t="s">
        <v>801</v>
      </c>
      <c r="I748" s="10" t="s">
        <v>77</v>
      </c>
      <c r="J748" s="20" t="s">
        <v>766</v>
      </c>
      <c r="K748" s="20" t="s">
        <v>801</v>
      </c>
      <c r="L748" s="9" t="s">
        <v>352</v>
      </c>
      <c r="M748" s="9">
        <v>35</v>
      </c>
      <c r="N748" s="9" t="s">
        <v>381</v>
      </c>
      <c r="O748" s="9" t="s">
        <v>354</v>
      </c>
      <c r="P748" s="12">
        <v>33.1</v>
      </c>
      <c r="Q748" s="12">
        <v>34.799999999999997</v>
      </c>
      <c r="R748" s="9" t="s">
        <v>356</v>
      </c>
      <c r="S748" s="13">
        <v>14</v>
      </c>
      <c r="T748" s="13">
        <v>14</v>
      </c>
      <c r="U748" s="14">
        <f t="shared" si="99"/>
        <v>1.1760912590556813</v>
      </c>
      <c r="V748" s="15">
        <v>25</v>
      </c>
      <c r="W748" s="12">
        <v>7.909551699999998</v>
      </c>
      <c r="X748" s="12">
        <v>1</v>
      </c>
      <c r="Y748" s="13" t="s">
        <v>384</v>
      </c>
      <c r="Z748" s="9" t="s">
        <v>359</v>
      </c>
      <c r="AA748" s="10" t="s">
        <v>372</v>
      </c>
      <c r="AB748" s="9" t="s">
        <v>417</v>
      </c>
      <c r="AC748" s="15">
        <v>304.7851264858275</v>
      </c>
      <c r="AD748" s="14">
        <f t="shared" si="100"/>
        <v>2.4839937696139525</v>
      </c>
      <c r="AE748" s="10" t="s">
        <v>960</v>
      </c>
      <c r="AF748" s="9" t="s">
        <v>420</v>
      </c>
      <c r="AG748" s="18">
        <v>37.411949</v>
      </c>
      <c r="AH748" s="7">
        <f t="shared" si="101"/>
        <v>1</v>
      </c>
      <c r="AI748" s="7">
        <f t="shared" si="102"/>
        <v>1</v>
      </c>
      <c r="AJ748" s="7">
        <f t="shared" si="103"/>
        <v>0</v>
      </c>
      <c r="AK748" s="7">
        <f t="shared" si="104"/>
        <v>0</v>
      </c>
      <c r="AL748" s="7" t="s">
        <v>4157</v>
      </c>
      <c r="AM748" s="18">
        <f t="shared" si="105"/>
        <v>1.5730103336431911</v>
      </c>
      <c r="AN748" s="18">
        <v>-37.411949</v>
      </c>
      <c r="AO748" s="18">
        <v>148.20599799999999</v>
      </c>
      <c r="AP748" s="9" t="s">
        <v>363</v>
      </c>
      <c r="AQ748" s="9" t="s">
        <v>355</v>
      </c>
      <c r="AR748" s="15">
        <v>1970</v>
      </c>
      <c r="AS748" s="19" t="s">
        <v>898</v>
      </c>
      <c r="AT748" s="10" t="s">
        <v>899</v>
      </c>
      <c r="AU748" s="40">
        <v>766265</v>
      </c>
      <c r="AV748" s="35">
        <f t="shared" si="106"/>
        <v>5.8843789891296909</v>
      </c>
      <c r="AW748" s="37" t="s">
        <v>366</v>
      </c>
      <c r="AX748" s="34" t="s">
        <v>355</v>
      </c>
      <c r="AY748" s="40" t="s">
        <v>355</v>
      </c>
      <c r="AZ748" s="15">
        <v>55</v>
      </c>
      <c r="BA748" s="14">
        <f t="shared" si="107"/>
        <v>1.7403626894942439</v>
      </c>
      <c r="BB748" s="37" t="s">
        <v>388</v>
      </c>
      <c r="BC748" s="20">
        <v>1.9120848339335778E-2</v>
      </c>
      <c r="BD748" s="9">
        <v>24.3</v>
      </c>
      <c r="BE748" s="9" t="s">
        <v>368</v>
      </c>
      <c r="BF748" s="9">
        <v>0</v>
      </c>
    </row>
    <row r="749" spans="1:58">
      <c r="A749" s="9">
        <v>365</v>
      </c>
      <c r="B749" s="10" t="s">
        <v>76</v>
      </c>
      <c r="C749" s="10" t="s">
        <v>77</v>
      </c>
      <c r="D749" s="10" t="s">
        <v>501</v>
      </c>
      <c r="E749" s="10" t="s">
        <v>801</v>
      </c>
      <c r="F749" s="10" t="s">
        <v>77</v>
      </c>
      <c r="G749" s="20" t="s">
        <v>766</v>
      </c>
      <c r="H749" s="20" t="s">
        <v>801</v>
      </c>
      <c r="I749" s="10" t="s">
        <v>77</v>
      </c>
      <c r="J749" s="20" t="s">
        <v>766</v>
      </c>
      <c r="K749" s="20" t="s">
        <v>801</v>
      </c>
      <c r="L749" s="9" t="s">
        <v>352</v>
      </c>
      <c r="M749" s="9">
        <v>5</v>
      </c>
      <c r="N749" s="9" t="s">
        <v>353</v>
      </c>
      <c r="O749" s="9" t="s">
        <v>354</v>
      </c>
      <c r="P749" s="12">
        <v>34.5</v>
      </c>
      <c r="Q749" s="12" t="s">
        <v>355</v>
      </c>
      <c r="R749" s="9" t="s">
        <v>356</v>
      </c>
      <c r="S749" s="13">
        <v>14</v>
      </c>
      <c r="T749" s="13">
        <v>14</v>
      </c>
      <c r="U749" s="14">
        <f t="shared" si="99"/>
        <v>1.1760912590556813</v>
      </c>
      <c r="V749" s="15">
        <v>25</v>
      </c>
      <c r="W749" s="12">
        <v>8.2970145000000031</v>
      </c>
      <c r="X749" s="12">
        <v>1</v>
      </c>
      <c r="Y749" s="13" t="s">
        <v>384</v>
      </c>
      <c r="Z749" s="9" t="s">
        <v>359</v>
      </c>
      <c r="AA749" s="10" t="s">
        <v>372</v>
      </c>
      <c r="AB749" s="9" t="s">
        <v>417</v>
      </c>
      <c r="AC749" s="15">
        <v>304.7851264858275</v>
      </c>
      <c r="AD749" s="14">
        <f t="shared" si="100"/>
        <v>2.4839937696139525</v>
      </c>
      <c r="AE749" s="10" t="s">
        <v>959</v>
      </c>
      <c r="AF749" s="9" t="s">
        <v>420</v>
      </c>
      <c r="AG749" s="18">
        <v>37.496175000000001</v>
      </c>
      <c r="AH749" s="7">
        <f t="shared" si="101"/>
        <v>1</v>
      </c>
      <c r="AI749" s="7">
        <f t="shared" si="102"/>
        <v>1</v>
      </c>
      <c r="AJ749" s="7">
        <f t="shared" si="103"/>
        <v>0</v>
      </c>
      <c r="AK749" s="7">
        <f t="shared" si="104"/>
        <v>0</v>
      </c>
      <c r="AL749" s="7" t="s">
        <v>4157</v>
      </c>
      <c r="AM749" s="18">
        <f t="shared" si="105"/>
        <v>1.5739869674312112</v>
      </c>
      <c r="AN749" s="18">
        <v>-37.496175000000001</v>
      </c>
      <c r="AO749" s="18">
        <v>148.17353</v>
      </c>
      <c r="AP749" s="9" t="s">
        <v>363</v>
      </c>
      <c r="AQ749" s="9" t="s">
        <v>355</v>
      </c>
      <c r="AR749" s="15">
        <v>1970</v>
      </c>
      <c r="AS749" s="19" t="s">
        <v>898</v>
      </c>
      <c r="AT749" s="10" t="s">
        <v>899</v>
      </c>
      <c r="AU749" s="40">
        <v>766265</v>
      </c>
      <c r="AV749" s="35">
        <f t="shared" si="106"/>
        <v>5.8843789891296909</v>
      </c>
      <c r="AW749" s="37" t="s">
        <v>366</v>
      </c>
      <c r="AX749" s="34" t="s">
        <v>355</v>
      </c>
      <c r="AY749" s="40" t="s">
        <v>355</v>
      </c>
      <c r="AZ749" s="15">
        <v>55</v>
      </c>
      <c r="BA749" s="14">
        <f t="shared" si="107"/>
        <v>1.7403626894942439</v>
      </c>
      <c r="BB749" s="37" t="s">
        <v>388</v>
      </c>
      <c r="BC749" s="20">
        <v>1.9120848339335778E-2</v>
      </c>
      <c r="BD749" s="9">
        <v>25.5</v>
      </c>
      <c r="BE749" s="9" t="s">
        <v>368</v>
      </c>
      <c r="BF749" s="9">
        <v>0</v>
      </c>
    </row>
    <row r="750" spans="1:58">
      <c r="A750" s="9">
        <v>351</v>
      </c>
      <c r="B750" s="10" t="s">
        <v>76</v>
      </c>
      <c r="C750" s="10" t="s">
        <v>77</v>
      </c>
      <c r="D750" s="10" t="s">
        <v>501</v>
      </c>
      <c r="E750" s="10" t="s">
        <v>806</v>
      </c>
      <c r="F750" s="10" t="s">
        <v>77</v>
      </c>
      <c r="G750" s="20" t="s">
        <v>766</v>
      </c>
      <c r="H750" s="20" t="s">
        <v>755</v>
      </c>
      <c r="I750" s="10" t="s">
        <v>77</v>
      </c>
      <c r="J750" s="20" t="s">
        <v>766</v>
      </c>
      <c r="K750" s="20" t="s">
        <v>755</v>
      </c>
      <c r="L750" s="9" t="s">
        <v>352</v>
      </c>
      <c r="M750" s="9">
        <v>38</v>
      </c>
      <c r="N750" s="9" t="s">
        <v>381</v>
      </c>
      <c r="O750" s="9" t="s">
        <v>354</v>
      </c>
      <c r="P750" s="12">
        <v>31</v>
      </c>
      <c r="Q750" s="12">
        <v>35.6</v>
      </c>
      <c r="R750" s="9" t="s">
        <v>356</v>
      </c>
      <c r="S750" s="13">
        <v>14</v>
      </c>
      <c r="T750" s="13">
        <v>14</v>
      </c>
      <c r="U750" s="14">
        <f t="shared" si="99"/>
        <v>1.1760912590556813</v>
      </c>
      <c r="V750" s="15">
        <v>5</v>
      </c>
      <c r="W750" s="12">
        <v>6.9932353999999961</v>
      </c>
      <c r="X750" s="12">
        <v>1</v>
      </c>
      <c r="Y750" s="13" t="s">
        <v>384</v>
      </c>
      <c r="Z750" s="9" t="s">
        <v>359</v>
      </c>
      <c r="AA750" s="10" t="s">
        <v>372</v>
      </c>
      <c r="AB750" s="9" t="s">
        <v>417</v>
      </c>
      <c r="AC750" s="15">
        <v>304.7851264858275</v>
      </c>
      <c r="AD750" s="14">
        <f t="shared" si="100"/>
        <v>2.4839937696139525</v>
      </c>
      <c r="AE750" s="10" t="s">
        <v>897</v>
      </c>
      <c r="AF750" s="9" t="s">
        <v>420</v>
      </c>
      <c r="AG750" s="18">
        <v>33.425020000000004</v>
      </c>
      <c r="AH750" s="7">
        <f t="shared" si="101"/>
        <v>1</v>
      </c>
      <c r="AI750" s="7">
        <f t="shared" si="102"/>
        <v>1</v>
      </c>
      <c r="AJ750" s="7">
        <f t="shared" si="103"/>
        <v>0</v>
      </c>
      <c r="AK750" s="7">
        <f t="shared" si="104"/>
        <v>0</v>
      </c>
      <c r="AL750" s="7" t="s">
        <v>4157</v>
      </c>
      <c r="AM750" s="18">
        <f t="shared" si="105"/>
        <v>1.5240716757960127</v>
      </c>
      <c r="AN750" s="18">
        <v>-33.425020000000004</v>
      </c>
      <c r="AO750" s="18">
        <v>151.342219</v>
      </c>
      <c r="AP750" s="9" t="s">
        <v>363</v>
      </c>
      <c r="AQ750" s="9" t="s">
        <v>355</v>
      </c>
      <c r="AR750" s="15">
        <v>1970</v>
      </c>
      <c r="AS750" s="19" t="s">
        <v>898</v>
      </c>
      <c r="AT750" s="10" t="s">
        <v>899</v>
      </c>
      <c r="AU750" s="40">
        <v>1026992</v>
      </c>
      <c r="AV750" s="35">
        <f t="shared" si="106"/>
        <v>6.0115670605696367</v>
      </c>
      <c r="AW750" s="37" t="s">
        <v>366</v>
      </c>
      <c r="AX750" s="34" t="s">
        <v>355</v>
      </c>
      <c r="AY750" s="40" t="s">
        <v>355</v>
      </c>
      <c r="AZ750" s="15">
        <v>55</v>
      </c>
      <c r="BA750" s="14">
        <f t="shared" si="107"/>
        <v>1.7403626894942439</v>
      </c>
      <c r="BB750" s="37" t="s">
        <v>472</v>
      </c>
      <c r="BC750" s="20">
        <v>7.0504201680672398E-3</v>
      </c>
      <c r="BD750" s="9">
        <v>26.6</v>
      </c>
      <c r="BE750" s="9" t="s">
        <v>368</v>
      </c>
      <c r="BF750" s="9">
        <v>0</v>
      </c>
    </row>
    <row r="751" spans="1:58">
      <c r="A751" s="9">
        <v>352</v>
      </c>
      <c r="B751" s="10" t="s">
        <v>76</v>
      </c>
      <c r="C751" s="10" t="s">
        <v>77</v>
      </c>
      <c r="D751" s="10" t="s">
        <v>501</v>
      </c>
      <c r="E751" s="10" t="s">
        <v>806</v>
      </c>
      <c r="F751" s="10" t="s">
        <v>77</v>
      </c>
      <c r="G751" s="20" t="s">
        <v>766</v>
      </c>
      <c r="H751" s="20" t="s">
        <v>755</v>
      </c>
      <c r="I751" s="10" t="s">
        <v>77</v>
      </c>
      <c r="J751" s="20" t="s">
        <v>766</v>
      </c>
      <c r="K751" s="20" t="s">
        <v>755</v>
      </c>
      <c r="L751" s="9" t="s">
        <v>352</v>
      </c>
      <c r="M751" s="9">
        <v>38</v>
      </c>
      <c r="N751" s="9" t="s">
        <v>381</v>
      </c>
      <c r="O751" s="9" t="s">
        <v>354</v>
      </c>
      <c r="P751" s="12">
        <v>32.6</v>
      </c>
      <c r="Q751" s="12" t="s">
        <v>355</v>
      </c>
      <c r="R751" s="9" t="s">
        <v>356</v>
      </c>
      <c r="S751" s="13">
        <v>14</v>
      </c>
      <c r="T751" s="13">
        <v>14</v>
      </c>
      <c r="U751" s="14">
        <f t="shared" si="99"/>
        <v>1.1760912590556813</v>
      </c>
      <c r="V751" s="15">
        <v>10</v>
      </c>
      <c r="W751" s="12">
        <v>7.812140399999997</v>
      </c>
      <c r="X751" s="12">
        <v>1</v>
      </c>
      <c r="Y751" s="13" t="s">
        <v>384</v>
      </c>
      <c r="Z751" s="9" t="s">
        <v>359</v>
      </c>
      <c r="AA751" s="10" t="s">
        <v>372</v>
      </c>
      <c r="AB751" s="9" t="s">
        <v>417</v>
      </c>
      <c r="AC751" s="15">
        <v>304.7851264858275</v>
      </c>
      <c r="AD751" s="14">
        <f t="shared" si="100"/>
        <v>2.4839937696139525</v>
      </c>
      <c r="AE751" s="10" t="s">
        <v>897</v>
      </c>
      <c r="AF751" s="9" t="s">
        <v>420</v>
      </c>
      <c r="AG751" s="18">
        <v>33.425020000000004</v>
      </c>
      <c r="AH751" s="7">
        <f t="shared" si="101"/>
        <v>1</v>
      </c>
      <c r="AI751" s="7">
        <f t="shared" si="102"/>
        <v>1</v>
      </c>
      <c r="AJ751" s="7">
        <f t="shared" si="103"/>
        <v>0</v>
      </c>
      <c r="AK751" s="7">
        <f t="shared" si="104"/>
        <v>0</v>
      </c>
      <c r="AL751" s="7" t="s">
        <v>4157</v>
      </c>
      <c r="AM751" s="18">
        <f t="shared" si="105"/>
        <v>1.5240716757960127</v>
      </c>
      <c r="AN751" s="18">
        <v>-33.425020000000004</v>
      </c>
      <c r="AO751" s="18">
        <v>151.342219</v>
      </c>
      <c r="AP751" s="9" t="s">
        <v>363</v>
      </c>
      <c r="AQ751" s="9" t="s">
        <v>355</v>
      </c>
      <c r="AR751" s="15">
        <v>1970</v>
      </c>
      <c r="AS751" s="19" t="s">
        <v>898</v>
      </c>
      <c r="AT751" s="10" t="s">
        <v>899</v>
      </c>
      <c r="AU751" s="40">
        <v>1026992</v>
      </c>
      <c r="AV751" s="35">
        <f t="shared" si="106"/>
        <v>6.0115670605696367</v>
      </c>
      <c r="AW751" s="37" t="s">
        <v>366</v>
      </c>
      <c r="AX751" s="34" t="s">
        <v>355</v>
      </c>
      <c r="AY751" s="40" t="s">
        <v>355</v>
      </c>
      <c r="AZ751" s="15">
        <v>55</v>
      </c>
      <c r="BA751" s="14">
        <f t="shared" si="107"/>
        <v>1.7403626894942439</v>
      </c>
      <c r="BB751" s="37" t="s">
        <v>472</v>
      </c>
      <c r="BC751" s="20">
        <v>7.0504201680672398E-3</v>
      </c>
      <c r="BD751" s="9">
        <v>26.6</v>
      </c>
      <c r="BE751" s="9" t="s">
        <v>368</v>
      </c>
      <c r="BF751" s="9">
        <v>0</v>
      </c>
    </row>
    <row r="752" spans="1:58">
      <c r="A752" s="9">
        <v>356</v>
      </c>
      <c r="B752" s="10" t="s">
        <v>76</v>
      </c>
      <c r="C752" s="10" t="s">
        <v>77</v>
      </c>
      <c r="D752" s="10" t="s">
        <v>501</v>
      </c>
      <c r="E752" s="10" t="s">
        <v>806</v>
      </c>
      <c r="F752" s="10" t="s">
        <v>77</v>
      </c>
      <c r="G752" s="20" t="s">
        <v>766</v>
      </c>
      <c r="H752" s="20" t="s">
        <v>755</v>
      </c>
      <c r="I752" s="10" t="s">
        <v>77</v>
      </c>
      <c r="J752" s="20" t="s">
        <v>766</v>
      </c>
      <c r="K752" s="20" t="s">
        <v>755</v>
      </c>
      <c r="L752" s="9" t="s">
        <v>352</v>
      </c>
      <c r="M752" s="9">
        <v>1</v>
      </c>
      <c r="N752" s="9" t="s">
        <v>353</v>
      </c>
      <c r="O752" s="9" t="s">
        <v>354</v>
      </c>
      <c r="P752" s="12">
        <v>35</v>
      </c>
      <c r="Q752" s="12">
        <v>38.1</v>
      </c>
      <c r="R752" s="9" t="s">
        <v>356</v>
      </c>
      <c r="S752" s="13">
        <v>14</v>
      </c>
      <c r="T752" s="13">
        <v>14</v>
      </c>
      <c r="U752" s="14">
        <f t="shared" si="99"/>
        <v>1.1760912590556813</v>
      </c>
      <c r="V752" s="15">
        <v>10</v>
      </c>
      <c r="W752" s="12">
        <v>11.140299499999998</v>
      </c>
      <c r="X752" s="12">
        <v>1</v>
      </c>
      <c r="Y752" s="13" t="s">
        <v>384</v>
      </c>
      <c r="Z752" s="9" t="s">
        <v>359</v>
      </c>
      <c r="AA752" s="10" t="s">
        <v>372</v>
      </c>
      <c r="AB752" s="9" t="s">
        <v>417</v>
      </c>
      <c r="AC752" s="15">
        <v>304.7851264858275</v>
      </c>
      <c r="AD752" s="14">
        <f t="shared" si="100"/>
        <v>2.4839937696139525</v>
      </c>
      <c r="AE752" s="10" t="s">
        <v>959</v>
      </c>
      <c r="AF752" s="9" t="s">
        <v>420</v>
      </c>
      <c r="AG752" s="18">
        <v>37.496175000000001</v>
      </c>
      <c r="AH752" s="7">
        <f t="shared" si="101"/>
        <v>1</v>
      </c>
      <c r="AI752" s="7">
        <f t="shared" si="102"/>
        <v>1</v>
      </c>
      <c r="AJ752" s="7">
        <f t="shared" si="103"/>
        <v>0</v>
      </c>
      <c r="AK752" s="7">
        <f t="shared" si="104"/>
        <v>0</v>
      </c>
      <c r="AL752" s="7" t="s">
        <v>4157</v>
      </c>
      <c r="AM752" s="18">
        <f t="shared" si="105"/>
        <v>1.5739869674312112</v>
      </c>
      <c r="AN752" s="18">
        <v>-37.496175000000001</v>
      </c>
      <c r="AO752" s="18">
        <v>148.17353</v>
      </c>
      <c r="AP752" s="9" t="s">
        <v>363</v>
      </c>
      <c r="AQ752" s="9" t="s">
        <v>355</v>
      </c>
      <c r="AR752" s="15">
        <v>1970</v>
      </c>
      <c r="AS752" s="19" t="s">
        <v>898</v>
      </c>
      <c r="AT752" s="10" t="s">
        <v>899</v>
      </c>
      <c r="AU752" s="40">
        <v>1026992</v>
      </c>
      <c r="AV752" s="35">
        <f t="shared" si="106"/>
        <v>6.0115670605696367</v>
      </c>
      <c r="AW752" s="37" t="s">
        <v>366</v>
      </c>
      <c r="AX752" s="34" t="s">
        <v>355</v>
      </c>
      <c r="AY752" s="40" t="s">
        <v>355</v>
      </c>
      <c r="AZ752" s="15">
        <v>55</v>
      </c>
      <c r="BA752" s="14">
        <f t="shared" si="107"/>
        <v>1.7403626894942439</v>
      </c>
      <c r="BB752" s="37" t="s">
        <v>472</v>
      </c>
      <c r="BC752" s="20">
        <v>1.9120848339335778E-2</v>
      </c>
      <c r="BD752" s="9">
        <v>25.5</v>
      </c>
      <c r="BE752" s="9" t="s">
        <v>368</v>
      </c>
      <c r="BF752" s="9">
        <v>0</v>
      </c>
    </row>
    <row r="753" spans="1:58">
      <c r="A753" s="9">
        <v>353</v>
      </c>
      <c r="B753" s="10" t="s">
        <v>76</v>
      </c>
      <c r="C753" s="10" t="s">
        <v>77</v>
      </c>
      <c r="D753" s="10" t="s">
        <v>501</v>
      </c>
      <c r="E753" s="10" t="s">
        <v>806</v>
      </c>
      <c r="F753" s="10" t="s">
        <v>77</v>
      </c>
      <c r="G753" s="20" t="s">
        <v>766</v>
      </c>
      <c r="H753" s="20" t="s">
        <v>755</v>
      </c>
      <c r="I753" s="10" t="s">
        <v>77</v>
      </c>
      <c r="J753" s="20" t="s">
        <v>766</v>
      </c>
      <c r="K753" s="20" t="s">
        <v>755</v>
      </c>
      <c r="L753" s="9" t="s">
        <v>352</v>
      </c>
      <c r="M753" s="9">
        <v>38</v>
      </c>
      <c r="N753" s="9" t="s">
        <v>381</v>
      </c>
      <c r="O753" s="9" t="s">
        <v>354</v>
      </c>
      <c r="P753" s="12">
        <v>36.299999999999997</v>
      </c>
      <c r="Q753" s="12">
        <v>37.700000000000003</v>
      </c>
      <c r="R753" s="9" t="s">
        <v>356</v>
      </c>
      <c r="S753" s="13">
        <v>14</v>
      </c>
      <c r="T753" s="13">
        <v>14</v>
      </c>
      <c r="U753" s="14">
        <f t="shared" si="99"/>
        <v>1.1760912590556813</v>
      </c>
      <c r="V753" s="15">
        <v>25</v>
      </c>
      <c r="W753" s="12">
        <v>9.1688553999999982</v>
      </c>
      <c r="X753" s="12">
        <v>1</v>
      </c>
      <c r="Y753" s="13" t="s">
        <v>384</v>
      </c>
      <c r="Z753" s="9" t="s">
        <v>359</v>
      </c>
      <c r="AA753" s="10" t="s">
        <v>372</v>
      </c>
      <c r="AB753" s="9" t="s">
        <v>417</v>
      </c>
      <c r="AC753" s="15">
        <v>304.7851264858275</v>
      </c>
      <c r="AD753" s="14">
        <f t="shared" si="100"/>
        <v>2.4839937696139525</v>
      </c>
      <c r="AE753" s="10" t="s">
        <v>897</v>
      </c>
      <c r="AF753" s="9" t="s">
        <v>420</v>
      </c>
      <c r="AG753" s="18">
        <v>33.425020000000004</v>
      </c>
      <c r="AH753" s="7">
        <f t="shared" si="101"/>
        <v>1</v>
      </c>
      <c r="AI753" s="7">
        <f t="shared" si="102"/>
        <v>1</v>
      </c>
      <c r="AJ753" s="7">
        <f t="shared" si="103"/>
        <v>0</v>
      </c>
      <c r="AK753" s="7">
        <f t="shared" si="104"/>
        <v>0</v>
      </c>
      <c r="AL753" s="7" t="s">
        <v>4157</v>
      </c>
      <c r="AM753" s="18">
        <f t="shared" si="105"/>
        <v>1.5240716757960127</v>
      </c>
      <c r="AN753" s="18">
        <v>-33.425020000000004</v>
      </c>
      <c r="AO753" s="18">
        <v>151.342219</v>
      </c>
      <c r="AP753" s="9" t="s">
        <v>363</v>
      </c>
      <c r="AQ753" s="9" t="s">
        <v>355</v>
      </c>
      <c r="AR753" s="15">
        <v>1970</v>
      </c>
      <c r="AS753" s="19" t="s">
        <v>898</v>
      </c>
      <c r="AT753" s="10" t="s">
        <v>899</v>
      </c>
      <c r="AU753" s="40">
        <v>1026992</v>
      </c>
      <c r="AV753" s="35">
        <f t="shared" si="106"/>
        <v>6.0115670605696367</v>
      </c>
      <c r="AW753" s="37" t="s">
        <v>366</v>
      </c>
      <c r="AX753" s="34" t="s">
        <v>355</v>
      </c>
      <c r="AY753" s="40" t="s">
        <v>355</v>
      </c>
      <c r="AZ753" s="15">
        <v>55</v>
      </c>
      <c r="BA753" s="14">
        <f t="shared" si="107"/>
        <v>1.7403626894942439</v>
      </c>
      <c r="BB753" s="37" t="s">
        <v>472</v>
      </c>
      <c r="BC753" s="20">
        <v>7.0504201680672398E-3</v>
      </c>
      <c r="BD753" s="9">
        <v>26.6</v>
      </c>
      <c r="BE753" s="9" t="s">
        <v>368</v>
      </c>
      <c r="BF753" s="9">
        <v>0</v>
      </c>
    </row>
    <row r="754" spans="1:58">
      <c r="A754" s="9">
        <v>354</v>
      </c>
      <c r="B754" s="10" t="s">
        <v>76</v>
      </c>
      <c r="C754" s="10" t="s">
        <v>77</v>
      </c>
      <c r="D754" s="10" t="s">
        <v>501</v>
      </c>
      <c r="E754" s="10" t="s">
        <v>806</v>
      </c>
      <c r="F754" s="10" t="s">
        <v>77</v>
      </c>
      <c r="G754" s="20" t="s">
        <v>766</v>
      </c>
      <c r="H754" s="20" t="s">
        <v>755</v>
      </c>
      <c r="I754" s="10" t="s">
        <v>77</v>
      </c>
      <c r="J754" s="20" t="s">
        <v>766</v>
      </c>
      <c r="K754" s="20" t="s">
        <v>755</v>
      </c>
      <c r="L754" s="9" t="s">
        <v>352</v>
      </c>
      <c r="M754" s="9">
        <v>4</v>
      </c>
      <c r="N754" s="9" t="s">
        <v>353</v>
      </c>
      <c r="O754" s="9" t="s">
        <v>354</v>
      </c>
      <c r="P754" s="12">
        <v>33</v>
      </c>
      <c r="Q754" s="12">
        <v>35.5</v>
      </c>
      <c r="R754" s="9" t="s">
        <v>356</v>
      </c>
      <c r="S754" s="13">
        <v>14</v>
      </c>
      <c r="T754" s="13">
        <v>14</v>
      </c>
      <c r="U754" s="14">
        <f t="shared" si="99"/>
        <v>1.1760912590556813</v>
      </c>
      <c r="V754" s="15">
        <v>5</v>
      </c>
      <c r="W754" s="12">
        <v>9.4151258999999996</v>
      </c>
      <c r="X754" s="12">
        <v>1</v>
      </c>
      <c r="Y754" s="13" t="s">
        <v>384</v>
      </c>
      <c r="Z754" s="9" t="s">
        <v>359</v>
      </c>
      <c r="AA754" s="10" t="s">
        <v>372</v>
      </c>
      <c r="AB754" s="9" t="s">
        <v>417</v>
      </c>
      <c r="AC754" s="15">
        <v>731.4843035659859</v>
      </c>
      <c r="AD754" s="14">
        <f t="shared" si="100"/>
        <v>2.8642050113255584</v>
      </c>
      <c r="AE754" s="10" t="s">
        <v>962</v>
      </c>
      <c r="AF754" s="9" t="s">
        <v>420</v>
      </c>
      <c r="AG754" s="18">
        <v>30.514343</v>
      </c>
      <c r="AH754" s="7">
        <f t="shared" si="101"/>
        <v>1</v>
      </c>
      <c r="AI754" s="7">
        <f t="shared" si="102"/>
        <v>1</v>
      </c>
      <c r="AJ754" s="7">
        <f t="shared" si="103"/>
        <v>0</v>
      </c>
      <c r="AK754" s="7">
        <f t="shared" si="104"/>
        <v>0</v>
      </c>
      <c r="AL754" s="7" t="s">
        <v>4157</v>
      </c>
      <c r="AM754" s="18">
        <f t="shared" si="105"/>
        <v>1.4845040236602571</v>
      </c>
      <c r="AN754" s="18">
        <v>-30.514343</v>
      </c>
      <c r="AO754" s="18">
        <v>151.66696400000001</v>
      </c>
      <c r="AP754" s="9" t="s">
        <v>363</v>
      </c>
      <c r="AQ754" s="9" t="s">
        <v>355</v>
      </c>
      <c r="AR754" s="15">
        <v>1970</v>
      </c>
      <c r="AS754" s="19" t="s">
        <v>898</v>
      </c>
      <c r="AT754" s="10" t="s">
        <v>899</v>
      </c>
      <c r="AU754" s="40">
        <v>1026992</v>
      </c>
      <c r="AV754" s="35">
        <f t="shared" si="106"/>
        <v>6.0115670605696367</v>
      </c>
      <c r="AW754" s="37" t="s">
        <v>366</v>
      </c>
      <c r="AX754" s="34" t="s">
        <v>355</v>
      </c>
      <c r="AY754" s="40" t="s">
        <v>355</v>
      </c>
      <c r="AZ754" s="15">
        <v>55</v>
      </c>
      <c r="BA754" s="14">
        <f t="shared" si="107"/>
        <v>1.7403626894942439</v>
      </c>
      <c r="BB754" s="37" t="s">
        <v>472</v>
      </c>
      <c r="BC754" s="20">
        <v>1.6987194877951452E-2</v>
      </c>
      <c r="BD754" s="9">
        <v>26.1</v>
      </c>
      <c r="BE754" s="9" t="s">
        <v>368</v>
      </c>
      <c r="BF754" s="9">
        <v>0</v>
      </c>
    </row>
    <row r="755" spans="1:58">
      <c r="A755" s="9">
        <v>355</v>
      </c>
      <c r="B755" s="10" t="s">
        <v>76</v>
      </c>
      <c r="C755" s="10" t="s">
        <v>77</v>
      </c>
      <c r="D755" s="10" t="s">
        <v>501</v>
      </c>
      <c r="E755" s="10" t="s">
        <v>806</v>
      </c>
      <c r="F755" s="10" t="s">
        <v>77</v>
      </c>
      <c r="G755" s="20" t="s">
        <v>766</v>
      </c>
      <c r="H755" s="20" t="s">
        <v>755</v>
      </c>
      <c r="I755" s="10" t="s">
        <v>77</v>
      </c>
      <c r="J755" s="20" t="s">
        <v>766</v>
      </c>
      <c r="K755" s="20" t="s">
        <v>755</v>
      </c>
      <c r="L755" s="9" t="s">
        <v>352</v>
      </c>
      <c r="M755" s="9">
        <v>4</v>
      </c>
      <c r="N755" s="9" t="s">
        <v>353</v>
      </c>
      <c r="O755" s="9" t="s">
        <v>354</v>
      </c>
      <c r="P755" s="12">
        <v>36.200000000000003</v>
      </c>
      <c r="Q755" s="12">
        <v>37.700000000000003</v>
      </c>
      <c r="R755" s="9" t="s">
        <v>356</v>
      </c>
      <c r="S755" s="13">
        <v>14</v>
      </c>
      <c r="T755" s="13">
        <v>14</v>
      </c>
      <c r="U755" s="14">
        <f t="shared" si="99"/>
        <v>1.1760912590556813</v>
      </c>
      <c r="V755" s="15">
        <v>25</v>
      </c>
      <c r="W755" s="12">
        <v>9.4907459000000003</v>
      </c>
      <c r="X755" s="12">
        <v>1</v>
      </c>
      <c r="Y755" s="13" t="s">
        <v>384</v>
      </c>
      <c r="Z755" s="9" t="s">
        <v>359</v>
      </c>
      <c r="AA755" s="10" t="s">
        <v>372</v>
      </c>
      <c r="AB755" s="9" t="s">
        <v>417</v>
      </c>
      <c r="AC755" s="15">
        <v>731.4843035659859</v>
      </c>
      <c r="AD755" s="14">
        <f t="shared" si="100"/>
        <v>2.8642050113255584</v>
      </c>
      <c r="AE755" s="10" t="s">
        <v>962</v>
      </c>
      <c r="AF755" s="9" t="s">
        <v>420</v>
      </c>
      <c r="AG755" s="18">
        <v>30.514343</v>
      </c>
      <c r="AH755" s="7">
        <f t="shared" si="101"/>
        <v>1</v>
      </c>
      <c r="AI755" s="7">
        <f t="shared" si="102"/>
        <v>1</v>
      </c>
      <c r="AJ755" s="7">
        <f t="shared" si="103"/>
        <v>0</v>
      </c>
      <c r="AK755" s="7">
        <f t="shared" si="104"/>
        <v>0</v>
      </c>
      <c r="AL755" s="7" t="s">
        <v>4157</v>
      </c>
      <c r="AM755" s="18">
        <f t="shared" si="105"/>
        <v>1.4845040236602571</v>
      </c>
      <c r="AN755" s="18">
        <v>-30.514343</v>
      </c>
      <c r="AO755" s="18">
        <v>151.66696400000001</v>
      </c>
      <c r="AP755" s="9" t="s">
        <v>363</v>
      </c>
      <c r="AQ755" s="9" t="s">
        <v>355</v>
      </c>
      <c r="AR755" s="15">
        <v>1970</v>
      </c>
      <c r="AS755" s="19" t="s">
        <v>898</v>
      </c>
      <c r="AT755" s="10" t="s">
        <v>899</v>
      </c>
      <c r="AU755" s="40">
        <v>1026992</v>
      </c>
      <c r="AV755" s="35">
        <f t="shared" si="106"/>
        <v>6.0115670605696367</v>
      </c>
      <c r="AW755" s="37" t="s">
        <v>366</v>
      </c>
      <c r="AX755" s="34" t="s">
        <v>355</v>
      </c>
      <c r="AY755" s="40" t="s">
        <v>355</v>
      </c>
      <c r="AZ755" s="15">
        <v>55</v>
      </c>
      <c r="BA755" s="14">
        <f t="shared" si="107"/>
        <v>1.7403626894942439</v>
      </c>
      <c r="BB755" s="37" t="s">
        <v>472</v>
      </c>
      <c r="BC755" s="20">
        <v>1.6987194877951452E-2</v>
      </c>
      <c r="BD755" s="9">
        <v>26.1</v>
      </c>
      <c r="BE755" s="9" t="s">
        <v>368</v>
      </c>
      <c r="BF755" s="9">
        <v>0</v>
      </c>
    </row>
    <row r="756" spans="1:58">
      <c r="A756" s="9">
        <v>404</v>
      </c>
      <c r="B756" s="10" t="s">
        <v>76</v>
      </c>
      <c r="C756" s="10" t="s">
        <v>77</v>
      </c>
      <c r="D756" s="10" t="s">
        <v>501</v>
      </c>
      <c r="E756" s="10" t="s">
        <v>1030</v>
      </c>
      <c r="F756" s="10" t="s">
        <v>77</v>
      </c>
      <c r="G756" s="20" t="s">
        <v>766</v>
      </c>
      <c r="H756" s="20" t="s">
        <v>1030</v>
      </c>
      <c r="I756" s="10" t="s">
        <v>77</v>
      </c>
      <c r="J756" s="20" t="s">
        <v>766</v>
      </c>
      <c r="K756" s="20" t="s">
        <v>1030</v>
      </c>
      <c r="L756" s="9" t="s">
        <v>352</v>
      </c>
      <c r="M756" s="9">
        <v>3</v>
      </c>
      <c r="N756" s="9" t="s">
        <v>353</v>
      </c>
      <c r="O756" s="9" t="s">
        <v>354</v>
      </c>
      <c r="P756" s="12">
        <v>29.5</v>
      </c>
      <c r="Q756" s="12" t="s">
        <v>355</v>
      </c>
      <c r="R756" s="9" t="s">
        <v>356</v>
      </c>
      <c r="S756" s="13">
        <v>14</v>
      </c>
      <c r="T756" s="13">
        <v>14</v>
      </c>
      <c r="U756" s="14">
        <f t="shared" si="99"/>
        <v>1.1760912590556813</v>
      </c>
      <c r="V756" s="15">
        <v>5</v>
      </c>
      <c r="W756" s="12">
        <v>5.4932353999999961</v>
      </c>
      <c r="X756" s="12">
        <v>1</v>
      </c>
      <c r="Y756" s="13" t="s">
        <v>384</v>
      </c>
      <c r="Z756" s="9" t="s">
        <v>359</v>
      </c>
      <c r="AA756" s="10" t="s">
        <v>372</v>
      </c>
      <c r="AB756" s="9" t="s">
        <v>417</v>
      </c>
      <c r="AC756" s="15">
        <v>304.7851264858275</v>
      </c>
      <c r="AD756" s="14">
        <f t="shared" si="100"/>
        <v>2.4839937696139525</v>
      </c>
      <c r="AE756" s="10" t="s">
        <v>897</v>
      </c>
      <c r="AF756" s="9" t="s">
        <v>420</v>
      </c>
      <c r="AG756" s="18">
        <v>33.425020000000004</v>
      </c>
      <c r="AH756" s="7">
        <f t="shared" si="101"/>
        <v>1</v>
      </c>
      <c r="AI756" s="7">
        <f t="shared" si="102"/>
        <v>1</v>
      </c>
      <c r="AJ756" s="7">
        <f t="shared" si="103"/>
        <v>0</v>
      </c>
      <c r="AK756" s="7">
        <f t="shared" si="104"/>
        <v>0</v>
      </c>
      <c r="AL756" s="7" t="s">
        <v>4157</v>
      </c>
      <c r="AM756" s="18">
        <f t="shared" si="105"/>
        <v>1.5240716757960127</v>
      </c>
      <c r="AN756" s="18">
        <v>-33.425020000000004</v>
      </c>
      <c r="AO756" s="18">
        <v>151.342219</v>
      </c>
      <c r="AP756" s="9" t="s">
        <v>363</v>
      </c>
      <c r="AQ756" s="9" t="s">
        <v>355</v>
      </c>
      <c r="AR756" s="15">
        <v>1970</v>
      </c>
      <c r="AS756" s="19" t="s">
        <v>898</v>
      </c>
      <c r="AT756" s="10" t="s">
        <v>899</v>
      </c>
      <c r="AU756" s="40">
        <v>175732</v>
      </c>
      <c r="AV756" s="35">
        <f t="shared" si="106"/>
        <v>5.2448508517515</v>
      </c>
      <c r="AW756" s="37" t="s">
        <v>366</v>
      </c>
      <c r="AX756" s="34" t="s">
        <v>355</v>
      </c>
      <c r="AY756" s="40" t="s">
        <v>355</v>
      </c>
      <c r="AZ756" s="15">
        <v>33</v>
      </c>
      <c r="BA756" s="14">
        <f t="shared" si="107"/>
        <v>1.5185139398778875</v>
      </c>
      <c r="BB756" s="37" t="s">
        <v>388</v>
      </c>
      <c r="BC756" s="20">
        <v>7.0504201680672398E-3</v>
      </c>
      <c r="BD756" s="9">
        <v>26.6</v>
      </c>
      <c r="BE756" s="9" t="s">
        <v>368</v>
      </c>
      <c r="BF756" s="9">
        <v>0</v>
      </c>
    </row>
    <row r="757" spans="1:58">
      <c r="A757" s="9">
        <v>407</v>
      </c>
      <c r="B757" s="10" t="s">
        <v>76</v>
      </c>
      <c r="C757" s="10" t="s">
        <v>77</v>
      </c>
      <c r="D757" s="10" t="s">
        <v>501</v>
      </c>
      <c r="E757" s="10" t="s">
        <v>1030</v>
      </c>
      <c r="F757" s="10" t="s">
        <v>77</v>
      </c>
      <c r="G757" s="20" t="s">
        <v>766</v>
      </c>
      <c r="H757" s="20" t="s">
        <v>1030</v>
      </c>
      <c r="I757" s="10" t="s">
        <v>77</v>
      </c>
      <c r="J757" s="20" t="s">
        <v>766</v>
      </c>
      <c r="K757" s="20" t="s">
        <v>1030</v>
      </c>
      <c r="L757" s="9" t="s">
        <v>352</v>
      </c>
      <c r="M757" s="9">
        <v>1</v>
      </c>
      <c r="N757" s="9" t="s">
        <v>353</v>
      </c>
      <c r="O757" s="9" t="s">
        <v>354</v>
      </c>
      <c r="P757" s="12">
        <v>30</v>
      </c>
      <c r="Q757" s="12" t="s">
        <v>355</v>
      </c>
      <c r="R757" s="9" t="s">
        <v>356</v>
      </c>
      <c r="S757" s="13">
        <v>14</v>
      </c>
      <c r="T757" s="13">
        <v>14</v>
      </c>
      <c r="U757" s="14">
        <f t="shared" si="99"/>
        <v>1.1760912590556813</v>
      </c>
      <c r="V757" s="15">
        <v>10</v>
      </c>
      <c r="W757" s="12">
        <v>6.1402995000000011</v>
      </c>
      <c r="X757" s="12">
        <v>1</v>
      </c>
      <c r="Y757" s="13" t="s">
        <v>384</v>
      </c>
      <c r="Z757" s="9" t="s">
        <v>359</v>
      </c>
      <c r="AA757" s="10" t="s">
        <v>372</v>
      </c>
      <c r="AB757" s="9" t="s">
        <v>417</v>
      </c>
      <c r="AC757" s="15">
        <v>304.7851264858275</v>
      </c>
      <c r="AD757" s="14">
        <f t="shared" si="100"/>
        <v>2.4839937696139525</v>
      </c>
      <c r="AE757" s="10" t="s">
        <v>959</v>
      </c>
      <c r="AF757" s="9" t="s">
        <v>420</v>
      </c>
      <c r="AG757" s="18">
        <v>37.496175000000001</v>
      </c>
      <c r="AH757" s="7">
        <f t="shared" si="101"/>
        <v>1</v>
      </c>
      <c r="AI757" s="7">
        <f t="shared" si="102"/>
        <v>1</v>
      </c>
      <c r="AJ757" s="7">
        <f t="shared" si="103"/>
        <v>0</v>
      </c>
      <c r="AK757" s="7">
        <f t="shared" si="104"/>
        <v>0</v>
      </c>
      <c r="AL757" s="7" t="s">
        <v>4157</v>
      </c>
      <c r="AM757" s="18">
        <f t="shared" si="105"/>
        <v>1.5739869674312112</v>
      </c>
      <c r="AN757" s="18">
        <v>-37.496175000000001</v>
      </c>
      <c r="AO757" s="18">
        <v>148.17353</v>
      </c>
      <c r="AP757" s="9" t="s">
        <v>363</v>
      </c>
      <c r="AQ757" s="9" t="s">
        <v>355</v>
      </c>
      <c r="AR757" s="15">
        <v>1970</v>
      </c>
      <c r="AS757" s="19" t="s">
        <v>898</v>
      </c>
      <c r="AT757" s="10" t="s">
        <v>899</v>
      </c>
      <c r="AU757" s="40">
        <v>175732</v>
      </c>
      <c r="AV757" s="35">
        <f t="shared" si="106"/>
        <v>5.2448508517515</v>
      </c>
      <c r="AW757" s="37" t="s">
        <v>366</v>
      </c>
      <c r="AX757" s="34" t="s">
        <v>355</v>
      </c>
      <c r="AY757" s="40" t="s">
        <v>355</v>
      </c>
      <c r="AZ757" s="15">
        <v>33</v>
      </c>
      <c r="BA757" s="14">
        <f t="shared" si="107"/>
        <v>1.5185139398778875</v>
      </c>
      <c r="BB757" s="37" t="s">
        <v>388</v>
      </c>
      <c r="BC757" s="20">
        <v>1.9120848339335778E-2</v>
      </c>
      <c r="BD757" s="9">
        <v>25.5</v>
      </c>
      <c r="BE757" s="9" t="s">
        <v>368</v>
      </c>
      <c r="BF757" s="9">
        <v>0</v>
      </c>
    </row>
    <row r="758" spans="1:58">
      <c r="A758" s="9">
        <v>405</v>
      </c>
      <c r="B758" s="10" t="s">
        <v>76</v>
      </c>
      <c r="C758" s="10" t="s">
        <v>77</v>
      </c>
      <c r="D758" s="10" t="s">
        <v>501</v>
      </c>
      <c r="E758" s="10" t="s">
        <v>1030</v>
      </c>
      <c r="F758" s="10" t="s">
        <v>77</v>
      </c>
      <c r="G758" s="20" t="s">
        <v>766</v>
      </c>
      <c r="H758" s="20" t="s">
        <v>1030</v>
      </c>
      <c r="I758" s="10" t="s">
        <v>77</v>
      </c>
      <c r="J758" s="20" t="s">
        <v>766</v>
      </c>
      <c r="K758" s="20" t="s">
        <v>1030</v>
      </c>
      <c r="L758" s="9" t="s">
        <v>352</v>
      </c>
      <c r="M758" s="9">
        <v>26</v>
      </c>
      <c r="N758" s="9" t="s">
        <v>381</v>
      </c>
      <c r="O758" s="9" t="s">
        <v>354</v>
      </c>
      <c r="P758" s="12">
        <v>29.7</v>
      </c>
      <c r="Q758" s="12">
        <v>34.299999999999997</v>
      </c>
      <c r="R758" s="9" t="s">
        <v>356</v>
      </c>
      <c r="S758" s="13">
        <v>14</v>
      </c>
      <c r="T758" s="13">
        <v>14</v>
      </c>
      <c r="U758" s="14">
        <f t="shared" si="99"/>
        <v>1.1760912590556813</v>
      </c>
      <c r="V758" s="15">
        <v>5</v>
      </c>
      <c r="W758" s="12">
        <v>7.633931699999998</v>
      </c>
      <c r="X758" s="12">
        <v>1</v>
      </c>
      <c r="Y758" s="13" t="s">
        <v>384</v>
      </c>
      <c r="Z758" s="9" t="s">
        <v>359</v>
      </c>
      <c r="AA758" s="10" t="s">
        <v>372</v>
      </c>
      <c r="AB758" s="9" t="s">
        <v>417</v>
      </c>
      <c r="AC758" s="15">
        <v>304.7851264858275</v>
      </c>
      <c r="AD758" s="14">
        <f t="shared" si="100"/>
        <v>2.4839937696139525</v>
      </c>
      <c r="AE758" s="10" t="s">
        <v>960</v>
      </c>
      <c r="AF758" s="9" t="s">
        <v>420</v>
      </c>
      <c r="AG758" s="18">
        <v>37.411949</v>
      </c>
      <c r="AH758" s="7">
        <f t="shared" si="101"/>
        <v>1</v>
      </c>
      <c r="AI758" s="7">
        <f t="shared" si="102"/>
        <v>1</v>
      </c>
      <c r="AJ758" s="7">
        <f t="shared" si="103"/>
        <v>0</v>
      </c>
      <c r="AK758" s="7">
        <f t="shared" si="104"/>
        <v>0</v>
      </c>
      <c r="AL758" s="7" t="s">
        <v>4157</v>
      </c>
      <c r="AM758" s="18">
        <f t="shared" si="105"/>
        <v>1.5730103336431911</v>
      </c>
      <c r="AN758" s="18">
        <v>-37.411949</v>
      </c>
      <c r="AO758" s="18">
        <v>148.20599799999999</v>
      </c>
      <c r="AP758" s="9" t="s">
        <v>363</v>
      </c>
      <c r="AQ758" s="9" t="s">
        <v>355</v>
      </c>
      <c r="AR758" s="15">
        <v>1970</v>
      </c>
      <c r="AS758" s="19" t="s">
        <v>898</v>
      </c>
      <c r="AT758" s="10" t="s">
        <v>899</v>
      </c>
      <c r="AU758" s="40">
        <v>175732</v>
      </c>
      <c r="AV758" s="35">
        <f t="shared" si="106"/>
        <v>5.2448508517515</v>
      </c>
      <c r="AW758" s="37" t="s">
        <v>366</v>
      </c>
      <c r="AX758" s="34" t="s">
        <v>355</v>
      </c>
      <c r="AY758" s="40" t="s">
        <v>355</v>
      </c>
      <c r="AZ758" s="15">
        <v>33</v>
      </c>
      <c r="BA758" s="14">
        <f t="shared" si="107"/>
        <v>1.5185139398778875</v>
      </c>
      <c r="BB758" s="37" t="s">
        <v>388</v>
      </c>
      <c r="BC758" s="20">
        <v>1.9120848339335778E-2</v>
      </c>
      <c r="BD758" s="9">
        <v>24.3</v>
      </c>
      <c r="BE758" s="9" t="s">
        <v>368</v>
      </c>
      <c r="BF758" s="9">
        <v>0</v>
      </c>
    </row>
    <row r="759" spans="1:58">
      <c r="A759" s="9">
        <v>406</v>
      </c>
      <c r="B759" s="10" t="s">
        <v>76</v>
      </c>
      <c r="C759" s="10" t="s">
        <v>77</v>
      </c>
      <c r="D759" s="10" t="s">
        <v>501</v>
      </c>
      <c r="E759" s="10" t="s">
        <v>1030</v>
      </c>
      <c r="F759" s="10" t="s">
        <v>77</v>
      </c>
      <c r="G759" s="20" t="s">
        <v>766</v>
      </c>
      <c r="H759" s="20" t="s">
        <v>1030</v>
      </c>
      <c r="I759" s="10" t="s">
        <v>77</v>
      </c>
      <c r="J759" s="20" t="s">
        <v>766</v>
      </c>
      <c r="K759" s="20" t="s">
        <v>1030</v>
      </c>
      <c r="L759" s="9" t="s">
        <v>352</v>
      </c>
      <c r="M759" s="9">
        <v>26</v>
      </c>
      <c r="N759" s="9" t="s">
        <v>381</v>
      </c>
      <c r="O759" s="9" t="s">
        <v>354</v>
      </c>
      <c r="P759" s="12">
        <v>31.4</v>
      </c>
      <c r="Q759" s="12">
        <v>35</v>
      </c>
      <c r="R759" s="9" t="s">
        <v>356</v>
      </c>
      <c r="S759" s="13">
        <v>14</v>
      </c>
      <c r="T759" s="13">
        <v>14</v>
      </c>
      <c r="U759" s="14">
        <f t="shared" si="99"/>
        <v>1.1760912590556813</v>
      </c>
      <c r="V759" s="15">
        <v>20</v>
      </c>
      <c r="W759" s="12">
        <v>6.9906466999999992</v>
      </c>
      <c r="X759" s="12">
        <v>1</v>
      </c>
      <c r="Y759" s="13" t="s">
        <v>384</v>
      </c>
      <c r="Z759" s="9" t="s">
        <v>359</v>
      </c>
      <c r="AA759" s="10" t="s">
        <v>372</v>
      </c>
      <c r="AB759" s="9" t="s">
        <v>417</v>
      </c>
      <c r="AC759" s="15">
        <v>304.7851264858275</v>
      </c>
      <c r="AD759" s="14">
        <f t="shared" si="100"/>
        <v>2.4839937696139525</v>
      </c>
      <c r="AE759" s="10" t="s">
        <v>960</v>
      </c>
      <c r="AF759" s="9" t="s">
        <v>420</v>
      </c>
      <c r="AG759" s="18">
        <v>37.411949</v>
      </c>
      <c r="AH759" s="7">
        <f t="shared" si="101"/>
        <v>1</v>
      </c>
      <c r="AI759" s="7">
        <f t="shared" si="102"/>
        <v>1</v>
      </c>
      <c r="AJ759" s="7">
        <f t="shared" si="103"/>
        <v>0</v>
      </c>
      <c r="AK759" s="7">
        <f t="shared" si="104"/>
        <v>0</v>
      </c>
      <c r="AL759" s="7" t="s">
        <v>4157</v>
      </c>
      <c r="AM759" s="18">
        <f t="shared" si="105"/>
        <v>1.5730103336431911</v>
      </c>
      <c r="AN759" s="18">
        <v>-37.411949</v>
      </c>
      <c r="AO759" s="18">
        <v>148.20599799999999</v>
      </c>
      <c r="AP759" s="9" t="s">
        <v>363</v>
      </c>
      <c r="AQ759" s="9" t="s">
        <v>355</v>
      </c>
      <c r="AR759" s="15">
        <v>1970</v>
      </c>
      <c r="AS759" s="19" t="s">
        <v>898</v>
      </c>
      <c r="AT759" s="10" t="s">
        <v>899</v>
      </c>
      <c r="AU759" s="40">
        <v>175732</v>
      </c>
      <c r="AV759" s="35">
        <f t="shared" si="106"/>
        <v>5.2448508517515</v>
      </c>
      <c r="AW759" s="37" t="s">
        <v>366</v>
      </c>
      <c r="AX759" s="34" t="s">
        <v>355</v>
      </c>
      <c r="AY759" s="40" t="s">
        <v>355</v>
      </c>
      <c r="AZ759" s="15">
        <v>33</v>
      </c>
      <c r="BA759" s="14">
        <f t="shared" si="107"/>
        <v>1.5185139398778875</v>
      </c>
      <c r="BB759" s="37" t="s">
        <v>388</v>
      </c>
      <c r="BC759" s="20">
        <v>1.9120848339335778E-2</v>
      </c>
      <c r="BD759" s="9">
        <v>24.3</v>
      </c>
      <c r="BE759" s="9" t="s">
        <v>368</v>
      </c>
      <c r="BF759" s="9">
        <v>0</v>
      </c>
    </row>
    <row r="760" spans="1:58">
      <c r="A760" s="9">
        <v>359</v>
      </c>
      <c r="B760" s="10" t="s">
        <v>76</v>
      </c>
      <c r="C760" s="10" t="s">
        <v>77</v>
      </c>
      <c r="D760" s="10" t="s">
        <v>501</v>
      </c>
      <c r="E760" s="10" t="s">
        <v>1031</v>
      </c>
      <c r="F760" s="10" t="s">
        <v>77</v>
      </c>
      <c r="G760" s="20" t="s">
        <v>766</v>
      </c>
      <c r="H760" s="20" t="s">
        <v>1032</v>
      </c>
      <c r="I760" s="10" t="s">
        <v>77</v>
      </c>
      <c r="J760" s="20" t="s">
        <v>766</v>
      </c>
      <c r="K760" s="20" t="s">
        <v>1032</v>
      </c>
      <c r="L760" s="9" t="s">
        <v>352</v>
      </c>
      <c r="M760" s="9">
        <v>25</v>
      </c>
      <c r="N760" s="9" t="s">
        <v>381</v>
      </c>
      <c r="O760" s="9" t="s">
        <v>354</v>
      </c>
      <c r="P760" s="12">
        <v>31.9</v>
      </c>
      <c r="Q760" s="12">
        <v>34.5</v>
      </c>
      <c r="R760" s="9" t="s">
        <v>356</v>
      </c>
      <c r="S760" s="13">
        <v>14</v>
      </c>
      <c r="T760" s="13">
        <v>14</v>
      </c>
      <c r="U760" s="14">
        <f t="shared" si="99"/>
        <v>1.1760912590556813</v>
      </c>
      <c r="V760" s="15">
        <v>10</v>
      </c>
      <c r="W760" s="12">
        <v>3.3151258999999982</v>
      </c>
      <c r="X760" s="12">
        <v>1</v>
      </c>
      <c r="Y760" s="13" t="s">
        <v>384</v>
      </c>
      <c r="Z760" s="9" t="s">
        <v>359</v>
      </c>
      <c r="AA760" s="10" t="s">
        <v>372</v>
      </c>
      <c r="AB760" s="9" t="s">
        <v>417</v>
      </c>
      <c r="AC760" s="15">
        <v>304.7851264858275</v>
      </c>
      <c r="AD760" s="14">
        <f t="shared" si="100"/>
        <v>2.4839937696139525</v>
      </c>
      <c r="AE760" s="10" t="s">
        <v>996</v>
      </c>
      <c r="AF760" s="9" t="s">
        <v>408</v>
      </c>
      <c r="AG760" s="18">
        <v>17.932869</v>
      </c>
      <c r="AH760" s="7">
        <f t="shared" si="101"/>
        <v>1</v>
      </c>
      <c r="AI760" s="7">
        <f t="shared" si="102"/>
        <v>0</v>
      </c>
      <c r="AJ760" s="7">
        <f t="shared" si="103"/>
        <v>0</v>
      </c>
      <c r="AK760" s="7">
        <f t="shared" si="104"/>
        <v>0</v>
      </c>
      <c r="AL760" s="7" t="s">
        <v>4159</v>
      </c>
      <c r="AM760" s="18">
        <f t="shared" si="105"/>
        <v>1.2536497759644691</v>
      </c>
      <c r="AN760" s="18">
        <v>-17.932869</v>
      </c>
      <c r="AO760" s="18">
        <v>145.92355599999999</v>
      </c>
      <c r="AP760" s="9" t="s">
        <v>363</v>
      </c>
      <c r="AQ760" s="9" t="s">
        <v>355</v>
      </c>
      <c r="AR760" s="15">
        <v>1970</v>
      </c>
      <c r="AS760" s="19" t="s">
        <v>898</v>
      </c>
      <c r="AT760" s="10" t="s">
        <v>899</v>
      </c>
      <c r="AU760" s="40">
        <v>1302850</v>
      </c>
      <c r="AV760" s="35">
        <f t="shared" si="106"/>
        <v>6.1148944173071831</v>
      </c>
      <c r="AW760" s="37" t="s">
        <v>366</v>
      </c>
      <c r="AX760" s="40">
        <v>50</v>
      </c>
      <c r="AY760" s="40">
        <v>1000</v>
      </c>
      <c r="AZ760" s="15">
        <v>33</v>
      </c>
      <c r="BA760" s="14">
        <f t="shared" si="107"/>
        <v>1.5185139398778875</v>
      </c>
      <c r="BB760" s="37" t="s">
        <v>388</v>
      </c>
      <c r="BC760" s="20">
        <v>7.543817527010924E-3</v>
      </c>
      <c r="BD760" s="9">
        <v>31.1</v>
      </c>
      <c r="BE760" s="9" t="s">
        <v>368</v>
      </c>
      <c r="BF760" s="9">
        <v>0</v>
      </c>
    </row>
    <row r="761" spans="1:58">
      <c r="A761" s="9">
        <v>357</v>
      </c>
      <c r="B761" s="10" t="s">
        <v>76</v>
      </c>
      <c r="C761" s="10" t="s">
        <v>77</v>
      </c>
      <c r="D761" s="10" t="s">
        <v>501</v>
      </c>
      <c r="E761" s="10" t="s">
        <v>1031</v>
      </c>
      <c r="F761" s="10" t="s">
        <v>77</v>
      </c>
      <c r="G761" s="20" t="s">
        <v>766</v>
      </c>
      <c r="H761" s="20" t="s">
        <v>1032</v>
      </c>
      <c r="I761" s="10" t="s">
        <v>77</v>
      </c>
      <c r="J761" s="20" t="s">
        <v>766</v>
      </c>
      <c r="K761" s="20" t="s">
        <v>1032</v>
      </c>
      <c r="L761" s="9" t="s">
        <v>352</v>
      </c>
      <c r="M761" s="9">
        <v>9</v>
      </c>
      <c r="N761" s="9" t="s">
        <v>353</v>
      </c>
      <c r="O761" s="9" t="s">
        <v>354</v>
      </c>
      <c r="P761" s="12">
        <v>36.200000000000003</v>
      </c>
      <c r="Q761" s="12">
        <v>37.5</v>
      </c>
      <c r="R761" s="9" t="s">
        <v>356</v>
      </c>
      <c r="S761" s="13">
        <v>14</v>
      </c>
      <c r="T761" s="13">
        <v>14</v>
      </c>
      <c r="U761" s="14">
        <f t="shared" si="99"/>
        <v>1.1760912590556813</v>
      </c>
      <c r="V761" s="15">
        <v>10</v>
      </c>
      <c r="W761" s="12">
        <v>6.9401011000000032</v>
      </c>
      <c r="X761" s="12">
        <v>1</v>
      </c>
      <c r="Y761" s="13" t="s">
        <v>384</v>
      </c>
      <c r="Z761" s="9" t="s">
        <v>359</v>
      </c>
      <c r="AA761" s="10" t="s">
        <v>372</v>
      </c>
      <c r="AB761" s="9" t="s">
        <v>417</v>
      </c>
      <c r="AC761" s="15">
        <v>304.7851264858275</v>
      </c>
      <c r="AD761" s="14">
        <f t="shared" si="100"/>
        <v>2.4839937696139525</v>
      </c>
      <c r="AE761" s="10" t="s">
        <v>1022</v>
      </c>
      <c r="AF761" s="9" t="s">
        <v>408</v>
      </c>
      <c r="AG761" s="18">
        <v>20.012194999999998</v>
      </c>
      <c r="AH761" s="7">
        <f t="shared" si="101"/>
        <v>1</v>
      </c>
      <c r="AI761" s="7">
        <f t="shared" si="102"/>
        <v>0</v>
      </c>
      <c r="AJ761" s="7">
        <f t="shared" si="103"/>
        <v>0</v>
      </c>
      <c r="AK761" s="7">
        <f t="shared" si="104"/>
        <v>0</v>
      </c>
      <c r="AL761" s="7" t="s">
        <v>4159</v>
      </c>
      <c r="AM761" s="18">
        <f t="shared" si="105"/>
        <v>1.3012947260228531</v>
      </c>
      <c r="AN761" s="18">
        <v>-20.012194999999998</v>
      </c>
      <c r="AO761" s="18">
        <v>148.24629100000001</v>
      </c>
      <c r="AP761" s="9" t="s">
        <v>363</v>
      </c>
      <c r="AQ761" s="9" t="s">
        <v>355</v>
      </c>
      <c r="AR761" s="15">
        <v>1970</v>
      </c>
      <c r="AS761" s="19" t="s">
        <v>898</v>
      </c>
      <c r="AT761" s="10" t="s">
        <v>899</v>
      </c>
      <c r="AU761" s="40">
        <v>1302850</v>
      </c>
      <c r="AV761" s="35">
        <f t="shared" si="106"/>
        <v>6.1148944173071831</v>
      </c>
      <c r="AW761" s="37" t="s">
        <v>366</v>
      </c>
      <c r="AX761" s="40">
        <v>50</v>
      </c>
      <c r="AY761" s="40">
        <v>1000</v>
      </c>
      <c r="AZ761" s="15">
        <v>33</v>
      </c>
      <c r="BA761" s="14">
        <f t="shared" si="107"/>
        <v>1.5185139398778875</v>
      </c>
      <c r="BB761" s="37" t="s">
        <v>388</v>
      </c>
      <c r="BC761" s="20">
        <v>1.1652661064425369E-2</v>
      </c>
      <c r="BD761" s="9">
        <v>31.900000000000002</v>
      </c>
      <c r="BE761" s="9" t="s">
        <v>368</v>
      </c>
      <c r="BF761" s="9">
        <v>0</v>
      </c>
    </row>
    <row r="762" spans="1:58">
      <c r="A762" s="9">
        <v>358</v>
      </c>
      <c r="B762" s="10" t="s">
        <v>76</v>
      </c>
      <c r="C762" s="10" t="s">
        <v>77</v>
      </c>
      <c r="D762" s="10" t="s">
        <v>501</v>
      </c>
      <c r="E762" s="10" t="s">
        <v>1031</v>
      </c>
      <c r="F762" s="10" t="s">
        <v>77</v>
      </c>
      <c r="G762" s="20" t="s">
        <v>766</v>
      </c>
      <c r="H762" s="20" t="s">
        <v>1032</v>
      </c>
      <c r="I762" s="10" t="s">
        <v>77</v>
      </c>
      <c r="J762" s="20" t="s">
        <v>766</v>
      </c>
      <c r="K762" s="20" t="s">
        <v>1032</v>
      </c>
      <c r="L762" s="9" t="s">
        <v>352</v>
      </c>
      <c r="M762" s="9">
        <v>9</v>
      </c>
      <c r="N762" s="9" t="s">
        <v>353</v>
      </c>
      <c r="O762" s="9" t="s">
        <v>354</v>
      </c>
      <c r="P762" s="12">
        <v>38.9</v>
      </c>
      <c r="Q762" s="12">
        <v>39.9</v>
      </c>
      <c r="R762" s="9" t="s">
        <v>356</v>
      </c>
      <c r="S762" s="13">
        <v>14</v>
      </c>
      <c r="T762" s="13">
        <v>14</v>
      </c>
      <c r="U762" s="14">
        <f t="shared" si="99"/>
        <v>1.1760912590556813</v>
      </c>
      <c r="V762" s="15">
        <v>30</v>
      </c>
      <c r="W762" s="12">
        <v>6.5157210999999968</v>
      </c>
      <c r="X762" s="12">
        <v>1</v>
      </c>
      <c r="Y762" s="13" t="s">
        <v>384</v>
      </c>
      <c r="Z762" s="9" t="s">
        <v>359</v>
      </c>
      <c r="AA762" s="10" t="s">
        <v>372</v>
      </c>
      <c r="AB762" s="9" t="s">
        <v>417</v>
      </c>
      <c r="AC762" s="15">
        <v>304.7851264858275</v>
      </c>
      <c r="AD762" s="14">
        <f t="shared" si="100"/>
        <v>2.4839937696139525</v>
      </c>
      <c r="AE762" s="10" t="s">
        <v>1022</v>
      </c>
      <c r="AF762" s="9" t="s">
        <v>408</v>
      </c>
      <c r="AG762" s="18">
        <v>20.012194999999998</v>
      </c>
      <c r="AH762" s="7">
        <f t="shared" si="101"/>
        <v>1</v>
      </c>
      <c r="AI762" s="7">
        <f t="shared" si="102"/>
        <v>0</v>
      </c>
      <c r="AJ762" s="7">
        <f t="shared" si="103"/>
        <v>0</v>
      </c>
      <c r="AK762" s="7">
        <f t="shared" si="104"/>
        <v>0</v>
      </c>
      <c r="AL762" s="7" t="s">
        <v>4159</v>
      </c>
      <c r="AM762" s="18">
        <f t="shared" si="105"/>
        <v>1.3012947260228531</v>
      </c>
      <c r="AN762" s="18">
        <v>-20.012194999999998</v>
      </c>
      <c r="AO762" s="18">
        <v>148.24629100000001</v>
      </c>
      <c r="AP762" s="9" t="s">
        <v>363</v>
      </c>
      <c r="AQ762" s="9" t="s">
        <v>355</v>
      </c>
      <c r="AR762" s="15">
        <v>1970</v>
      </c>
      <c r="AS762" s="19" t="s">
        <v>898</v>
      </c>
      <c r="AT762" s="10" t="s">
        <v>899</v>
      </c>
      <c r="AU762" s="40">
        <v>1302850</v>
      </c>
      <c r="AV762" s="35">
        <f t="shared" si="106"/>
        <v>6.1148944173071831</v>
      </c>
      <c r="AW762" s="37" t="s">
        <v>366</v>
      </c>
      <c r="AX762" s="40">
        <v>50</v>
      </c>
      <c r="AY762" s="40">
        <v>1000</v>
      </c>
      <c r="AZ762" s="15">
        <v>33</v>
      </c>
      <c r="BA762" s="14">
        <f t="shared" si="107"/>
        <v>1.5185139398778875</v>
      </c>
      <c r="BB762" s="37" t="s">
        <v>388</v>
      </c>
      <c r="BC762" s="20">
        <v>1.1652661064425369E-2</v>
      </c>
      <c r="BD762" s="9">
        <v>31.900000000000002</v>
      </c>
      <c r="BE762" s="9" t="s">
        <v>368</v>
      </c>
      <c r="BF762" s="9">
        <v>0</v>
      </c>
    </row>
    <row r="763" spans="1:58">
      <c r="A763" s="9">
        <v>360</v>
      </c>
      <c r="B763" s="10" t="s">
        <v>76</v>
      </c>
      <c r="C763" s="10" t="s">
        <v>77</v>
      </c>
      <c r="D763" s="10" t="s">
        <v>501</v>
      </c>
      <c r="E763" s="10" t="s">
        <v>1031</v>
      </c>
      <c r="F763" s="10" t="s">
        <v>77</v>
      </c>
      <c r="G763" s="20" t="s">
        <v>766</v>
      </c>
      <c r="H763" s="20" t="s">
        <v>1032</v>
      </c>
      <c r="I763" s="10" t="s">
        <v>77</v>
      </c>
      <c r="J763" s="20" t="s">
        <v>766</v>
      </c>
      <c r="K763" s="20" t="s">
        <v>1032</v>
      </c>
      <c r="L763" s="9" t="s">
        <v>352</v>
      </c>
      <c r="M763" s="9">
        <v>25</v>
      </c>
      <c r="N763" s="9" t="s">
        <v>381</v>
      </c>
      <c r="O763" s="9" t="s">
        <v>354</v>
      </c>
      <c r="P763" s="12">
        <v>39.4</v>
      </c>
      <c r="Q763" s="12">
        <v>40.1</v>
      </c>
      <c r="R763" s="9" t="s">
        <v>356</v>
      </c>
      <c r="S763" s="13">
        <v>14</v>
      </c>
      <c r="T763" s="13">
        <v>14</v>
      </c>
      <c r="U763" s="14">
        <f t="shared" si="99"/>
        <v>1.1760912590556813</v>
      </c>
      <c r="V763" s="15">
        <v>30</v>
      </c>
      <c r="W763" s="12">
        <v>7.690745899999996</v>
      </c>
      <c r="X763" s="12">
        <v>1</v>
      </c>
      <c r="Y763" s="13" t="s">
        <v>384</v>
      </c>
      <c r="Z763" s="9" t="s">
        <v>359</v>
      </c>
      <c r="AA763" s="10" t="s">
        <v>372</v>
      </c>
      <c r="AB763" s="9" t="s">
        <v>417</v>
      </c>
      <c r="AC763" s="15">
        <v>304.7851264858275</v>
      </c>
      <c r="AD763" s="14">
        <f t="shared" si="100"/>
        <v>2.4839937696139525</v>
      </c>
      <c r="AE763" s="10" t="s">
        <v>996</v>
      </c>
      <c r="AF763" s="9" t="s">
        <v>408</v>
      </c>
      <c r="AG763" s="18">
        <v>17.932869</v>
      </c>
      <c r="AH763" s="7">
        <f t="shared" si="101"/>
        <v>1</v>
      </c>
      <c r="AI763" s="7">
        <f t="shared" si="102"/>
        <v>0</v>
      </c>
      <c r="AJ763" s="7">
        <f t="shared" si="103"/>
        <v>0</v>
      </c>
      <c r="AK763" s="7">
        <f t="shared" si="104"/>
        <v>0</v>
      </c>
      <c r="AL763" s="7" t="s">
        <v>4159</v>
      </c>
      <c r="AM763" s="18">
        <f t="shared" si="105"/>
        <v>1.2536497759644691</v>
      </c>
      <c r="AN763" s="18">
        <v>-17.932869</v>
      </c>
      <c r="AO763" s="18">
        <v>145.92355599999999</v>
      </c>
      <c r="AP763" s="9" t="s">
        <v>363</v>
      </c>
      <c r="AQ763" s="9" t="s">
        <v>355</v>
      </c>
      <c r="AR763" s="15">
        <v>1970</v>
      </c>
      <c r="AS763" s="19" t="s">
        <v>898</v>
      </c>
      <c r="AT763" s="10" t="s">
        <v>899</v>
      </c>
      <c r="AU763" s="40">
        <v>1302850</v>
      </c>
      <c r="AV763" s="35">
        <f t="shared" si="106"/>
        <v>6.1148944173071831</v>
      </c>
      <c r="AW763" s="37" t="s">
        <v>366</v>
      </c>
      <c r="AX763" s="40">
        <v>50</v>
      </c>
      <c r="AY763" s="40">
        <v>1000</v>
      </c>
      <c r="AZ763" s="15">
        <v>33</v>
      </c>
      <c r="BA763" s="14">
        <f t="shared" si="107"/>
        <v>1.5185139398778875</v>
      </c>
      <c r="BB763" s="37" t="s">
        <v>388</v>
      </c>
      <c r="BC763" s="20">
        <v>7.543817527010924E-3</v>
      </c>
      <c r="BD763" s="9">
        <v>31.1</v>
      </c>
      <c r="BE763" s="9" t="s">
        <v>368</v>
      </c>
      <c r="BF763" s="9">
        <v>0</v>
      </c>
    </row>
    <row r="764" spans="1:58">
      <c r="A764" s="9">
        <v>344</v>
      </c>
      <c r="B764" s="10" t="s">
        <v>76</v>
      </c>
      <c r="C764" s="10" t="s">
        <v>77</v>
      </c>
      <c r="D764" s="10" t="s">
        <v>501</v>
      </c>
      <c r="E764" s="10" t="s">
        <v>807</v>
      </c>
      <c r="F764" s="10" t="s">
        <v>77</v>
      </c>
      <c r="G764" s="20" t="s">
        <v>766</v>
      </c>
      <c r="H764" s="20" t="s">
        <v>807</v>
      </c>
      <c r="I764" s="10" t="s">
        <v>77</v>
      </c>
      <c r="J764" s="20" t="s">
        <v>766</v>
      </c>
      <c r="K764" s="20" t="s">
        <v>807</v>
      </c>
      <c r="L764" s="9" t="s">
        <v>352</v>
      </c>
      <c r="M764" s="9">
        <v>24</v>
      </c>
      <c r="N764" s="9" t="s">
        <v>381</v>
      </c>
      <c r="O764" s="9" t="s">
        <v>354</v>
      </c>
      <c r="P764" s="12">
        <v>35.9</v>
      </c>
      <c r="Q764" s="12">
        <v>37.6</v>
      </c>
      <c r="R764" s="9" t="s">
        <v>356</v>
      </c>
      <c r="S764" s="13">
        <v>14</v>
      </c>
      <c r="T764" s="13">
        <v>14</v>
      </c>
      <c r="U764" s="14">
        <f t="shared" si="99"/>
        <v>1.1760912590556813</v>
      </c>
      <c r="V764" s="15">
        <v>10</v>
      </c>
      <c r="W764" s="12">
        <v>6.640101099999999</v>
      </c>
      <c r="X764" s="12">
        <v>1</v>
      </c>
      <c r="Y764" s="13" t="s">
        <v>384</v>
      </c>
      <c r="Z764" s="9" t="s">
        <v>359</v>
      </c>
      <c r="AA764" s="10" t="s">
        <v>372</v>
      </c>
      <c r="AB764" s="9" t="s">
        <v>417</v>
      </c>
      <c r="AC764" s="15">
        <v>304.7851264858275</v>
      </c>
      <c r="AD764" s="14">
        <f t="shared" si="100"/>
        <v>2.4839937696139525</v>
      </c>
      <c r="AE764" s="10" t="s">
        <v>1022</v>
      </c>
      <c r="AF764" s="9" t="s">
        <v>408</v>
      </c>
      <c r="AG764" s="18">
        <v>20.012194999999998</v>
      </c>
      <c r="AH764" s="7">
        <f t="shared" si="101"/>
        <v>1</v>
      </c>
      <c r="AI764" s="7">
        <f t="shared" si="102"/>
        <v>0</v>
      </c>
      <c r="AJ764" s="7">
        <f t="shared" si="103"/>
        <v>0</v>
      </c>
      <c r="AK764" s="7">
        <f t="shared" si="104"/>
        <v>0</v>
      </c>
      <c r="AL764" s="7" t="s">
        <v>4159</v>
      </c>
      <c r="AM764" s="18">
        <f t="shared" si="105"/>
        <v>1.3012947260228531</v>
      </c>
      <c r="AN764" s="18">
        <v>-20.012194999999998</v>
      </c>
      <c r="AO764" s="18">
        <v>148.24629100000001</v>
      </c>
      <c r="AP764" s="9" t="s">
        <v>363</v>
      </c>
      <c r="AQ764" s="9" t="s">
        <v>355</v>
      </c>
      <c r="AR764" s="15">
        <v>1970</v>
      </c>
      <c r="AS764" s="19" t="s">
        <v>898</v>
      </c>
      <c r="AT764" s="10" t="s">
        <v>899</v>
      </c>
      <c r="AU764" s="40">
        <v>4776229</v>
      </c>
      <c r="AV764" s="35">
        <f t="shared" si="106"/>
        <v>6.6790851412059302</v>
      </c>
      <c r="AW764" s="37" t="s">
        <v>366</v>
      </c>
      <c r="AX764" s="40">
        <v>50</v>
      </c>
      <c r="AY764" s="40">
        <v>1000</v>
      </c>
      <c r="AZ764" s="15">
        <v>33</v>
      </c>
      <c r="BA764" s="14">
        <f t="shared" si="107"/>
        <v>1.5185139398778875</v>
      </c>
      <c r="BB764" s="37" t="s">
        <v>388</v>
      </c>
      <c r="BC764" s="20">
        <v>1.1652661064425369E-2</v>
      </c>
      <c r="BD764" s="9">
        <v>31.900000000000002</v>
      </c>
      <c r="BE764" s="9" t="s">
        <v>368</v>
      </c>
      <c r="BF764" s="9">
        <v>0</v>
      </c>
    </row>
    <row r="765" spans="1:58">
      <c r="A765" s="9">
        <v>348</v>
      </c>
      <c r="B765" s="10" t="s">
        <v>76</v>
      </c>
      <c r="C765" s="10" t="s">
        <v>77</v>
      </c>
      <c r="D765" s="10" t="s">
        <v>501</v>
      </c>
      <c r="E765" s="10" t="s">
        <v>807</v>
      </c>
      <c r="F765" s="10" t="s">
        <v>77</v>
      </c>
      <c r="G765" s="20" t="s">
        <v>766</v>
      </c>
      <c r="H765" s="20" t="s">
        <v>807</v>
      </c>
      <c r="I765" s="10" t="s">
        <v>77</v>
      </c>
      <c r="J765" s="20" t="s">
        <v>766</v>
      </c>
      <c r="K765" s="20" t="s">
        <v>807</v>
      </c>
      <c r="L765" s="9" t="s">
        <v>352</v>
      </c>
      <c r="M765" s="9">
        <v>18</v>
      </c>
      <c r="N765" s="9" t="s">
        <v>381</v>
      </c>
      <c r="O765" s="9" t="s">
        <v>354</v>
      </c>
      <c r="P765" s="12">
        <v>35.799999999999997</v>
      </c>
      <c r="Q765" s="12">
        <v>37.6</v>
      </c>
      <c r="R765" s="9" t="s">
        <v>356</v>
      </c>
      <c r="S765" s="13">
        <v>14</v>
      </c>
      <c r="T765" s="13">
        <v>14</v>
      </c>
      <c r="U765" s="14">
        <f t="shared" si="99"/>
        <v>1.1760912590556813</v>
      </c>
      <c r="V765" s="15">
        <v>10</v>
      </c>
      <c r="W765" s="12">
        <v>6.7932353999999933</v>
      </c>
      <c r="X765" s="12">
        <v>1</v>
      </c>
      <c r="Y765" s="13" t="s">
        <v>384</v>
      </c>
      <c r="Z765" s="9" t="s">
        <v>359</v>
      </c>
      <c r="AA765" s="10" t="s">
        <v>372</v>
      </c>
      <c r="AB765" s="9" t="s">
        <v>417</v>
      </c>
      <c r="AC765" s="15">
        <v>304.7851264858275</v>
      </c>
      <c r="AD765" s="14">
        <f t="shared" si="100"/>
        <v>2.4839937696139525</v>
      </c>
      <c r="AE765" s="10" t="s">
        <v>1023</v>
      </c>
      <c r="AF765" s="9" t="s">
        <v>408</v>
      </c>
      <c r="AG765" s="18">
        <v>19.257626999999999</v>
      </c>
      <c r="AH765" s="7">
        <f t="shared" si="101"/>
        <v>1</v>
      </c>
      <c r="AI765" s="7">
        <f t="shared" si="102"/>
        <v>0</v>
      </c>
      <c r="AJ765" s="7">
        <f t="shared" si="103"/>
        <v>0</v>
      </c>
      <c r="AK765" s="7">
        <f t="shared" si="104"/>
        <v>0</v>
      </c>
      <c r="AL765" s="7" t="s">
        <v>4159</v>
      </c>
      <c r="AM765" s="18">
        <f t="shared" si="105"/>
        <v>1.2846027706234564</v>
      </c>
      <c r="AN765" s="18">
        <v>-19.257626999999999</v>
      </c>
      <c r="AO765" s="18">
        <v>146.817871</v>
      </c>
      <c r="AP765" s="9" t="s">
        <v>363</v>
      </c>
      <c r="AQ765" s="9" t="s">
        <v>355</v>
      </c>
      <c r="AR765" s="15">
        <v>1970</v>
      </c>
      <c r="AS765" s="19" t="s">
        <v>898</v>
      </c>
      <c r="AT765" s="10" t="s">
        <v>899</v>
      </c>
      <c r="AU765" s="40">
        <v>4776229</v>
      </c>
      <c r="AV765" s="35">
        <f t="shared" si="106"/>
        <v>6.6790851412059302</v>
      </c>
      <c r="AW765" s="37" t="s">
        <v>366</v>
      </c>
      <c r="AX765" s="40">
        <v>50</v>
      </c>
      <c r="AY765" s="40">
        <v>1000</v>
      </c>
      <c r="AZ765" s="15">
        <v>33</v>
      </c>
      <c r="BA765" s="14">
        <f t="shared" si="107"/>
        <v>1.5185139398778875</v>
      </c>
      <c r="BB765" s="37" t="s">
        <v>388</v>
      </c>
      <c r="BC765" s="20">
        <v>1.0623449379751775E-2</v>
      </c>
      <c r="BD765" s="9">
        <v>31.6</v>
      </c>
      <c r="BE765" s="9" t="s">
        <v>368</v>
      </c>
      <c r="BF765" s="9">
        <v>0</v>
      </c>
    </row>
    <row r="766" spans="1:58">
      <c r="A766" s="9">
        <v>346</v>
      </c>
      <c r="B766" s="10" t="s">
        <v>76</v>
      </c>
      <c r="C766" s="10" t="s">
        <v>77</v>
      </c>
      <c r="D766" s="10" t="s">
        <v>501</v>
      </c>
      <c r="E766" s="10" t="s">
        <v>807</v>
      </c>
      <c r="F766" s="10" t="s">
        <v>77</v>
      </c>
      <c r="G766" s="20" t="s">
        <v>766</v>
      </c>
      <c r="H766" s="20" t="s">
        <v>807</v>
      </c>
      <c r="I766" s="10" t="s">
        <v>77</v>
      </c>
      <c r="J766" s="20" t="s">
        <v>766</v>
      </c>
      <c r="K766" s="20" t="s">
        <v>807</v>
      </c>
      <c r="L766" s="9" t="s">
        <v>352</v>
      </c>
      <c r="M766" s="9">
        <v>37</v>
      </c>
      <c r="N766" s="9" t="s">
        <v>381</v>
      </c>
      <c r="O766" s="9" t="s">
        <v>354</v>
      </c>
      <c r="P766" s="12">
        <v>35.700000000000003</v>
      </c>
      <c r="Q766" s="12">
        <v>37.299999999999997</v>
      </c>
      <c r="R766" s="9" t="s">
        <v>356</v>
      </c>
      <c r="S766" s="13">
        <v>14</v>
      </c>
      <c r="T766" s="13">
        <v>14</v>
      </c>
      <c r="U766" s="14">
        <f t="shared" si="99"/>
        <v>1.1760912590556813</v>
      </c>
      <c r="V766" s="15">
        <v>10</v>
      </c>
      <c r="W766" s="12">
        <v>7.1151259000000024</v>
      </c>
      <c r="X766" s="12">
        <v>1</v>
      </c>
      <c r="Y766" s="13" t="s">
        <v>384</v>
      </c>
      <c r="Z766" s="9" t="s">
        <v>359</v>
      </c>
      <c r="AA766" s="10" t="s">
        <v>372</v>
      </c>
      <c r="AB766" s="9" t="s">
        <v>417</v>
      </c>
      <c r="AC766" s="15">
        <v>304.7851264858275</v>
      </c>
      <c r="AD766" s="14">
        <f t="shared" si="100"/>
        <v>2.4839937696139525</v>
      </c>
      <c r="AE766" s="10" t="s">
        <v>996</v>
      </c>
      <c r="AF766" s="9" t="s">
        <v>408</v>
      </c>
      <c r="AG766" s="18">
        <v>17.932869</v>
      </c>
      <c r="AH766" s="7">
        <f t="shared" si="101"/>
        <v>1</v>
      </c>
      <c r="AI766" s="7">
        <f t="shared" si="102"/>
        <v>0</v>
      </c>
      <c r="AJ766" s="7">
        <f t="shared" si="103"/>
        <v>0</v>
      </c>
      <c r="AK766" s="7">
        <f t="shared" si="104"/>
        <v>0</v>
      </c>
      <c r="AL766" s="7" t="s">
        <v>4159</v>
      </c>
      <c r="AM766" s="18">
        <f t="shared" si="105"/>
        <v>1.2536497759644691</v>
      </c>
      <c r="AN766" s="18">
        <v>-17.932869</v>
      </c>
      <c r="AO766" s="18">
        <v>145.92355599999999</v>
      </c>
      <c r="AP766" s="9" t="s">
        <v>363</v>
      </c>
      <c r="AQ766" s="9" t="s">
        <v>355</v>
      </c>
      <c r="AR766" s="15">
        <v>1970</v>
      </c>
      <c r="AS766" s="19" t="s">
        <v>898</v>
      </c>
      <c r="AT766" s="10" t="s">
        <v>899</v>
      </c>
      <c r="AU766" s="40">
        <v>4776229</v>
      </c>
      <c r="AV766" s="35">
        <f t="shared" si="106"/>
        <v>6.6790851412059302</v>
      </c>
      <c r="AW766" s="37" t="s">
        <v>366</v>
      </c>
      <c r="AX766" s="40">
        <v>50</v>
      </c>
      <c r="AY766" s="40">
        <v>1000</v>
      </c>
      <c r="AZ766" s="15">
        <v>33</v>
      </c>
      <c r="BA766" s="14">
        <f t="shared" si="107"/>
        <v>1.5185139398778875</v>
      </c>
      <c r="BB766" s="37" t="s">
        <v>388</v>
      </c>
      <c r="BC766" s="20">
        <v>7.543817527010924E-3</v>
      </c>
      <c r="BD766" s="9">
        <v>31.1</v>
      </c>
      <c r="BE766" s="9" t="s">
        <v>368</v>
      </c>
      <c r="BF766" s="9">
        <v>0</v>
      </c>
    </row>
    <row r="767" spans="1:58">
      <c r="A767" s="9">
        <v>345</v>
      </c>
      <c r="B767" s="10" t="s">
        <v>76</v>
      </c>
      <c r="C767" s="10" t="s">
        <v>77</v>
      </c>
      <c r="D767" s="10" t="s">
        <v>501</v>
      </c>
      <c r="E767" s="10" t="s">
        <v>807</v>
      </c>
      <c r="F767" s="10" t="s">
        <v>77</v>
      </c>
      <c r="G767" s="20" t="s">
        <v>766</v>
      </c>
      <c r="H767" s="20" t="s">
        <v>807</v>
      </c>
      <c r="I767" s="10" t="s">
        <v>77</v>
      </c>
      <c r="J767" s="20" t="s">
        <v>766</v>
      </c>
      <c r="K767" s="20" t="s">
        <v>807</v>
      </c>
      <c r="L767" s="9" t="s">
        <v>352</v>
      </c>
      <c r="M767" s="9">
        <v>24</v>
      </c>
      <c r="N767" s="9" t="s">
        <v>381</v>
      </c>
      <c r="O767" s="9" t="s">
        <v>354</v>
      </c>
      <c r="P767" s="12">
        <v>39.5</v>
      </c>
      <c r="Q767" s="12">
        <v>40.6</v>
      </c>
      <c r="R767" s="9" t="s">
        <v>356</v>
      </c>
      <c r="S767" s="13">
        <v>14</v>
      </c>
      <c r="T767" s="13">
        <v>14</v>
      </c>
      <c r="U767" s="14">
        <f t="shared" si="99"/>
        <v>1.1760912590556813</v>
      </c>
      <c r="V767" s="15">
        <v>30</v>
      </c>
      <c r="W767" s="12">
        <v>7.1157210999999982</v>
      </c>
      <c r="X767" s="12">
        <v>1</v>
      </c>
      <c r="Y767" s="13" t="s">
        <v>384</v>
      </c>
      <c r="Z767" s="9" t="s">
        <v>359</v>
      </c>
      <c r="AA767" s="10" t="s">
        <v>372</v>
      </c>
      <c r="AB767" s="9" t="s">
        <v>417</v>
      </c>
      <c r="AC767" s="15">
        <v>304.7851264858275</v>
      </c>
      <c r="AD767" s="14">
        <f t="shared" si="100"/>
        <v>2.4839937696139525</v>
      </c>
      <c r="AE767" s="10" t="s">
        <v>1022</v>
      </c>
      <c r="AF767" s="9" t="s">
        <v>408</v>
      </c>
      <c r="AG767" s="18">
        <v>20.012194999999998</v>
      </c>
      <c r="AH767" s="7">
        <f t="shared" si="101"/>
        <v>1</v>
      </c>
      <c r="AI767" s="7">
        <f t="shared" si="102"/>
        <v>0</v>
      </c>
      <c r="AJ767" s="7">
        <f t="shared" si="103"/>
        <v>0</v>
      </c>
      <c r="AK767" s="7">
        <f t="shared" si="104"/>
        <v>0</v>
      </c>
      <c r="AL767" s="7" t="s">
        <v>4159</v>
      </c>
      <c r="AM767" s="18">
        <f t="shared" si="105"/>
        <v>1.3012947260228531</v>
      </c>
      <c r="AN767" s="18">
        <v>-20.012194999999998</v>
      </c>
      <c r="AO767" s="18">
        <v>148.24629100000001</v>
      </c>
      <c r="AP767" s="9" t="s">
        <v>363</v>
      </c>
      <c r="AQ767" s="9" t="s">
        <v>355</v>
      </c>
      <c r="AR767" s="15">
        <v>1970</v>
      </c>
      <c r="AS767" s="19" t="s">
        <v>898</v>
      </c>
      <c r="AT767" s="10" t="s">
        <v>899</v>
      </c>
      <c r="AU767" s="40">
        <v>4776229</v>
      </c>
      <c r="AV767" s="35">
        <f t="shared" si="106"/>
        <v>6.6790851412059302</v>
      </c>
      <c r="AW767" s="37" t="s">
        <v>366</v>
      </c>
      <c r="AX767" s="40">
        <v>50</v>
      </c>
      <c r="AY767" s="40">
        <v>1000</v>
      </c>
      <c r="AZ767" s="15">
        <v>33</v>
      </c>
      <c r="BA767" s="14">
        <f t="shared" si="107"/>
        <v>1.5185139398778875</v>
      </c>
      <c r="BB767" s="37" t="s">
        <v>388</v>
      </c>
      <c r="BC767" s="20">
        <v>1.1652661064425369E-2</v>
      </c>
      <c r="BD767" s="9">
        <v>31.900000000000002</v>
      </c>
      <c r="BE767" s="9" t="s">
        <v>368</v>
      </c>
      <c r="BF767" s="9">
        <v>0</v>
      </c>
    </row>
    <row r="768" spans="1:58">
      <c r="A768" s="9">
        <v>347</v>
      </c>
      <c r="B768" s="10" t="s">
        <v>76</v>
      </c>
      <c r="C768" s="10" t="s">
        <v>77</v>
      </c>
      <c r="D768" s="10" t="s">
        <v>501</v>
      </c>
      <c r="E768" s="10" t="s">
        <v>807</v>
      </c>
      <c r="F768" s="10" t="s">
        <v>77</v>
      </c>
      <c r="G768" s="20" t="s">
        <v>766</v>
      </c>
      <c r="H768" s="20" t="s">
        <v>807</v>
      </c>
      <c r="I768" s="10" t="s">
        <v>77</v>
      </c>
      <c r="J768" s="20" t="s">
        <v>766</v>
      </c>
      <c r="K768" s="20" t="s">
        <v>807</v>
      </c>
      <c r="L768" s="9" t="s">
        <v>352</v>
      </c>
      <c r="M768" s="9">
        <v>37</v>
      </c>
      <c r="N768" s="9" t="s">
        <v>381</v>
      </c>
      <c r="O768" s="9" t="s">
        <v>354</v>
      </c>
      <c r="P768" s="12">
        <v>38.700000000000003</v>
      </c>
      <c r="Q768" s="12">
        <v>39.4</v>
      </c>
      <c r="R768" s="9" t="s">
        <v>356</v>
      </c>
      <c r="S768" s="13">
        <v>14</v>
      </c>
      <c r="T768" s="13">
        <v>14</v>
      </c>
      <c r="U768" s="14">
        <f t="shared" si="99"/>
        <v>1.1760912590556813</v>
      </c>
      <c r="V768" s="15">
        <v>30</v>
      </c>
      <c r="W768" s="12">
        <v>6.9907459000000003</v>
      </c>
      <c r="X768" s="12">
        <v>1</v>
      </c>
      <c r="Y768" s="13" t="s">
        <v>384</v>
      </c>
      <c r="Z768" s="9" t="s">
        <v>359</v>
      </c>
      <c r="AA768" s="10" t="s">
        <v>372</v>
      </c>
      <c r="AB768" s="9" t="s">
        <v>417</v>
      </c>
      <c r="AC768" s="15">
        <v>304.7851264858275</v>
      </c>
      <c r="AD768" s="14">
        <f t="shared" si="100"/>
        <v>2.4839937696139525</v>
      </c>
      <c r="AE768" s="10" t="s">
        <v>996</v>
      </c>
      <c r="AF768" s="9" t="s">
        <v>408</v>
      </c>
      <c r="AG768" s="18">
        <v>17.932869</v>
      </c>
      <c r="AH768" s="7">
        <f t="shared" si="101"/>
        <v>1</v>
      </c>
      <c r="AI768" s="7">
        <f t="shared" si="102"/>
        <v>0</v>
      </c>
      <c r="AJ768" s="7">
        <f t="shared" si="103"/>
        <v>0</v>
      </c>
      <c r="AK768" s="7">
        <f t="shared" si="104"/>
        <v>0</v>
      </c>
      <c r="AL768" s="7" t="s">
        <v>4159</v>
      </c>
      <c r="AM768" s="18">
        <f t="shared" si="105"/>
        <v>1.2536497759644691</v>
      </c>
      <c r="AN768" s="18">
        <v>-17.932869</v>
      </c>
      <c r="AO768" s="18">
        <v>145.92355599999999</v>
      </c>
      <c r="AP768" s="9" t="s">
        <v>363</v>
      </c>
      <c r="AQ768" s="9" t="s">
        <v>355</v>
      </c>
      <c r="AR768" s="15">
        <v>1970</v>
      </c>
      <c r="AS768" s="19" t="s">
        <v>898</v>
      </c>
      <c r="AT768" s="10" t="s">
        <v>899</v>
      </c>
      <c r="AU768" s="40">
        <v>4776229</v>
      </c>
      <c r="AV768" s="35">
        <f t="shared" si="106"/>
        <v>6.6790851412059302</v>
      </c>
      <c r="AW768" s="37" t="s">
        <v>366</v>
      </c>
      <c r="AX768" s="40">
        <v>50</v>
      </c>
      <c r="AY768" s="40">
        <v>1000</v>
      </c>
      <c r="AZ768" s="15">
        <v>33</v>
      </c>
      <c r="BA768" s="14">
        <f t="shared" si="107"/>
        <v>1.5185139398778875</v>
      </c>
      <c r="BB768" s="37" t="s">
        <v>388</v>
      </c>
      <c r="BC768" s="20">
        <v>7.543817527010924E-3</v>
      </c>
      <c r="BD768" s="9">
        <v>31.1</v>
      </c>
      <c r="BE768" s="9" t="s">
        <v>368</v>
      </c>
      <c r="BF768" s="9">
        <v>0</v>
      </c>
    </row>
    <row r="769" spans="1:58">
      <c r="A769" s="9">
        <v>349</v>
      </c>
      <c r="B769" s="10" t="s">
        <v>76</v>
      </c>
      <c r="C769" s="10" t="s">
        <v>77</v>
      </c>
      <c r="D769" s="10" t="s">
        <v>501</v>
      </c>
      <c r="E769" s="10" t="s">
        <v>807</v>
      </c>
      <c r="F769" s="10" t="s">
        <v>77</v>
      </c>
      <c r="G769" s="20" t="s">
        <v>766</v>
      </c>
      <c r="H769" s="20" t="s">
        <v>807</v>
      </c>
      <c r="I769" s="10" t="s">
        <v>77</v>
      </c>
      <c r="J769" s="20" t="s">
        <v>766</v>
      </c>
      <c r="K769" s="20" t="s">
        <v>807</v>
      </c>
      <c r="L769" s="9" t="s">
        <v>352</v>
      </c>
      <c r="M769" s="9">
        <v>18</v>
      </c>
      <c r="N769" s="9" t="s">
        <v>381</v>
      </c>
      <c r="O769" s="9" t="s">
        <v>354</v>
      </c>
      <c r="P769" s="12">
        <v>39.299999999999997</v>
      </c>
      <c r="Q769" s="12">
        <v>40.799999999999997</v>
      </c>
      <c r="R769" s="9" t="s">
        <v>356</v>
      </c>
      <c r="S769" s="13">
        <v>14</v>
      </c>
      <c r="T769" s="13">
        <v>14</v>
      </c>
      <c r="U769" s="14">
        <f t="shared" si="99"/>
        <v>1.1760912590556813</v>
      </c>
      <c r="V769" s="15">
        <v>30</v>
      </c>
      <c r="W769" s="12">
        <v>7.1688553999999982</v>
      </c>
      <c r="X769" s="12">
        <v>1</v>
      </c>
      <c r="Y769" s="13" t="s">
        <v>384</v>
      </c>
      <c r="Z769" s="9" t="s">
        <v>359</v>
      </c>
      <c r="AA769" s="10" t="s">
        <v>372</v>
      </c>
      <c r="AB769" s="9" t="s">
        <v>417</v>
      </c>
      <c r="AC769" s="15">
        <v>304.7851264858275</v>
      </c>
      <c r="AD769" s="14">
        <f t="shared" si="100"/>
        <v>2.4839937696139525</v>
      </c>
      <c r="AE769" s="10" t="s">
        <v>1023</v>
      </c>
      <c r="AF769" s="9" t="s">
        <v>408</v>
      </c>
      <c r="AG769" s="18">
        <v>19.257626999999999</v>
      </c>
      <c r="AH769" s="7">
        <f t="shared" si="101"/>
        <v>1</v>
      </c>
      <c r="AI769" s="7">
        <f t="shared" si="102"/>
        <v>0</v>
      </c>
      <c r="AJ769" s="7">
        <f t="shared" si="103"/>
        <v>0</v>
      </c>
      <c r="AK769" s="7">
        <f t="shared" si="104"/>
        <v>0</v>
      </c>
      <c r="AL769" s="7" t="s">
        <v>4159</v>
      </c>
      <c r="AM769" s="18">
        <f t="shared" si="105"/>
        <v>1.2846027706234564</v>
      </c>
      <c r="AN769" s="18">
        <v>-19.257626999999999</v>
      </c>
      <c r="AO769" s="18">
        <v>146.817871</v>
      </c>
      <c r="AP769" s="9" t="s">
        <v>363</v>
      </c>
      <c r="AQ769" s="9" t="s">
        <v>355</v>
      </c>
      <c r="AR769" s="15">
        <v>1970</v>
      </c>
      <c r="AS769" s="19" t="s">
        <v>898</v>
      </c>
      <c r="AT769" s="10" t="s">
        <v>899</v>
      </c>
      <c r="AU769" s="40">
        <v>4776229</v>
      </c>
      <c r="AV769" s="35">
        <f t="shared" si="106"/>
        <v>6.6790851412059302</v>
      </c>
      <c r="AW769" s="37" t="s">
        <v>366</v>
      </c>
      <c r="AX769" s="40">
        <v>50</v>
      </c>
      <c r="AY769" s="40">
        <v>1000</v>
      </c>
      <c r="AZ769" s="15">
        <v>33</v>
      </c>
      <c r="BA769" s="14">
        <f t="shared" si="107"/>
        <v>1.5185139398778875</v>
      </c>
      <c r="BB769" s="37" t="s">
        <v>388</v>
      </c>
      <c r="BC769" s="20">
        <v>1.0623449379751775E-2</v>
      </c>
      <c r="BD769" s="9">
        <v>31.6</v>
      </c>
      <c r="BE769" s="9" t="s">
        <v>368</v>
      </c>
      <c r="BF769" s="9">
        <v>0</v>
      </c>
    </row>
    <row r="770" spans="1:58">
      <c r="A770" s="9">
        <v>350</v>
      </c>
      <c r="B770" s="10" t="s">
        <v>76</v>
      </c>
      <c r="C770" s="10" t="s">
        <v>77</v>
      </c>
      <c r="D770" s="10" t="s">
        <v>501</v>
      </c>
      <c r="E770" s="10" t="s">
        <v>807</v>
      </c>
      <c r="F770" s="10" t="s">
        <v>77</v>
      </c>
      <c r="G770" s="20" t="s">
        <v>766</v>
      </c>
      <c r="H770" s="20" t="s">
        <v>807</v>
      </c>
      <c r="I770" s="10" t="s">
        <v>77</v>
      </c>
      <c r="J770" s="20" t="s">
        <v>766</v>
      </c>
      <c r="K770" s="20" t="s">
        <v>807</v>
      </c>
      <c r="L770" s="9" t="s">
        <v>352</v>
      </c>
      <c r="M770" s="9">
        <v>2</v>
      </c>
      <c r="N770" s="9" t="s">
        <v>353</v>
      </c>
      <c r="O770" s="9" t="s">
        <v>354</v>
      </c>
      <c r="P770" s="12">
        <v>41.6</v>
      </c>
      <c r="Q770" s="12" t="s">
        <v>355</v>
      </c>
      <c r="R770" s="9" t="s">
        <v>356</v>
      </c>
      <c r="S770" s="13">
        <v>14</v>
      </c>
      <c r="T770" s="13">
        <v>14</v>
      </c>
      <c r="U770" s="14">
        <f t="shared" si="99"/>
        <v>1.1760912590556813</v>
      </c>
      <c r="V770" s="15">
        <v>30</v>
      </c>
      <c r="W770" s="12">
        <v>11.578307899999999</v>
      </c>
      <c r="X770" s="12">
        <v>1</v>
      </c>
      <c r="Y770" s="13" t="s">
        <v>384</v>
      </c>
      <c r="Z770" s="9" t="s">
        <v>359</v>
      </c>
      <c r="AA770" s="10" t="s">
        <v>372</v>
      </c>
      <c r="AB770" s="9" t="s">
        <v>417</v>
      </c>
      <c r="AC770" s="15">
        <v>731.4843035659859</v>
      </c>
      <c r="AD770" s="14">
        <f t="shared" si="100"/>
        <v>2.8642050113255584</v>
      </c>
      <c r="AE770" s="10" t="s">
        <v>788</v>
      </c>
      <c r="AF770" s="9" t="s">
        <v>408</v>
      </c>
      <c r="AG770" s="18">
        <v>17.266815000000001</v>
      </c>
      <c r="AH770" s="7">
        <f t="shared" si="101"/>
        <v>1</v>
      </c>
      <c r="AI770" s="7">
        <f t="shared" si="102"/>
        <v>0</v>
      </c>
      <c r="AJ770" s="7">
        <f t="shared" si="103"/>
        <v>0</v>
      </c>
      <c r="AK770" s="7">
        <f t="shared" si="104"/>
        <v>0</v>
      </c>
      <c r="AL770" s="7" t="s">
        <v>4159</v>
      </c>
      <c r="AM770" s="18">
        <f t="shared" si="105"/>
        <v>1.2372122359177391</v>
      </c>
      <c r="AN770" s="18">
        <v>-17.266815000000001</v>
      </c>
      <c r="AO770" s="18">
        <v>145.476079</v>
      </c>
      <c r="AP770" s="9" t="s">
        <v>363</v>
      </c>
      <c r="AQ770" s="9" t="s">
        <v>355</v>
      </c>
      <c r="AR770" s="15">
        <v>1970</v>
      </c>
      <c r="AS770" s="19" t="s">
        <v>898</v>
      </c>
      <c r="AT770" s="10" t="s">
        <v>899</v>
      </c>
      <c r="AU770" s="40">
        <v>4776229</v>
      </c>
      <c r="AV770" s="35">
        <f t="shared" si="106"/>
        <v>6.6790851412059302</v>
      </c>
      <c r="AW770" s="37" t="s">
        <v>366</v>
      </c>
      <c r="AX770" s="40">
        <v>50</v>
      </c>
      <c r="AY770" s="40">
        <v>1000</v>
      </c>
      <c r="AZ770" s="15">
        <v>33</v>
      </c>
      <c r="BA770" s="14">
        <f t="shared" si="107"/>
        <v>1.5185139398778875</v>
      </c>
      <c r="BB770" s="37" t="s">
        <v>388</v>
      </c>
      <c r="BC770" s="20">
        <v>2.5786314525810738E-3</v>
      </c>
      <c r="BD770" s="9">
        <v>29.1</v>
      </c>
      <c r="BE770" s="9" t="s">
        <v>368</v>
      </c>
      <c r="BF770" s="9">
        <v>0</v>
      </c>
    </row>
    <row r="771" spans="1:58">
      <c r="A771" s="9">
        <v>377</v>
      </c>
      <c r="B771" s="10" t="s">
        <v>76</v>
      </c>
      <c r="C771" s="10" t="s">
        <v>77</v>
      </c>
      <c r="D771" s="10" t="s">
        <v>501</v>
      </c>
      <c r="E771" s="10" t="s">
        <v>1033</v>
      </c>
      <c r="F771" s="10" t="s">
        <v>77</v>
      </c>
      <c r="G771" s="20" t="s">
        <v>766</v>
      </c>
      <c r="H771" s="20" t="s">
        <v>1033</v>
      </c>
      <c r="I771" s="10" t="s">
        <v>77</v>
      </c>
      <c r="J771" s="20" t="s">
        <v>766</v>
      </c>
      <c r="K771" s="20" t="s">
        <v>1034</v>
      </c>
      <c r="L771" s="9" t="s">
        <v>352</v>
      </c>
      <c r="M771" s="9">
        <v>1</v>
      </c>
      <c r="N771" s="9" t="s">
        <v>353</v>
      </c>
      <c r="O771" s="9" t="s">
        <v>354</v>
      </c>
      <c r="P771" s="12">
        <v>32</v>
      </c>
      <c r="Q771" s="12">
        <v>33.299999999999997</v>
      </c>
      <c r="R771" s="9" t="s">
        <v>356</v>
      </c>
      <c r="S771" s="13">
        <v>14</v>
      </c>
      <c r="T771" s="13">
        <v>14</v>
      </c>
      <c r="U771" s="14">
        <f t="shared" si="99"/>
        <v>1.1760912590556813</v>
      </c>
      <c r="V771" s="15">
        <v>10</v>
      </c>
      <c r="W771" s="12">
        <v>8.1402994999999976</v>
      </c>
      <c r="X771" s="12">
        <v>1</v>
      </c>
      <c r="Y771" s="13" t="s">
        <v>384</v>
      </c>
      <c r="Z771" s="9" t="s">
        <v>359</v>
      </c>
      <c r="AA771" s="10" t="s">
        <v>372</v>
      </c>
      <c r="AB771" s="9" t="s">
        <v>417</v>
      </c>
      <c r="AC771" s="15">
        <v>304.7851264858275</v>
      </c>
      <c r="AD771" s="14">
        <f t="shared" si="100"/>
        <v>2.4839937696139525</v>
      </c>
      <c r="AE771" s="10" t="s">
        <v>959</v>
      </c>
      <c r="AF771" s="9" t="s">
        <v>420</v>
      </c>
      <c r="AG771" s="18">
        <v>37.496175000000001</v>
      </c>
      <c r="AH771" s="7">
        <f t="shared" si="101"/>
        <v>1</v>
      </c>
      <c r="AI771" s="7">
        <f t="shared" si="102"/>
        <v>1</v>
      </c>
      <c r="AJ771" s="7">
        <f t="shared" si="103"/>
        <v>0</v>
      </c>
      <c r="AK771" s="7">
        <f t="shared" si="104"/>
        <v>0</v>
      </c>
      <c r="AL771" s="7" t="s">
        <v>4157</v>
      </c>
      <c r="AM771" s="18">
        <f t="shared" si="105"/>
        <v>1.5739869674312112</v>
      </c>
      <c r="AN771" s="18">
        <v>-37.496175000000001</v>
      </c>
      <c r="AO771" s="18">
        <v>148.17353</v>
      </c>
      <c r="AP771" s="9" t="s">
        <v>363</v>
      </c>
      <c r="AQ771" s="9" t="s">
        <v>355</v>
      </c>
      <c r="AR771" s="15">
        <v>1970</v>
      </c>
      <c r="AS771" s="19" t="s">
        <v>898</v>
      </c>
      <c r="AT771" s="10" t="s">
        <v>899</v>
      </c>
      <c r="AU771" s="40">
        <v>236174</v>
      </c>
      <c r="AV771" s="35">
        <f t="shared" si="106"/>
        <v>5.3732320851570625</v>
      </c>
      <c r="AW771" s="37" t="s">
        <v>366</v>
      </c>
      <c r="AX771" s="40">
        <v>1200</v>
      </c>
      <c r="AY771" s="40">
        <v>1600</v>
      </c>
      <c r="AZ771" s="15">
        <v>33</v>
      </c>
      <c r="BA771" s="14">
        <f t="shared" si="107"/>
        <v>1.5185139398778875</v>
      </c>
      <c r="BB771" s="37" t="s">
        <v>388</v>
      </c>
      <c r="BC771" s="20">
        <v>1.9120848339335778E-2</v>
      </c>
      <c r="BD771" s="9">
        <v>25.5</v>
      </c>
      <c r="BE771" s="9" t="s">
        <v>368</v>
      </c>
      <c r="BF771" s="9">
        <v>0</v>
      </c>
    </row>
    <row r="772" spans="1:58">
      <c r="A772" s="9">
        <v>381</v>
      </c>
      <c r="B772" s="10" t="s">
        <v>76</v>
      </c>
      <c r="C772" s="10" t="s">
        <v>77</v>
      </c>
      <c r="D772" s="10" t="s">
        <v>501</v>
      </c>
      <c r="E772" s="10" t="s">
        <v>1035</v>
      </c>
      <c r="F772" s="10" t="s">
        <v>77</v>
      </c>
      <c r="G772" s="20" t="s">
        <v>766</v>
      </c>
      <c r="H772" s="20" t="s">
        <v>1033</v>
      </c>
      <c r="I772" s="10" t="s">
        <v>77</v>
      </c>
      <c r="J772" s="20" t="s">
        <v>766</v>
      </c>
      <c r="K772" s="20" t="s">
        <v>1034</v>
      </c>
      <c r="L772" s="9" t="s">
        <v>352</v>
      </c>
      <c r="M772" s="9">
        <v>4</v>
      </c>
      <c r="N772" s="9" t="s">
        <v>353</v>
      </c>
      <c r="O772" s="9" t="s">
        <v>354</v>
      </c>
      <c r="P772" s="12">
        <v>29</v>
      </c>
      <c r="Q772" s="12">
        <v>31.2</v>
      </c>
      <c r="R772" s="9" t="s">
        <v>356</v>
      </c>
      <c r="S772" s="13">
        <v>14</v>
      </c>
      <c r="T772" s="13">
        <v>14</v>
      </c>
      <c r="U772" s="14">
        <f t="shared" si="99"/>
        <v>1.1760912590556813</v>
      </c>
      <c r="V772" s="15">
        <v>5</v>
      </c>
      <c r="W772" s="12">
        <v>10.984080500000001</v>
      </c>
      <c r="X772" s="12">
        <v>1</v>
      </c>
      <c r="Y772" s="13" t="s">
        <v>384</v>
      </c>
      <c r="Z772" s="9" t="s">
        <v>359</v>
      </c>
      <c r="AA772" s="10" t="s">
        <v>372</v>
      </c>
      <c r="AB772" s="9" t="s">
        <v>417</v>
      </c>
      <c r="AC772" s="15">
        <v>929.59463578177383</v>
      </c>
      <c r="AD772" s="14">
        <f t="shared" si="100"/>
        <v>2.9682936089607384</v>
      </c>
      <c r="AE772" s="10" t="s">
        <v>980</v>
      </c>
      <c r="AF772" s="9" t="s">
        <v>420</v>
      </c>
      <c r="AG772" s="18">
        <v>37.833306</v>
      </c>
      <c r="AH772" s="7">
        <f t="shared" si="101"/>
        <v>1</v>
      </c>
      <c r="AI772" s="7">
        <f t="shared" si="102"/>
        <v>1</v>
      </c>
      <c r="AJ772" s="7">
        <f t="shared" si="103"/>
        <v>0</v>
      </c>
      <c r="AK772" s="7">
        <f t="shared" si="104"/>
        <v>0</v>
      </c>
      <c r="AL772" s="7" t="s">
        <v>4157</v>
      </c>
      <c r="AM772" s="18">
        <f t="shared" si="105"/>
        <v>1.5778742930459515</v>
      </c>
      <c r="AN772" s="18">
        <v>-37.833306</v>
      </c>
      <c r="AO772" s="18">
        <v>146.266671</v>
      </c>
      <c r="AP772" s="9" t="s">
        <v>363</v>
      </c>
      <c r="AQ772" s="9" t="s">
        <v>355</v>
      </c>
      <c r="AR772" s="15">
        <v>1970</v>
      </c>
      <c r="AS772" s="19" t="s">
        <v>898</v>
      </c>
      <c r="AT772" s="10" t="s">
        <v>899</v>
      </c>
      <c r="AU772" s="40">
        <v>236174</v>
      </c>
      <c r="AV772" s="35">
        <f t="shared" si="106"/>
        <v>5.3732320851570625</v>
      </c>
      <c r="AW772" s="37" t="s">
        <v>366</v>
      </c>
      <c r="AX772" s="40">
        <v>1200</v>
      </c>
      <c r="AY772" s="40">
        <v>1600</v>
      </c>
      <c r="AZ772" s="15">
        <v>33</v>
      </c>
      <c r="BA772" s="14">
        <f t="shared" si="107"/>
        <v>1.5185139398778875</v>
      </c>
      <c r="BB772" s="37" t="s">
        <v>388</v>
      </c>
      <c r="BC772" s="20">
        <v>1.1807923169267358E-2</v>
      </c>
      <c r="BD772" s="9">
        <v>19.5</v>
      </c>
      <c r="BE772" s="9" t="s">
        <v>368</v>
      </c>
      <c r="BF772" s="9">
        <v>0</v>
      </c>
    </row>
    <row r="773" spans="1:58">
      <c r="A773" s="9">
        <v>382</v>
      </c>
      <c r="B773" s="10" t="s">
        <v>76</v>
      </c>
      <c r="C773" s="10" t="s">
        <v>77</v>
      </c>
      <c r="D773" s="10" t="s">
        <v>501</v>
      </c>
      <c r="E773" s="10" t="s">
        <v>1035</v>
      </c>
      <c r="F773" s="10" t="s">
        <v>77</v>
      </c>
      <c r="G773" s="20" t="s">
        <v>766</v>
      </c>
      <c r="H773" s="20" t="s">
        <v>1033</v>
      </c>
      <c r="I773" s="10" t="s">
        <v>77</v>
      </c>
      <c r="J773" s="20" t="s">
        <v>766</v>
      </c>
      <c r="K773" s="20" t="s">
        <v>1034</v>
      </c>
      <c r="L773" s="9" t="s">
        <v>352</v>
      </c>
      <c r="M773" s="9">
        <v>4</v>
      </c>
      <c r="N773" s="9" t="s">
        <v>353</v>
      </c>
      <c r="O773" s="9" t="s">
        <v>354</v>
      </c>
      <c r="P773" s="12">
        <v>32.200000000000003</v>
      </c>
      <c r="Q773" s="12">
        <v>35.1</v>
      </c>
      <c r="R773" s="9" t="s">
        <v>356</v>
      </c>
      <c r="S773" s="13">
        <v>14</v>
      </c>
      <c r="T773" s="13">
        <v>14</v>
      </c>
      <c r="U773" s="14">
        <f t="shared" ref="U773:U836" si="108">LOG(T773+1)</f>
        <v>1.1760912590556813</v>
      </c>
      <c r="V773" s="15">
        <v>25</v>
      </c>
      <c r="W773" s="12">
        <v>11.059700500000002</v>
      </c>
      <c r="X773" s="12">
        <v>1</v>
      </c>
      <c r="Y773" s="13" t="s">
        <v>384</v>
      </c>
      <c r="Z773" s="9" t="s">
        <v>359</v>
      </c>
      <c r="AA773" s="10" t="s">
        <v>372</v>
      </c>
      <c r="AB773" s="9" t="s">
        <v>417</v>
      </c>
      <c r="AC773" s="15">
        <v>929.59463578177383</v>
      </c>
      <c r="AD773" s="14">
        <f t="shared" ref="AD773:AD836" si="109">LOG(AC773)</f>
        <v>2.9682936089607384</v>
      </c>
      <c r="AE773" s="10" t="s">
        <v>980</v>
      </c>
      <c r="AF773" s="9" t="s">
        <v>420</v>
      </c>
      <c r="AG773" s="18">
        <v>37.833306</v>
      </c>
      <c r="AH773" s="7">
        <f t="shared" ref="AH773:AH836" si="110">IF(AG773&gt;15,1,0)</f>
        <v>1</v>
      </c>
      <c r="AI773" s="7">
        <f t="shared" ref="AI773:AI836" si="111">IF(AG773&gt;30,1,0)</f>
        <v>1</v>
      </c>
      <c r="AJ773" s="7">
        <f t="shared" ref="AJ773:AJ836" si="112">IF(AG773&gt;45,1,0)</f>
        <v>0</v>
      </c>
      <c r="AK773" s="7">
        <f t="shared" ref="AK773:AK836" si="113">IF(AG773&gt;60,1,0)</f>
        <v>0</v>
      </c>
      <c r="AL773" s="7" t="s">
        <v>4157</v>
      </c>
      <c r="AM773" s="18">
        <f t="shared" ref="AM773:AM836" si="114">LOG(AG773)</f>
        <v>1.5778742930459515</v>
      </c>
      <c r="AN773" s="18">
        <v>-37.833306</v>
      </c>
      <c r="AO773" s="18">
        <v>146.266671</v>
      </c>
      <c r="AP773" s="9" t="s">
        <v>363</v>
      </c>
      <c r="AQ773" s="9" t="s">
        <v>355</v>
      </c>
      <c r="AR773" s="15">
        <v>1970</v>
      </c>
      <c r="AS773" s="19" t="s">
        <v>898</v>
      </c>
      <c r="AT773" s="10" t="s">
        <v>899</v>
      </c>
      <c r="AU773" s="40">
        <v>236174</v>
      </c>
      <c r="AV773" s="35">
        <f t="shared" ref="AV773:AV836" si="115">LOG(AU773)</f>
        <v>5.3732320851570625</v>
      </c>
      <c r="AW773" s="37" t="s">
        <v>366</v>
      </c>
      <c r="AX773" s="40">
        <v>1200</v>
      </c>
      <c r="AY773" s="40">
        <v>1600</v>
      </c>
      <c r="AZ773" s="15">
        <v>33</v>
      </c>
      <c r="BA773" s="14">
        <f t="shared" ref="BA773:BA836" si="116">LOG(AZ773)</f>
        <v>1.5185139398778875</v>
      </c>
      <c r="BB773" s="37" t="s">
        <v>388</v>
      </c>
      <c r="BC773" s="20">
        <v>1.1807923169267358E-2</v>
      </c>
      <c r="BD773" s="9">
        <v>19.5</v>
      </c>
      <c r="BE773" s="9" t="s">
        <v>368</v>
      </c>
      <c r="BF773" s="9">
        <v>0</v>
      </c>
    </row>
    <row r="774" spans="1:58">
      <c r="A774" s="9">
        <v>380</v>
      </c>
      <c r="B774" s="10" t="s">
        <v>76</v>
      </c>
      <c r="C774" s="10" t="s">
        <v>77</v>
      </c>
      <c r="D774" s="10" t="s">
        <v>501</v>
      </c>
      <c r="E774" s="10" t="s">
        <v>1035</v>
      </c>
      <c r="F774" s="10" t="s">
        <v>77</v>
      </c>
      <c r="G774" s="20" t="s">
        <v>766</v>
      </c>
      <c r="H774" s="20" t="s">
        <v>1033</v>
      </c>
      <c r="I774" s="10" t="s">
        <v>77</v>
      </c>
      <c r="J774" s="20" t="s">
        <v>766</v>
      </c>
      <c r="K774" s="20" t="s">
        <v>1034</v>
      </c>
      <c r="L774" s="9" t="s">
        <v>352</v>
      </c>
      <c r="M774" s="9">
        <v>3</v>
      </c>
      <c r="N774" s="9" t="s">
        <v>353</v>
      </c>
      <c r="O774" s="9" t="s">
        <v>354</v>
      </c>
      <c r="P774" s="12">
        <v>32.200000000000003</v>
      </c>
      <c r="Q774" s="12">
        <v>33.700000000000003</v>
      </c>
      <c r="R774" s="9" t="s">
        <v>356</v>
      </c>
      <c r="S774" s="13">
        <v>14</v>
      </c>
      <c r="T774" s="13">
        <v>14</v>
      </c>
      <c r="U774" s="14">
        <f t="shared" si="108"/>
        <v>1.1760912590556813</v>
      </c>
      <c r="V774" s="15">
        <v>17</v>
      </c>
      <c r="W774" s="12">
        <v>8.9343284999999995</v>
      </c>
      <c r="X774" s="12">
        <v>1</v>
      </c>
      <c r="Y774" s="13" t="s">
        <v>384</v>
      </c>
      <c r="Z774" s="9" t="s">
        <v>359</v>
      </c>
      <c r="AA774" s="10" t="s">
        <v>372</v>
      </c>
      <c r="AB774" s="9" t="s">
        <v>417</v>
      </c>
      <c r="AC774" s="15">
        <v>1767.7537336177993</v>
      </c>
      <c r="AD774" s="14">
        <f t="shared" si="109"/>
        <v>3.2474217631768894</v>
      </c>
      <c r="AE774" s="10" t="s">
        <v>1036</v>
      </c>
      <c r="AF774" s="9" t="s">
        <v>420</v>
      </c>
      <c r="AG774" s="18">
        <v>36.31362</v>
      </c>
      <c r="AH774" s="7">
        <f t="shared" si="110"/>
        <v>1</v>
      </c>
      <c r="AI774" s="7">
        <f t="shared" si="111"/>
        <v>1</v>
      </c>
      <c r="AJ774" s="7">
        <f t="shared" si="112"/>
        <v>0</v>
      </c>
      <c r="AK774" s="7">
        <f t="shared" si="113"/>
        <v>0</v>
      </c>
      <c r="AL774" s="7" t="s">
        <v>4157</v>
      </c>
      <c r="AM774" s="18">
        <f t="shared" si="114"/>
        <v>1.5600695446347468</v>
      </c>
      <c r="AN774" s="18">
        <v>-36.31362</v>
      </c>
      <c r="AO774" s="18">
        <v>148.645837</v>
      </c>
      <c r="AP774" s="9" t="s">
        <v>363</v>
      </c>
      <c r="AQ774" s="9" t="s">
        <v>355</v>
      </c>
      <c r="AR774" s="15">
        <v>1970</v>
      </c>
      <c r="AS774" s="19" t="s">
        <v>898</v>
      </c>
      <c r="AT774" s="10" t="s">
        <v>899</v>
      </c>
      <c r="AU774" s="40">
        <v>236174</v>
      </c>
      <c r="AV774" s="35">
        <f t="shared" si="115"/>
        <v>5.3732320851570625</v>
      </c>
      <c r="AW774" s="37" t="s">
        <v>366</v>
      </c>
      <c r="AX774" s="40">
        <v>1200</v>
      </c>
      <c r="AY774" s="40">
        <v>1600</v>
      </c>
      <c r="AZ774" s="15">
        <v>33</v>
      </c>
      <c r="BA774" s="14">
        <f t="shared" si="116"/>
        <v>1.5185139398778875</v>
      </c>
      <c r="BB774" s="37" t="s">
        <v>388</v>
      </c>
      <c r="BC774" s="20">
        <v>2.1871548619447935E-2</v>
      </c>
      <c r="BD774" s="9">
        <v>23.5</v>
      </c>
      <c r="BE774" s="9" t="s">
        <v>368</v>
      </c>
      <c r="BF774" s="9">
        <v>0</v>
      </c>
    </row>
    <row r="775" spans="1:58">
      <c r="A775" s="9">
        <v>378</v>
      </c>
      <c r="B775" s="10" t="s">
        <v>76</v>
      </c>
      <c r="C775" s="10" t="s">
        <v>77</v>
      </c>
      <c r="D775" s="10" t="s">
        <v>501</v>
      </c>
      <c r="E775" s="10" t="s">
        <v>1035</v>
      </c>
      <c r="F775" s="10" t="s">
        <v>77</v>
      </c>
      <c r="G775" s="20" t="s">
        <v>766</v>
      </c>
      <c r="H775" s="20" t="s">
        <v>1033</v>
      </c>
      <c r="I775" s="10" t="s">
        <v>77</v>
      </c>
      <c r="J775" s="20" t="s">
        <v>766</v>
      </c>
      <c r="K775" s="20" t="s">
        <v>1034</v>
      </c>
      <c r="L775" s="9" t="s">
        <v>352</v>
      </c>
      <c r="M775" s="9">
        <v>36</v>
      </c>
      <c r="N775" s="9" t="s">
        <v>381</v>
      </c>
      <c r="O775" s="9" t="s">
        <v>354</v>
      </c>
      <c r="P775" s="12">
        <v>29.6</v>
      </c>
      <c r="Q775" s="12">
        <v>31.1</v>
      </c>
      <c r="R775" s="9" t="s">
        <v>356</v>
      </c>
      <c r="S775" s="13">
        <v>14</v>
      </c>
      <c r="T775" s="13">
        <v>14</v>
      </c>
      <c r="U775" s="14">
        <f t="shared" si="108"/>
        <v>1.1760912590556813</v>
      </c>
      <c r="V775" s="15">
        <v>5</v>
      </c>
      <c r="W775" s="12">
        <v>14.199801600000001</v>
      </c>
      <c r="X775" s="12">
        <v>1</v>
      </c>
      <c r="Y775" s="13" t="s">
        <v>384</v>
      </c>
      <c r="Z775" s="9" t="s">
        <v>359</v>
      </c>
      <c r="AA775" s="10" t="s">
        <v>372</v>
      </c>
      <c r="AB775" s="9" t="s">
        <v>417</v>
      </c>
      <c r="AC775" s="15">
        <v>1981.1033221578787</v>
      </c>
      <c r="AD775" s="14">
        <f t="shared" si="109"/>
        <v>3.2969071262568077</v>
      </c>
      <c r="AE775" s="10" t="s">
        <v>963</v>
      </c>
      <c r="AF775" s="9" t="s">
        <v>420</v>
      </c>
      <c r="AG775" s="18">
        <v>36.455916999999999</v>
      </c>
      <c r="AH775" s="7">
        <f t="shared" si="110"/>
        <v>1</v>
      </c>
      <c r="AI775" s="7">
        <f t="shared" si="111"/>
        <v>1</v>
      </c>
      <c r="AJ775" s="7">
        <f t="shared" si="112"/>
        <v>0</v>
      </c>
      <c r="AK775" s="7">
        <f t="shared" si="113"/>
        <v>0</v>
      </c>
      <c r="AL775" s="7" t="s">
        <v>4157</v>
      </c>
      <c r="AM775" s="18">
        <f t="shared" si="114"/>
        <v>1.5617680268075766</v>
      </c>
      <c r="AN775" s="18">
        <v>-36.455916999999999</v>
      </c>
      <c r="AO775" s="18">
        <v>148.263588</v>
      </c>
      <c r="AP775" s="9" t="s">
        <v>363</v>
      </c>
      <c r="AQ775" s="9" t="s">
        <v>355</v>
      </c>
      <c r="AR775" s="15">
        <v>1970</v>
      </c>
      <c r="AS775" s="19" t="s">
        <v>898</v>
      </c>
      <c r="AT775" s="10" t="s">
        <v>899</v>
      </c>
      <c r="AU775" s="40">
        <v>236174</v>
      </c>
      <c r="AV775" s="35">
        <f t="shared" si="115"/>
        <v>5.3732320851570625</v>
      </c>
      <c r="AW775" s="37" t="s">
        <v>366</v>
      </c>
      <c r="AX775" s="40">
        <v>1200</v>
      </c>
      <c r="AY775" s="40">
        <v>1600</v>
      </c>
      <c r="AZ775" s="15">
        <v>33</v>
      </c>
      <c r="BA775" s="14">
        <f t="shared" si="116"/>
        <v>1.5185139398778875</v>
      </c>
      <c r="BB775" s="37" t="s">
        <v>388</v>
      </c>
      <c r="BC775" s="20">
        <v>2.5041216486594114E-2</v>
      </c>
      <c r="BD775" s="9">
        <v>16.400000000000002</v>
      </c>
      <c r="BE775" s="9" t="s">
        <v>368</v>
      </c>
      <c r="BF775" s="9">
        <v>0</v>
      </c>
    </row>
    <row r="776" spans="1:58">
      <c r="A776" s="9">
        <v>379</v>
      </c>
      <c r="B776" s="10" t="s">
        <v>76</v>
      </c>
      <c r="C776" s="10" t="s">
        <v>77</v>
      </c>
      <c r="D776" s="10" t="s">
        <v>501</v>
      </c>
      <c r="E776" s="10" t="s">
        <v>1035</v>
      </c>
      <c r="F776" s="10" t="s">
        <v>77</v>
      </c>
      <c r="G776" s="20" t="s">
        <v>766</v>
      </c>
      <c r="H776" s="20" t="s">
        <v>1033</v>
      </c>
      <c r="I776" s="10" t="s">
        <v>77</v>
      </c>
      <c r="J776" s="20" t="s">
        <v>766</v>
      </c>
      <c r="K776" s="20" t="s">
        <v>1034</v>
      </c>
      <c r="L776" s="9" t="s">
        <v>352</v>
      </c>
      <c r="M776" s="9">
        <v>36</v>
      </c>
      <c r="N776" s="9" t="s">
        <v>381</v>
      </c>
      <c r="O776" s="9" t="s">
        <v>354</v>
      </c>
      <c r="P776" s="12">
        <v>32.9</v>
      </c>
      <c r="Q776" s="12">
        <v>34.799999999999997</v>
      </c>
      <c r="R776" s="9" t="s">
        <v>356</v>
      </c>
      <c r="S776" s="13">
        <v>14</v>
      </c>
      <c r="T776" s="13">
        <v>14</v>
      </c>
      <c r="U776" s="14">
        <f t="shared" si="108"/>
        <v>1.1760912590556813</v>
      </c>
      <c r="V776" s="15">
        <v>25</v>
      </c>
      <c r="W776" s="12">
        <v>14.375421599999996</v>
      </c>
      <c r="X776" s="12">
        <v>1</v>
      </c>
      <c r="Y776" s="13" t="s">
        <v>384</v>
      </c>
      <c r="Z776" s="9" t="s">
        <v>359</v>
      </c>
      <c r="AA776" s="10" t="s">
        <v>372</v>
      </c>
      <c r="AB776" s="9" t="s">
        <v>417</v>
      </c>
      <c r="AC776" s="15">
        <v>1981.1033221578787</v>
      </c>
      <c r="AD776" s="14">
        <f t="shared" si="109"/>
        <v>3.2969071262568077</v>
      </c>
      <c r="AE776" s="10" t="s">
        <v>963</v>
      </c>
      <c r="AF776" s="9" t="s">
        <v>420</v>
      </c>
      <c r="AG776" s="18">
        <v>36.455916999999999</v>
      </c>
      <c r="AH776" s="7">
        <f t="shared" si="110"/>
        <v>1</v>
      </c>
      <c r="AI776" s="7">
        <f t="shared" si="111"/>
        <v>1</v>
      </c>
      <c r="AJ776" s="7">
        <f t="shared" si="112"/>
        <v>0</v>
      </c>
      <c r="AK776" s="7">
        <f t="shared" si="113"/>
        <v>0</v>
      </c>
      <c r="AL776" s="7" t="s">
        <v>4157</v>
      </c>
      <c r="AM776" s="18">
        <f t="shared" si="114"/>
        <v>1.5617680268075766</v>
      </c>
      <c r="AN776" s="18">
        <v>-36.455916999999999</v>
      </c>
      <c r="AO776" s="18">
        <v>148.263588</v>
      </c>
      <c r="AP776" s="9" t="s">
        <v>363</v>
      </c>
      <c r="AQ776" s="9" t="s">
        <v>355</v>
      </c>
      <c r="AR776" s="15">
        <v>1970</v>
      </c>
      <c r="AS776" s="19" t="s">
        <v>898</v>
      </c>
      <c r="AT776" s="10" t="s">
        <v>899</v>
      </c>
      <c r="AU776" s="40">
        <v>236174</v>
      </c>
      <c r="AV776" s="35">
        <f t="shared" si="115"/>
        <v>5.3732320851570625</v>
      </c>
      <c r="AW776" s="37" t="s">
        <v>366</v>
      </c>
      <c r="AX776" s="40">
        <v>1200</v>
      </c>
      <c r="AY776" s="40">
        <v>1600</v>
      </c>
      <c r="AZ776" s="15">
        <v>33</v>
      </c>
      <c r="BA776" s="14">
        <f t="shared" si="116"/>
        <v>1.5185139398778875</v>
      </c>
      <c r="BB776" s="37" t="s">
        <v>388</v>
      </c>
      <c r="BC776" s="20">
        <v>2.5041216486594114E-2</v>
      </c>
      <c r="BD776" s="9">
        <v>16.400000000000002</v>
      </c>
      <c r="BE776" s="9" t="s">
        <v>368</v>
      </c>
      <c r="BF776" s="9">
        <v>0</v>
      </c>
    </row>
    <row r="777" spans="1:58">
      <c r="A777" s="9">
        <v>319</v>
      </c>
      <c r="B777" s="10" t="s">
        <v>76</v>
      </c>
      <c r="C777" s="10" t="s">
        <v>721</v>
      </c>
      <c r="D777" s="10" t="s">
        <v>808</v>
      </c>
      <c r="E777" s="10" t="s">
        <v>809</v>
      </c>
      <c r="F777" s="10" t="s">
        <v>721</v>
      </c>
      <c r="G777" s="10" t="s">
        <v>808</v>
      </c>
      <c r="H777" s="10" t="s">
        <v>809</v>
      </c>
      <c r="I777" s="10" t="s">
        <v>721</v>
      </c>
      <c r="J777" s="10" t="s">
        <v>808</v>
      </c>
      <c r="K777" s="10" t="s">
        <v>809</v>
      </c>
      <c r="L777" s="9" t="s">
        <v>352</v>
      </c>
      <c r="M777" s="9">
        <v>7</v>
      </c>
      <c r="N777" s="9" t="s">
        <v>353</v>
      </c>
      <c r="O777" s="9" t="s">
        <v>354</v>
      </c>
      <c r="P777" s="12">
        <v>30.5</v>
      </c>
      <c r="Q777" s="12">
        <v>33.700000000000003</v>
      </c>
      <c r="R777" s="9" t="s">
        <v>356</v>
      </c>
      <c r="S777" s="13">
        <v>14</v>
      </c>
      <c r="T777" s="13">
        <v>14</v>
      </c>
      <c r="U777" s="14">
        <f t="shared" si="108"/>
        <v>1.1760912590556813</v>
      </c>
      <c r="V777" s="15">
        <v>30</v>
      </c>
      <c r="W777" s="12">
        <v>2.5877604000000005</v>
      </c>
      <c r="X777" s="12">
        <v>1</v>
      </c>
      <c r="Y777" s="13" t="s">
        <v>384</v>
      </c>
      <c r="Z777" s="9" t="s">
        <v>359</v>
      </c>
      <c r="AA777" s="10" t="s">
        <v>372</v>
      </c>
      <c r="AB777" s="9" t="s">
        <v>417</v>
      </c>
      <c r="AC777" s="15">
        <v>304.7851264858275</v>
      </c>
      <c r="AD777" s="14">
        <f t="shared" si="109"/>
        <v>2.4839937696139525</v>
      </c>
      <c r="AE777" s="10" t="s">
        <v>897</v>
      </c>
      <c r="AF777" s="9" t="s">
        <v>420</v>
      </c>
      <c r="AG777" s="18">
        <v>33.425020000000004</v>
      </c>
      <c r="AH777" s="7">
        <f t="shared" si="110"/>
        <v>1</v>
      </c>
      <c r="AI777" s="7">
        <f t="shared" si="111"/>
        <v>1</v>
      </c>
      <c r="AJ777" s="7">
        <f t="shared" si="112"/>
        <v>0</v>
      </c>
      <c r="AK777" s="7">
        <f t="shared" si="113"/>
        <v>0</v>
      </c>
      <c r="AL777" s="7" t="s">
        <v>4157</v>
      </c>
      <c r="AM777" s="18">
        <f t="shared" si="114"/>
        <v>1.5240716757960127</v>
      </c>
      <c r="AN777" s="18">
        <v>-33.425020000000004</v>
      </c>
      <c r="AO777" s="18">
        <v>151.342219</v>
      </c>
      <c r="AP777" s="9" t="s">
        <v>363</v>
      </c>
      <c r="AQ777" s="9" t="s">
        <v>355</v>
      </c>
      <c r="AR777" s="15">
        <v>1970</v>
      </c>
      <c r="AS777" s="19" t="s">
        <v>898</v>
      </c>
      <c r="AT777" s="10" t="s">
        <v>899</v>
      </c>
      <c r="AU777" s="40">
        <v>213790</v>
      </c>
      <c r="AV777" s="35">
        <f t="shared" si="115"/>
        <v>5.3299873872788028</v>
      </c>
      <c r="AW777" s="37" t="s">
        <v>366</v>
      </c>
      <c r="AX777" s="34" t="s">
        <v>355</v>
      </c>
      <c r="AY777" s="40" t="s">
        <v>355</v>
      </c>
      <c r="AZ777" s="15">
        <v>113</v>
      </c>
      <c r="BA777" s="14">
        <f t="shared" si="116"/>
        <v>2.0530784434834195</v>
      </c>
      <c r="BB777" s="37" t="s">
        <v>388</v>
      </c>
      <c r="BC777" s="20">
        <v>7.0504201680672398E-3</v>
      </c>
      <c r="BD777" s="9">
        <v>26.6</v>
      </c>
      <c r="BE777" s="9" t="s">
        <v>368</v>
      </c>
      <c r="BF777" s="9">
        <v>0</v>
      </c>
    </row>
    <row r="778" spans="1:58">
      <c r="A778" s="9">
        <v>826</v>
      </c>
      <c r="B778" s="10" t="s">
        <v>348</v>
      </c>
      <c r="C778" s="10" t="s">
        <v>888</v>
      </c>
      <c r="D778" s="20" t="s">
        <v>889</v>
      </c>
      <c r="E778" s="20" t="s">
        <v>890</v>
      </c>
      <c r="F778" s="10" t="s">
        <v>888</v>
      </c>
      <c r="G778" s="20" t="s">
        <v>889</v>
      </c>
      <c r="H778" s="20" t="s">
        <v>890</v>
      </c>
      <c r="I778" s="10" t="s">
        <v>888</v>
      </c>
      <c r="J778" s="20" t="s">
        <v>889</v>
      </c>
      <c r="K778" s="20" t="s">
        <v>890</v>
      </c>
      <c r="L778" s="9" t="s">
        <v>352</v>
      </c>
      <c r="M778" s="9">
        <v>18</v>
      </c>
      <c r="N778" s="9" t="s">
        <v>381</v>
      </c>
      <c r="O778" s="9" t="s">
        <v>354</v>
      </c>
      <c r="P778" s="12">
        <v>32.816325999999997</v>
      </c>
      <c r="Q778" s="12" t="s">
        <v>355</v>
      </c>
      <c r="R778" s="9" t="s">
        <v>356</v>
      </c>
      <c r="S778" s="13" t="s">
        <v>903</v>
      </c>
      <c r="T778" s="13" t="s">
        <v>903</v>
      </c>
      <c r="U778" s="14">
        <f t="shared" si="108"/>
        <v>1.1760912590556813</v>
      </c>
      <c r="V778" s="15">
        <v>15</v>
      </c>
      <c r="W778" s="12">
        <v>5.3910531999999982</v>
      </c>
      <c r="X778" s="12" t="s">
        <v>355</v>
      </c>
      <c r="Y778" s="13" t="s">
        <v>358</v>
      </c>
      <c r="Z778" s="9" t="s">
        <v>417</v>
      </c>
      <c r="AA778" s="10" t="s">
        <v>418</v>
      </c>
      <c r="AB778" s="9" t="s">
        <v>355</v>
      </c>
      <c r="AC778" s="43">
        <v>309</v>
      </c>
      <c r="AD778" s="14">
        <f t="shared" si="109"/>
        <v>2.4899584794248346</v>
      </c>
      <c r="AE778" s="10" t="s">
        <v>402</v>
      </c>
      <c r="AF778" s="44" t="s">
        <v>362</v>
      </c>
      <c r="AG778" s="18">
        <v>40.407006500000001</v>
      </c>
      <c r="AH778" s="7">
        <f t="shared" si="110"/>
        <v>1</v>
      </c>
      <c r="AI778" s="7">
        <f t="shared" si="111"/>
        <v>1</v>
      </c>
      <c r="AJ778" s="7">
        <f t="shared" si="112"/>
        <v>0</v>
      </c>
      <c r="AK778" s="7">
        <f t="shared" si="113"/>
        <v>0</v>
      </c>
      <c r="AL778" s="7" t="s">
        <v>4157</v>
      </c>
      <c r="AM778" s="18">
        <f t="shared" si="114"/>
        <v>1.6064566774981535</v>
      </c>
      <c r="AN778" s="45">
        <v>40.407006500000001</v>
      </c>
      <c r="AO778" s="45">
        <v>-84.204712000000001</v>
      </c>
      <c r="AP778" s="9" t="s">
        <v>402</v>
      </c>
      <c r="AQ778" s="9" t="s">
        <v>403</v>
      </c>
      <c r="AR778" s="15">
        <v>1986</v>
      </c>
      <c r="AS778" s="19" t="s">
        <v>1037</v>
      </c>
      <c r="AT778" s="20" t="s">
        <v>1038</v>
      </c>
      <c r="AU778" s="34">
        <v>1881755</v>
      </c>
      <c r="AV778" s="35">
        <f t="shared" si="115"/>
        <v>6.2745630786691242</v>
      </c>
      <c r="AW778" s="36" t="s">
        <v>366</v>
      </c>
      <c r="AX778" s="34">
        <v>0</v>
      </c>
      <c r="AY778" s="34" t="s">
        <v>355</v>
      </c>
      <c r="AZ778" s="15">
        <v>265</v>
      </c>
      <c r="BA778" s="14">
        <f t="shared" si="116"/>
        <v>2.4232458739368079</v>
      </c>
      <c r="BB778" s="36" t="s">
        <v>343</v>
      </c>
      <c r="BC778" s="20">
        <v>7.5946378551417781E-3</v>
      </c>
      <c r="BD778" s="9">
        <v>28.8</v>
      </c>
      <c r="BE778" s="9" t="s">
        <v>368</v>
      </c>
      <c r="BF778" s="9">
        <v>0</v>
      </c>
    </row>
    <row r="779" spans="1:58">
      <c r="A779" s="9">
        <v>824</v>
      </c>
      <c r="B779" s="10" t="s">
        <v>348</v>
      </c>
      <c r="C779" s="10" t="s">
        <v>888</v>
      </c>
      <c r="D779" s="20" t="s">
        <v>889</v>
      </c>
      <c r="E779" s="20" t="s">
        <v>890</v>
      </c>
      <c r="F779" s="10" t="s">
        <v>888</v>
      </c>
      <c r="G779" s="20" t="s">
        <v>889</v>
      </c>
      <c r="H779" s="20" t="s">
        <v>890</v>
      </c>
      <c r="I779" s="10" t="s">
        <v>888</v>
      </c>
      <c r="J779" s="20" t="s">
        <v>889</v>
      </c>
      <c r="K779" s="20" t="s">
        <v>890</v>
      </c>
      <c r="L779" s="9" t="s">
        <v>352</v>
      </c>
      <c r="M779" s="9">
        <v>25</v>
      </c>
      <c r="N779" s="9" t="s">
        <v>381</v>
      </c>
      <c r="O779" s="9" t="s">
        <v>354</v>
      </c>
      <c r="P779" s="12">
        <v>33.285713000000001</v>
      </c>
      <c r="Q779" s="12" t="s">
        <v>355</v>
      </c>
      <c r="R779" s="9" t="s">
        <v>356</v>
      </c>
      <c r="S779" s="13" t="s">
        <v>903</v>
      </c>
      <c r="T779" s="13" t="s">
        <v>903</v>
      </c>
      <c r="U779" s="14">
        <f t="shared" si="108"/>
        <v>1.1760912590556813</v>
      </c>
      <c r="V779" s="15">
        <v>15</v>
      </c>
      <c r="W779" s="12">
        <v>5.8604402000000029</v>
      </c>
      <c r="X779" s="12" t="s">
        <v>355</v>
      </c>
      <c r="Y779" s="13" t="s">
        <v>358</v>
      </c>
      <c r="Z779" s="9" t="s">
        <v>417</v>
      </c>
      <c r="AA779" s="10" t="s">
        <v>418</v>
      </c>
      <c r="AB779" s="9" t="s">
        <v>355</v>
      </c>
      <c r="AC779" s="43">
        <v>309</v>
      </c>
      <c r="AD779" s="14">
        <f t="shared" si="109"/>
        <v>2.4899584794248346</v>
      </c>
      <c r="AE779" s="10" t="s">
        <v>402</v>
      </c>
      <c r="AF779" s="44" t="s">
        <v>362</v>
      </c>
      <c r="AG779" s="18">
        <v>40.407006500000001</v>
      </c>
      <c r="AH779" s="7">
        <f t="shared" si="110"/>
        <v>1</v>
      </c>
      <c r="AI779" s="7">
        <f t="shared" si="111"/>
        <v>1</v>
      </c>
      <c r="AJ779" s="7">
        <f t="shared" si="112"/>
        <v>0</v>
      </c>
      <c r="AK779" s="7">
        <f t="shared" si="113"/>
        <v>0</v>
      </c>
      <c r="AL779" s="7" t="s">
        <v>4157</v>
      </c>
      <c r="AM779" s="18">
        <f t="shared" si="114"/>
        <v>1.6064566774981535</v>
      </c>
      <c r="AN779" s="45">
        <v>40.407006500000001</v>
      </c>
      <c r="AO779" s="45">
        <v>-84.204712000000001</v>
      </c>
      <c r="AP779" s="9" t="s">
        <v>402</v>
      </c>
      <c r="AQ779" s="9" t="s">
        <v>403</v>
      </c>
      <c r="AR779" s="15">
        <v>1986</v>
      </c>
      <c r="AS779" s="19" t="s">
        <v>1037</v>
      </c>
      <c r="AT779" s="20" t="s">
        <v>1038</v>
      </c>
      <c r="AU779" s="34">
        <v>1881755</v>
      </c>
      <c r="AV779" s="35">
        <f t="shared" si="115"/>
        <v>6.2745630786691242</v>
      </c>
      <c r="AW779" s="36" t="s">
        <v>366</v>
      </c>
      <c r="AX779" s="34">
        <v>0</v>
      </c>
      <c r="AY779" s="34" t="s">
        <v>355</v>
      </c>
      <c r="AZ779" s="15">
        <v>265</v>
      </c>
      <c r="BA779" s="14">
        <f t="shared" si="116"/>
        <v>2.4232458739368079</v>
      </c>
      <c r="BB779" s="36" t="s">
        <v>343</v>
      </c>
      <c r="BC779" s="20">
        <v>7.5946378551417781E-3</v>
      </c>
      <c r="BD779" s="9">
        <v>28.8</v>
      </c>
      <c r="BE779" s="9" t="s">
        <v>368</v>
      </c>
      <c r="BF779" s="9">
        <v>0</v>
      </c>
    </row>
    <row r="780" spans="1:58">
      <c r="A780" s="9">
        <v>825</v>
      </c>
      <c r="B780" s="10" t="s">
        <v>348</v>
      </c>
      <c r="C780" s="10" t="s">
        <v>888</v>
      </c>
      <c r="D780" s="20" t="s">
        <v>889</v>
      </c>
      <c r="E780" s="20" t="s">
        <v>890</v>
      </c>
      <c r="F780" s="10" t="s">
        <v>888</v>
      </c>
      <c r="G780" s="20" t="s">
        <v>889</v>
      </c>
      <c r="H780" s="20" t="s">
        <v>890</v>
      </c>
      <c r="I780" s="10" t="s">
        <v>888</v>
      </c>
      <c r="J780" s="20" t="s">
        <v>889</v>
      </c>
      <c r="K780" s="20" t="s">
        <v>890</v>
      </c>
      <c r="L780" s="9" t="s">
        <v>352</v>
      </c>
      <c r="M780" s="9">
        <v>21</v>
      </c>
      <c r="N780" s="9" t="s">
        <v>381</v>
      </c>
      <c r="O780" s="9" t="s">
        <v>354</v>
      </c>
      <c r="P780" s="12">
        <v>34.122447999999999</v>
      </c>
      <c r="Q780" s="12" t="s">
        <v>355</v>
      </c>
      <c r="R780" s="9" t="s">
        <v>356</v>
      </c>
      <c r="S780" s="13" t="s">
        <v>903</v>
      </c>
      <c r="T780" s="13" t="s">
        <v>903</v>
      </c>
      <c r="U780" s="14">
        <f t="shared" si="108"/>
        <v>1.1760912590556813</v>
      </c>
      <c r="V780" s="15">
        <v>15</v>
      </c>
      <c r="W780" s="12">
        <v>6.6971752000000002</v>
      </c>
      <c r="X780" s="12" t="s">
        <v>355</v>
      </c>
      <c r="Y780" s="13" t="s">
        <v>358</v>
      </c>
      <c r="Z780" s="9" t="s">
        <v>417</v>
      </c>
      <c r="AA780" s="10" t="s">
        <v>418</v>
      </c>
      <c r="AB780" s="9" t="s">
        <v>355</v>
      </c>
      <c r="AC780" s="43">
        <v>309</v>
      </c>
      <c r="AD780" s="14">
        <f t="shared" si="109"/>
        <v>2.4899584794248346</v>
      </c>
      <c r="AE780" s="10" t="s">
        <v>402</v>
      </c>
      <c r="AF780" s="44" t="s">
        <v>362</v>
      </c>
      <c r="AG780" s="18">
        <v>40.407006500000001</v>
      </c>
      <c r="AH780" s="7">
        <f t="shared" si="110"/>
        <v>1</v>
      </c>
      <c r="AI780" s="7">
        <f t="shared" si="111"/>
        <v>1</v>
      </c>
      <c r="AJ780" s="7">
        <f t="shared" si="112"/>
        <v>0</v>
      </c>
      <c r="AK780" s="7">
        <f t="shared" si="113"/>
        <v>0</v>
      </c>
      <c r="AL780" s="7" t="s">
        <v>4157</v>
      </c>
      <c r="AM780" s="18">
        <f t="shared" si="114"/>
        <v>1.6064566774981535</v>
      </c>
      <c r="AN780" s="45">
        <v>40.407006500000001</v>
      </c>
      <c r="AO780" s="45">
        <v>-84.204712000000001</v>
      </c>
      <c r="AP780" s="9" t="s">
        <v>402</v>
      </c>
      <c r="AQ780" s="9" t="s">
        <v>403</v>
      </c>
      <c r="AR780" s="15">
        <v>1986</v>
      </c>
      <c r="AS780" s="19" t="s">
        <v>1037</v>
      </c>
      <c r="AT780" s="20" t="s">
        <v>1038</v>
      </c>
      <c r="AU780" s="34">
        <v>1881755</v>
      </c>
      <c r="AV780" s="35">
        <f t="shared" si="115"/>
        <v>6.2745630786691242</v>
      </c>
      <c r="AW780" s="36" t="s">
        <v>366</v>
      </c>
      <c r="AX780" s="34">
        <v>0</v>
      </c>
      <c r="AY780" s="34" t="s">
        <v>355</v>
      </c>
      <c r="AZ780" s="15">
        <v>265</v>
      </c>
      <c r="BA780" s="14">
        <f t="shared" si="116"/>
        <v>2.4232458739368079</v>
      </c>
      <c r="BB780" s="36" t="s">
        <v>343</v>
      </c>
      <c r="BC780" s="20">
        <v>7.5946378551417781E-3</v>
      </c>
      <c r="BD780" s="9">
        <v>28.8</v>
      </c>
      <c r="BE780" s="9" t="s">
        <v>368</v>
      </c>
      <c r="BF780" s="9">
        <v>0</v>
      </c>
    </row>
    <row r="781" spans="1:58">
      <c r="A781" s="9">
        <v>318</v>
      </c>
      <c r="B781" s="10" t="s">
        <v>76</v>
      </c>
      <c r="C781" s="10" t="s">
        <v>721</v>
      </c>
      <c r="D781" s="10" t="s">
        <v>810</v>
      </c>
      <c r="E781" s="10" t="s">
        <v>811</v>
      </c>
      <c r="F781" s="20" t="s">
        <v>101</v>
      </c>
      <c r="G781" s="10" t="s">
        <v>810</v>
      </c>
      <c r="H781" s="10" t="s">
        <v>811</v>
      </c>
      <c r="I781" s="20" t="s">
        <v>101</v>
      </c>
      <c r="J781" s="10" t="s">
        <v>810</v>
      </c>
      <c r="K781" s="10" t="s">
        <v>811</v>
      </c>
      <c r="L781" s="9" t="s">
        <v>352</v>
      </c>
      <c r="M781" s="9">
        <v>1</v>
      </c>
      <c r="N781" s="9" t="s">
        <v>353</v>
      </c>
      <c r="O781" s="9" t="s">
        <v>354</v>
      </c>
      <c r="P781" s="12">
        <v>29.3</v>
      </c>
      <c r="Q781" s="12" t="s">
        <v>355</v>
      </c>
      <c r="R781" s="9" t="s">
        <v>356</v>
      </c>
      <c r="S781" s="13">
        <v>14</v>
      </c>
      <c r="T781" s="13">
        <v>14</v>
      </c>
      <c r="U781" s="14">
        <f t="shared" si="108"/>
        <v>1.1760912590556813</v>
      </c>
      <c r="V781" s="15">
        <v>5</v>
      </c>
      <c r="W781" s="12">
        <v>2.0868676000000015</v>
      </c>
      <c r="X781" s="12">
        <v>1</v>
      </c>
      <c r="Y781" s="13" t="s">
        <v>384</v>
      </c>
      <c r="Z781" s="9" t="s">
        <v>359</v>
      </c>
      <c r="AA781" s="10" t="s">
        <v>372</v>
      </c>
      <c r="AB781" s="9" t="s">
        <v>417</v>
      </c>
      <c r="AC781" s="15">
        <v>609.57025297165501</v>
      </c>
      <c r="AD781" s="14">
        <f t="shared" si="109"/>
        <v>2.7850237652779337</v>
      </c>
      <c r="AE781" s="10" t="s">
        <v>994</v>
      </c>
      <c r="AF781" s="9" t="s">
        <v>420</v>
      </c>
      <c r="AG781" s="18">
        <v>31.106316</v>
      </c>
      <c r="AH781" s="7">
        <f t="shared" si="110"/>
        <v>1</v>
      </c>
      <c r="AI781" s="7">
        <f t="shared" si="111"/>
        <v>1</v>
      </c>
      <c r="AJ781" s="7">
        <f t="shared" si="112"/>
        <v>0</v>
      </c>
      <c r="AK781" s="7">
        <f t="shared" si="113"/>
        <v>0</v>
      </c>
      <c r="AL781" s="7" t="s">
        <v>4157</v>
      </c>
      <c r="AM781" s="18">
        <f t="shared" si="114"/>
        <v>1.4928485795558226</v>
      </c>
      <c r="AN781" s="18">
        <v>-31.106316</v>
      </c>
      <c r="AO781" s="18">
        <v>150.930734</v>
      </c>
      <c r="AP781" s="9" t="s">
        <v>363</v>
      </c>
      <c r="AQ781" s="9" t="s">
        <v>355</v>
      </c>
      <c r="AR781" s="15">
        <v>1970</v>
      </c>
      <c r="AS781" s="19" t="s">
        <v>898</v>
      </c>
      <c r="AT781" s="10" t="s">
        <v>899</v>
      </c>
      <c r="AU781" s="40">
        <v>310223</v>
      </c>
      <c r="AV781" s="35">
        <f t="shared" si="115"/>
        <v>5.4916739933576304</v>
      </c>
      <c r="AW781" s="37" t="s">
        <v>366</v>
      </c>
      <c r="AX781" s="40">
        <v>50</v>
      </c>
      <c r="AY781" s="40">
        <v>400</v>
      </c>
      <c r="AZ781" s="15">
        <v>55</v>
      </c>
      <c r="BA781" s="14">
        <f t="shared" si="116"/>
        <v>1.7403626894942439</v>
      </c>
      <c r="BB781" s="37" t="s">
        <v>367</v>
      </c>
      <c r="BC781" s="20">
        <v>2.9925170068027529E-2</v>
      </c>
      <c r="BD781" s="9">
        <v>30.400000000000002</v>
      </c>
      <c r="BE781" s="9" t="s">
        <v>368</v>
      </c>
      <c r="BF781" s="9">
        <v>0</v>
      </c>
    </row>
    <row r="782" spans="1:58">
      <c r="A782" s="9">
        <v>708</v>
      </c>
      <c r="B782" s="10" t="s">
        <v>348</v>
      </c>
      <c r="C782" s="10" t="s">
        <v>622</v>
      </c>
      <c r="D782" s="20" t="s">
        <v>683</v>
      </c>
      <c r="E782" s="20" t="s">
        <v>682</v>
      </c>
      <c r="F782" s="10" t="s">
        <v>622</v>
      </c>
      <c r="G782" s="20" t="s">
        <v>683</v>
      </c>
      <c r="H782" s="20" t="s">
        <v>682</v>
      </c>
      <c r="I782" s="10" t="s">
        <v>622</v>
      </c>
      <c r="J782" s="20" t="s">
        <v>683</v>
      </c>
      <c r="K782" s="20" t="s">
        <v>682</v>
      </c>
      <c r="L782" s="9" t="s">
        <v>352</v>
      </c>
      <c r="M782" s="9">
        <v>10</v>
      </c>
      <c r="N782" s="9" t="s">
        <v>381</v>
      </c>
      <c r="O782" s="9" t="s">
        <v>354</v>
      </c>
      <c r="P782" s="12">
        <v>37.340000000000003</v>
      </c>
      <c r="Q782" s="12" t="s">
        <v>355</v>
      </c>
      <c r="R782" s="9" t="s">
        <v>356</v>
      </c>
      <c r="S782" s="13" t="s">
        <v>903</v>
      </c>
      <c r="T782" s="13" t="s">
        <v>903</v>
      </c>
      <c r="U782" s="14">
        <f t="shared" si="108"/>
        <v>1.1760912590556813</v>
      </c>
      <c r="V782" s="15">
        <v>10</v>
      </c>
      <c r="W782" s="12">
        <v>5.9706486000000041</v>
      </c>
      <c r="X782" s="12">
        <v>1</v>
      </c>
      <c r="Y782" s="13" t="s">
        <v>358</v>
      </c>
      <c r="Z782" s="9" t="s">
        <v>417</v>
      </c>
      <c r="AA782" s="10" t="s">
        <v>418</v>
      </c>
      <c r="AB782" s="9" t="s">
        <v>355</v>
      </c>
      <c r="AC782" s="15">
        <v>340</v>
      </c>
      <c r="AD782" s="14">
        <f t="shared" si="109"/>
        <v>2.5314789170422549</v>
      </c>
      <c r="AE782" s="10" t="s">
        <v>916</v>
      </c>
      <c r="AF782" s="9" t="s">
        <v>420</v>
      </c>
      <c r="AG782" s="18">
        <v>35.254964000000001</v>
      </c>
      <c r="AH782" s="7">
        <f t="shared" si="110"/>
        <v>1</v>
      </c>
      <c r="AI782" s="7">
        <f t="shared" si="111"/>
        <v>1</v>
      </c>
      <c r="AJ782" s="7">
        <f t="shared" si="112"/>
        <v>0</v>
      </c>
      <c r="AK782" s="7">
        <f t="shared" si="113"/>
        <v>0</v>
      </c>
      <c r="AL782" s="7" t="s">
        <v>4157</v>
      </c>
      <c r="AM782" s="18">
        <f t="shared" si="114"/>
        <v>1.5472202755409485</v>
      </c>
      <c r="AN782" s="18">
        <v>35.254964000000001</v>
      </c>
      <c r="AO782" s="18">
        <v>-97.351656000000006</v>
      </c>
      <c r="AP782" s="9" t="s">
        <v>363</v>
      </c>
      <c r="AQ782" s="9" t="s">
        <v>355</v>
      </c>
      <c r="AR782" s="15">
        <v>1997</v>
      </c>
      <c r="AS782" s="19" t="s">
        <v>917</v>
      </c>
      <c r="AT782" s="20" t="s">
        <v>918</v>
      </c>
      <c r="AU782" s="34">
        <v>3437299</v>
      </c>
      <c r="AV782" s="35">
        <f t="shared" si="115"/>
        <v>6.5362173117130542</v>
      </c>
      <c r="AW782" s="36" t="s">
        <v>366</v>
      </c>
      <c r="AX782" s="34" t="s">
        <v>355</v>
      </c>
      <c r="AY782" s="34" t="s">
        <v>355</v>
      </c>
      <c r="AZ782" s="15">
        <v>78</v>
      </c>
      <c r="BA782" s="14">
        <f t="shared" si="116"/>
        <v>1.8920946026904804</v>
      </c>
      <c r="BB782" s="36" t="s">
        <v>388</v>
      </c>
      <c r="BC782" s="20">
        <v>3.0460984393757294E-2</v>
      </c>
      <c r="BD782" s="9">
        <v>34.4</v>
      </c>
      <c r="BE782" s="9" t="s">
        <v>368</v>
      </c>
      <c r="BF782" s="9">
        <v>0</v>
      </c>
    </row>
    <row r="783" spans="1:58">
      <c r="A783" s="9">
        <v>321</v>
      </c>
      <c r="B783" s="10" t="s">
        <v>76</v>
      </c>
      <c r="C783" s="10" t="s">
        <v>721</v>
      </c>
      <c r="D783" s="10" t="s">
        <v>1039</v>
      </c>
      <c r="E783" s="10" t="s">
        <v>1040</v>
      </c>
      <c r="F783" s="20" t="s">
        <v>101</v>
      </c>
      <c r="G783" s="10" t="s">
        <v>1039</v>
      </c>
      <c r="H783" s="10" t="s">
        <v>1040</v>
      </c>
      <c r="I783" s="20" t="s">
        <v>101</v>
      </c>
      <c r="J783" s="10" t="s">
        <v>1039</v>
      </c>
      <c r="K783" s="10" t="s">
        <v>1040</v>
      </c>
      <c r="L783" s="9" t="s">
        <v>352</v>
      </c>
      <c r="M783" s="9">
        <v>28</v>
      </c>
      <c r="N783" s="9" t="s">
        <v>381</v>
      </c>
      <c r="O783" s="9" t="s">
        <v>354</v>
      </c>
      <c r="P783" s="12">
        <v>27.1</v>
      </c>
      <c r="Q783" s="12">
        <v>28.2</v>
      </c>
      <c r="R783" s="9" t="s">
        <v>356</v>
      </c>
      <c r="S783" s="13">
        <v>14</v>
      </c>
      <c r="T783" s="13">
        <v>14</v>
      </c>
      <c r="U783" s="14">
        <f t="shared" si="108"/>
        <v>1.1760912590556813</v>
      </c>
      <c r="V783" s="15">
        <v>5</v>
      </c>
      <c r="W783" s="12">
        <v>9.0840805000000024</v>
      </c>
      <c r="X783" s="12">
        <v>1</v>
      </c>
      <c r="Y783" s="13" t="s">
        <v>384</v>
      </c>
      <c r="Z783" s="9" t="s">
        <v>359</v>
      </c>
      <c r="AA783" s="10" t="s">
        <v>372</v>
      </c>
      <c r="AB783" s="9" t="s">
        <v>417</v>
      </c>
      <c r="AC783" s="15">
        <v>929.59463578177383</v>
      </c>
      <c r="AD783" s="14">
        <f t="shared" si="109"/>
        <v>2.9682936089607384</v>
      </c>
      <c r="AE783" s="10" t="s">
        <v>980</v>
      </c>
      <c r="AF783" s="9" t="s">
        <v>420</v>
      </c>
      <c r="AG783" s="18">
        <v>37.833306</v>
      </c>
      <c r="AH783" s="7">
        <f t="shared" si="110"/>
        <v>1</v>
      </c>
      <c r="AI783" s="7">
        <f t="shared" si="111"/>
        <v>1</v>
      </c>
      <c r="AJ783" s="7">
        <f t="shared" si="112"/>
        <v>0</v>
      </c>
      <c r="AK783" s="7">
        <f t="shared" si="113"/>
        <v>0</v>
      </c>
      <c r="AL783" s="7" t="s">
        <v>4157</v>
      </c>
      <c r="AM783" s="18">
        <f t="shared" si="114"/>
        <v>1.5778742930459515</v>
      </c>
      <c r="AN783" s="18">
        <v>-37.833306</v>
      </c>
      <c r="AO783" s="18">
        <v>146.266671</v>
      </c>
      <c r="AP783" s="9" t="s">
        <v>363</v>
      </c>
      <c r="AQ783" s="9" t="s">
        <v>355</v>
      </c>
      <c r="AR783" s="15">
        <v>1970</v>
      </c>
      <c r="AS783" s="19" t="s">
        <v>898</v>
      </c>
      <c r="AT783" s="10" t="s">
        <v>899</v>
      </c>
      <c r="AU783" s="40">
        <v>103</v>
      </c>
      <c r="AV783" s="35">
        <f t="shared" si="115"/>
        <v>2.012837224705172</v>
      </c>
      <c r="AW783" s="37" t="s">
        <v>366</v>
      </c>
      <c r="AX783" s="40">
        <v>1260</v>
      </c>
      <c r="AY783" s="40">
        <v>1560</v>
      </c>
      <c r="AZ783" s="15">
        <v>55</v>
      </c>
      <c r="BA783" s="14">
        <f t="shared" si="116"/>
        <v>1.7403626894942439</v>
      </c>
      <c r="BB783" s="37" t="s">
        <v>388</v>
      </c>
      <c r="BC783" s="20">
        <v>1.1807923169267358E-2</v>
      </c>
      <c r="BD783" s="9">
        <v>19.5</v>
      </c>
      <c r="BE783" s="9" t="s">
        <v>459</v>
      </c>
      <c r="BF783" s="9">
        <v>1</v>
      </c>
    </row>
    <row r="784" spans="1:58">
      <c r="A784" s="9">
        <v>322</v>
      </c>
      <c r="B784" s="10" t="s">
        <v>76</v>
      </c>
      <c r="C784" s="10" t="s">
        <v>721</v>
      </c>
      <c r="D784" s="10" t="s">
        <v>1039</v>
      </c>
      <c r="E784" s="10" t="s">
        <v>1040</v>
      </c>
      <c r="F784" s="20" t="s">
        <v>101</v>
      </c>
      <c r="G784" s="10" t="s">
        <v>1039</v>
      </c>
      <c r="H784" s="10" t="s">
        <v>1040</v>
      </c>
      <c r="I784" s="20" t="s">
        <v>101</v>
      </c>
      <c r="J784" s="10" t="s">
        <v>1039</v>
      </c>
      <c r="K784" s="10" t="s">
        <v>1040</v>
      </c>
      <c r="L784" s="9" t="s">
        <v>352</v>
      </c>
      <c r="M784" s="9">
        <v>28</v>
      </c>
      <c r="N784" s="9" t="s">
        <v>381</v>
      </c>
      <c r="O784" s="9" t="s">
        <v>354</v>
      </c>
      <c r="P784" s="12">
        <v>27.1</v>
      </c>
      <c r="Q784" s="12">
        <v>29.2</v>
      </c>
      <c r="R784" s="9" t="s">
        <v>356</v>
      </c>
      <c r="S784" s="13">
        <v>14</v>
      </c>
      <c r="T784" s="13">
        <v>14</v>
      </c>
      <c r="U784" s="14">
        <f t="shared" si="108"/>
        <v>1.1760912590556813</v>
      </c>
      <c r="V784" s="15">
        <v>17</v>
      </c>
      <c r="W784" s="12">
        <v>7.2094525000000012</v>
      </c>
      <c r="X784" s="12">
        <v>1</v>
      </c>
      <c r="Y784" s="13" t="s">
        <v>384</v>
      </c>
      <c r="Z784" s="9" t="s">
        <v>359</v>
      </c>
      <c r="AA784" s="10" t="s">
        <v>372</v>
      </c>
      <c r="AB784" s="9" t="s">
        <v>417</v>
      </c>
      <c r="AC784" s="15">
        <v>929.59463578177383</v>
      </c>
      <c r="AD784" s="14">
        <f t="shared" si="109"/>
        <v>2.9682936089607384</v>
      </c>
      <c r="AE784" s="10" t="s">
        <v>980</v>
      </c>
      <c r="AF784" s="9" t="s">
        <v>420</v>
      </c>
      <c r="AG784" s="18">
        <v>37.833306</v>
      </c>
      <c r="AH784" s="7">
        <f t="shared" si="110"/>
        <v>1</v>
      </c>
      <c r="AI784" s="7">
        <f t="shared" si="111"/>
        <v>1</v>
      </c>
      <c r="AJ784" s="7">
        <f t="shared" si="112"/>
        <v>0</v>
      </c>
      <c r="AK784" s="7">
        <f t="shared" si="113"/>
        <v>0</v>
      </c>
      <c r="AL784" s="7" t="s">
        <v>4157</v>
      </c>
      <c r="AM784" s="18">
        <f t="shared" si="114"/>
        <v>1.5778742930459515</v>
      </c>
      <c r="AN784" s="18">
        <v>-37.833306</v>
      </c>
      <c r="AO784" s="18">
        <v>146.266671</v>
      </c>
      <c r="AP784" s="9" t="s">
        <v>363</v>
      </c>
      <c r="AQ784" s="9" t="s">
        <v>355</v>
      </c>
      <c r="AR784" s="15">
        <v>1970</v>
      </c>
      <c r="AS784" s="19" t="s">
        <v>898</v>
      </c>
      <c r="AT784" s="10" t="s">
        <v>899</v>
      </c>
      <c r="AU784" s="40">
        <v>103</v>
      </c>
      <c r="AV784" s="35">
        <f t="shared" si="115"/>
        <v>2.012837224705172</v>
      </c>
      <c r="AW784" s="37" t="s">
        <v>366</v>
      </c>
      <c r="AX784" s="40">
        <v>1260</v>
      </c>
      <c r="AY784" s="40">
        <v>1560</v>
      </c>
      <c r="AZ784" s="15">
        <v>55</v>
      </c>
      <c r="BA784" s="14">
        <f t="shared" si="116"/>
        <v>1.7403626894942439</v>
      </c>
      <c r="BB784" s="37" t="s">
        <v>388</v>
      </c>
      <c r="BC784" s="20">
        <v>1.1807923169267358E-2</v>
      </c>
      <c r="BD784" s="9">
        <v>19.5</v>
      </c>
      <c r="BE784" s="9" t="s">
        <v>459</v>
      </c>
      <c r="BF784" s="9">
        <v>1</v>
      </c>
    </row>
    <row r="785" spans="1:58">
      <c r="A785" s="9">
        <v>323</v>
      </c>
      <c r="B785" s="10" t="s">
        <v>76</v>
      </c>
      <c r="C785" s="10" t="s">
        <v>721</v>
      </c>
      <c r="D785" s="10" t="s">
        <v>1039</v>
      </c>
      <c r="E785" s="10" t="s">
        <v>1040</v>
      </c>
      <c r="F785" s="20" t="s">
        <v>101</v>
      </c>
      <c r="G785" s="10" t="s">
        <v>1039</v>
      </c>
      <c r="H785" s="10" t="s">
        <v>1040</v>
      </c>
      <c r="I785" s="20" t="s">
        <v>101</v>
      </c>
      <c r="J785" s="10" t="s">
        <v>1039</v>
      </c>
      <c r="K785" s="10" t="s">
        <v>1040</v>
      </c>
      <c r="L785" s="9" t="s">
        <v>352</v>
      </c>
      <c r="M785" s="9">
        <v>28</v>
      </c>
      <c r="N785" s="9" t="s">
        <v>381</v>
      </c>
      <c r="O785" s="9" t="s">
        <v>354</v>
      </c>
      <c r="P785" s="12">
        <v>28.8</v>
      </c>
      <c r="Q785" s="12">
        <v>29.9</v>
      </c>
      <c r="R785" s="9" t="s">
        <v>356</v>
      </c>
      <c r="S785" s="13">
        <v>14</v>
      </c>
      <c r="T785" s="13">
        <v>14</v>
      </c>
      <c r="U785" s="14">
        <f t="shared" si="108"/>
        <v>1.1760912590556813</v>
      </c>
      <c r="V785" s="15">
        <v>25</v>
      </c>
      <c r="W785" s="12">
        <v>7.6597004999999996</v>
      </c>
      <c r="X785" s="12">
        <v>1</v>
      </c>
      <c r="Y785" s="13" t="s">
        <v>384</v>
      </c>
      <c r="Z785" s="9" t="s">
        <v>359</v>
      </c>
      <c r="AA785" s="10" t="s">
        <v>372</v>
      </c>
      <c r="AB785" s="9" t="s">
        <v>417</v>
      </c>
      <c r="AC785" s="15">
        <v>929.59463578177383</v>
      </c>
      <c r="AD785" s="14">
        <f t="shared" si="109"/>
        <v>2.9682936089607384</v>
      </c>
      <c r="AE785" s="10" t="s">
        <v>980</v>
      </c>
      <c r="AF785" s="9" t="s">
        <v>420</v>
      </c>
      <c r="AG785" s="18">
        <v>37.833306</v>
      </c>
      <c r="AH785" s="7">
        <f t="shared" si="110"/>
        <v>1</v>
      </c>
      <c r="AI785" s="7">
        <f t="shared" si="111"/>
        <v>1</v>
      </c>
      <c r="AJ785" s="7">
        <f t="shared" si="112"/>
        <v>0</v>
      </c>
      <c r="AK785" s="7">
        <f t="shared" si="113"/>
        <v>0</v>
      </c>
      <c r="AL785" s="7" t="s">
        <v>4157</v>
      </c>
      <c r="AM785" s="18">
        <f t="shared" si="114"/>
        <v>1.5778742930459515</v>
      </c>
      <c r="AN785" s="18">
        <v>-37.833306</v>
      </c>
      <c r="AO785" s="18">
        <v>146.266671</v>
      </c>
      <c r="AP785" s="9" t="s">
        <v>363</v>
      </c>
      <c r="AQ785" s="9" t="s">
        <v>355</v>
      </c>
      <c r="AR785" s="15">
        <v>1970</v>
      </c>
      <c r="AS785" s="19" t="s">
        <v>898</v>
      </c>
      <c r="AT785" s="10" t="s">
        <v>899</v>
      </c>
      <c r="AU785" s="40">
        <v>103</v>
      </c>
      <c r="AV785" s="35">
        <f t="shared" si="115"/>
        <v>2.012837224705172</v>
      </c>
      <c r="AW785" s="37" t="s">
        <v>366</v>
      </c>
      <c r="AX785" s="40">
        <v>1260</v>
      </c>
      <c r="AY785" s="40">
        <v>1560</v>
      </c>
      <c r="AZ785" s="15">
        <v>55</v>
      </c>
      <c r="BA785" s="14">
        <f t="shared" si="116"/>
        <v>1.7403626894942439</v>
      </c>
      <c r="BB785" s="37" t="s">
        <v>388</v>
      </c>
      <c r="BC785" s="20">
        <v>1.1807923169267358E-2</v>
      </c>
      <c r="BD785" s="9">
        <v>19.5</v>
      </c>
      <c r="BE785" s="9" t="s">
        <v>459</v>
      </c>
      <c r="BF785" s="9">
        <v>1</v>
      </c>
    </row>
    <row r="786" spans="1:58">
      <c r="A786" s="9">
        <v>324</v>
      </c>
      <c r="B786" s="10" t="s">
        <v>76</v>
      </c>
      <c r="C786" s="10" t="s">
        <v>721</v>
      </c>
      <c r="D786" s="10" t="s">
        <v>1039</v>
      </c>
      <c r="E786" s="10" t="s">
        <v>1041</v>
      </c>
      <c r="F786" s="20" t="s">
        <v>101</v>
      </c>
      <c r="G786" s="10" t="s">
        <v>1039</v>
      </c>
      <c r="H786" s="10" t="s">
        <v>1041</v>
      </c>
      <c r="I786" s="20" t="s">
        <v>101</v>
      </c>
      <c r="J786" s="10" t="s">
        <v>1039</v>
      </c>
      <c r="K786" s="10" t="s">
        <v>1041</v>
      </c>
      <c r="L786" s="9" t="s">
        <v>352</v>
      </c>
      <c r="M786" s="9">
        <v>2</v>
      </c>
      <c r="N786" s="9" t="s">
        <v>353</v>
      </c>
      <c r="O786" s="9" t="s">
        <v>354</v>
      </c>
      <c r="P786" s="12">
        <v>30.5</v>
      </c>
      <c r="Q786" s="12">
        <v>31.7</v>
      </c>
      <c r="R786" s="9" t="s">
        <v>356</v>
      </c>
      <c r="S786" s="13">
        <v>14</v>
      </c>
      <c r="T786" s="13">
        <v>14</v>
      </c>
      <c r="U786" s="14">
        <f t="shared" si="108"/>
        <v>1.1760912590556813</v>
      </c>
      <c r="V786" s="15">
        <v>10</v>
      </c>
      <c r="W786" s="12">
        <v>3.5183097999999973</v>
      </c>
      <c r="X786" s="12">
        <v>1</v>
      </c>
      <c r="Y786" s="13" t="s">
        <v>384</v>
      </c>
      <c r="Z786" s="9" t="s">
        <v>359</v>
      </c>
      <c r="AA786" s="10" t="s">
        <v>372</v>
      </c>
      <c r="AB786" s="9" t="s">
        <v>417</v>
      </c>
      <c r="AC786" s="15">
        <v>761.96281621456865</v>
      </c>
      <c r="AD786" s="14">
        <f t="shared" si="109"/>
        <v>2.88193377828599</v>
      </c>
      <c r="AE786" s="10" t="s">
        <v>948</v>
      </c>
      <c r="AF786" s="9" t="s">
        <v>420</v>
      </c>
      <c r="AG786" s="18">
        <v>28.241961</v>
      </c>
      <c r="AH786" s="7">
        <f t="shared" si="110"/>
        <v>1</v>
      </c>
      <c r="AI786" s="7">
        <f t="shared" si="111"/>
        <v>0</v>
      </c>
      <c r="AJ786" s="7">
        <f t="shared" si="112"/>
        <v>0</v>
      </c>
      <c r="AK786" s="7">
        <f t="shared" si="113"/>
        <v>0</v>
      </c>
      <c r="AL786" s="7" t="s">
        <v>4159</v>
      </c>
      <c r="AM786" s="18">
        <f t="shared" si="114"/>
        <v>1.4508948489630107</v>
      </c>
      <c r="AN786" s="18">
        <v>-28.241961</v>
      </c>
      <c r="AO786" s="18">
        <v>152.99668199999999</v>
      </c>
      <c r="AP786" s="9" t="s">
        <v>363</v>
      </c>
      <c r="AQ786" s="9" t="s">
        <v>355</v>
      </c>
      <c r="AR786" s="15">
        <v>1970</v>
      </c>
      <c r="AS786" s="19" t="s">
        <v>898</v>
      </c>
      <c r="AT786" s="10" t="s">
        <v>899</v>
      </c>
      <c r="AU786" s="40">
        <v>451</v>
      </c>
      <c r="AV786" s="35">
        <f t="shared" si="115"/>
        <v>2.6541765418779604</v>
      </c>
      <c r="AW786" s="37" t="s">
        <v>366</v>
      </c>
      <c r="AX786" s="40">
        <v>500</v>
      </c>
      <c r="AY786" s="40" t="s">
        <v>355</v>
      </c>
      <c r="AZ786" s="15">
        <v>33</v>
      </c>
      <c r="BA786" s="14">
        <f t="shared" si="116"/>
        <v>1.5185139398778875</v>
      </c>
      <c r="BB786" s="37" t="s">
        <v>388</v>
      </c>
      <c r="BC786" s="20">
        <v>1.3794317727090836E-2</v>
      </c>
      <c r="BD786" s="9">
        <v>29.200000000000003</v>
      </c>
      <c r="BE786" s="9" t="s">
        <v>459</v>
      </c>
      <c r="BF786" s="9">
        <v>1</v>
      </c>
    </row>
    <row r="787" spans="1:58">
      <c r="A787" s="9">
        <v>325</v>
      </c>
      <c r="B787" s="10" t="s">
        <v>76</v>
      </c>
      <c r="C787" s="10" t="s">
        <v>721</v>
      </c>
      <c r="D787" s="10" t="s">
        <v>1039</v>
      </c>
      <c r="E787" s="10" t="s">
        <v>1042</v>
      </c>
      <c r="F787" s="20" t="s">
        <v>101</v>
      </c>
      <c r="G787" s="10" t="s">
        <v>1039</v>
      </c>
      <c r="H787" s="10" t="s">
        <v>1043</v>
      </c>
      <c r="I787" s="20" t="s">
        <v>101</v>
      </c>
      <c r="J787" s="10" t="s">
        <v>1039</v>
      </c>
      <c r="K787" s="10" t="s">
        <v>1043</v>
      </c>
      <c r="L787" s="9" t="s">
        <v>352</v>
      </c>
      <c r="M787" s="9">
        <v>6</v>
      </c>
      <c r="N787" s="9" t="s">
        <v>353</v>
      </c>
      <c r="O787" s="9" t="s">
        <v>354</v>
      </c>
      <c r="P787" s="12">
        <v>25.8</v>
      </c>
      <c r="Q787" s="12" t="s">
        <v>355</v>
      </c>
      <c r="R787" s="9" t="s">
        <v>356</v>
      </c>
      <c r="S787" s="13">
        <v>14</v>
      </c>
      <c r="T787" s="13">
        <v>14</v>
      </c>
      <c r="U787" s="14">
        <f t="shared" si="108"/>
        <v>1.1760912590556813</v>
      </c>
      <c r="V787" s="15">
        <v>5</v>
      </c>
      <c r="W787" s="12">
        <v>1.1182105999999976</v>
      </c>
      <c r="X787" s="12">
        <v>1</v>
      </c>
      <c r="Y787" s="13" t="s">
        <v>384</v>
      </c>
      <c r="Z787" s="9" t="s">
        <v>359</v>
      </c>
      <c r="AA787" s="10" t="s">
        <v>372</v>
      </c>
      <c r="AB787" s="9" t="s">
        <v>417</v>
      </c>
      <c r="AC787" s="15">
        <v>1447.7293508076805</v>
      </c>
      <c r="AD787" s="14">
        <f t="shared" si="109"/>
        <v>3.1606873792388188</v>
      </c>
      <c r="AE787" s="10" t="s">
        <v>1027</v>
      </c>
      <c r="AF787" s="9" t="s">
        <v>420</v>
      </c>
      <c r="AG787" s="18">
        <v>30.631667</v>
      </c>
      <c r="AH787" s="7">
        <f t="shared" si="110"/>
        <v>1</v>
      </c>
      <c r="AI787" s="7">
        <f t="shared" si="111"/>
        <v>1</v>
      </c>
      <c r="AJ787" s="7">
        <f t="shared" si="112"/>
        <v>0</v>
      </c>
      <c r="AK787" s="7">
        <f t="shared" si="113"/>
        <v>0</v>
      </c>
      <c r="AL787" s="7" t="s">
        <v>4157</v>
      </c>
      <c r="AM787" s="18">
        <f t="shared" si="114"/>
        <v>1.4861706321053481</v>
      </c>
      <c r="AN787" s="18">
        <v>-30.631667</v>
      </c>
      <c r="AO787" s="18">
        <v>151.317778</v>
      </c>
      <c r="AP787" s="9" t="s">
        <v>363</v>
      </c>
      <c r="AQ787" s="9" t="s">
        <v>355</v>
      </c>
      <c r="AR787" s="15">
        <v>1970</v>
      </c>
      <c r="AS787" s="19" t="s">
        <v>898</v>
      </c>
      <c r="AT787" s="10" t="s">
        <v>899</v>
      </c>
      <c r="AU787" s="40">
        <v>9582</v>
      </c>
      <c r="AV787" s="35">
        <f t="shared" si="115"/>
        <v>3.9814561665221264</v>
      </c>
      <c r="AW787" s="37" t="s">
        <v>366</v>
      </c>
      <c r="AX787" s="34" t="s">
        <v>355</v>
      </c>
      <c r="AY787" s="40" t="s">
        <v>355</v>
      </c>
      <c r="AZ787" s="15">
        <v>33</v>
      </c>
      <c r="BA787" s="14">
        <f t="shared" si="116"/>
        <v>1.5185139398778875</v>
      </c>
      <c r="BB787" s="37" t="s">
        <v>388</v>
      </c>
      <c r="BC787" s="20">
        <v>2.2547418967587437E-2</v>
      </c>
      <c r="BD787" s="9">
        <v>27.400000000000002</v>
      </c>
      <c r="BE787" s="9" t="s">
        <v>459</v>
      </c>
      <c r="BF787" s="9">
        <v>1</v>
      </c>
    </row>
    <row r="788" spans="1:58">
      <c r="A788" s="9">
        <v>709</v>
      </c>
      <c r="B788" s="10" t="s">
        <v>348</v>
      </c>
      <c r="C788" s="10" t="s">
        <v>349</v>
      </c>
      <c r="D788" s="20" t="s">
        <v>817</v>
      </c>
      <c r="E788" s="20" t="s">
        <v>1044</v>
      </c>
      <c r="F788" s="10" t="s">
        <v>349</v>
      </c>
      <c r="G788" s="20" t="s">
        <v>817</v>
      </c>
      <c r="H788" s="20" t="s">
        <v>1044</v>
      </c>
      <c r="I788" s="10" t="s">
        <v>349</v>
      </c>
      <c r="J788" s="20" t="s">
        <v>817</v>
      </c>
      <c r="K788" s="20" t="s">
        <v>1044</v>
      </c>
      <c r="L788" s="9" t="s">
        <v>352</v>
      </c>
      <c r="M788" s="9">
        <v>9</v>
      </c>
      <c r="N788" s="9" t="s">
        <v>353</v>
      </c>
      <c r="O788" s="9" t="s">
        <v>354</v>
      </c>
      <c r="P788" s="12">
        <v>33.33</v>
      </c>
      <c r="Q788" s="12" t="s">
        <v>355</v>
      </c>
      <c r="R788" s="9" t="s">
        <v>356</v>
      </c>
      <c r="S788" s="13" t="s">
        <v>903</v>
      </c>
      <c r="T788" s="13" t="s">
        <v>903</v>
      </c>
      <c r="U788" s="14">
        <f t="shared" si="108"/>
        <v>1.1760912590556813</v>
      </c>
      <c r="V788" s="15">
        <v>10</v>
      </c>
      <c r="W788" s="12">
        <v>1.960648599999999</v>
      </c>
      <c r="X788" s="12">
        <v>1</v>
      </c>
      <c r="Y788" s="13" t="s">
        <v>358</v>
      </c>
      <c r="Z788" s="9" t="s">
        <v>417</v>
      </c>
      <c r="AA788" s="10" t="s">
        <v>418</v>
      </c>
      <c r="AB788" s="9" t="s">
        <v>355</v>
      </c>
      <c r="AC788" s="15">
        <v>340</v>
      </c>
      <c r="AD788" s="14">
        <f t="shared" si="109"/>
        <v>2.5314789170422549</v>
      </c>
      <c r="AE788" s="10" t="s">
        <v>916</v>
      </c>
      <c r="AF788" s="9" t="s">
        <v>420</v>
      </c>
      <c r="AG788" s="18">
        <v>35.254964000000001</v>
      </c>
      <c r="AH788" s="7">
        <f t="shared" si="110"/>
        <v>1</v>
      </c>
      <c r="AI788" s="7">
        <f t="shared" si="111"/>
        <v>1</v>
      </c>
      <c r="AJ788" s="7">
        <f t="shared" si="112"/>
        <v>0</v>
      </c>
      <c r="AK788" s="7">
        <f t="shared" si="113"/>
        <v>0</v>
      </c>
      <c r="AL788" s="7" t="s">
        <v>4157</v>
      </c>
      <c r="AM788" s="18">
        <f t="shared" si="114"/>
        <v>1.5472202755409485</v>
      </c>
      <c r="AN788" s="18">
        <v>35.254964000000001</v>
      </c>
      <c r="AO788" s="18">
        <v>-97.351656000000006</v>
      </c>
      <c r="AP788" s="9" t="s">
        <v>363</v>
      </c>
      <c r="AQ788" s="9" t="s">
        <v>355</v>
      </c>
      <c r="AR788" s="15">
        <v>1997</v>
      </c>
      <c r="AS788" s="19" t="s">
        <v>917</v>
      </c>
      <c r="AT788" s="20" t="s">
        <v>918</v>
      </c>
      <c r="AU788" s="34">
        <v>11945</v>
      </c>
      <c r="AV788" s="35">
        <f t="shared" si="115"/>
        <v>4.0771861540858971</v>
      </c>
      <c r="AW788" s="36" t="s">
        <v>366</v>
      </c>
      <c r="AX788" s="34" t="s">
        <v>355</v>
      </c>
      <c r="AY788" s="34" t="s">
        <v>355</v>
      </c>
      <c r="AZ788" s="15">
        <v>115</v>
      </c>
      <c r="BA788" s="14">
        <f t="shared" si="116"/>
        <v>2.0606978403536118</v>
      </c>
      <c r="BB788" s="36" t="s">
        <v>367</v>
      </c>
      <c r="BC788" s="20">
        <v>3.0460984393757294E-2</v>
      </c>
      <c r="BD788" s="9">
        <v>34.4</v>
      </c>
      <c r="BE788" s="9" t="s">
        <v>459</v>
      </c>
      <c r="BF788" s="9">
        <v>1</v>
      </c>
    </row>
    <row r="789" spans="1:58">
      <c r="A789" s="9">
        <v>710</v>
      </c>
      <c r="B789" s="10" t="s">
        <v>348</v>
      </c>
      <c r="C789" s="10" t="s">
        <v>349</v>
      </c>
      <c r="D789" s="20" t="s">
        <v>817</v>
      </c>
      <c r="E789" s="20" t="s">
        <v>739</v>
      </c>
      <c r="F789" s="10" t="s">
        <v>349</v>
      </c>
      <c r="G789" s="20" t="s">
        <v>817</v>
      </c>
      <c r="H789" s="20" t="s">
        <v>739</v>
      </c>
      <c r="I789" s="10" t="s">
        <v>349</v>
      </c>
      <c r="J789" s="20" t="s">
        <v>817</v>
      </c>
      <c r="K789" s="20" t="s">
        <v>739</v>
      </c>
      <c r="L789" s="9" t="s">
        <v>352</v>
      </c>
      <c r="M789" s="9">
        <v>4</v>
      </c>
      <c r="N789" s="9" t="s">
        <v>353</v>
      </c>
      <c r="O789" s="9" t="s">
        <v>354</v>
      </c>
      <c r="P789" s="12">
        <v>33.479999999999997</v>
      </c>
      <c r="Q789" s="12" t="s">
        <v>355</v>
      </c>
      <c r="R789" s="9" t="s">
        <v>356</v>
      </c>
      <c r="S789" s="13" t="s">
        <v>903</v>
      </c>
      <c r="T789" s="13" t="s">
        <v>903</v>
      </c>
      <c r="U789" s="14">
        <f t="shared" si="108"/>
        <v>1.1760912590556813</v>
      </c>
      <c r="V789" s="15">
        <v>10</v>
      </c>
      <c r="W789" s="12">
        <v>2.1106485999999975</v>
      </c>
      <c r="X789" s="12">
        <v>1</v>
      </c>
      <c r="Y789" s="13" t="s">
        <v>358</v>
      </c>
      <c r="Z789" s="9" t="s">
        <v>417</v>
      </c>
      <c r="AA789" s="10" t="s">
        <v>418</v>
      </c>
      <c r="AB789" s="9" t="s">
        <v>355</v>
      </c>
      <c r="AC789" s="15">
        <v>340</v>
      </c>
      <c r="AD789" s="14">
        <f t="shared" si="109"/>
        <v>2.5314789170422549</v>
      </c>
      <c r="AE789" s="10" t="s">
        <v>916</v>
      </c>
      <c r="AF789" s="9" t="s">
        <v>420</v>
      </c>
      <c r="AG789" s="18">
        <v>35.254964000000001</v>
      </c>
      <c r="AH789" s="7">
        <f t="shared" si="110"/>
        <v>1</v>
      </c>
      <c r="AI789" s="7">
        <f t="shared" si="111"/>
        <v>1</v>
      </c>
      <c r="AJ789" s="7">
        <f t="shared" si="112"/>
        <v>0</v>
      </c>
      <c r="AK789" s="7">
        <f t="shared" si="113"/>
        <v>0</v>
      </c>
      <c r="AL789" s="7" t="s">
        <v>4157</v>
      </c>
      <c r="AM789" s="18">
        <f t="shared" si="114"/>
        <v>1.5472202755409485</v>
      </c>
      <c r="AN789" s="18">
        <v>35.254964000000001</v>
      </c>
      <c r="AO789" s="18">
        <v>-97.351656000000006</v>
      </c>
      <c r="AP789" s="9" t="s">
        <v>363</v>
      </c>
      <c r="AQ789" s="9" t="s">
        <v>355</v>
      </c>
      <c r="AR789" s="15">
        <v>1997</v>
      </c>
      <c r="AS789" s="19" t="s">
        <v>917</v>
      </c>
      <c r="AT789" s="20" t="s">
        <v>918</v>
      </c>
      <c r="AU789" s="34">
        <v>100746</v>
      </c>
      <c r="AV789" s="35">
        <f t="shared" si="115"/>
        <v>5.003227812010036</v>
      </c>
      <c r="AW789" s="36" t="s">
        <v>366</v>
      </c>
      <c r="AX789" s="34" t="s">
        <v>355</v>
      </c>
      <c r="AY789" s="34" t="s">
        <v>355</v>
      </c>
      <c r="AZ789" s="15">
        <v>78</v>
      </c>
      <c r="BA789" s="14">
        <f t="shared" si="116"/>
        <v>1.8920946026904804</v>
      </c>
      <c r="BB789" s="36" t="s">
        <v>367</v>
      </c>
      <c r="BC789" s="20">
        <v>3.0460984393757294E-2</v>
      </c>
      <c r="BD789" s="9">
        <v>34.4</v>
      </c>
      <c r="BE789" s="9" t="s">
        <v>368</v>
      </c>
      <c r="BF789" s="9">
        <v>0</v>
      </c>
    </row>
    <row r="790" spans="1:58">
      <c r="A790" s="9">
        <v>267</v>
      </c>
      <c r="B790" s="10" t="s">
        <v>76</v>
      </c>
      <c r="C790" s="10" t="s">
        <v>77</v>
      </c>
      <c r="D790" s="20" t="s">
        <v>501</v>
      </c>
      <c r="E790" s="20" t="s">
        <v>1045</v>
      </c>
      <c r="F790" s="10" t="s">
        <v>77</v>
      </c>
      <c r="G790" s="20" t="s">
        <v>503</v>
      </c>
      <c r="H790" s="20" t="s">
        <v>1046</v>
      </c>
      <c r="I790" s="10" t="s">
        <v>77</v>
      </c>
      <c r="J790" s="20" t="s">
        <v>503</v>
      </c>
      <c r="K790" s="20" t="s">
        <v>1046</v>
      </c>
      <c r="L790" s="9" t="s">
        <v>352</v>
      </c>
      <c r="M790" s="9">
        <v>10</v>
      </c>
      <c r="N790" s="9" t="s">
        <v>381</v>
      </c>
      <c r="O790" s="9" t="s">
        <v>455</v>
      </c>
      <c r="P790" s="12">
        <v>28.7</v>
      </c>
      <c r="Q790" s="12" t="s">
        <v>355</v>
      </c>
      <c r="R790" s="9" t="s">
        <v>356</v>
      </c>
      <c r="S790" s="13" t="s">
        <v>903</v>
      </c>
      <c r="T790" s="13" t="s">
        <v>903</v>
      </c>
      <c r="U790" s="14">
        <f t="shared" si="108"/>
        <v>1.1760912590556813</v>
      </c>
      <c r="V790" s="15">
        <v>5</v>
      </c>
      <c r="W790" s="12">
        <v>-1.7195002000000059</v>
      </c>
      <c r="X790" s="12">
        <v>1</v>
      </c>
      <c r="Y790" s="13" t="s">
        <v>904</v>
      </c>
      <c r="Z790" s="9" t="s">
        <v>359</v>
      </c>
      <c r="AA790" s="10" t="s">
        <v>372</v>
      </c>
      <c r="AB790" s="9" t="s">
        <v>355</v>
      </c>
      <c r="AC790" s="15">
        <v>610</v>
      </c>
      <c r="AD790" s="14">
        <f t="shared" si="109"/>
        <v>2.7853298350107671</v>
      </c>
      <c r="AE790" s="10" t="s">
        <v>1047</v>
      </c>
      <c r="AF790" s="9" t="s">
        <v>420</v>
      </c>
      <c r="AG790" s="18">
        <v>33.953296999999999</v>
      </c>
      <c r="AH790" s="7">
        <f t="shared" si="110"/>
        <v>1</v>
      </c>
      <c r="AI790" s="7">
        <f t="shared" si="111"/>
        <v>1</v>
      </c>
      <c r="AJ790" s="7">
        <f t="shared" si="112"/>
        <v>0</v>
      </c>
      <c r="AK790" s="7">
        <f t="shared" si="113"/>
        <v>0</v>
      </c>
      <c r="AL790" s="7" t="s">
        <v>4157</v>
      </c>
      <c r="AM790" s="18">
        <f t="shared" si="114"/>
        <v>1.530881952383369</v>
      </c>
      <c r="AN790" s="18">
        <v>33.953296999999999</v>
      </c>
      <c r="AO790" s="18">
        <v>-117.396119</v>
      </c>
      <c r="AP790" s="9" t="s">
        <v>363</v>
      </c>
      <c r="AQ790" s="9" t="s">
        <v>355</v>
      </c>
      <c r="AR790" s="15">
        <v>1968</v>
      </c>
      <c r="AS790" s="19" t="s">
        <v>906</v>
      </c>
      <c r="AT790" s="20" t="s">
        <v>907</v>
      </c>
      <c r="AU790" s="40">
        <v>63778</v>
      </c>
      <c r="AV790" s="35">
        <f t="shared" si="115"/>
        <v>4.8046708961772033</v>
      </c>
      <c r="AW790" s="37" t="s">
        <v>366</v>
      </c>
      <c r="AX790" s="34" t="s">
        <v>355</v>
      </c>
      <c r="AY790" s="40" t="s">
        <v>355</v>
      </c>
      <c r="AZ790" s="15">
        <v>33</v>
      </c>
      <c r="BA790" s="14">
        <f t="shared" si="116"/>
        <v>1.5185139398778875</v>
      </c>
      <c r="BB790" s="37" t="s">
        <v>367</v>
      </c>
      <c r="BC790" s="20">
        <v>-1.308603441376539E-2</v>
      </c>
      <c r="BD790" s="9">
        <v>34.200000000000003</v>
      </c>
      <c r="BE790" s="9" t="s">
        <v>368</v>
      </c>
      <c r="BF790" s="9">
        <v>0</v>
      </c>
    </row>
    <row r="791" spans="1:58">
      <c r="A791" s="9">
        <v>268</v>
      </c>
      <c r="B791" s="10" t="s">
        <v>76</v>
      </c>
      <c r="C791" s="10" t="s">
        <v>77</v>
      </c>
      <c r="D791" s="20" t="s">
        <v>501</v>
      </c>
      <c r="E791" s="20" t="s">
        <v>1045</v>
      </c>
      <c r="F791" s="10" t="s">
        <v>77</v>
      </c>
      <c r="G791" s="20" t="s">
        <v>503</v>
      </c>
      <c r="H791" s="20" t="s">
        <v>1046</v>
      </c>
      <c r="I791" s="10" t="s">
        <v>77</v>
      </c>
      <c r="J791" s="20" t="s">
        <v>503</v>
      </c>
      <c r="K791" s="20" t="s">
        <v>1046</v>
      </c>
      <c r="L791" s="9" t="s">
        <v>352</v>
      </c>
      <c r="M791" s="9">
        <v>10</v>
      </c>
      <c r="N791" s="9" t="s">
        <v>381</v>
      </c>
      <c r="O791" s="9" t="s">
        <v>455</v>
      </c>
      <c r="P791" s="12">
        <v>36.799999999999997</v>
      </c>
      <c r="Q791" s="12" t="s">
        <v>355</v>
      </c>
      <c r="R791" s="9" t="s">
        <v>356</v>
      </c>
      <c r="S791" s="13" t="s">
        <v>903</v>
      </c>
      <c r="T791" s="13" t="s">
        <v>903</v>
      </c>
      <c r="U791" s="14">
        <f t="shared" si="108"/>
        <v>1.1760912590556813</v>
      </c>
      <c r="V791" s="15">
        <v>30</v>
      </c>
      <c r="W791" s="12">
        <v>2.4750247999999928</v>
      </c>
      <c r="X791" s="12">
        <v>1</v>
      </c>
      <c r="Y791" s="13" t="s">
        <v>904</v>
      </c>
      <c r="Z791" s="9" t="s">
        <v>359</v>
      </c>
      <c r="AA791" s="10" t="s">
        <v>372</v>
      </c>
      <c r="AB791" s="9" t="s">
        <v>355</v>
      </c>
      <c r="AC791" s="15">
        <v>610</v>
      </c>
      <c r="AD791" s="14">
        <f t="shared" si="109"/>
        <v>2.7853298350107671</v>
      </c>
      <c r="AE791" s="10" t="s">
        <v>1047</v>
      </c>
      <c r="AF791" s="9" t="s">
        <v>420</v>
      </c>
      <c r="AG791" s="18">
        <v>33.953296999999999</v>
      </c>
      <c r="AH791" s="7">
        <f t="shared" si="110"/>
        <v>1</v>
      </c>
      <c r="AI791" s="7">
        <f t="shared" si="111"/>
        <v>1</v>
      </c>
      <c r="AJ791" s="7">
        <f t="shared" si="112"/>
        <v>0</v>
      </c>
      <c r="AK791" s="7">
        <f t="shared" si="113"/>
        <v>0</v>
      </c>
      <c r="AL791" s="7" t="s">
        <v>4157</v>
      </c>
      <c r="AM791" s="18">
        <f t="shared" si="114"/>
        <v>1.530881952383369</v>
      </c>
      <c r="AN791" s="18">
        <v>33.953296999999999</v>
      </c>
      <c r="AO791" s="18">
        <v>-117.396119</v>
      </c>
      <c r="AP791" s="9" t="s">
        <v>363</v>
      </c>
      <c r="AQ791" s="9" t="s">
        <v>355</v>
      </c>
      <c r="AR791" s="15">
        <v>1968</v>
      </c>
      <c r="AS791" s="19" t="s">
        <v>906</v>
      </c>
      <c r="AT791" s="20" t="s">
        <v>907</v>
      </c>
      <c r="AU791" s="40">
        <v>63778</v>
      </c>
      <c r="AV791" s="35">
        <f t="shared" si="115"/>
        <v>4.8046708961772033</v>
      </c>
      <c r="AW791" s="37" t="s">
        <v>366</v>
      </c>
      <c r="AX791" s="34" t="s">
        <v>355</v>
      </c>
      <c r="AY791" s="40" t="s">
        <v>355</v>
      </c>
      <c r="AZ791" s="15">
        <v>33</v>
      </c>
      <c r="BA791" s="14">
        <f t="shared" si="116"/>
        <v>1.5185139398778875</v>
      </c>
      <c r="BB791" s="37" t="s">
        <v>367</v>
      </c>
      <c r="BC791" s="20">
        <v>-1.308603441376539E-2</v>
      </c>
      <c r="BD791" s="9">
        <v>34.200000000000003</v>
      </c>
      <c r="BE791" s="9" t="s">
        <v>368</v>
      </c>
      <c r="BF791" s="9">
        <v>0</v>
      </c>
    </row>
    <row r="792" spans="1:58">
      <c r="A792" s="9">
        <v>259</v>
      </c>
      <c r="B792" s="10" t="s">
        <v>76</v>
      </c>
      <c r="C792" s="10" t="s">
        <v>77</v>
      </c>
      <c r="D792" s="20" t="s">
        <v>501</v>
      </c>
      <c r="E792" s="20" t="s">
        <v>502</v>
      </c>
      <c r="F792" s="10" t="s">
        <v>77</v>
      </c>
      <c r="G792" s="20" t="s">
        <v>503</v>
      </c>
      <c r="H792" s="20" t="s">
        <v>502</v>
      </c>
      <c r="I792" s="10" t="s">
        <v>77</v>
      </c>
      <c r="J792" s="20" t="s">
        <v>503</v>
      </c>
      <c r="K792" s="20" t="s">
        <v>502</v>
      </c>
      <c r="L792" s="9" t="s">
        <v>352</v>
      </c>
      <c r="M792" s="9">
        <v>10</v>
      </c>
      <c r="N792" s="9" t="s">
        <v>381</v>
      </c>
      <c r="O792" s="9" t="s">
        <v>455</v>
      </c>
      <c r="P792" s="12">
        <v>31.8</v>
      </c>
      <c r="Q792" s="12" t="s">
        <v>355</v>
      </c>
      <c r="R792" s="9" t="s">
        <v>356</v>
      </c>
      <c r="S792" s="13" t="s">
        <v>903</v>
      </c>
      <c r="T792" s="13" t="s">
        <v>903</v>
      </c>
      <c r="U792" s="14">
        <f t="shared" si="108"/>
        <v>1.1760912590556813</v>
      </c>
      <c r="V792" s="15">
        <v>5</v>
      </c>
      <c r="W792" s="12">
        <v>6.0212952999999985</v>
      </c>
      <c r="X792" s="12">
        <v>1</v>
      </c>
      <c r="Y792" s="13" t="s">
        <v>904</v>
      </c>
      <c r="Z792" s="9" t="s">
        <v>359</v>
      </c>
      <c r="AA792" s="10" t="s">
        <v>372</v>
      </c>
      <c r="AB792" s="9" t="s">
        <v>355</v>
      </c>
      <c r="AC792" s="15">
        <v>305</v>
      </c>
      <c r="AD792" s="14">
        <f t="shared" si="109"/>
        <v>2.4842998393467859</v>
      </c>
      <c r="AE792" s="10" t="s">
        <v>921</v>
      </c>
      <c r="AF792" s="9" t="s">
        <v>420</v>
      </c>
      <c r="AG792" s="18">
        <v>33.646965999999999</v>
      </c>
      <c r="AH792" s="7">
        <f t="shared" si="110"/>
        <v>1</v>
      </c>
      <c r="AI792" s="7">
        <f t="shared" si="111"/>
        <v>1</v>
      </c>
      <c r="AJ792" s="7">
        <f t="shared" si="112"/>
        <v>0</v>
      </c>
      <c r="AK792" s="7">
        <f t="shared" si="113"/>
        <v>0</v>
      </c>
      <c r="AL792" s="7" t="s">
        <v>4157</v>
      </c>
      <c r="AM792" s="18">
        <f t="shared" si="114"/>
        <v>1.5269459093069919</v>
      </c>
      <c r="AN792" s="18">
        <v>33.646965999999999</v>
      </c>
      <c r="AO792" s="18">
        <v>-117.689218</v>
      </c>
      <c r="AP792" s="9" t="s">
        <v>363</v>
      </c>
      <c r="AQ792" s="9" t="s">
        <v>355</v>
      </c>
      <c r="AR792" s="15">
        <v>1968</v>
      </c>
      <c r="AS792" s="19" t="s">
        <v>906</v>
      </c>
      <c r="AT792" s="20" t="s">
        <v>907</v>
      </c>
      <c r="AU792" s="40">
        <v>1540984</v>
      </c>
      <c r="AV792" s="35">
        <f t="shared" si="115"/>
        <v>6.1877981294726148</v>
      </c>
      <c r="AW792" s="37" t="s">
        <v>366</v>
      </c>
      <c r="AX792" s="34" t="s">
        <v>355</v>
      </c>
      <c r="AY792" s="40">
        <v>3000</v>
      </c>
      <c r="AZ792" s="15">
        <v>33</v>
      </c>
      <c r="BA792" s="14">
        <f t="shared" si="116"/>
        <v>1.5185139398778875</v>
      </c>
      <c r="BB792" s="37" t="s">
        <v>367</v>
      </c>
      <c r="BC792" s="20">
        <v>-3.3386954781912656E-2</v>
      </c>
      <c r="BD792" s="9">
        <v>28.700000000000003</v>
      </c>
      <c r="BE792" s="9" t="s">
        <v>368</v>
      </c>
      <c r="BF792" s="9">
        <v>0</v>
      </c>
    </row>
    <row r="793" spans="1:58">
      <c r="A793" s="9">
        <v>260</v>
      </c>
      <c r="B793" s="10" t="s">
        <v>76</v>
      </c>
      <c r="C793" s="10" t="s">
        <v>77</v>
      </c>
      <c r="D793" s="20" t="s">
        <v>501</v>
      </c>
      <c r="E793" s="20" t="s">
        <v>502</v>
      </c>
      <c r="F793" s="10" t="s">
        <v>77</v>
      </c>
      <c r="G793" s="20" t="s">
        <v>503</v>
      </c>
      <c r="H793" s="20" t="s">
        <v>502</v>
      </c>
      <c r="I793" s="10" t="s">
        <v>77</v>
      </c>
      <c r="J793" s="20" t="s">
        <v>503</v>
      </c>
      <c r="K793" s="20" t="s">
        <v>502</v>
      </c>
      <c r="L793" s="9" t="s">
        <v>352</v>
      </c>
      <c r="M793" s="9">
        <v>10</v>
      </c>
      <c r="N793" s="9" t="s">
        <v>381</v>
      </c>
      <c r="O793" s="9" t="s">
        <v>455</v>
      </c>
      <c r="P793" s="12">
        <v>36.6</v>
      </c>
      <c r="Q793" s="12" t="s">
        <v>355</v>
      </c>
      <c r="R793" s="9" t="s">
        <v>356</v>
      </c>
      <c r="S793" s="13" t="s">
        <v>903</v>
      </c>
      <c r="T793" s="13" t="s">
        <v>903</v>
      </c>
      <c r="U793" s="14">
        <f t="shared" si="108"/>
        <v>1.1760912590556813</v>
      </c>
      <c r="V793" s="15">
        <v>30</v>
      </c>
      <c r="W793" s="12">
        <v>6.9158203</v>
      </c>
      <c r="X793" s="12">
        <v>1</v>
      </c>
      <c r="Y793" s="13" t="s">
        <v>904</v>
      </c>
      <c r="Z793" s="9" t="s">
        <v>359</v>
      </c>
      <c r="AA793" s="10" t="s">
        <v>372</v>
      </c>
      <c r="AB793" s="9" t="s">
        <v>355</v>
      </c>
      <c r="AC793" s="15">
        <v>305</v>
      </c>
      <c r="AD793" s="14">
        <f t="shared" si="109"/>
        <v>2.4842998393467859</v>
      </c>
      <c r="AE793" s="10" t="s">
        <v>921</v>
      </c>
      <c r="AF793" s="9" t="s">
        <v>420</v>
      </c>
      <c r="AG793" s="18">
        <v>33.646965999999999</v>
      </c>
      <c r="AH793" s="7">
        <f t="shared" si="110"/>
        <v>1</v>
      </c>
      <c r="AI793" s="7">
        <f t="shared" si="111"/>
        <v>1</v>
      </c>
      <c r="AJ793" s="7">
        <f t="shared" si="112"/>
        <v>0</v>
      </c>
      <c r="AK793" s="7">
        <f t="shared" si="113"/>
        <v>0</v>
      </c>
      <c r="AL793" s="7" t="s">
        <v>4157</v>
      </c>
      <c r="AM793" s="18">
        <f t="shared" si="114"/>
        <v>1.5269459093069919</v>
      </c>
      <c r="AN793" s="18">
        <v>33.646965999999999</v>
      </c>
      <c r="AO793" s="18">
        <v>-117.689218</v>
      </c>
      <c r="AP793" s="9" t="s">
        <v>363</v>
      </c>
      <c r="AQ793" s="9" t="s">
        <v>355</v>
      </c>
      <c r="AR793" s="15">
        <v>1968</v>
      </c>
      <c r="AS793" s="19" t="s">
        <v>906</v>
      </c>
      <c r="AT793" s="20" t="s">
        <v>907</v>
      </c>
      <c r="AU793" s="40">
        <v>1540984</v>
      </c>
      <c r="AV793" s="35">
        <f t="shared" si="115"/>
        <v>6.1877981294726148</v>
      </c>
      <c r="AW793" s="37" t="s">
        <v>366</v>
      </c>
      <c r="AX793" s="34" t="s">
        <v>355</v>
      </c>
      <c r="AY793" s="40">
        <v>3000</v>
      </c>
      <c r="AZ793" s="15">
        <v>33</v>
      </c>
      <c r="BA793" s="14">
        <f t="shared" si="116"/>
        <v>1.5185139398778875</v>
      </c>
      <c r="BB793" s="37" t="s">
        <v>367</v>
      </c>
      <c r="BC793" s="20">
        <v>-3.3386954781912656E-2</v>
      </c>
      <c r="BD793" s="9">
        <v>28.700000000000003</v>
      </c>
      <c r="BE793" s="9" t="s">
        <v>368</v>
      </c>
      <c r="BF793" s="9">
        <v>0</v>
      </c>
    </row>
    <row r="794" spans="1:58">
      <c r="A794" s="9">
        <v>261</v>
      </c>
      <c r="B794" s="10" t="s">
        <v>76</v>
      </c>
      <c r="C794" s="10" t="s">
        <v>77</v>
      </c>
      <c r="D794" s="20" t="s">
        <v>501</v>
      </c>
      <c r="E794" s="20" t="s">
        <v>502</v>
      </c>
      <c r="F794" s="10" t="s">
        <v>77</v>
      </c>
      <c r="G794" s="20" t="s">
        <v>503</v>
      </c>
      <c r="H794" s="20" t="s">
        <v>502</v>
      </c>
      <c r="I794" s="10" t="s">
        <v>77</v>
      </c>
      <c r="J794" s="20" t="s">
        <v>503</v>
      </c>
      <c r="K794" s="20" t="s">
        <v>502</v>
      </c>
      <c r="L794" s="9" t="s">
        <v>352</v>
      </c>
      <c r="M794" s="9">
        <v>10</v>
      </c>
      <c r="N794" s="9" t="s">
        <v>381</v>
      </c>
      <c r="O794" s="9" t="s">
        <v>455</v>
      </c>
      <c r="P794" s="12">
        <v>32.6</v>
      </c>
      <c r="Q794" s="12" t="s">
        <v>355</v>
      </c>
      <c r="R794" s="9" t="s">
        <v>356</v>
      </c>
      <c r="S794" s="13" t="s">
        <v>903</v>
      </c>
      <c r="T794" s="13" t="s">
        <v>903</v>
      </c>
      <c r="U794" s="14">
        <f t="shared" si="108"/>
        <v>1.1760912590556813</v>
      </c>
      <c r="V794" s="15">
        <v>5</v>
      </c>
      <c r="W794" s="12">
        <v>8.4244792000000039</v>
      </c>
      <c r="X794" s="12">
        <v>1</v>
      </c>
      <c r="Y794" s="13" t="s">
        <v>904</v>
      </c>
      <c r="Z794" s="9" t="s">
        <v>359</v>
      </c>
      <c r="AA794" s="10" t="s">
        <v>372</v>
      </c>
      <c r="AB794" s="9" t="s">
        <v>355</v>
      </c>
      <c r="AC794" s="15">
        <v>2743</v>
      </c>
      <c r="AD794" s="14">
        <f t="shared" si="109"/>
        <v>3.4382258076045296</v>
      </c>
      <c r="AE794" s="10" t="s">
        <v>924</v>
      </c>
      <c r="AF794" s="9" t="s">
        <v>362</v>
      </c>
      <c r="AG794" s="18">
        <v>39.326816999999998</v>
      </c>
      <c r="AH794" s="7">
        <f t="shared" si="110"/>
        <v>1</v>
      </c>
      <c r="AI794" s="7">
        <f t="shared" si="111"/>
        <v>1</v>
      </c>
      <c r="AJ794" s="7">
        <f t="shared" si="112"/>
        <v>0</v>
      </c>
      <c r="AK794" s="7">
        <f t="shared" si="113"/>
        <v>0</v>
      </c>
      <c r="AL794" s="7" t="s">
        <v>4157</v>
      </c>
      <c r="AM794" s="18">
        <f t="shared" si="114"/>
        <v>1.5946887972799095</v>
      </c>
      <c r="AN794" s="18">
        <v>39.326816999999998</v>
      </c>
      <c r="AO794" s="18">
        <v>-120.08746499999999</v>
      </c>
      <c r="AP794" s="9" t="s">
        <v>363</v>
      </c>
      <c r="AQ794" s="9" t="s">
        <v>355</v>
      </c>
      <c r="AR794" s="15">
        <v>1968</v>
      </c>
      <c r="AS794" s="19" t="s">
        <v>906</v>
      </c>
      <c r="AT794" s="20" t="s">
        <v>907</v>
      </c>
      <c r="AU794" s="40">
        <v>1540984</v>
      </c>
      <c r="AV794" s="35">
        <f t="shared" si="115"/>
        <v>6.1877981294726148</v>
      </c>
      <c r="AW794" s="37" t="s">
        <v>366</v>
      </c>
      <c r="AX794" s="34" t="s">
        <v>355</v>
      </c>
      <c r="AY794" s="40">
        <v>3000</v>
      </c>
      <c r="AZ794" s="15">
        <v>33</v>
      </c>
      <c r="BA794" s="14">
        <f t="shared" si="116"/>
        <v>1.5185139398778875</v>
      </c>
      <c r="BB794" s="37" t="s">
        <v>367</v>
      </c>
      <c r="BC794" s="20">
        <v>2.8010804321728571E-2</v>
      </c>
      <c r="BD794" s="9">
        <v>26.8</v>
      </c>
      <c r="BE794" s="9" t="s">
        <v>368</v>
      </c>
      <c r="BF794" s="9">
        <v>0</v>
      </c>
    </row>
    <row r="795" spans="1:58">
      <c r="A795" s="9">
        <v>262</v>
      </c>
      <c r="B795" s="10" t="s">
        <v>76</v>
      </c>
      <c r="C795" s="10" t="s">
        <v>77</v>
      </c>
      <c r="D795" s="20" t="s">
        <v>501</v>
      </c>
      <c r="E795" s="20" t="s">
        <v>502</v>
      </c>
      <c r="F795" s="10" t="s">
        <v>77</v>
      </c>
      <c r="G795" s="20" t="s">
        <v>503</v>
      </c>
      <c r="H795" s="20" t="s">
        <v>502</v>
      </c>
      <c r="I795" s="10" t="s">
        <v>77</v>
      </c>
      <c r="J795" s="20" t="s">
        <v>503</v>
      </c>
      <c r="K795" s="20" t="s">
        <v>502</v>
      </c>
      <c r="L795" s="9" t="s">
        <v>352</v>
      </c>
      <c r="M795" s="9">
        <v>10</v>
      </c>
      <c r="N795" s="9" t="s">
        <v>381</v>
      </c>
      <c r="O795" s="9" t="s">
        <v>455</v>
      </c>
      <c r="P795" s="12">
        <v>37.700000000000003</v>
      </c>
      <c r="Q795" s="12" t="s">
        <v>355</v>
      </c>
      <c r="R795" s="9" t="s">
        <v>356</v>
      </c>
      <c r="S795" s="13" t="s">
        <v>903</v>
      </c>
      <c r="T795" s="13" t="s">
        <v>903</v>
      </c>
      <c r="U795" s="14">
        <f t="shared" si="108"/>
        <v>1.1760912590556813</v>
      </c>
      <c r="V795" s="15">
        <v>30</v>
      </c>
      <c r="W795" s="12">
        <v>9.6190042000000027</v>
      </c>
      <c r="X795" s="12">
        <v>1</v>
      </c>
      <c r="Y795" s="13" t="s">
        <v>904</v>
      </c>
      <c r="Z795" s="9" t="s">
        <v>359</v>
      </c>
      <c r="AA795" s="10" t="s">
        <v>372</v>
      </c>
      <c r="AB795" s="9" t="s">
        <v>355</v>
      </c>
      <c r="AC795" s="15">
        <v>2743</v>
      </c>
      <c r="AD795" s="14">
        <f t="shared" si="109"/>
        <v>3.4382258076045296</v>
      </c>
      <c r="AE795" s="10" t="s">
        <v>924</v>
      </c>
      <c r="AF795" s="9" t="s">
        <v>362</v>
      </c>
      <c r="AG795" s="18">
        <v>39.326816999999998</v>
      </c>
      <c r="AH795" s="7">
        <f t="shared" si="110"/>
        <v>1</v>
      </c>
      <c r="AI795" s="7">
        <f t="shared" si="111"/>
        <v>1</v>
      </c>
      <c r="AJ795" s="7">
        <f t="shared" si="112"/>
        <v>0</v>
      </c>
      <c r="AK795" s="7">
        <f t="shared" si="113"/>
        <v>0</v>
      </c>
      <c r="AL795" s="7" t="s">
        <v>4157</v>
      </c>
      <c r="AM795" s="18">
        <f t="shared" si="114"/>
        <v>1.5946887972799095</v>
      </c>
      <c r="AN795" s="18">
        <v>39.326816999999998</v>
      </c>
      <c r="AO795" s="18">
        <v>-120.08746499999999</v>
      </c>
      <c r="AP795" s="9" t="s">
        <v>363</v>
      </c>
      <c r="AQ795" s="9" t="s">
        <v>355</v>
      </c>
      <c r="AR795" s="15">
        <v>1968</v>
      </c>
      <c r="AS795" s="19" t="s">
        <v>906</v>
      </c>
      <c r="AT795" s="20" t="s">
        <v>907</v>
      </c>
      <c r="AU795" s="40">
        <v>1540984</v>
      </c>
      <c r="AV795" s="35">
        <f t="shared" si="115"/>
        <v>6.1877981294726148</v>
      </c>
      <c r="AW795" s="37" t="s">
        <v>366</v>
      </c>
      <c r="AX795" s="34" t="s">
        <v>355</v>
      </c>
      <c r="AY795" s="40">
        <v>3000</v>
      </c>
      <c r="AZ795" s="15">
        <v>33</v>
      </c>
      <c r="BA795" s="14">
        <f t="shared" si="116"/>
        <v>1.5185139398778875</v>
      </c>
      <c r="BB795" s="37" t="s">
        <v>367</v>
      </c>
      <c r="BC795" s="20">
        <v>2.8010804321728571E-2</v>
      </c>
      <c r="BD795" s="9">
        <v>26.8</v>
      </c>
      <c r="BE795" s="9" t="s">
        <v>368</v>
      </c>
      <c r="BF795" s="9">
        <v>0</v>
      </c>
    </row>
    <row r="796" spans="1:58">
      <c r="A796" s="9">
        <v>314</v>
      </c>
      <c r="B796" s="10" t="s">
        <v>76</v>
      </c>
      <c r="C796" s="10" t="s">
        <v>721</v>
      </c>
      <c r="D796" s="10" t="s">
        <v>821</v>
      </c>
      <c r="E796" s="10" t="s">
        <v>822</v>
      </c>
      <c r="F796" s="10" t="s">
        <v>721</v>
      </c>
      <c r="G796" s="10" t="s">
        <v>821</v>
      </c>
      <c r="H796" s="10" t="s">
        <v>822</v>
      </c>
      <c r="I796" s="10" t="s">
        <v>721</v>
      </c>
      <c r="J796" s="10" t="s">
        <v>821</v>
      </c>
      <c r="K796" s="10" t="s">
        <v>823</v>
      </c>
      <c r="L796" s="9" t="s">
        <v>352</v>
      </c>
      <c r="M796" s="9">
        <v>70</v>
      </c>
      <c r="N796" s="9" t="s">
        <v>381</v>
      </c>
      <c r="O796" s="9" t="s">
        <v>354</v>
      </c>
      <c r="P796" s="12">
        <v>32.4</v>
      </c>
      <c r="Q796" s="12">
        <v>35.200000000000003</v>
      </c>
      <c r="R796" s="9" t="s">
        <v>356</v>
      </c>
      <c r="S796" s="13">
        <v>14</v>
      </c>
      <c r="T796" s="13">
        <v>14</v>
      </c>
      <c r="U796" s="14">
        <f t="shared" si="108"/>
        <v>1.1760912590556813</v>
      </c>
      <c r="V796" s="15">
        <v>5</v>
      </c>
      <c r="W796" s="12">
        <v>5.9462704999999971</v>
      </c>
      <c r="X796" s="12">
        <v>1</v>
      </c>
      <c r="Y796" s="13" t="s">
        <v>384</v>
      </c>
      <c r="Z796" s="9" t="s">
        <v>359</v>
      </c>
      <c r="AA796" s="10" t="s">
        <v>372</v>
      </c>
      <c r="AB796" s="9" t="s">
        <v>417</v>
      </c>
      <c r="AC796" s="15">
        <v>304.7851264858275</v>
      </c>
      <c r="AD796" s="14">
        <f t="shared" si="109"/>
        <v>2.4839937696139525</v>
      </c>
      <c r="AE796" s="10" t="s">
        <v>956</v>
      </c>
      <c r="AF796" s="9" t="s">
        <v>420</v>
      </c>
      <c r="AG796" s="18">
        <v>36.691721999999999</v>
      </c>
      <c r="AH796" s="7">
        <f t="shared" si="110"/>
        <v>1</v>
      </c>
      <c r="AI796" s="7">
        <f t="shared" si="111"/>
        <v>1</v>
      </c>
      <c r="AJ796" s="7">
        <f t="shared" si="112"/>
        <v>0</v>
      </c>
      <c r="AK796" s="7">
        <f t="shared" si="113"/>
        <v>0</v>
      </c>
      <c r="AL796" s="7" t="s">
        <v>4157</v>
      </c>
      <c r="AM796" s="18">
        <f t="shared" si="114"/>
        <v>1.5645680943547093</v>
      </c>
      <c r="AN796" s="18">
        <v>-36.691721999999999</v>
      </c>
      <c r="AO796" s="18">
        <v>145.88668899999999</v>
      </c>
      <c r="AP796" s="9" t="s">
        <v>363</v>
      </c>
      <c r="AQ796" s="9" t="s">
        <v>355</v>
      </c>
      <c r="AR796" s="15">
        <v>1970</v>
      </c>
      <c r="AS796" s="19" t="s">
        <v>898</v>
      </c>
      <c r="AT796" s="10" t="s">
        <v>899</v>
      </c>
      <c r="AU796" s="40">
        <v>668570</v>
      </c>
      <c r="AV796" s="35">
        <f t="shared" si="115"/>
        <v>5.8251468850792136</v>
      </c>
      <c r="AW796" s="37" t="s">
        <v>366</v>
      </c>
      <c r="AX796" s="40">
        <v>20</v>
      </c>
      <c r="AY796" s="40">
        <v>1000</v>
      </c>
      <c r="AZ796" s="15">
        <v>33</v>
      </c>
      <c r="BA796" s="14">
        <f t="shared" si="116"/>
        <v>1.5185139398778875</v>
      </c>
      <c r="BB796" s="37" t="s">
        <v>367</v>
      </c>
      <c r="BC796" s="20">
        <v>1.4744297719087435E-2</v>
      </c>
      <c r="BD796" s="9">
        <v>29.5</v>
      </c>
      <c r="BE796" s="9" t="s">
        <v>459</v>
      </c>
      <c r="BF796" s="9">
        <v>1</v>
      </c>
    </row>
    <row r="797" spans="1:58">
      <c r="A797" s="9">
        <v>312</v>
      </c>
      <c r="B797" s="10" t="s">
        <v>76</v>
      </c>
      <c r="C797" s="10" t="s">
        <v>721</v>
      </c>
      <c r="D797" s="10" t="s">
        <v>821</v>
      </c>
      <c r="E797" s="10" t="s">
        <v>822</v>
      </c>
      <c r="F797" s="10" t="s">
        <v>721</v>
      </c>
      <c r="G797" s="10" t="s">
        <v>821</v>
      </c>
      <c r="H797" s="10" t="s">
        <v>822</v>
      </c>
      <c r="I797" s="10" t="s">
        <v>721</v>
      </c>
      <c r="J797" s="10" t="s">
        <v>821</v>
      </c>
      <c r="K797" s="10" t="s">
        <v>823</v>
      </c>
      <c r="L797" s="9" t="s">
        <v>352</v>
      </c>
      <c r="M797" s="9">
        <v>13</v>
      </c>
      <c r="N797" s="9" t="s">
        <v>381</v>
      </c>
      <c r="O797" s="9" t="s">
        <v>354</v>
      </c>
      <c r="P797" s="12">
        <v>30.5</v>
      </c>
      <c r="Q797" s="12">
        <v>33.9</v>
      </c>
      <c r="R797" s="9" t="s">
        <v>356</v>
      </c>
      <c r="S797" s="13">
        <v>14</v>
      </c>
      <c r="T797" s="13">
        <v>14</v>
      </c>
      <c r="U797" s="14">
        <f t="shared" si="108"/>
        <v>1.1760912590556813</v>
      </c>
      <c r="V797" s="15">
        <v>5</v>
      </c>
      <c r="W797" s="12">
        <v>6.4932353999999961</v>
      </c>
      <c r="X797" s="12">
        <v>1</v>
      </c>
      <c r="Y797" s="13" t="s">
        <v>384</v>
      </c>
      <c r="Z797" s="9" t="s">
        <v>359</v>
      </c>
      <c r="AA797" s="10" t="s">
        <v>372</v>
      </c>
      <c r="AB797" s="9" t="s">
        <v>417</v>
      </c>
      <c r="AC797" s="15">
        <v>304.7851264858275</v>
      </c>
      <c r="AD797" s="14">
        <f t="shared" si="109"/>
        <v>2.4839937696139525</v>
      </c>
      <c r="AE797" s="10" t="s">
        <v>897</v>
      </c>
      <c r="AF797" s="9" t="s">
        <v>420</v>
      </c>
      <c r="AG797" s="18">
        <v>33.425020000000004</v>
      </c>
      <c r="AH797" s="7">
        <f t="shared" si="110"/>
        <v>1</v>
      </c>
      <c r="AI797" s="7">
        <f t="shared" si="111"/>
        <v>1</v>
      </c>
      <c r="AJ797" s="7">
        <f t="shared" si="112"/>
        <v>0</v>
      </c>
      <c r="AK797" s="7">
        <f t="shared" si="113"/>
        <v>0</v>
      </c>
      <c r="AL797" s="7" t="s">
        <v>4157</v>
      </c>
      <c r="AM797" s="18">
        <f t="shared" si="114"/>
        <v>1.5240716757960127</v>
      </c>
      <c r="AN797" s="18">
        <v>-33.425020000000004</v>
      </c>
      <c r="AO797" s="18">
        <v>151.342219</v>
      </c>
      <c r="AP797" s="9" t="s">
        <v>363</v>
      </c>
      <c r="AQ797" s="9" t="s">
        <v>355</v>
      </c>
      <c r="AR797" s="15">
        <v>1970</v>
      </c>
      <c r="AS797" s="19" t="s">
        <v>898</v>
      </c>
      <c r="AT797" s="10" t="s">
        <v>899</v>
      </c>
      <c r="AU797" s="40">
        <v>668570</v>
      </c>
      <c r="AV797" s="35">
        <f t="shared" si="115"/>
        <v>5.8251468850792136</v>
      </c>
      <c r="AW797" s="37" t="s">
        <v>366</v>
      </c>
      <c r="AX797" s="40">
        <v>20</v>
      </c>
      <c r="AY797" s="40">
        <v>1000</v>
      </c>
      <c r="AZ797" s="15">
        <v>33</v>
      </c>
      <c r="BA797" s="14">
        <f t="shared" si="116"/>
        <v>1.5185139398778875</v>
      </c>
      <c r="BB797" s="37" t="s">
        <v>367</v>
      </c>
      <c r="BC797" s="20">
        <v>7.0504201680672398E-3</v>
      </c>
      <c r="BD797" s="9">
        <v>26.6</v>
      </c>
      <c r="BE797" s="9" t="s">
        <v>459</v>
      </c>
      <c r="BF797" s="9">
        <v>1</v>
      </c>
    </row>
    <row r="798" spans="1:58">
      <c r="A798" s="9">
        <v>315</v>
      </c>
      <c r="B798" s="10" t="s">
        <v>76</v>
      </c>
      <c r="C798" s="10" t="s">
        <v>721</v>
      </c>
      <c r="D798" s="10" t="s">
        <v>821</v>
      </c>
      <c r="E798" s="10" t="s">
        <v>822</v>
      </c>
      <c r="F798" s="10" t="s">
        <v>721</v>
      </c>
      <c r="G798" s="10" t="s">
        <v>821</v>
      </c>
      <c r="H798" s="10" t="s">
        <v>822</v>
      </c>
      <c r="I798" s="10" t="s">
        <v>721</v>
      </c>
      <c r="J798" s="10" t="s">
        <v>821</v>
      </c>
      <c r="K798" s="10" t="s">
        <v>823</v>
      </c>
      <c r="L798" s="9" t="s">
        <v>352</v>
      </c>
      <c r="M798" s="9">
        <v>70</v>
      </c>
      <c r="N798" s="9" t="s">
        <v>381</v>
      </c>
      <c r="O798" s="9" t="s">
        <v>354</v>
      </c>
      <c r="P798" s="12">
        <v>33.700000000000003</v>
      </c>
      <c r="Q798" s="12">
        <v>35.6</v>
      </c>
      <c r="R798" s="9" t="s">
        <v>356</v>
      </c>
      <c r="S798" s="13">
        <v>14</v>
      </c>
      <c r="T798" s="13">
        <v>14</v>
      </c>
      <c r="U798" s="14">
        <f t="shared" si="108"/>
        <v>1.1760912590556813</v>
      </c>
      <c r="V798" s="15">
        <v>10</v>
      </c>
      <c r="W798" s="12">
        <v>6.4651755000000009</v>
      </c>
      <c r="X798" s="12">
        <v>1</v>
      </c>
      <c r="Y798" s="13" t="s">
        <v>384</v>
      </c>
      <c r="Z798" s="9" t="s">
        <v>359</v>
      </c>
      <c r="AA798" s="10" t="s">
        <v>372</v>
      </c>
      <c r="AB798" s="9" t="s">
        <v>417</v>
      </c>
      <c r="AC798" s="15">
        <v>304.7851264858275</v>
      </c>
      <c r="AD798" s="14">
        <f t="shared" si="109"/>
        <v>2.4839937696139525</v>
      </c>
      <c r="AE798" s="10" t="s">
        <v>956</v>
      </c>
      <c r="AF798" s="9" t="s">
        <v>420</v>
      </c>
      <c r="AG798" s="18">
        <v>36.691721999999999</v>
      </c>
      <c r="AH798" s="7">
        <f t="shared" si="110"/>
        <v>1</v>
      </c>
      <c r="AI798" s="7">
        <f t="shared" si="111"/>
        <v>1</v>
      </c>
      <c r="AJ798" s="7">
        <f t="shared" si="112"/>
        <v>0</v>
      </c>
      <c r="AK798" s="7">
        <f t="shared" si="113"/>
        <v>0</v>
      </c>
      <c r="AL798" s="7" t="s">
        <v>4157</v>
      </c>
      <c r="AM798" s="18">
        <f t="shared" si="114"/>
        <v>1.5645680943547093</v>
      </c>
      <c r="AN798" s="18">
        <v>-36.691721999999999</v>
      </c>
      <c r="AO798" s="18">
        <v>145.88668899999999</v>
      </c>
      <c r="AP798" s="9" t="s">
        <v>363</v>
      </c>
      <c r="AQ798" s="9" t="s">
        <v>355</v>
      </c>
      <c r="AR798" s="15">
        <v>1970</v>
      </c>
      <c r="AS798" s="19" t="s">
        <v>898</v>
      </c>
      <c r="AT798" s="10" t="s">
        <v>899</v>
      </c>
      <c r="AU798" s="40">
        <v>668570</v>
      </c>
      <c r="AV798" s="35">
        <f t="shared" si="115"/>
        <v>5.8251468850792136</v>
      </c>
      <c r="AW798" s="37" t="s">
        <v>366</v>
      </c>
      <c r="AX798" s="40">
        <v>20</v>
      </c>
      <c r="AY798" s="40">
        <v>1000</v>
      </c>
      <c r="AZ798" s="15">
        <v>33</v>
      </c>
      <c r="BA798" s="14">
        <f t="shared" si="116"/>
        <v>1.5185139398778875</v>
      </c>
      <c r="BB798" s="37" t="s">
        <v>367</v>
      </c>
      <c r="BC798" s="20">
        <v>1.4744297719087435E-2</v>
      </c>
      <c r="BD798" s="9">
        <v>29.5</v>
      </c>
      <c r="BE798" s="9" t="s">
        <v>459</v>
      </c>
      <c r="BF798" s="9">
        <v>1</v>
      </c>
    </row>
    <row r="799" spans="1:58">
      <c r="A799" s="9">
        <v>316</v>
      </c>
      <c r="B799" s="10" t="s">
        <v>76</v>
      </c>
      <c r="C799" s="10" t="s">
        <v>721</v>
      </c>
      <c r="D799" s="10" t="s">
        <v>821</v>
      </c>
      <c r="E799" s="10" t="s">
        <v>822</v>
      </c>
      <c r="F799" s="10" t="s">
        <v>721</v>
      </c>
      <c r="G799" s="10" t="s">
        <v>821</v>
      </c>
      <c r="H799" s="10" t="s">
        <v>822</v>
      </c>
      <c r="I799" s="10" t="s">
        <v>721</v>
      </c>
      <c r="J799" s="10" t="s">
        <v>821</v>
      </c>
      <c r="K799" s="10" t="s">
        <v>823</v>
      </c>
      <c r="L799" s="9" t="s">
        <v>352</v>
      </c>
      <c r="M799" s="9">
        <v>70</v>
      </c>
      <c r="N799" s="9" t="s">
        <v>381</v>
      </c>
      <c r="O799" s="9" t="s">
        <v>354</v>
      </c>
      <c r="P799" s="12">
        <v>35</v>
      </c>
      <c r="Q799" s="12">
        <v>37.200000000000003</v>
      </c>
      <c r="R799" s="9" t="s">
        <v>356</v>
      </c>
      <c r="S799" s="13">
        <v>14</v>
      </c>
      <c r="T799" s="13">
        <v>14</v>
      </c>
      <c r="U799" s="14">
        <f t="shared" si="108"/>
        <v>1.1760912590556813</v>
      </c>
      <c r="V799" s="15">
        <v>20</v>
      </c>
      <c r="W799" s="12">
        <v>6.2029854999999969</v>
      </c>
      <c r="X799" s="12">
        <v>1</v>
      </c>
      <c r="Y799" s="13" t="s">
        <v>384</v>
      </c>
      <c r="Z799" s="9" t="s">
        <v>359</v>
      </c>
      <c r="AA799" s="10" t="s">
        <v>372</v>
      </c>
      <c r="AB799" s="9" t="s">
        <v>417</v>
      </c>
      <c r="AC799" s="15">
        <v>304.7851264858275</v>
      </c>
      <c r="AD799" s="14">
        <f t="shared" si="109"/>
        <v>2.4839937696139525</v>
      </c>
      <c r="AE799" s="10" t="s">
        <v>956</v>
      </c>
      <c r="AF799" s="9" t="s">
        <v>420</v>
      </c>
      <c r="AG799" s="18">
        <v>36.691721999999999</v>
      </c>
      <c r="AH799" s="7">
        <f t="shared" si="110"/>
        <v>1</v>
      </c>
      <c r="AI799" s="7">
        <f t="shared" si="111"/>
        <v>1</v>
      </c>
      <c r="AJ799" s="7">
        <f t="shared" si="112"/>
        <v>0</v>
      </c>
      <c r="AK799" s="7">
        <f t="shared" si="113"/>
        <v>0</v>
      </c>
      <c r="AL799" s="7" t="s">
        <v>4157</v>
      </c>
      <c r="AM799" s="18">
        <f t="shared" si="114"/>
        <v>1.5645680943547093</v>
      </c>
      <c r="AN799" s="18">
        <v>-36.691721999999999</v>
      </c>
      <c r="AO799" s="18">
        <v>145.88668899999999</v>
      </c>
      <c r="AP799" s="9" t="s">
        <v>363</v>
      </c>
      <c r="AQ799" s="9" t="s">
        <v>355</v>
      </c>
      <c r="AR799" s="15">
        <v>1970</v>
      </c>
      <c r="AS799" s="19" t="s">
        <v>898</v>
      </c>
      <c r="AT799" s="10" t="s">
        <v>899</v>
      </c>
      <c r="AU799" s="40">
        <v>668570</v>
      </c>
      <c r="AV799" s="35">
        <f t="shared" si="115"/>
        <v>5.8251468850792136</v>
      </c>
      <c r="AW799" s="37" t="s">
        <v>366</v>
      </c>
      <c r="AX799" s="40">
        <v>20</v>
      </c>
      <c r="AY799" s="40">
        <v>1000</v>
      </c>
      <c r="AZ799" s="15">
        <v>33</v>
      </c>
      <c r="BA799" s="14">
        <f t="shared" si="116"/>
        <v>1.5185139398778875</v>
      </c>
      <c r="BB799" s="37" t="s">
        <v>367</v>
      </c>
      <c r="BC799" s="20">
        <v>1.4744297719087435E-2</v>
      </c>
      <c r="BD799" s="9">
        <v>29.5</v>
      </c>
      <c r="BE799" s="9" t="s">
        <v>459</v>
      </c>
      <c r="BF799" s="9">
        <v>1</v>
      </c>
    </row>
    <row r="800" spans="1:58">
      <c r="A800" s="9">
        <v>313</v>
      </c>
      <c r="B800" s="10" t="s">
        <v>76</v>
      </c>
      <c r="C800" s="10" t="s">
        <v>721</v>
      </c>
      <c r="D800" s="10" t="s">
        <v>821</v>
      </c>
      <c r="E800" s="10" t="s">
        <v>822</v>
      </c>
      <c r="F800" s="10" t="s">
        <v>721</v>
      </c>
      <c r="G800" s="10" t="s">
        <v>821</v>
      </c>
      <c r="H800" s="10" t="s">
        <v>822</v>
      </c>
      <c r="I800" s="10" t="s">
        <v>721</v>
      </c>
      <c r="J800" s="10" t="s">
        <v>821</v>
      </c>
      <c r="K800" s="10" t="s">
        <v>823</v>
      </c>
      <c r="L800" s="9" t="s">
        <v>352</v>
      </c>
      <c r="M800" s="9">
        <v>13</v>
      </c>
      <c r="N800" s="9" t="s">
        <v>381</v>
      </c>
      <c r="O800" s="9" t="s">
        <v>354</v>
      </c>
      <c r="P800" s="12">
        <v>36.200000000000003</v>
      </c>
      <c r="Q800" s="12">
        <v>38.200000000000003</v>
      </c>
      <c r="R800" s="9" t="s">
        <v>356</v>
      </c>
      <c r="S800" s="13">
        <v>14</v>
      </c>
      <c r="T800" s="13">
        <v>14</v>
      </c>
      <c r="U800" s="14">
        <f t="shared" si="108"/>
        <v>1.1760912590556813</v>
      </c>
      <c r="V800" s="15">
        <v>25</v>
      </c>
      <c r="W800" s="12">
        <v>9.0688554000000039</v>
      </c>
      <c r="X800" s="12">
        <v>1</v>
      </c>
      <c r="Y800" s="13" t="s">
        <v>384</v>
      </c>
      <c r="Z800" s="9" t="s">
        <v>359</v>
      </c>
      <c r="AA800" s="10" t="s">
        <v>372</v>
      </c>
      <c r="AB800" s="9" t="s">
        <v>417</v>
      </c>
      <c r="AC800" s="15">
        <v>304.7851264858275</v>
      </c>
      <c r="AD800" s="14">
        <f t="shared" si="109"/>
        <v>2.4839937696139525</v>
      </c>
      <c r="AE800" s="10" t="s">
        <v>897</v>
      </c>
      <c r="AF800" s="9" t="s">
        <v>420</v>
      </c>
      <c r="AG800" s="18">
        <v>33.425020000000004</v>
      </c>
      <c r="AH800" s="7">
        <f t="shared" si="110"/>
        <v>1</v>
      </c>
      <c r="AI800" s="7">
        <f t="shared" si="111"/>
        <v>1</v>
      </c>
      <c r="AJ800" s="7">
        <f t="shared" si="112"/>
        <v>0</v>
      </c>
      <c r="AK800" s="7">
        <f t="shared" si="113"/>
        <v>0</v>
      </c>
      <c r="AL800" s="7" t="s">
        <v>4157</v>
      </c>
      <c r="AM800" s="18">
        <f t="shared" si="114"/>
        <v>1.5240716757960127</v>
      </c>
      <c r="AN800" s="18">
        <v>-33.425020000000004</v>
      </c>
      <c r="AO800" s="18">
        <v>151.342219</v>
      </c>
      <c r="AP800" s="9" t="s">
        <v>363</v>
      </c>
      <c r="AQ800" s="9" t="s">
        <v>355</v>
      </c>
      <c r="AR800" s="15">
        <v>1970</v>
      </c>
      <c r="AS800" s="19" t="s">
        <v>898</v>
      </c>
      <c r="AT800" s="10" t="s">
        <v>899</v>
      </c>
      <c r="AU800" s="40">
        <v>668570</v>
      </c>
      <c r="AV800" s="35">
        <f t="shared" si="115"/>
        <v>5.8251468850792136</v>
      </c>
      <c r="AW800" s="37" t="s">
        <v>366</v>
      </c>
      <c r="AX800" s="40">
        <v>20</v>
      </c>
      <c r="AY800" s="40">
        <v>1000</v>
      </c>
      <c r="AZ800" s="15">
        <v>33</v>
      </c>
      <c r="BA800" s="14">
        <f t="shared" si="116"/>
        <v>1.5185139398778875</v>
      </c>
      <c r="BB800" s="37" t="s">
        <v>367</v>
      </c>
      <c r="BC800" s="20">
        <v>7.0504201680672398E-3</v>
      </c>
      <c r="BD800" s="9">
        <v>26.6</v>
      </c>
      <c r="BE800" s="9" t="s">
        <v>459</v>
      </c>
      <c r="BF800" s="9">
        <v>1</v>
      </c>
    </row>
    <row r="801" spans="1:58">
      <c r="A801" s="9">
        <v>311</v>
      </c>
      <c r="B801" s="10" t="s">
        <v>76</v>
      </c>
      <c r="C801" s="10" t="s">
        <v>721</v>
      </c>
      <c r="D801" s="10" t="s">
        <v>821</v>
      </c>
      <c r="E801" s="10" t="s">
        <v>822</v>
      </c>
      <c r="F801" s="10" t="s">
        <v>721</v>
      </c>
      <c r="G801" s="10" t="s">
        <v>821</v>
      </c>
      <c r="H801" s="10" t="s">
        <v>822</v>
      </c>
      <c r="I801" s="10" t="s">
        <v>721</v>
      </c>
      <c r="J801" s="10" t="s">
        <v>821</v>
      </c>
      <c r="K801" s="10" t="s">
        <v>823</v>
      </c>
      <c r="L801" s="9" t="s">
        <v>352</v>
      </c>
      <c r="M801" s="9">
        <v>3</v>
      </c>
      <c r="N801" s="9" t="s">
        <v>353</v>
      </c>
      <c r="O801" s="9" t="s">
        <v>354</v>
      </c>
      <c r="P801" s="12">
        <v>34.799999999999997</v>
      </c>
      <c r="Q801" s="12">
        <v>35.4</v>
      </c>
      <c r="R801" s="9" t="s">
        <v>356</v>
      </c>
      <c r="S801" s="13">
        <v>14</v>
      </c>
      <c r="T801" s="13">
        <v>14</v>
      </c>
      <c r="U801" s="14">
        <f t="shared" si="108"/>
        <v>1.1760912590556813</v>
      </c>
      <c r="V801" s="15">
        <v>5</v>
      </c>
      <c r="W801" s="12">
        <v>11.215125899999997</v>
      </c>
      <c r="X801" s="12">
        <v>1</v>
      </c>
      <c r="Y801" s="13" t="s">
        <v>384</v>
      </c>
      <c r="Z801" s="9" t="s">
        <v>359</v>
      </c>
      <c r="AA801" s="10" t="s">
        <v>372</v>
      </c>
      <c r="AB801" s="9" t="s">
        <v>417</v>
      </c>
      <c r="AC801" s="15">
        <v>1066.7479427003962</v>
      </c>
      <c r="AD801" s="14">
        <f t="shared" si="109"/>
        <v>3.0280618139642281</v>
      </c>
      <c r="AE801" s="10" t="s">
        <v>962</v>
      </c>
      <c r="AF801" s="9" t="s">
        <v>420</v>
      </c>
      <c r="AG801" s="18">
        <v>30.514343</v>
      </c>
      <c r="AH801" s="7">
        <f t="shared" si="110"/>
        <v>1</v>
      </c>
      <c r="AI801" s="7">
        <f t="shared" si="111"/>
        <v>1</v>
      </c>
      <c r="AJ801" s="7">
        <f t="shared" si="112"/>
        <v>0</v>
      </c>
      <c r="AK801" s="7">
        <f t="shared" si="113"/>
        <v>0</v>
      </c>
      <c r="AL801" s="7" t="s">
        <v>4157</v>
      </c>
      <c r="AM801" s="18">
        <f t="shared" si="114"/>
        <v>1.4845040236602571</v>
      </c>
      <c r="AN801" s="18">
        <v>-30.514343</v>
      </c>
      <c r="AO801" s="18">
        <v>151.66696400000001</v>
      </c>
      <c r="AP801" s="9" t="s">
        <v>363</v>
      </c>
      <c r="AQ801" s="9" t="s">
        <v>355</v>
      </c>
      <c r="AR801" s="15">
        <v>1970</v>
      </c>
      <c r="AS801" s="19" t="s">
        <v>898</v>
      </c>
      <c r="AT801" s="10" t="s">
        <v>899</v>
      </c>
      <c r="AU801" s="40">
        <v>668570</v>
      </c>
      <c r="AV801" s="35">
        <f t="shared" si="115"/>
        <v>5.8251468850792136</v>
      </c>
      <c r="AW801" s="37" t="s">
        <v>366</v>
      </c>
      <c r="AX801" s="40">
        <v>20</v>
      </c>
      <c r="AY801" s="40">
        <v>1000</v>
      </c>
      <c r="AZ801" s="15">
        <v>33</v>
      </c>
      <c r="BA801" s="14">
        <f t="shared" si="116"/>
        <v>1.5185139398778875</v>
      </c>
      <c r="BB801" s="37" t="s">
        <v>367</v>
      </c>
      <c r="BC801" s="20">
        <v>1.6987194877951452E-2</v>
      </c>
      <c r="BD801" s="9">
        <v>26.1</v>
      </c>
      <c r="BE801" s="9" t="s">
        <v>459</v>
      </c>
      <c r="BF801" s="9">
        <v>1</v>
      </c>
    </row>
    <row r="802" spans="1:58">
      <c r="A802" s="9">
        <v>309</v>
      </c>
      <c r="B802" s="10" t="s">
        <v>76</v>
      </c>
      <c r="C802" s="10" t="s">
        <v>721</v>
      </c>
      <c r="D802" s="10" t="s">
        <v>821</v>
      </c>
      <c r="E802" s="10" t="s">
        <v>1048</v>
      </c>
      <c r="F802" s="10" t="s">
        <v>721</v>
      </c>
      <c r="G802" s="10" t="s">
        <v>821</v>
      </c>
      <c r="H802" s="10" t="s">
        <v>1048</v>
      </c>
      <c r="I802" s="10" t="s">
        <v>721</v>
      </c>
      <c r="J802" s="10" t="s">
        <v>821</v>
      </c>
      <c r="K802" s="10" t="s">
        <v>1048</v>
      </c>
      <c r="L802" s="9" t="s">
        <v>352</v>
      </c>
      <c r="M802" s="9">
        <v>10</v>
      </c>
      <c r="N802" s="9" t="s">
        <v>381</v>
      </c>
      <c r="O802" s="9" t="s">
        <v>354</v>
      </c>
      <c r="P802" s="12">
        <v>23</v>
      </c>
      <c r="Q802" s="12">
        <v>34.4</v>
      </c>
      <c r="R802" s="9" t="s">
        <v>356</v>
      </c>
      <c r="S802" s="13">
        <v>14</v>
      </c>
      <c r="T802" s="13">
        <v>14</v>
      </c>
      <c r="U802" s="14">
        <f t="shared" si="108"/>
        <v>1.1760912590556813</v>
      </c>
      <c r="V802" s="15">
        <v>5</v>
      </c>
      <c r="W802" s="12">
        <v>5.9122395999999995</v>
      </c>
      <c r="X802" s="12">
        <v>1</v>
      </c>
      <c r="Y802" s="13" t="s">
        <v>384</v>
      </c>
      <c r="Z802" s="9" t="s">
        <v>359</v>
      </c>
      <c r="AA802" s="10" t="s">
        <v>372</v>
      </c>
      <c r="AB802" s="9" t="s">
        <v>417</v>
      </c>
      <c r="AC802" s="15">
        <v>1752.514477293508</v>
      </c>
      <c r="AD802" s="14">
        <f t="shared" si="109"/>
        <v>3.2436616143035826</v>
      </c>
      <c r="AE802" s="10" t="s">
        <v>1049</v>
      </c>
      <c r="AF802" s="9" t="s">
        <v>420</v>
      </c>
      <c r="AG802" s="18">
        <v>36.391784999999999</v>
      </c>
      <c r="AH802" s="7">
        <f t="shared" si="110"/>
        <v>1</v>
      </c>
      <c r="AI802" s="7">
        <f t="shared" si="111"/>
        <v>1</v>
      </c>
      <c r="AJ802" s="7">
        <f t="shared" si="112"/>
        <v>0</v>
      </c>
      <c r="AK802" s="7">
        <f t="shared" si="113"/>
        <v>0</v>
      </c>
      <c r="AL802" s="7" t="s">
        <v>4157</v>
      </c>
      <c r="AM802" s="18">
        <f t="shared" si="114"/>
        <v>1.561003358049492</v>
      </c>
      <c r="AN802" s="18">
        <v>-36.391784999999999</v>
      </c>
      <c r="AO802" s="18">
        <v>148.42744200000001</v>
      </c>
      <c r="AP802" s="9" t="s">
        <v>363</v>
      </c>
      <c r="AQ802" s="9" t="s">
        <v>355</v>
      </c>
      <c r="AR802" s="15">
        <v>1970</v>
      </c>
      <c r="AS802" s="19" t="s">
        <v>898</v>
      </c>
      <c r="AT802" s="10" t="s">
        <v>899</v>
      </c>
      <c r="AU802" s="40">
        <v>1079</v>
      </c>
      <c r="AV802" s="35">
        <f t="shared" si="115"/>
        <v>3.0330214446829107</v>
      </c>
      <c r="AW802" s="37" t="s">
        <v>366</v>
      </c>
      <c r="AX802" s="40">
        <v>1240</v>
      </c>
      <c r="AY802" s="40">
        <v>1710</v>
      </c>
      <c r="AZ802" s="15">
        <v>33</v>
      </c>
      <c r="BA802" s="14">
        <f t="shared" si="116"/>
        <v>1.5185139398778875</v>
      </c>
      <c r="BB802" s="37" t="s">
        <v>367</v>
      </c>
      <c r="BC802" s="20">
        <v>2.5041216486594114E-2</v>
      </c>
      <c r="BD802" s="9">
        <v>18.400000000000002</v>
      </c>
      <c r="BE802" s="9" t="s">
        <v>459</v>
      </c>
      <c r="BF802" s="9">
        <v>1</v>
      </c>
    </row>
    <row r="803" spans="1:58">
      <c r="A803" s="9">
        <v>310</v>
      </c>
      <c r="B803" s="10" t="s">
        <v>76</v>
      </c>
      <c r="C803" s="10" t="s">
        <v>721</v>
      </c>
      <c r="D803" s="10" t="s">
        <v>821</v>
      </c>
      <c r="E803" s="10" t="s">
        <v>1048</v>
      </c>
      <c r="F803" s="10" t="s">
        <v>721</v>
      </c>
      <c r="G803" s="10" t="s">
        <v>821</v>
      </c>
      <c r="H803" s="10" t="s">
        <v>1048</v>
      </c>
      <c r="I803" s="10" t="s">
        <v>721</v>
      </c>
      <c r="J803" s="10" t="s">
        <v>821</v>
      </c>
      <c r="K803" s="10" t="s">
        <v>1048</v>
      </c>
      <c r="L803" s="9" t="s">
        <v>352</v>
      </c>
      <c r="M803" s="9">
        <v>10</v>
      </c>
      <c r="N803" s="9" t="s">
        <v>381</v>
      </c>
      <c r="O803" s="9" t="s">
        <v>354</v>
      </c>
      <c r="P803" s="12">
        <v>35.200000000000003</v>
      </c>
      <c r="Q803" s="12">
        <v>36.700000000000003</v>
      </c>
      <c r="R803" s="9" t="s">
        <v>356</v>
      </c>
      <c r="S803" s="13">
        <v>14</v>
      </c>
      <c r="T803" s="13">
        <v>14</v>
      </c>
      <c r="U803" s="14">
        <f t="shared" si="108"/>
        <v>1.1760912590556813</v>
      </c>
      <c r="V803" s="15">
        <v>25</v>
      </c>
      <c r="W803" s="12">
        <v>14.987859600000004</v>
      </c>
      <c r="X803" s="12">
        <v>1</v>
      </c>
      <c r="Y803" s="13" t="s">
        <v>384</v>
      </c>
      <c r="Z803" s="9" t="s">
        <v>359</v>
      </c>
      <c r="AA803" s="10" t="s">
        <v>372</v>
      </c>
      <c r="AB803" s="9" t="s">
        <v>417</v>
      </c>
      <c r="AC803" s="15">
        <v>1752.514477293508</v>
      </c>
      <c r="AD803" s="14">
        <f t="shared" si="109"/>
        <v>3.2436616143035826</v>
      </c>
      <c r="AE803" s="10" t="s">
        <v>1049</v>
      </c>
      <c r="AF803" s="9" t="s">
        <v>420</v>
      </c>
      <c r="AG803" s="18">
        <v>36.391784999999999</v>
      </c>
      <c r="AH803" s="7">
        <f t="shared" si="110"/>
        <v>1</v>
      </c>
      <c r="AI803" s="7">
        <f t="shared" si="111"/>
        <v>1</v>
      </c>
      <c r="AJ803" s="7">
        <f t="shared" si="112"/>
        <v>0</v>
      </c>
      <c r="AK803" s="7">
        <f t="shared" si="113"/>
        <v>0</v>
      </c>
      <c r="AL803" s="7" t="s">
        <v>4157</v>
      </c>
      <c r="AM803" s="18">
        <f t="shared" si="114"/>
        <v>1.561003358049492</v>
      </c>
      <c r="AN803" s="18">
        <v>-36.391784999999999</v>
      </c>
      <c r="AO803" s="18">
        <v>148.42744200000001</v>
      </c>
      <c r="AP803" s="9" t="s">
        <v>363</v>
      </c>
      <c r="AQ803" s="9" t="s">
        <v>355</v>
      </c>
      <c r="AR803" s="15">
        <v>1970</v>
      </c>
      <c r="AS803" s="19" t="s">
        <v>898</v>
      </c>
      <c r="AT803" s="10" t="s">
        <v>899</v>
      </c>
      <c r="AU803" s="40">
        <v>1079</v>
      </c>
      <c r="AV803" s="35">
        <f t="shared" si="115"/>
        <v>3.0330214446829107</v>
      </c>
      <c r="AW803" s="37" t="s">
        <v>366</v>
      </c>
      <c r="AX803" s="40">
        <v>1240</v>
      </c>
      <c r="AY803" s="40">
        <v>1710</v>
      </c>
      <c r="AZ803" s="15">
        <v>33</v>
      </c>
      <c r="BA803" s="14">
        <f t="shared" si="116"/>
        <v>1.5185139398778875</v>
      </c>
      <c r="BB803" s="37" t="s">
        <v>367</v>
      </c>
      <c r="BC803" s="20">
        <v>2.5041216486594114E-2</v>
      </c>
      <c r="BD803" s="9">
        <v>18.400000000000002</v>
      </c>
      <c r="BE803" s="9" t="s">
        <v>459</v>
      </c>
      <c r="BF803" s="9">
        <v>1</v>
      </c>
    </row>
    <row r="804" spans="1:58">
      <c r="A804" s="9">
        <v>308</v>
      </c>
      <c r="B804" s="10" t="s">
        <v>76</v>
      </c>
      <c r="C804" s="10" t="s">
        <v>721</v>
      </c>
      <c r="D804" s="10" t="s">
        <v>821</v>
      </c>
      <c r="E804" s="10" t="s">
        <v>1050</v>
      </c>
      <c r="F804" s="10" t="s">
        <v>721</v>
      </c>
      <c r="G804" s="10" t="s">
        <v>821</v>
      </c>
      <c r="H804" s="10" t="s">
        <v>1050</v>
      </c>
      <c r="I804" s="10" t="s">
        <v>721</v>
      </c>
      <c r="J804" s="10" t="s">
        <v>821</v>
      </c>
      <c r="K804" s="10" t="s">
        <v>1050</v>
      </c>
      <c r="L804" s="9" t="s">
        <v>352</v>
      </c>
      <c r="M804" s="9">
        <v>6</v>
      </c>
      <c r="N804" s="9" t="s">
        <v>353</v>
      </c>
      <c r="O804" s="9" t="s">
        <v>354</v>
      </c>
      <c r="P804" s="12">
        <v>34.799999999999997</v>
      </c>
      <c r="Q804" s="12">
        <v>35.700000000000003</v>
      </c>
      <c r="R804" s="9" t="s">
        <v>356</v>
      </c>
      <c r="S804" s="13">
        <v>14</v>
      </c>
      <c r="T804" s="13">
        <v>14</v>
      </c>
      <c r="U804" s="14">
        <f t="shared" si="108"/>
        <v>1.1760912590556813</v>
      </c>
      <c r="V804" s="15">
        <v>5</v>
      </c>
      <c r="W804" s="12">
        <v>11.215125899999997</v>
      </c>
      <c r="X804" s="12">
        <v>1</v>
      </c>
      <c r="Y804" s="13" t="s">
        <v>384</v>
      </c>
      <c r="Z804" s="9" t="s">
        <v>359</v>
      </c>
      <c r="AA804" s="10" t="s">
        <v>372</v>
      </c>
      <c r="AB804" s="9" t="s">
        <v>417</v>
      </c>
      <c r="AC804" s="15">
        <v>1066.7479427003962</v>
      </c>
      <c r="AD804" s="14">
        <f t="shared" si="109"/>
        <v>3.0280618139642281</v>
      </c>
      <c r="AE804" s="10" t="s">
        <v>962</v>
      </c>
      <c r="AF804" s="9" t="s">
        <v>420</v>
      </c>
      <c r="AG804" s="18">
        <v>30.514343</v>
      </c>
      <c r="AH804" s="7">
        <f t="shared" si="110"/>
        <v>1</v>
      </c>
      <c r="AI804" s="7">
        <f t="shared" si="111"/>
        <v>1</v>
      </c>
      <c r="AJ804" s="7">
        <f t="shared" si="112"/>
        <v>0</v>
      </c>
      <c r="AK804" s="7">
        <f t="shared" si="113"/>
        <v>0</v>
      </c>
      <c r="AL804" s="7" t="s">
        <v>4157</v>
      </c>
      <c r="AM804" s="18">
        <f t="shared" si="114"/>
        <v>1.4845040236602571</v>
      </c>
      <c r="AN804" s="18">
        <v>-30.514343</v>
      </c>
      <c r="AO804" s="18">
        <v>151.66696400000001</v>
      </c>
      <c r="AP804" s="9" t="s">
        <v>363</v>
      </c>
      <c r="AQ804" s="9" t="s">
        <v>355</v>
      </c>
      <c r="AR804" s="15">
        <v>1970</v>
      </c>
      <c r="AS804" s="19" t="s">
        <v>898</v>
      </c>
      <c r="AT804" s="10" t="s">
        <v>899</v>
      </c>
      <c r="AU804" s="40">
        <v>6649</v>
      </c>
      <c r="AV804" s="35">
        <f t="shared" si="115"/>
        <v>3.8227563329513905</v>
      </c>
      <c r="AW804" s="37" t="s">
        <v>366</v>
      </c>
      <c r="AX804" s="40">
        <v>100</v>
      </c>
      <c r="AY804" s="40">
        <v>1200</v>
      </c>
      <c r="AZ804" s="15">
        <v>33</v>
      </c>
      <c r="BA804" s="14">
        <f t="shared" si="116"/>
        <v>1.5185139398778875</v>
      </c>
      <c r="BB804" s="37" t="s">
        <v>367</v>
      </c>
      <c r="BC804" s="20">
        <v>1.6987194877951452E-2</v>
      </c>
      <c r="BD804" s="9">
        <v>26.1</v>
      </c>
      <c r="BE804" s="9" t="s">
        <v>368</v>
      </c>
      <c r="BF804" s="9">
        <v>0</v>
      </c>
    </row>
    <row r="805" spans="1:58">
      <c r="A805" s="9">
        <v>247</v>
      </c>
      <c r="B805" s="10" t="s">
        <v>76</v>
      </c>
      <c r="C805" s="10" t="s">
        <v>369</v>
      </c>
      <c r="D805" s="20" t="s">
        <v>370</v>
      </c>
      <c r="E805" s="20" t="s">
        <v>1051</v>
      </c>
      <c r="F805" s="10" t="s">
        <v>369</v>
      </c>
      <c r="G805" s="20" t="s">
        <v>370</v>
      </c>
      <c r="H805" s="20" t="s">
        <v>1052</v>
      </c>
      <c r="I805" s="10" t="s">
        <v>369</v>
      </c>
      <c r="J805" s="20" t="s">
        <v>370</v>
      </c>
      <c r="K805" s="20" t="s">
        <v>1053</v>
      </c>
      <c r="L805" s="9" t="s">
        <v>352</v>
      </c>
      <c r="M805" s="9">
        <v>10</v>
      </c>
      <c r="N805" s="9" t="s">
        <v>381</v>
      </c>
      <c r="O805" s="9" t="s">
        <v>455</v>
      </c>
      <c r="P805" s="12">
        <v>31</v>
      </c>
      <c r="Q805" s="12" t="s">
        <v>355</v>
      </c>
      <c r="R805" s="9" t="s">
        <v>356</v>
      </c>
      <c r="S805" s="13" t="s">
        <v>903</v>
      </c>
      <c r="T805" s="13" t="s">
        <v>903</v>
      </c>
      <c r="U805" s="14">
        <f t="shared" si="108"/>
        <v>1.1760912590556813</v>
      </c>
      <c r="V805" s="15">
        <v>5</v>
      </c>
      <c r="W805" s="12">
        <v>7.5838821000000003</v>
      </c>
      <c r="X805" s="12">
        <v>1</v>
      </c>
      <c r="Y805" s="13" t="s">
        <v>904</v>
      </c>
      <c r="Z805" s="9" t="s">
        <v>359</v>
      </c>
      <c r="AA805" s="10" t="s">
        <v>372</v>
      </c>
      <c r="AB805" s="9" t="s">
        <v>355</v>
      </c>
      <c r="AC805" s="15">
        <v>914</v>
      </c>
      <c r="AD805" s="14">
        <f t="shared" si="109"/>
        <v>2.9609461957338312</v>
      </c>
      <c r="AE805" s="10" t="s">
        <v>1054</v>
      </c>
      <c r="AF805" s="9" t="s">
        <v>362</v>
      </c>
      <c r="AG805" s="18">
        <v>39.722932999999998</v>
      </c>
      <c r="AH805" s="7">
        <f t="shared" si="110"/>
        <v>1</v>
      </c>
      <c r="AI805" s="7">
        <f t="shared" si="111"/>
        <v>1</v>
      </c>
      <c r="AJ805" s="7">
        <f t="shared" si="112"/>
        <v>0</v>
      </c>
      <c r="AK805" s="7">
        <f t="shared" si="113"/>
        <v>0</v>
      </c>
      <c r="AL805" s="7" t="s">
        <v>4157</v>
      </c>
      <c r="AM805" s="18">
        <f t="shared" si="114"/>
        <v>1.5990413077661523</v>
      </c>
      <c r="AN805" s="18">
        <v>39.722932999999998</v>
      </c>
      <c r="AO805" s="18">
        <v>-122.809444</v>
      </c>
      <c r="AP805" s="9" t="s">
        <v>363</v>
      </c>
      <c r="AQ805" s="9" t="s">
        <v>355</v>
      </c>
      <c r="AR805" s="15">
        <v>1968</v>
      </c>
      <c r="AS805" s="19" t="s">
        <v>906</v>
      </c>
      <c r="AT805" s="20" t="s">
        <v>907</v>
      </c>
      <c r="AU805" s="40">
        <v>207983</v>
      </c>
      <c r="AV805" s="35">
        <f t="shared" si="115"/>
        <v>5.3180278382900781</v>
      </c>
      <c r="AW805" s="37" t="s">
        <v>366</v>
      </c>
      <c r="AX805" s="34" t="s">
        <v>355</v>
      </c>
      <c r="AY805" s="40">
        <v>2040</v>
      </c>
      <c r="AZ805" s="15">
        <v>55</v>
      </c>
      <c r="BA805" s="14">
        <f t="shared" si="116"/>
        <v>1.7403626894942439</v>
      </c>
      <c r="BB805" s="37" t="s">
        <v>388</v>
      </c>
      <c r="BC805" s="20">
        <v>-3.0836334533811188E-3</v>
      </c>
      <c r="BD805" s="9">
        <v>25.900000000000002</v>
      </c>
      <c r="BE805" s="9" t="s">
        <v>459</v>
      </c>
      <c r="BF805" s="9">
        <v>1</v>
      </c>
    </row>
    <row r="806" spans="1:58">
      <c r="A806" s="9">
        <v>248</v>
      </c>
      <c r="B806" s="10" t="s">
        <v>76</v>
      </c>
      <c r="C806" s="10" t="s">
        <v>369</v>
      </c>
      <c r="D806" s="20" t="s">
        <v>370</v>
      </c>
      <c r="E806" s="20" t="s">
        <v>1051</v>
      </c>
      <c r="F806" s="10" t="s">
        <v>369</v>
      </c>
      <c r="G806" s="20" t="s">
        <v>370</v>
      </c>
      <c r="H806" s="20" t="s">
        <v>1052</v>
      </c>
      <c r="I806" s="10" t="s">
        <v>369</v>
      </c>
      <c r="J806" s="20" t="s">
        <v>370</v>
      </c>
      <c r="K806" s="20" t="s">
        <v>1053</v>
      </c>
      <c r="L806" s="9" t="s">
        <v>352</v>
      </c>
      <c r="M806" s="9">
        <v>10</v>
      </c>
      <c r="N806" s="9" t="s">
        <v>381</v>
      </c>
      <c r="O806" s="9" t="s">
        <v>455</v>
      </c>
      <c r="P806" s="12">
        <v>33.5</v>
      </c>
      <c r="Q806" s="12" t="s">
        <v>355</v>
      </c>
      <c r="R806" s="9" t="s">
        <v>356</v>
      </c>
      <c r="S806" s="13" t="s">
        <v>903</v>
      </c>
      <c r="T806" s="13" t="s">
        <v>903</v>
      </c>
      <c r="U806" s="14">
        <f t="shared" si="108"/>
        <v>1.1760912590556813</v>
      </c>
      <c r="V806" s="15">
        <v>23</v>
      </c>
      <c r="W806" s="12">
        <v>7.2719400999999984</v>
      </c>
      <c r="X806" s="12">
        <v>1</v>
      </c>
      <c r="Y806" s="13" t="s">
        <v>904</v>
      </c>
      <c r="Z806" s="9" t="s">
        <v>359</v>
      </c>
      <c r="AA806" s="10" t="s">
        <v>372</v>
      </c>
      <c r="AB806" s="9" t="s">
        <v>355</v>
      </c>
      <c r="AC806" s="15">
        <v>914</v>
      </c>
      <c r="AD806" s="14">
        <f t="shared" si="109"/>
        <v>2.9609461957338312</v>
      </c>
      <c r="AE806" s="10" t="s">
        <v>1054</v>
      </c>
      <c r="AF806" s="9" t="s">
        <v>362</v>
      </c>
      <c r="AG806" s="18">
        <v>39.722932999999998</v>
      </c>
      <c r="AH806" s="7">
        <f t="shared" si="110"/>
        <v>1</v>
      </c>
      <c r="AI806" s="7">
        <f t="shared" si="111"/>
        <v>1</v>
      </c>
      <c r="AJ806" s="7">
        <f t="shared" si="112"/>
        <v>0</v>
      </c>
      <c r="AK806" s="7">
        <f t="shared" si="113"/>
        <v>0</v>
      </c>
      <c r="AL806" s="7" t="s">
        <v>4157</v>
      </c>
      <c r="AM806" s="18">
        <f t="shared" si="114"/>
        <v>1.5990413077661523</v>
      </c>
      <c r="AN806" s="18">
        <v>39.722932999999998</v>
      </c>
      <c r="AO806" s="18">
        <v>-122.809444</v>
      </c>
      <c r="AP806" s="9" t="s">
        <v>363</v>
      </c>
      <c r="AQ806" s="9" t="s">
        <v>355</v>
      </c>
      <c r="AR806" s="15">
        <v>1968</v>
      </c>
      <c r="AS806" s="19" t="s">
        <v>906</v>
      </c>
      <c r="AT806" s="20" t="s">
        <v>907</v>
      </c>
      <c r="AU806" s="40">
        <v>207983</v>
      </c>
      <c r="AV806" s="35">
        <f t="shared" si="115"/>
        <v>5.3180278382900781</v>
      </c>
      <c r="AW806" s="37" t="s">
        <v>366</v>
      </c>
      <c r="AX806" s="34" t="s">
        <v>355</v>
      </c>
      <c r="AY806" s="40">
        <v>2040</v>
      </c>
      <c r="AZ806" s="15">
        <v>55</v>
      </c>
      <c r="BA806" s="14">
        <f t="shared" si="116"/>
        <v>1.7403626894942439</v>
      </c>
      <c r="BB806" s="37" t="s">
        <v>388</v>
      </c>
      <c r="BC806" s="20">
        <v>-3.0836334533811188E-3</v>
      </c>
      <c r="BD806" s="9">
        <v>25.900000000000002</v>
      </c>
      <c r="BE806" s="9" t="s">
        <v>459</v>
      </c>
      <c r="BF806" s="9">
        <v>1</v>
      </c>
    </row>
    <row r="807" spans="1:58">
      <c r="A807" s="9">
        <v>249</v>
      </c>
      <c r="B807" s="10" t="s">
        <v>76</v>
      </c>
      <c r="C807" s="10" t="s">
        <v>369</v>
      </c>
      <c r="D807" s="20" t="s">
        <v>370</v>
      </c>
      <c r="E807" s="20" t="s">
        <v>1051</v>
      </c>
      <c r="F807" s="10" t="s">
        <v>369</v>
      </c>
      <c r="G807" s="20" t="s">
        <v>370</v>
      </c>
      <c r="H807" s="20" t="s">
        <v>1052</v>
      </c>
      <c r="I807" s="10" t="s">
        <v>369</v>
      </c>
      <c r="J807" s="20" t="s">
        <v>370</v>
      </c>
      <c r="K807" s="20" t="s">
        <v>1053</v>
      </c>
      <c r="L807" s="9" t="s">
        <v>352</v>
      </c>
      <c r="M807" s="9">
        <v>10</v>
      </c>
      <c r="N807" s="9" t="s">
        <v>381</v>
      </c>
      <c r="O807" s="9" t="s">
        <v>455</v>
      </c>
      <c r="P807" s="12">
        <v>34</v>
      </c>
      <c r="Q807" s="12" t="s">
        <v>355</v>
      </c>
      <c r="R807" s="9" t="s">
        <v>356</v>
      </c>
      <c r="S807" s="13" t="s">
        <v>903</v>
      </c>
      <c r="T807" s="13" t="s">
        <v>903</v>
      </c>
      <c r="U807" s="14">
        <f t="shared" si="108"/>
        <v>1.1760912590556813</v>
      </c>
      <c r="V807" s="15">
        <v>30</v>
      </c>
      <c r="W807" s="12">
        <v>6.6784070999999976</v>
      </c>
      <c r="X807" s="12">
        <v>1</v>
      </c>
      <c r="Y807" s="13" t="s">
        <v>904</v>
      </c>
      <c r="Z807" s="9" t="s">
        <v>359</v>
      </c>
      <c r="AA807" s="10" t="s">
        <v>372</v>
      </c>
      <c r="AB807" s="9" t="s">
        <v>355</v>
      </c>
      <c r="AC807" s="15">
        <v>914</v>
      </c>
      <c r="AD807" s="14">
        <f t="shared" si="109"/>
        <v>2.9609461957338312</v>
      </c>
      <c r="AE807" s="10" t="s">
        <v>1054</v>
      </c>
      <c r="AF807" s="9" t="s">
        <v>362</v>
      </c>
      <c r="AG807" s="18">
        <v>39.722932999999998</v>
      </c>
      <c r="AH807" s="7">
        <f t="shared" si="110"/>
        <v>1</v>
      </c>
      <c r="AI807" s="7">
        <f t="shared" si="111"/>
        <v>1</v>
      </c>
      <c r="AJ807" s="7">
        <f t="shared" si="112"/>
        <v>0</v>
      </c>
      <c r="AK807" s="7">
        <f t="shared" si="113"/>
        <v>0</v>
      </c>
      <c r="AL807" s="7" t="s">
        <v>4157</v>
      </c>
      <c r="AM807" s="18">
        <f t="shared" si="114"/>
        <v>1.5990413077661523</v>
      </c>
      <c r="AN807" s="18">
        <v>39.722932999999998</v>
      </c>
      <c r="AO807" s="18">
        <v>-122.809444</v>
      </c>
      <c r="AP807" s="9" t="s">
        <v>363</v>
      </c>
      <c r="AQ807" s="9" t="s">
        <v>355</v>
      </c>
      <c r="AR807" s="15">
        <v>1968</v>
      </c>
      <c r="AS807" s="19" t="s">
        <v>906</v>
      </c>
      <c r="AT807" s="20" t="s">
        <v>907</v>
      </c>
      <c r="AU807" s="40">
        <v>207983</v>
      </c>
      <c r="AV807" s="35">
        <f t="shared" si="115"/>
        <v>5.3180278382900781</v>
      </c>
      <c r="AW807" s="37" t="s">
        <v>366</v>
      </c>
      <c r="AX807" s="34" t="s">
        <v>355</v>
      </c>
      <c r="AY807" s="40">
        <v>2040</v>
      </c>
      <c r="AZ807" s="15">
        <v>55</v>
      </c>
      <c r="BA807" s="14">
        <f t="shared" si="116"/>
        <v>1.7403626894942439</v>
      </c>
      <c r="BB807" s="37" t="s">
        <v>388</v>
      </c>
      <c r="BC807" s="20">
        <v>-3.0836334533811188E-3</v>
      </c>
      <c r="BD807" s="9">
        <v>25.900000000000002</v>
      </c>
      <c r="BE807" s="9" t="s">
        <v>459</v>
      </c>
      <c r="BF807" s="9">
        <v>1</v>
      </c>
    </row>
    <row r="808" spans="1:58">
      <c r="A808" s="9">
        <v>241</v>
      </c>
      <c r="B808" s="10" t="s">
        <v>76</v>
      </c>
      <c r="C808" s="10" t="s">
        <v>369</v>
      </c>
      <c r="D808" s="20" t="s">
        <v>370</v>
      </c>
      <c r="E808" s="20" t="s">
        <v>1055</v>
      </c>
      <c r="F808" s="10" t="s">
        <v>369</v>
      </c>
      <c r="G808" s="20" t="s">
        <v>370</v>
      </c>
      <c r="H808" s="20" t="s">
        <v>1055</v>
      </c>
      <c r="I808" s="10" t="s">
        <v>369</v>
      </c>
      <c r="J808" s="20" t="s">
        <v>370</v>
      </c>
      <c r="K808" s="20" t="s">
        <v>1055</v>
      </c>
      <c r="L808" s="9" t="s">
        <v>352</v>
      </c>
      <c r="M808" s="9">
        <v>10</v>
      </c>
      <c r="N808" s="9" t="s">
        <v>381</v>
      </c>
      <c r="O808" s="9" t="s">
        <v>455</v>
      </c>
      <c r="P808" s="12">
        <v>30.8</v>
      </c>
      <c r="Q808" s="12" t="s">
        <v>355</v>
      </c>
      <c r="R808" s="9" t="s">
        <v>356</v>
      </c>
      <c r="S808" s="13" t="s">
        <v>903</v>
      </c>
      <c r="T808" s="13" t="s">
        <v>903</v>
      </c>
      <c r="U808" s="14">
        <f t="shared" si="108"/>
        <v>1.1760912590556813</v>
      </c>
      <c r="V808" s="15">
        <v>5</v>
      </c>
      <c r="W808" s="12">
        <v>7.1307477999999946</v>
      </c>
      <c r="X808" s="12">
        <v>1</v>
      </c>
      <c r="Y808" s="13" t="s">
        <v>904</v>
      </c>
      <c r="Z808" s="9" t="s">
        <v>359</v>
      </c>
      <c r="AA808" s="10" t="s">
        <v>372</v>
      </c>
      <c r="AB808" s="9" t="s">
        <v>355</v>
      </c>
      <c r="AC808" s="15">
        <v>2134</v>
      </c>
      <c r="AD808" s="14">
        <f t="shared" si="109"/>
        <v>3.3291944150884509</v>
      </c>
      <c r="AE808" s="10" t="s">
        <v>1056</v>
      </c>
      <c r="AF808" s="9" t="s">
        <v>362</v>
      </c>
      <c r="AG808" s="18">
        <v>39.992683</v>
      </c>
      <c r="AH808" s="7">
        <f t="shared" si="110"/>
        <v>1</v>
      </c>
      <c r="AI808" s="7">
        <f t="shared" si="111"/>
        <v>1</v>
      </c>
      <c r="AJ808" s="7">
        <f t="shared" si="112"/>
        <v>0</v>
      </c>
      <c r="AK808" s="7">
        <f t="shared" si="113"/>
        <v>0</v>
      </c>
      <c r="AL808" s="7" t="s">
        <v>4157</v>
      </c>
      <c r="AM808" s="18">
        <f t="shared" si="114"/>
        <v>1.6019805407428895</v>
      </c>
      <c r="AN808" s="18">
        <v>39.992683</v>
      </c>
      <c r="AO808" s="18">
        <v>-120.80394699999999</v>
      </c>
      <c r="AP808" s="9" t="s">
        <v>363</v>
      </c>
      <c r="AQ808" s="9" t="s">
        <v>355</v>
      </c>
      <c r="AR808" s="15">
        <v>1968</v>
      </c>
      <c r="AS808" s="19" t="s">
        <v>906</v>
      </c>
      <c r="AT808" s="20" t="s">
        <v>907</v>
      </c>
      <c r="AU808" s="40">
        <v>113632</v>
      </c>
      <c r="AV808" s="35">
        <f t="shared" si="115"/>
        <v>5.0555006506215214</v>
      </c>
      <c r="AW808" s="37" t="s">
        <v>366</v>
      </c>
      <c r="AX808" s="40">
        <v>665</v>
      </c>
      <c r="AY808" s="40">
        <v>2450</v>
      </c>
      <c r="AZ808" s="15">
        <v>75</v>
      </c>
      <c r="BA808" s="14">
        <f t="shared" si="116"/>
        <v>1.8750612633917001</v>
      </c>
      <c r="BB808" s="37" t="s">
        <v>388</v>
      </c>
      <c r="BC808" s="20">
        <v>1.8295318127250985E-2</v>
      </c>
      <c r="BD808" s="9">
        <v>26.200000000000003</v>
      </c>
      <c r="BE808" s="9" t="s">
        <v>459</v>
      </c>
      <c r="BF808" s="9">
        <v>1</v>
      </c>
    </row>
    <row r="809" spans="1:58">
      <c r="A809" s="9">
        <v>242</v>
      </c>
      <c r="B809" s="10" t="s">
        <v>76</v>
      </c>
      <c r="C809" s="10" t="s">
        <v>369</v>
      </c>
      <c r="D809" s="20" t="s">
        <v>370</v>
      </c>
      <c r="E809" s="20" t="s">
        <v>1055</v>
      </c>
      <c r="F809" s="10" t="s">
        <v>369</v>
      </c>
      <c r="G809" s="20" t="s">
        <v>370</v>
      </c>
      <c r="H809" s="20" t="s">
        <v>1055</v>
      </c>
      <c r="I809" s="10" t="s">
        <v>369</v>
      </c>
      <c r="J809" s="20" t="s">
        <v>370</v>
      </c>
      <c r="K809" s="20" t="s">
        <v>1055</v>
      </c>
      <c r="L809" s="9" t="s">
        <v>352</v>
      </c>
      <c r="M809" s="9">
        <v>10</v>
      </c>
      <c r="N809" s="9" t="s">
        <v>381</v>
      </c>
      <c r="O809" s="9" t="s">
        <v>455</v>
      </c>
      <c r="P809" s="12">
        <v>33.1</v>
      </c>
      <c r="Q809" s="12" t="s">
        <v>355</v>
      </c>
      <c r="R809" s="9" t="s">
        <v>356</v>
      </c>
      <c r="S809" s="13" t="s">
        <v>903</v>
      </c>
      <c r="T809" s="13" t="s">
        <v>903</v>
      </c>
      <c r="U809" s="14">
        <f t="shared" si="108"/>
        <v>1.1760912590556813</v>
      </c>
      <c r="V809" s="15">
        <v>23</v>
      </c>
      <c r="W809" s="12">
        <v>6.618805799999997</v>
      </c>
      <c r="X809" s="12">
        <v>1</v>
      </c>
      <c r="Y809" s="13" t="s">
        <v>904</v>
      </c>
      <c r="Z809" s="9" t="s">
        <v>359</v>
      </c>
      <c r="AA809" s="10" t="s">
        <v>372</v>
      </c>
      <c r="AB809" s="9" t="s">
        <v>355</v>
      </c>
      <c r="AC809" s="15">
        <v>2134</v>
      </c>
      <c r="AD809" s="14">
        <f t="shared" si="109"/>
        <v>3.3291944150884509</v>
      </c>
      <c r="AE809" s="10" t="s">
        <v>1056</v>
      </c>
      <c r="AF809" s="9" t="s">
        <v>362</v>
      </c>
      <c r="AG809" s="18">
        <v>39.992683</v>
      </c>
      <c r="AH809" s="7">
        <f t="shared" si="110"/>
        <v>1</v>
      </c>
      <c r="AI809" s="7">
        <f t="shared" si="111"/>
        <v>1</v>
      </c>
      <c r="AJ809" s="7">
        <f t="shared" si="112"/>
        <v>0</v>
      </c>
      <c r="AK809" s="7">
        <f t="shared" si="113"/>
        <v>0</v>
      </c>
      <c r="AL809" s="7" t="s">
        <v>4157</v>
      </c>
      <c r="AM809" s="18">
        <f t="shared" si="114"/>
        <v>1.6019805407428895</v>
      </c>
      <c r="AN809" s="18">
        <v>39.992683</v>
      </c>
      <c r="AO809" s="18">
        <v>-120.80394699999999</v>
      </c>
      <c r="AP809" s="9" t="s">
        <v>363</v>
      </c>
      <c r="AQ809" s="9" t="s">
        <v>355</v>
      </c>
      <c r="AR809" s="15">
        <v>1968</v>
      </c>
      <c r="AS809" s="19" t="s">
        <v>906</v>
      </c>
      <c r="AT809" s="20" t="s">
        <v>907</v>
      </c>
      <c r="AU809" s="40">
        <v>113632</v>
      </c>
      <c r="AV809" s="35">
        <f t="shared" si="115"/>
        <v>5.0555006506215214</v>
      </c>
      <c r="AW809" s="37" t="s">
        <v>366</v>
      </c>
      <c r="AX809" s="40">
        <v>665</v>
      </c>
      <c r="AY809" s="40">
        <v>2450</v>
      </c>
      <c r="AZ809" s="15">
        <v>75</v>
      </c>
      <c r="BA809" s="14">
        <f t="shared" si="116"/>
        <v>1.8750612633917001</v>
      </c>
      <c r="BB809" s="37" t="s">
        <v>388</v>
      </c>
      <c r="BC809" s="20">
        <v>1.8295318127250985E-2</v>
      </c>
      <c r="BD809" s="9">
        <v>26.200000000000003</v>
      </c>
      <c r="BE809" s="9" t="s">
        <v>459</v>
      </c>
      <c r="BF809" s="9">
        <v>1</v>
      </c>
    </row>
    <row r="810" spans="1:58">
      <c r="A810" s="9">
        <v>243</v>
      </c>
      <c r="B810" s="10" t="s">
        <v>76</v>
      </c>
      <c r="C810" s="10" t="s">
        <v>369</v>
      </c>
      <c r="D810" s="20" t="s">
        <v>370</v>
      </c>
      <c r="E810" s="20" t="s">
        <v>1055</v>
      </c>
      <c r="F810" s="10" t="s">
        <v>369</v>
      </c>
      <c r="G810" s="20" t="s">
        <v>370</v>
      </c>
      <c r="H810" s="20" t="s">
        <v>1055</v>
      </c>
      <c r="I810" s="10" t="s">
        <v>369</v>
      </c>
      <c r="J810" s="20" t="s">
        <v>370</v>
      </c>
      <c r="K810" s="20" t="s">
        <v>1055</v>
      </c>
      <c r="L810" s="9" t="s">
        <v>352</v>
      </c>
      <c r="M810" s="9">
        <v>10</v>
      </c>
      <c r="N810" s="9" t="s">
        <v>381</v>
      </c>
      <c r="O810" s="9" t="s">
        <v>455</v>
      </c>
      <c r="P810" s="12">
        <v>33.6</v>
      </c>
      <c r="Q810" s="12" t="s">
        <v>355</v>
      </c>
      <c r="R810" s="9" t="s">
        <v>356</v>
      </c>
      <c r="S810" s="13" t="s">
        <v>903</v>
      </c>
      <c r="T810" s="13" t="s">
        <v>903</v>
      </c>
      <c r="U810" s="14">
        <f t="shared" si="108"/>
        <v>1.1760912590556813</v>
      </c>
      <c r="V810" s="15">
        <v>30</v>
      </c>
      <c r="W810" s="12">
        <v>6.0252727999999962</v>
      </c>
      <c r="X810" s="12">
        <v>1</v>
      </c>
      <c r="Y810" s="13" t="s">
        <v>904</v>
      </c>
      <c r="Z810" s="9" t="s">
        <v>359</v>
      </c>
      <c r="AA810" s="10" t="s">
        <v>372</v>
      </c>
      <c r="AB810" s="9" t="s">
        <v>355</v>
      </c>
      <c r="AC810" s="15">
        <v>2134</v>
      </c>
      <c r="AD810" s="14">
        <f t="shared" si="109"/>
        <v>3.3291944150884509</v>
      </c>
      <c r="AE810" s="10" t="s">
        <v>1056</v>
      </c>
      <c r="AF810" s="9" t="s">
        <v>362</v>
      </c>
      <c r="AG810" s="18">
        <v>39.992683</v>
      </c>
      <c r="AH810" s="7">
        <f t="shared" si="110"/>
        <v>1</v>
      </c>
      <c r="AI810" s="7">
        <f t="shared" si="111"/>
        <v>1</v>
      </c>
      <c r="AJ810" s="7">
        <f t="shared" si="112"/>
        <v>0</v>
      </c>
      <c r="AK810" s="7">
        <f t="shared" si="113"/>
        <v>0</v>
      </c>
      <c r="AL810" s="7" t="s">
        <v>4157</v>
      </c>
      <c r="AM810" s="18">
        <f t="shared" si="114"/>
        <v>1.6019805407428895</v>
      </c>
      <c r="AN810" s="18">
        <v>39.992683</v>
      </c>
      <c r="AO810" s="18">
        <v>-120.80394699999999</v>
      </c>
      <c r="AP810" s="9" t="s">
        <v>363</v>
      </c>
      <c r="AQ810" s="9" t="s">
        <v>355</v>
      </c>
      <c r="AR810" s="15">
        <v>1968</v>
      </c>
      <c r="AS810" s="19" t="s">
        <v>906</v>
      </c>
      <c r="AT810" s="20" t="s">
        <v>907</v>
      </c>
      <c r="AU810" s="40">
        <v>113632</v>
      </c>
      <c r="AV810" s="35">
        <f t="shared" si="115"/>
        <v>5.0555006506215214</v>
      </c>
      <c r="AW810" s="37" t="s">
        <v>366</v>
      </c>
      <c r="AX810" s="40">
        <v>665</v>
      </c>
      <c r="AY810" s="40">
        <v>2450</v>
      </c>
      <c r="AZ810" s="15">
        <v>75</v>
      </c>
      <c r="BA810" s="14">
        <f t="shared" si="116"/>
        <v>1.8750612633917001</v>
      </c>
      <c r="BB810" s="37" t="s">
        <v>388</v>
      </c>
      <c r="BC810" s="20">
        <v>1.8295318127250985E-2</v>
      </c>
      <c r="BD810" s="9">
        <v>26.200000000000003</v>
      </c>
      <c r="BE810" s="9" t="s">
        <v>459</v>
      </c>
      <c r="BF810" s="9">
        <v>1</v>
      </c>
    </row>
    <row r="811" spans="1:58">
      <c r="A811" s="9">
        <v>903</v>
      </c>
      <c r="B811" s="10" t="s">
        <v>76</v>
      </c>
      <c r="C811" s="10" t="s">
        <v>369</v>
      </c>
      <c r="D811" s="20" t="s">
        <v>370</v>
      </c>
      <c r="E811" s="20" t="s">
        <v>1057</v>
      </c>
      <c r="F811" s="10" t="s">
        <v>369</v>
      </c>
      <c r="G811" s="20" t="s">
        <v>370</v>
      </c>
      <c r="H811" s="20" t="s">
        <v>1057</v>
      </c>
      <c r="I811" s="10" t="s">
        <v>369</v>
      </c>
      <c r="J811" s="20" t="s">
        <v>370</v>
      </c>
      <c r="K811" s="20" t="s">
        <v>1057</v>
      </c>
      <c r="L811" s="9" t="s">
        <v>380</v>
      </c>
      <c r="M811" s="9">
        <v>50</v>
      </c>
      <c r="N811" s="9" t="s">
        <v>381</v>
      </c>
      <c r="O811" s="9" t="s">
        <v>382</v>
      </c>
      <c r="P811" s="12">
        <v>28.8</v>
      </c>
      <c r="Q811" s="12" t="s">
        <v>355</v>
      </c>
      <c r="R811" s="9" t="s">
        <v>356</v>
      </c>
      <c r="S811" s="13" t="s">
        <v>903</v>
      </c>
      <c r="T811" s="13" t="s">
        <v>903</v>
      </c>
      <c r="U811" s="14">
        <f t="shared" si="108"/>
        <v>1.1760912590556813</v>
      </c>
      <c r="V811" s="15">
        <v>10</v>
      </c>
      <c r="W811" s="12"/>
      <c r="X811" s="12" t="s">
        <v>355</v>
      </c>
      <c r="Y811" s="13" t="s">
        <v>854</v>
      </c>
      <c r="Z811" s="9" t="s">
        <v>359</v>
      </c>
      <c r="AA811" s="10" t="s">
        <v>372</v>
      </c>
      <c r="AB811" s="9" t="s">
        <v>355</v>
      </c>
      <c r="AC811" s="15">
        <v>420</v>
      </c>
      <c r="AD811" s="14">
        <f t="shared" si="109"/>
        <v>2.6232492903979003</v>
      </c>
      <c r="AE811" s="10" t="s">
        <v>1058</v>
      </c>
      <c r="AF811" s="9" t="s">
        <v>420</v>
      </c>
      <c r="AG811" s="18">
        <v>36.1</v>
      </c>
      <c r="AH811" s="7">
        <f t="shared" si="110"/>
        <v>1</v>
      </c>
      <c r="AI811" s="7">
        <f t="shared" si="111"/>
        <v>1</v>
      </c>
      <c r="AJ811" s="7">
        <f t="shared" si="112"/>
        <v>0</v>
      </c>
      <c r="AK811" s="7">
        <f t="shared" si="113"/>
        <v>0</v>
      </c>
      <c r="AL811" s="7" t="s">
        <v>4157</v>
      </c>
      <c r="AM811" s="18">
        <f t="shared" si="114"/>
        <v>1.5575072019056579</v>
      </c>
      <c r="AN811" s="18">
        <v>36.1</v>
      </c>
      <c r="AO811" s="18">
        <v>108.9</v>
      </c>
      <c r="AP811" s="9" t="s">
        <v>363</v>
      </c>
      <c r="AQ811" s="9" t="s">
        <v>355</v>
      </c>
      <c r="AR811" s="15">
        <v>2007</v>
      </c>
      <c r="AS811" s="19" t="s">
        <v>1059</v>
      </c>
      <c r="AT811" s="20" t="s">
        <v>1060</v>
      </c>
      <c r="AU811" s="40">
        <v>2833311</v>
      </c>
      <c r="AV811" s="35">
        <f t="shared" si="115"/>
        <v>6.4522942477187515</v>
      </c>
      <c r="AW811" s="37" t="s">
        <v>366</v>
      </c>
      <c r="AX811" s="40">
        <v>600</v>
      </c>
      <c r="AY811" s="40">
        <v>4000</v>
      </c>
      <c r="AZ811" s="36">
        <v>44</v>
      </c>
      <c r="BA811" s="14">
        <f t="shared" si="116"/>
        <v>1.6434526764861874</v>
      </c>
      <c r="BB811" s="37" t="s">
        <v>388</v>
      </c>
      <c r="BC811" s="20">
        <v>3.0003601440576427E-2</v>
      </c>
      <c r="BD811" s="9">
        <v>28</v>
      </c>
      <c r="BE811" s="9" t="s">
        <v>368</v>
      </c>
      <c r="BF811" s="9">
        <v>0</v>
      </c>
    </row>
    <row r="812" spans="1:58">
      <c r="A812" s="9">
        <v>904</v>
      </c>
      <c r="B812" s="10" t="s">
        <v>76</v>
      </c>
      <c r="C812" s="10" t="s">
        <v>369</v>
      </c>
      <c r="D812" s="20" t="s">
        <v>370</v>
      </c>
      <c r="E812" s="20" t="s">
        <v>1057</v>
      </c>
      <c r="F812" s="10" t="s">
        <v>369</v>
      </c>
      <c r="G812" s="20" t="s">
        <v>370</v>
      </c>
      <c r="H812" s="20" t="s">
        <v>1057</v>
      </c>
      <c r="I812" s="10" t="s">
        <v>369</v>
      </c>
      <c r="J812" s="20" t="s">
        <v>370</v>
      </c>
      <c r="K812" s="20" t="s">
        <v>1057</v>
      </c>
      <c r="L812" s="9" t="s">
        <v>380</v>
      </c>
      <c r="M812" s="9">
        <v>50</v>
      </c>
      <c r="N812" s="9" t="s">
        <v>381</v>
      </c>
      <c r="O812" s="9" t="s">
        <v>382</v>
      </c>
      <c r="P812" s="12">
        <v>30.2</v>
      </c>
      <c r="Q812" s="12" t="s">
        <v>355</v>
      </c>
      <c r="R812" s="9" t="s">
        <v>356</v>
      </c>
      <c r="S812" s="13" t="s">
        <v>903</v>
      </c>
      <c r="T812" s="13" t="s">
        <v>903</v>
      </c>
      <c r="U812" s="14">
        <f t="shared" si="108"/>
        <v>1.1760912590556813</v>
      </c>
      <c r="V812" s="15">
        <v>15</v>
      </c>
      <c r="W812" s="12"/>
      <c r="X812" s="12" t="s">
        <v>355</v>
      </c>
      <c r="Y812" s="13" t="s">
        <v>854</v>
      </c>
      <c r="Z812" s="9" t="s">
        <v>359</v>
      </c>
      <c r="AA812" s="10" t="s">
        <v>372</v>
      </c>
      <c r="AB812" s="9" t="s">
        <v>355</v>
      </c>
      <c r="AC812" s="15">
        <v>420</v>
      </c>
      <c r="AD812" s="14">
        <f t="shared" si="109"/>
        <v>2.6232492903979003</v>
      </c>
      <c r="AE812" s="10" t="s">
        <v>1058</v>
      </c>
      <c r="AF812" s="9" t="s">
        <v>420</v>
      </c>
      <c r="AG812" s="18">
        <v>36.1</v>
      </c>
      <c r="AH812" s="7">
        <f t="shared" si="110"/>
        <v>1</v>
      </c>
      <c r="AI812" s="7">
        <f t="shared" si="111"/>
        <v>1</v>
      </c>
      <c r="AJ812" s="7">
        <f t="shared" si="112"/>
        <v>0</v>
      </c>
      <c r="AK812" s="7">
        <f t="shared" si="113"/>
        <v>0</v>
      </c>
      <c r="AL812" s="7" t="s">
        <v>4157</v>
      </c>
      <c r="AM812" s="18">
        <f t="shared" si="114"/>
        <v>1.5575072019056579</v>
      </c>
      <c r="AN812" s="18">
        <v>36.1</v>
      </c>
      <c r="AO812" s="18">
        <v>108.9</v>
      </c>
      <c r="AP812" s="9" t="s">
        <v>363</v>
      </c>
      <c r="AQ812" s="9" t="s">
        <v>355</v>
      </c>
      <c r="AR812" s="15">
        <v>2007</v>
      </c>
      <c r="AS812" s="19" t="s">
        <v>1059</v>
      </c>
      <c r="AT812" s="20" t="s">
        <v>1060</v>
      </c>
      <c r="AU812" s="40">
        <v>2833311</v>
      </c>
      <c r="AV812" s="35">
        <f t="shared" si="115"/>
        <v>6.4522942477187515</v>
      </c>
      <c r="AW812" s="37" t="s">
        <v>366</v>
      </c>
      <c r="AX812" s="40">
        <v>600</v>
      </c>
      <c r="AY812" s="40">
        <v>4000</v>
      </c>
      <c r="AZ812" s="36">
        <v>44</v>
      </c>
      <c r="BA812" s="14">
        <f t="shared" si="116"/>
        <v>1.6434526764861874</v>
      </c>
      <c r="BB812" s="37" t="s">
        <v>388</v>
      </c>
      <c r="BC812" s="20">
        <v>3.0003601440576427E-2</v>
      </c>
      <c r="BD812" s="9">
        <v>28</v>
      </c>
      <c r="BE812" s="9" t="s">
        <v>368</v>
      </c>
      <c r="BF812" s="9">
        <v>0</v>
      </c>
    </row>
    <row r="813" spans="1:58">
      <c r="A813" s="9">
        <v>905</v>
      </c>
      <c r="B813" s="10" t="s">
        <v>76</v>
      </c>
      <c r="C813" s="10" t="s">
        <v>369</v>
      </c>
      <c r="D813" s="20" t="s">
        <v>370</v>
      </c>
      <c r="E813" s="20" t="s">
        <v>1057</v>
      </c>
      <c r="F813" s="10" t="s">
        <v>369</v>
      </c>
      <c r="G813" s="20" t="s">
        <v>370</v>
      </c>
      <c r="H813" s="20" t="s">
        <v>1057</v>
      </c>
      <c r="I813" s="10" t="s">
        <v>369</v>
      </c>
      <c r="J813" s="20" t="s">
        <v>370</v>
      </c>
      <c r="K813" s="20" t="s">
        <v>1057</v>
      </c>
      <c r="L813" s="9" t="s">
        <v>380</v>
      </c>
      <c r="M813" s="9">
        <v>50</v>
      </c>
      <c r="N813" s="9" t="s">
        <v>381</v>
      </c>
      <c r="O813" s="9" t="s">
        <v>382</v>
      </c>
      <c r="P813" s="12">
        <v>31.6</v>
      </c>
      <c r="Q813" s="12" t="s">
        <v>355</v>
      </c>
      <c r="R813" s="9" t="s">
        <v>356</v>
      </c>
      <c r="S813" s="13" t="s">
        <v>903</v>
      </c>
      <c r="T813" s="13" t="s">
        <v>903</v>
      </c>
      <c r="U813" s="14">
        <f t="shared" si="108"/>
        <v>1.1760912590556813</v>
      </c>
      <c r="V813" s="15">
        <v>20</v>
      </c>
      <c r="W813" s="12"/>
      <c r="X813" s="12" t="s">
        <v>355</v>
      </c>
      <c r="Y813" s="13" t="s">
        <v>854</v>
      </c>
      <c r="Z813" s="9" t="s">
        <v>359</v>
      </c>
      <c r="AA813" s="10" t="s">
        <v>372</v>
      </c>
      <c r="AB813" s="9" t="s">
        <v>355</v>
      </c>
      <c r="AC813" s="15">
        <v>420</v>
      </c>
      <c r="AD813" s="14">
        <f t="shared" si="109"/>
        <v>2.6232492903979003</v>
      </c>
      <c r="AE813" s="10" t="s">
        <v>1058</v>
      </c>
      <c r="AF813" s="9" t="s">
        <v>420</v>
      </c>
      <c r="AG813" s="18">
        <v>36.1</v>
      </c>
      <c r="AH813" s="7">
        <f t="shared" si="110"/>
        <v>1</v>
      </c>
      <c r="AI813" s="7">
        <f t="shared" si="111"/>
        <v>1</v>
      </c>
      <c r="AJ813" s="7">
        <f t="shared" si="112"/>
        <v>0</v>
      </c>
      <c r="AK813" s="7">
        <f t="shared" si="113"/>
        <v>0</v>
      </c>
      <c r="AL813" s="7" t="s">
        <v>4157</v>
      </c>
      <c r="AM813" s="18">
        <f t="shared" si="114"/>
        <v>1.5575072019056579</v>
      </c>
      <c r="AN813" s="18">
        <v>36.1</v>
      </c>
      <c r="AO813" s="18">
        <v>108.9</v>
      </c>
      <c r="AP813" s="9" t="s">
        <v>363</v>
      </c>
      <c r="AQ813" s="9" t="s">
        <v>355</v>
      </c>
      <c r="AR813" s="15">
        <v>2007</v>
      </c>
      <c r="AS813" s="19" t="s">
        <v>1059</v>
      </c>
      <c r="AT813" s="20" t="s">
        <v>1060</v>
      </c>
      <c r="AU813" s="40">
        <v>2833311</v>
      </c>
      <c r="AV813" s="35">
        <f t="shared" si="115"/>
        <v>6.4522942477187515</v>
      </c>
      <c r="AW813" s="37" t="s">
        <v>366</v>
      </c>
      <c r="AX813" s="40">
        <v>600</v>
      </c>
      <c r="AY813" s="40">
        <v>4000</v>
      </c>
      <c r="AZ813" s="36">
        <v>44</v>
      </c>
      <c r="BA813" s="14">
        <f t="shared" si="116"/>
        <v>1.6434526764861874</v>
      </c>
      <c r="BB813" s="37" t="s">
        <v>388</v>
      </c>
      <c r="BC813" s="20">
        <v>3.0003601440576427E-2</v>
      </c>
      <c r="BD813" s="9">
        <v>28</v>
      </c>
      <c r="BE813" s="9" t="s">
        <v>368</v>
      </c>
      <c r="BF813" s="9">
        <v>0</v>
      </c>
    </row>
    <row r="814" spans="1:58">
      <c r="A814" s="9">
        <v>906</v>
      </c>
      <c r="B814" s="10" t="s">
        <v>76</v>
      </c>
      <c r="C814" s="10" t="s">
        <v>369</v>
      </c>
      <c r="D814" s="20" t="s">
        <v>370</v>
      </c>
      <c r="E814" s="20" t="s">
        <v>1057</v>
      </c>
      <c r="F814" s="10" t="s">
        <v>369</v>
      </c>
      <c r="G814" s="20" t="s">
        <v>370</v>
      </c>
      <c r="H814" s="20" t="s">
        <v>1057</v>
      </c>
      <c r="I814" s="10" t="s">
        <v>369</v>
      </c>
      <c r="J814" s="20" t="s">
        <v>370</v>
      </c>
      <c r="K814" s="20" t="s">
        <v>1057</v>
      </c>
      <c r="L814" s="9" t="s">
        <v>380</v>
      </c>
      <c r="M814" s="9">
        <v>50</v>
      </c>
      <c r="N814" s="9" t="s">
        <v>381</v>
      </c>
      <c r="O814" s="9" t="s">
        <v>382</v>
      </c>
      <c r="P814" s="12">
        <v>33.1</v>
      </c>
      <c r="Q814" s="12" t="s">
        <v>355</v>
      </c>
      <c r="R814" s="9" t="s">
        <v>356</v>
      </c>
      <c r="S814" s="13" t="s">
        <v>903</v>
      </c>
      <c r="T814" s="13" t="s">
        <v>903</v>
      </c>
      <c r="U814" s="14">
        <f t="shared" si="108"/>
        <v>1.1760912590556813</v>
      </c>
      <c r="V814" s="15">
        <v>25</v>
      </c>
      <c r="W814" s="12"/>
      <c r="X814" s="12" t="s">
        <v>355</v>
      </c>
      <c r="Y814" s="13" t="s">
        <v>854</v>
      </c>
      <c r="Z814" s="9" t="s">
        <v>359</v>
      </c>
      <c r="AA814" s="10" t="s">
        <v>372</v>
      </c>
      <c r="AB814" s="9" t="s">
        <v>355</v>
      </c>
      <c r="AC814" s="15">
        <v>420</v>
      </c>
      <c r="AD814" s="14">
        <f t="shared" si="109"/>
        <v>2.6232492903979003</v>
      </c>
      <c r="AE814" s="10" t="s">
        <v>1058</v>
      </c>
      <c r="AF814" s="9" t="s">
        <v>420</v>
      </c>
      <c r="AG814" s="18">
        <v>36.1</v>
      </c>
      <c r="AH814" s="7">
        <f t="shared" si="110"/>
        <v>1</v>
      </c>
      <c r="AI814" s="7">
        <f t="shared" si="111"/>
        <v>1</v>
      </c>
      <c r="AJ814" s="7">
        <f t="shared" si="112"/>
        <v>0</v>
      </c>
      <c r="AK814" s="7">
        <f t="shared" si="113"/>
        <v>0</v>
      </c>
      <c r="AL814" s="7" t="s">
        <v>4157</v>
      </c>
      <c r="AM814" s="18">
        <f t="shared" si="114"/>
        <v>1.5575072019056579</v>
      </c>
      <c r="AN814" s="18">
        <v>36.1</v>
      </c>
      <c r="AO814" s="18">
        <v>108.9</v>
      </c>
      <c r="AP814" s="9" t="s">
        <v>363</v>
      </c>
      <c r="AQ814" s="9" t="s">
        <v>355</v>
      </c>
      <c r="AR814" s="15">
        <v>2007</v>
      </c>
      <c r="AS814" s="19" t="s">
        <v>1059</v>
      </c>
      <c r="AT814" s="20" t="s">
        <v>1060</v>
      </c>
      <c r="AU814" s="40">
        <v>2833311</v>
      </c>
      <c r="AV814" s="35">
        <f t="shared" si="115"/>
        <v>6.4522942477187515</v>
      </c>
      <c r="AW814" s="37" t="s">
        <v>366</v>
      </c>
      <c r="AX814" s="40">
        <v>600</v>
      </c>
      <c r="AY814" s="40">
        <v>4000</v>
      </c>
      <c r="AZ814" s="36">
        <v>44</v>
      </c>
      <c r="BA814" s="14">
        <f t="shared" si="116"/>
        <v>1.6434526764861874</v>
      </c>
      <c r="BB814" s="37" t="s">
        <v>388</v>
      </c>
      <c r="BC814" s="20">
        <v>3.0003601440576427E-2</v>
      </c>
      <c r="BD814" s="9">
        <v>28</v>
      </c>
      <c r="BE814" s="9" t="s">
        <v>368</v>
      </c>
      <c r="BF814" s="9">
        <v>0</v>
      </c>
    </row>
    <row r="815" spans="1:58">
      <c r="A815" s="9">
        <v>253</v>
      </c>
      <c r="B815" s="10" t="s">
        <v>76</v>
      </c>
      <c r="C815" s="10" t="s">
        <v>369</v>
      </c>
      <c r="D815" s="20" t="s">
        <v>370</v>
      </c>
      <c r="E815" s="20" t="s">
        <v>371</v>
      </c>
      <c r="F815" s="10" t="s">
        <v>369</v>
      </c>
      <c r="G815" s="20" t="s">
        <v>370</v>
      </c>
      <c r="H815" s="20" t="s">
        <v>371</v>
      </c>
      <c r="I815" s="10" t="s">
        <v>369</v>
      </c>
      <c r="J815" s="20" t="s">
        <v>370</v>
      </c>
      <c r="K815" s="20" t="s">
        <v>371</v>
      </c>
      <c r="L815" s="9" t="s">
        <v>352</v>
      </c>
      <c r="M815" s="9">
        <v>10</v>
      </c>
      <c r="N815" s="9" t="s">
        <v>381</v>
      </c>
      <c r="O815" s="9" t="s">
        <v>455</v>
      </c>
      <c r="P815" s="12">
        <v>29.9</v>
      </c>
      <c r="Q815" s="12" t="s">
        <v>355</v>
      </c>
      <c r="R815" s="9" t="s">
        <v>356</v>
      </c>
      <c r="S815" s="13" t="s">
        <v>903</v>
      </c>
      <c r="T815" s="13" t="s">
        <v>903</v>
      </c>
      <c r="U815" s="14">
        <f t="shared" si="108"/>
        <v>1.1760912590556813</v>
      </c>
      <c r="V815" s="15">
        <v>5</v>
      </c>
      <c r="W815" s="12">
        <v>6.6526382999999925</v>
      </c>
      <c r="X815" s="12">
        <v>1</v>
      </c>
      <c r="Y815" s="13" t="s">
        <v>904</v>
      </c>
      <c r="Z815" s="9" t="s">
        <v>359</v>
      </c>
      <c r="AA815" s="10" t="s">
        <v>372</v>
      </c>
      <c r="AB815" s="9" t="s">
        <v>355</v>
      </c>
      <c r="AC815" s="15">
        <v>305</v>
      </c>
      <c r="AD815" s="14">
        <f t="shared" si="109"/>
        <v>2.4842998393467859</v>
      </c>
      <c r="AE815" s="10" t="s">
        <v>373</v>
      </c>
      <c r="AF815" s="9" t="s">
        <v>362</v>
      </c>
      <c r="AG815" s="18">
        <v>42</v>
      </c>
      <c r="AH815" s="7">
        <f t="shared" si="110"/>
        <v>1</v>
      </c>
      <c r="AI815" s="7">
        <f t="shared" si="111"/>
        <v>1</v>
      </c>
      <c r="AJ815" s="7">
        <f t="shared" si="112"/>
        <v>0</v>
      </c>
      <c r="AK815" s="7">
        <f t="shared" si="113"/>
        <v>0</v>
      </c>
      <c r="AL815" s="7" t="s">
        <v>4157</v>
      </c>
      <c r="AM815" s="18">
        <f t="shared" si="114"/>
        <v>1.6232492903979006</v>
      </c>
      <c r="AN815" s="18">
        <v>42</v>
      </c>
      <c r="AO815" s="18">
        <v>-73.134960000000007</v>
      </c>
      <c r="AP815" s="9" t="s">
        <v>363</v>
      </c>
      <c r="AQ815" s="9" t="s">
        <v>355</v>
      </c>
      <c r="AR815" s="15">
        <v>1968</v>
      </c>
      <c r="AS815" s="19" t="s">
        <v>906</v>
      </c>
      <c r="AT815" s="20" t="s">
        <v>907</v>
      </c>
      <c r="AU815" s="40">
        <v>3826484</v>
      </c>
      <c r="AV815" s="35">
        <f t="shared" si="115"/>
        <v>6.5827999017171539</v>
      </c>
      <c r="AW815" s="37" t="s">
        <v>338</v>
      </c>
      <c r="AX815" s="34" t="s">
        <v>355</v>
      </c>
      <c r="AY815" s="40" t="s">
        <v>355</v>
      </c>
      <c r="AZ815" s="15">
        <v>87</v>
      </c>
      <c r="BA815" s="14">
        <f t="shared" si="116"/>
        <v>1.9395192526186185</v>
      </c>
      <c r="BB815" s="41" t="s">
        <v>343</v>
      </c>
      <c r="BC815" s="20">
        <v>2.6780712284914233E-2</v>
      </c>
      <c r="BD815" s="9">
        <v>25.700000000000003</v>
      </c>
      <c r="BE815" s="9" t="s">
        <v>368</v>
      </c>
      <c r="BF815" s="9">
        <v>0</v>
      </c>
    </row>
    <row r="816" spans="1:58">
      <c r="A816" s="9">
        <v>254</v>
      </c>
      <c r="B816" s="10" t="s">
        <v>76</v>
      </c>
      <c r="C816" s="10" t="s">
        <v>369</v>
      </c>
      <c r="D816" s="20" t="s">
        <v>370</v>
      </c>
      <c r="E816" s="20" t="s">
        <v>371</v>
      </c>
      <c r="F816" s="10" t="s">
        <v>369</v>
      </c>
      <c r="G816" s="20" t="s">
        <v>370</v>
      </c>
      <c r="H816" s="20" t="s">
        <v>371</v>
      </c>
      <c r="I816" s="10" t="s">
        <v>369</v>
      </c>
      <c r="J816" s="20" t="s">
        <v>370</v>
      </c>
      <c r="K816" s="20" t="s">
        <v>371</v>
      </c>
      <c r="L816" s="9" t="s">
        <v>352</v>
      </c>
      <c r="M816" s="9">
        <v>10</v>
      </c>
      <c r="N816" s="9" t="s">
        <v>381</v>
      </c>
      <c r="O816" s="9" t="s">
        <v>455</v>
      </c>
      <c r="P816" s="12">
        <v>35</v>
      </c>
      <c r="Q816" s="12" t="s">
        <v>355</v>
      </c>
      <c r="R816" s="9" t="s">
        <v>356</v>
      </c>
      <c r="S816" s="13" t="s">
        <v>903</v>
      </c>
      <c r="T816" s="13" t="s">
        <v>903</v>
      </c>
      <c r="U816" s="14">
        <f t="shared" si="108"/>
        <v>1.1760912590556813</v>
      </c>
      <c r="V816" s="15">
        <v>23</v>
      </c>
      <c r="W816" s="12">
        <v>8.940696299999999</v>
      </c>
      <c r="X816" s="12">
        <v>1</v>
      </c>
      <c r="Y816" s="13" t="s">
        <v>904</v>
      </c>
      <c r="Z816" s="9" t="s">
        <v>359</v>
      </c>
      <c r="AA816" s="10" t="s">
        <v>372</v>
      </c>
      <c r="AB816" s="9" t="s">
        <v>355</v>
      </c>
      <c r="AC816" s="15">
        <v>305</v>
      </c>
      <c r="AD816" s="14">
        <f t="shared" si="109"/>
        <v>2.4842998393467859</v>
      </c>
      <c r="AE816" s="10" t="s">
        <v>373</v>
      </c>
      <c r="AF816" s="9" t="s">
        <v>362</v>
      </c>
      <c r="AG816" s="18">
        <v>42</v>
      </c>
      <c r="AH816" s="7">
        <f t="shared" si="110"/>
        <v>1</v>
      </c>
      <c r="AI816" s="7">
        <f t="shared" si="111"/>
        <v>1</v>
      </c>
      <c r="AJ816" s="7">
        <f t="shared" si="112"/>
        <v>0</v>
      </c>
      <c r="AK816" s="7">
        <f t="shared" si="113"/>
        <v>0</v>
      </c>
      <c r="AL816" s="7" t="s">
        <v>4157</v>
      </c>
      <c r="AM816" s="18">
        <f t="shared" si="114"/>
        <v>1.6232492903979006</v>
      </c>
      <c r="AN816" s="18">
        <v>42</v>
      </c>
      <c r="AO816" s="18">
        <v>-73.134960000000007</v>
      </c>
      <c r="AP816" s="9" t="s">
        <v>363</v>
      </c>
      <c r="AQ816" s="9" t="s">
        <v>355</v>
      </c>
      <c r="AR816" s="15">
        <v>1968</v>
      </c>
      <c r="AS816" s="19" t="s">
        <v>906</v>
      </c>
      <c r="AT816" s="20" t="s">
        <v>907</v>
      </c>
      <c r="AU816" s="40">
        <v>3826484</v>
      </c>
      <c r="AV816" s="35">
        <f t="shared" si="115"/>
        <v>6.5827999017171539</v>
      </c>
      <c r="AW816" s="37" t="s">
        <v>338</v>
      </c>
      <c r="AX816" s="34" t="s">
        <v>355</v>
      </c>
      <c r="AY816" s="40" t="s">
        <v>355</v>
      </c>
      <c r="AZ816" s="15">
        <v>87</v>
      </c>
      <c r="BA816" s="14">
        <f t="shared" si="116"/>
        <v>1.9395192526186185</v>
      </c>
      <c r="BB816" s="41" t="s">
        <v>343</v>
      </c>
      <c r="BC816" s="20">
        <v>2.6780712284914233E-2</v>
      </c>
      <c r="BD816" s="9">
        <v>25.700000000000003</v>
      </c>
      <c r="BE816" s="9" t="s">
        <v>368</v>
      </c>
      <c r="BF816" s="9">
        <v>0</v>
      </c>
    </row>
    <row r="817" spans="1:58">
      <c r="A817" s="9">
        <v>244</v>
      </c>
      <c r="B817" s="10" t="s">
        <v>76</v>
      </c>
      <c r="C817" s="10" t="s">
        <v>369</v>
      </c>
      <c r="D817" s="20" t="s">
        <v>370</v>
      </c>
      <c r="E817" s="20" t="s">
        <v>1061</v>
      </c>
      <c r="F817" s="10" t="s">
        <v>369</v>
      </c>
      <c r="G817" s="20" t="s">
        <v>370</v>
      </c>
      <c r="H817" s="20" t="s">
        <v>1061</v>
      </c>
      <c r="I817" s="10" t="s">
        <v>369</v>
      </c>
      <c r="J817" s="20" t="s">
        <v>370</v>
      </c>
      <c r="K817" s="20" t="s">
        <v>1061</v>
      </c>
      <c r="L817" s="9" t="s">
        <v>352</v>
      </c>
      <c r="M817" s="9">
        <v>10</v>
      </c>
      <c r="N817" s="9" t="s">
        <v>381</v>
      </c>
      <c r="O817" s="9" t="s">
        <v>455</v>
      </c>
      <c r="P817" s="12">
        <v>31.8</v>
      </c>
      <c r="Q817" s="12" t="s">
        <v>355</v>
      </c>
      <c r="R817" s="9" t="s">
        <v>356</v>
      </c>
      <c r="S817" s="13" t="s">
        <v>903</v>
      </c>
      <c r="T817" s="13" t="s">
        <v>903</v>
      </c>
      <c r="U817" s="14">
        <f t="shared" si="108"/>
        <v>1.1760912590556813</v>
      </c>
      <c r="V817" s="15">
        <v>5</v>
      </c>
      <c r="W817" s="12">
        <v>11.1683594</v>
      </c>
      <c r="X817" s="12">
        <v>1</v>
      </c>
      <c r="Y817" s="13" t="s">
        <v>904</v>
      </c>
      <c r="Z817" s="9" t="s">
        <v>359</v>
      </c>
      <c r="AA817" s="10" t="s">
        <v>372</v>
      </c>
      <c r="AB817" s="9" t="s">
        <v>355</v>
      </c>
      <c r="AC817" s="15">
        <v>610</v>
      </c>
      <c r="AD817" s="14">
        <f t="shared" si="109"/>
        <v>2.7853298350107671</v>
      </c>
      <c r="AE817" s="10" t="s">
        <v>923</v>
      </c>
      <c r="AF817" s="9" t="s">
        <v>362</v>
      </c>
      <c r="AG817" s="18">
        <v>51.091388999999999</v>
      </c>
      <c r="AH817" s="7">
        <f t="shared" si="110"/>
        <v>1</v>
      </c>
      <c r="AI817" s="7">
        <f t="shared" si="111"/>
        <v>1</v>
      </c>
      <c r="AJ817" s="7">
        <f t="shared" si="112"/>
        <v>1</v>
      </c>
      <c r="AK817" s="7">
        <f t="shared" si="113"/>
        <v>0</v>
      </c>
      <c r="AL817" s="7" t="s">
        <v>4158</v>
      </c>
      <c r="AM817" s="18">
        <f t="shared" si="114"/>
        <v>1.7083477098232958</v>
      </c>
      <c r="AN817" s="18">
        <v>51.091388999999999</v>
      </c>
      <c r="AO817" s="18">
        <v>-121.58666700000001</v>
      </c>
      <c r="AP817" s="9" t="s">
        <v>363</v>
      </c>
      <c r="AQ817" s="9" t="s">
        <v>355</v>
      </c>
      <c r="AR817" s="15">
        <v>1968</v>
      </c>
      <c r="AS817" s="19" t="s">
        <v>906</v>
      </c>
      <c r="AT817" s="20" t="s">
        <v>907</v>
      </c>
      <c r="AU817" s="40">
        <v>94931</v>
      </c>
      <c r="AV817" s="35">
        <f t="shared" si="115"/>
        <v>4.977408055741174</v>
      </c>
      <c r="AW817" s="37" t="s">
        <v>366</v>
      </c>
      <c r="AX817" s="40">
        <v>20</v>
      </c>
      <c r="AY817" s="40">
        <v>1570</v>
      </c>
      <c r="AZ817" s="15">
        <v>87</v>
      </c>
      <c r="BA817" s="14">
        <f t="shared" si="116"/>
        <v>1.9395192526186185</v>
      </c>
      <c r="BB817" s="41" t="s">
        <v>343</v>
      </c>
      <c r="BC817" s="20">
        <v>2.165706282513008E-2</v>
      </c>
      <c r="BD817" s="9">
        <v>22.6</v>
      </c>
      <c r="BE817" s="9" t="s">
        <v>459</v>
      </c>
      <c r="BF817" s="9">
        <v>1</v>
      </c>
    </row>
    <row r="818" spans="1:58">
      <c r="A818" s="9">
        <v>245</v>
      </c>
      <c r="B818" s="10" t="s">
        <v>76</v>
      </c>
      <c r="C818" s="10" t="s">
        <v>369</v>
      </c>
      <c r="D818" s="20" t="s">
        <v>370</v>
      </c>
      <c r="E818" s="20" t="s">
        <v>1061</v>
      </c>
      <c r="F818" s="10" t="s">
        <v>369</v>
      </c>
      <c r="G818" s="20" t="s">
        <v>370</v>
      </c>
      <c r="H818" s="20" t="s">
        <v>1061</v>
      </c>
      <c r="I818" s="10" t="s">
        <v>369</v>
      </c>
      <c r="J818" s="20" t="s">
        <v>370</v>
      </c>
      <c r="K818" s="20" t="s">
        <v>1061</v>
      </c>
      <c r="L818" s="9" t="s">
        <v>352</v>
      </c>
      <c r="M818" s="9">
        <v>10</v>
      </c>
      <c r="N818" s="9" t="s">
        <v>381</v>
      </c>
      <c r="O818" s="9" t="s">
        <v>455</v>
      </c>
      <c r="P818" s="12">
        <v>34.200000000000003</v>
      </c>
      <c r="Q818" s="12" t="s">
        <v>355</v>
      </c>
      <c r="R818" s="9" t="s">
        <v>356</v>
      </c>
      <c r="S818" s="13" t="s">
        <v>903</v>
      </c>
      <c r="T818" s="13" t="s">
        <v>903</v>
      </c>
      <c r="U818" s="14">
        <f t="shared" si="108"/>
        <v>1.1760912590556813</v>
      </c>
      <c r="V818" s="15">
        <v>23</v>
      </c>
      <c r="W818" s="12">
        <v>10.756417400000004</v>
      </c>
      <c r="X818" s="12">
        <v>1</v>
      </c>
      <c r="Y818" s="13" t="s">
        <v>904</v>
      </c>
      <c r="Z818" s="9" t="s">
        <v>359</v>
      </c>
      <c r="AA818" s="10" t="s">
        <v>372</v>
      </c>
      <c r="AB818" s="9" t="s">
        <v>355</v>
      </c>
      <c r="AC818" s="15">
        <v>610</v>
      </c>
      <c r="AD818" s="14">
        <f t="shared" si="109"/>
        <v>2.7853298350107671</v>
      </c>
      <c r="AE818" s="10" t="s">
        <v>923</v>
      </c>
      <c r="AF818" s="9" t="s">
        <v>362</v>
      </c>
      <c r="AG818" s="18">
        <v>51.091388999999999</v>
      </c>
      <c r="AH818" s="7">
        <f t="shared" si="110"/>
        <v>1</v>
      </c>
      <c r="AI818" s="7">
        <f t="shared" si="111"/>
        <v>1</v>
      </c>
      <c r="AJ818" s="7">
        <f t="shared" si="112"/>
        <v>1</v>
      </c>
      <c r="AK818" s="7">
        <f t="shared" si="113"/>
        <v>0</v>
      </c>
      <c r="AL818" s="7" t="s">
        <v>4158</v>
      </c>
      <c r="AM818" s="18">
        <f t="shared" si="114"/>
        <v>1.7083477098232958</v>
      </c>
      <c r="AN818" s="18">
        <v>51.091388999999999</v>
      </c>
      <c r="AO818" s="18">
        <v>-121.58666700000001</v>
      </c>
      <c r="AP818" s="9" t="s">
        <v>363</v>
      </c>
      <c r="AQ818" s="9" t="s">
        <v>355</v>
      </c>
      <c r="AR818" s="15">
        <v>1968</v>
      </c>
      <c r="AS818" s="19" t="s">
        <v>906</v>
      </c>
      <c r="AT818" s="20" t="s">
        <v>907</v>
      </c>
      <c r="AU818" s="40">
        <v>94931</v>
      </c>
      <c r="AV818" s="35">
        <f t="shared" si="115"/>
        <v>4.977408055741174</v>
      </c>
      <c r="AW818" s="37" t="s">
        <v>366</v>
      </c>
      <c r="AX818" s="40">
        <v>20</v>
      </c>
      <c r="AY818" s="40">
        <v>1570</v>
      </c>
      <c r="AZ818" s="15">
        <v>87</v>
      </c>
      <c r="BA818" s="14">
        <f t="shared" si="116"/>
        <v>1.9395192526186185</v>
      </c>
      <c r="BB818" s="41" t="s">
        <v>343</v>
      </c>
      <c r="BC818" s="20">
        <v>2.165706282513008E-2</v>
      </c>
      <c r="BD818" s="9">
        <v>22.6</v>
      </c>
      <c r="BE818" s="9" t="s">
        <v>459</v>
      </c>
      <c r="BF818" s="9">
        <v>1</v>
      </c>
    </row>
    <row r="819" spans="1:58">
      <c r="A819" s="9">
        <v>246</v>
      </c>
      <c r="B819" s="10" t="s">
        <v>76</v>
      </c>
      <c r="C819" s="10" t="s">
        <v>369</v>
      </c>
      <c r="D819" s="20" t="s">
        <v>370</v>
      </c>
      <c r="E819" s="20" t="s">
        <v>1061</v>
      </c>
      <c r="F819" s="10" t="s">
        <v>369</v>
      </c>
      <c r="G819" s="20" t="s">
        <v>370</v>
      </c>
      <c r="H819" s="20" t="s">
        <v>1061</v>
      </c>
      <c r="I819" s="10" t="s">
        <v>369</v>
      </c>
      <c r="J819" s="20" t="s">
        <v>370</v>
      </c>
      <c r="K819" s="20" t="s">
        <v>1061</v>
      </c>
      <c r="L819" s="9" t="s">
        <v>352</v>
      </c>
      <c r="M819" s="9">
        <v>10</v>
      </c>
      <c r="N819" s="9" t="s">
        <v>381</v>
      </c>
      <c r="O819" s="9" t="s">
        <v>455</v>
      </c>
      <c r="P819" s="12">
        <v>34.799999999999997</v>
      </c>
      <c r="Q819" s="12" t="s">
        <v>355</v>
      </c>
      <c r="R819" s="9" t="s">
        <v>356</v>
      </c>
      <c r="S819" s="13" t="s">
        <v>903</v>
      </c>
      <c r="T819" s="13" t="s">
        <v>903</v>
      </c>
      <c r="U819" s="14">
        <f t="shared" si="108"/>
        <v>1.1760912590556813</v>
      </c>
      <c r="V819" s="15">
        <v>30</v>
      </c>
      <c r="W819" s="12">
        <v>10.262884399999997</v>
      </c>
      <c r="X819" s="12">
        <v>1</v>
      </c>
      <c r="Y819" s="13" t="s">
        <v>904</v>
      </c>
      <c r="Z819" s="9" t="s">
        <v>359</v>
      </c>
      <c r="AA819" s="10" t="s">
        <v>372</v>
      </c>
      <c r="AB819" s="9" t="s">
        <v>355</v>
      </c>
      <c r="AC819" s="15">
        <v>610</v>
      </c>
      <c r="AD819" s="14">
        <f t="shared" si="109"/>
        <v>2.7853298350107671</v>
      </c>
      <c r="AE819" s="10" t="s">
        <v>923</v>
      </c>
      <c r="AF819" s="9" t="s">
        <v>362</v>
      </c>
      <c r="AG819" s="18">
        <v>51.091388999999999</v>
      </c>
      <c r="AH819" s="7">
        <f t="shared" si="110"/>
        <v>1</v>
      </c>
      <c r="AI819" s="7">
        <f t="shared" si="111"/>
        <v>1</v>
      </c>
      <c r="AJ819" s="7">
        <f t="shared" si="112"/>
        <v>1</v>
      </c>
      <c r="AK819" s="7">
        <f t="shared" si="113"/>
        <v>0</v>
      </c>
      <c r="AL819" s="7" t="s">
        <v>4158</v>
      </c>
      <c r="AM819" s="18">
        <f t="shared" si="114"/>
        <v>1.7083477098232958</v>
      </c>
      <c r="AN819" s="18">
        <v>51.091388999999999</v>
      </c>
      <c r="AO819" s="18">
        <v>-121.58666700000001</v>
      </c>
      <c r="AP819" s="9" t="s">
        <v>363</v>
      </c>
      <c r="AQ819" s="9" t="s">
        <v>355</v>
      </c>
      <c r="AR819" s="15">
        <v>1968</v>
      </c>
      <c r="AS819" s="19" t="s">
        <v>906</v>
      </c>
      <c r="AT819" s="20" t="s">
        <v>907</v>
      </c>
      <c r="AU819" s="40">
        <v>94931</v>
      </c>
      <c r="AV819" s="35">
        <f t="shared" si="115"/>
        <v>4.977408055741174</v>
      </c>
      <c r="AW819" s="37" t="s">
        <v>366</v>
      </c>
      <c r="AX819" s="40">
        <v>20</v>
      </c>
      <c r="AY819" s="40">
        <v>1570</v>
      </c>
      <c r="AZ819" s="15">
        <v>87</v>
      </c>
      <c r="BA819" s="14">
        <f t="shared" si="116"/>
        <v>1.9395192526186185</v>
      </c>
      <c r="BB819" s="41" t="s">
        <v>343</v>
      </c>
      <c r="BC819" s="20">
        <v>2.165706282513008E-2</v>
      </c>
      <c r="BD819" s="9">
        <v>22.6</v>
      </c>
      <c r="BE819" s="9" t="s">
        <v>459</v>
      </c>
      <c r="BF819" s="9">
        <v>1</v>
      </c>
    </row>
    <row r="820" spans="1:58">
      <c r="A820" s="9">
        <v>210</v>
      </c>
      <c r="B820" s="10" t="s">
        <v>76</v>
      </c>
      <c r="C820" s="10" t="s">
        <v>389</v>
      </c>
      <c r="D820" s="20" t="s">
        <v>390</v>
      </c>
      <c r="E820" s="20" t="s">
        <v>1062</v>
      </c>
      <c r="F820" s="10" t="s">
        <v>389</v>
      </c>
      <c r="G820" s="20" t="s">
        <v>390</v>
      </c>
      <c r="H820" s="20" t="s">
        <v>1062</v>
      </c>
      <c r="I820" s="10" t="s">
        <v>389</v>
      </c>
      <c r="J820" s="20" t="s">
        <v>1063</v>
      </c>
      <c r="K820" s="20" t="s">
        <v>1064</v>
      </c>
      <c r="L820" s="9" t="s">
        <v>352</v>
      </c>
      <c r="M820" s="9">
        <v>10</v>
      </c>
      <c r="N820" s="9" t="s">
        <v>381</v>
      </c>
      <c r="O820" s="9" t="s">
        <v>455</v>
      </c>
      <c r="P820" s="12">
        <v>36.5</v>
      </c>
      <c r="Q820" s="12" t="s">
        <v>355</v>
      </c>
      <c r="R820" s="9" t="s">
        <v>356</v>
      </c>
      <c r="S820" s="13" t="s">
        <v>903</v>
      </c>
      <c r="T820" s="13" t="s">
        <v>903</v>
      </c>
      <c r="U820" s="14">
        <f t="shared" si="108"/>
        <v>1.1760912590556813</v>
      </c>
      <c r="V820" s="15">
        <v>26</v>
      </c>
      <c r="W820" s="12">
        <v>7.8625867999999954</v>
      </c>
      <c r="X820" s="12">
        <v>1</v>
      </c>
      <c r="Y820" s="13" t="s">
        <v>904</v>
      </c>
      <c r="Z820" s="9" t="s">
        <v>359</v>
      </c>
      <c r="AA820" s="10" t="s">
        <v>372</v>
      </c>
      <c r="AB820" s="9" t="s">
        <v>355</v>
      </c>
      <c r="AC820" s="15">
        <v>579</v>
      </c>
      <c r="AD820" s="14">
        <f t="shared" si="109"/>
        <v>2.762678563727436</v>
      </c>
      <c r="AE820" s="10" t="s">
        <v>1009</v>
      </c>
      <c r="AF820" s="9" t="s">
        <v>408</v>
      </c>
      <c r="AG820" s="18">
        <v>9.9130559999999992</v>
      </c>
      <c r="AH820" s="7">
        <f t="shared" si="110"/>
        <v>0</v>
      </c>
      <c r="AI820" s="7">
        <f t="shared" si="111"/>
        <v>0</v>
      </c>
      <c r="AJ820" s="7">
        <f t="shared" si="112"/>
        <v>0</v>
      </c>
      <c r="AK820" s="7">
        <f t="shared" si="113"/>
        <v>0</v>
      </c>
      <c r="AL820" s="7" t="s">
        <v>4160</v>
      </c>
      <c r="AM820" s="18">
        <f t="shared" si="114"/>
        <v>0.99620755956501783</v>
      </c>
      <c r="AN820" s="18">
        <v>9.9130559999999992</v>
      </c>
      <c r="AO820" s="18">
        <v>-83.682777999999999</v>
      </c>
      <c r="AP820" s="9" t="s">
        <v>363</v>
      </c>
      <c r="AQ820" s="9" t="s">
        <v>355</v>
      </c>
      <c r="AR820" s="15">
        <v>1968</v>
      </c>
      <c r="AS820" s="19" t="s">
        <v>906</v>
      </c>
      <c r="AT820" s="20" t="s">
        <v>907</v>
      </c>
      <c r="AU820" s="40">
        <v>313951</v>
      </c>
      <c r="AV820" s="35">
        <f t="shared" si="115"/>
        <v>5.4968618707158843</v>
      </c>
      <c r="AW820" s="37" t="s">
        <v>366</v>
      </c>
      <c r="AX820" s="34" t="s">
        <v>355</v>
      </c>
      <c r="AY820" s="49">
        <v>1300</v>
      </c>
      <c r="AZ820" s="15">
        <v>55</v>
      </c>
      <c r="BA820" s="14">
        <f t="shared" si="116"/>
        <v>1.7403626894942439</v>
      </c>
      <c r="BB820" s="37" t="s">
        <v>388</v>
      </c>
      <c r="BC820" s="20">
        <v>2.087034813925567E-2</v>
      </c>
      <c r="BD820" s="9">
        <v>28.200000000000003</v>
      </c>
      <c r="BE820" s="9" t="s">
        <v>368</v>
      </c>
      <c r="BF820" s="9">
        <v>0</v>
      </c>
    </row>
    <row r="821" spans="1:58">
      <c r="A821" s="9">
        <v>211</v>
      </c>
      <c r="B821" s="10" t="s">
        <v>76</v>
      </c>
      <c r="C821" s="10" t="s">
        <v>389</v>
      </c>
      <c r="D821" s="20" t="s">
        <v>390</v>
      </c>
      <c r="E821" s="20" t="s">
        <v>1062</v>
      </c>
      <c r="F821" s="10" t="s">
        <v>389</v>
      </c>
      <c r="G821" s="20" t="s">
        <v>390</v>
      </c>
      <c r="H821" s="20" t="s">
        <v>1062</v>
      </c>
      <c r="I821" s="10" t="s">
        <v>389</v>
      </c>
      <c r="J821" s="20" t="s">
        <v>1063</v>
      </c>
      <c r="K821" s="20" t="s">
        <v>1064</v>
      </c>
      <c r="L821" s="9" t="s">
        <v>352</v>
      </c>
      <c r="M821" s="9">
        <v>10</v>
      </c>
      <c r="N821" s="9" t="s">
        <v>381</v>
      </c>
      <c r="O821" s="9" t="s">
        <v>455</v>
      </c>
      <c r="P821" s="12">
        <v>37.5</v>
      </c>
      <c r="Q821" s="12" t="s">
        <v>355</v>
      </c>
      <c r="R821" s="9" t="s">
        <v>356</v>
      </c>
      <c r="S821" s="13" t="s">
        <v>903</v>
      </c>
      <c r="T821" s="13" t="s">
        <v>903</v>
      </c>
      <c r="U821" s="14">
        <f t="shared" si="108"/>
        <v>1.1760912590556813</v>
      </c>
      <c r="V821" s="15">
        <v>30</v>
      </c>
      <c r="W821" s="12">
        <v>8.237710799999995</v>
      </c>
      <c r="X821" s="12">
        <v>1</v>
      </c>
      <c r="Y821" s="13" t="s">
        <v>904</v>
      </c>
      <c r="Z821" s="9" t="s">
        <v>359</v>
      </c>
      <c r="AA821" s="10" t="s">
        <v>372</v>
      </c>
      <c r="AB821" s="9" t="s">
        <v>355</v>
      </c>
      <c r="AC821" s="15">
        <v>579</v>
      </c>
      <c r="AD821" s="14">
        <f t="shared" si="109"/>
        <v>2.762678563727436</v>
      </c>
      <c r="AE821" s="10" t="s">
        <v>1009</v>
      </c>
      <c r="AF821" s="9" t="s">
        <v>408</v>
      </c>
      <c r="AG821" s="18">
        <v>9.9130559999999992</v>
      </c>
      <c r="AH821" s="7">
        <f t="shared" si="110"/>
        <v>0</v>
      </c>
      <c r="AI821" s="7">
        <f t="shared" si="111"/>
        <v>0</v>
      </c>
      <c r="AJ821" s="7">
        <f t="shared" si="112"/>
        <v>0</v>
      </c>
      <c r="AK821" s="7">
        <f t="shared" si="113"/>
        <v>0</v>
      </c>
      <c r="AL821" s="7" t="s">
        <v>4160</v>
      </c>
      <c r="AM821" s="18">
        <f t="shared" si="114"/>
        <v>0.99620755956501783</v>
      </c>
      <c r="AN821" s="18">
        <v>9.9130559999999992</v>
      </c>
      <c r="AO821" s="18">
        <v>-83.682777999999999</v>
      </c>
      <c r="AP821" s="9" t="s">
        <v>363</v>
      </c>
      <c r="AQ821" s="9" t="s">
        <v>355</v>
      </c>
      <c r="AR821" s="15">
        <v>1968</v>
      </c>
      <c r="AS821" s="19" t="s">
        <v>906</v>
      </c>
      <c r="AT821" s="20" t="s">
        <v>907</v>
      </c>
      <c r="AU821" s="40">
        <v>313951</v>
      </c>
      <c r="AV821" s="35">
        <f t="shared" si="115"/>
        <v>5.4968618707158843</v>
      </c>
      <c r="AW821" s="37" t="s">
        <v>366</v>
      </c>
      <c r="AX821" s="34" t="s">
        <v>355</v>
      </c>
      <c r="AY821" s="49">
        <v>1300</v>
      </c>
      <c r="AZ821" s="15">
        <v>55</v>
      </c>
      <c r="BA821" s="14">
        <f t="shared" si="116"/>
        <v>1.7403626894942439</v>
      </c>
      <c r="BB821" s="37" t="s">
        <v>388</v>
      </c>
      <c r="BC821" s="20">
        <v>2.087034813925567E-2</v>
      </c>
      <c r="BD821" s="9">
        <v>28.200000000000003</v>
      </c>
      <c r="BE821" s="9" t="s">
        <v>368</v>
      </c>
      <c r="BF821" s="9">
        <v>0</v>
      </c>
    </row>
    <row r="822" spans="1:58">
      <c r="A822" s="9">
        <v>1032</v>
      </c>
      <c r="B822" s="20" t="s">
        <v>76</v>
      </c>
      <c r="C822" s="20" t="s">
        <v>389</v>
      </c>
      <c r="D822" s="20" t="s">
        <v>390</v>
      </c>
      <c r="E822" s="20" t="s">
        <v>404</v>
      </c>
      <c r="F822" s="20" t="s">
        <v>389</v>
      </c>
      <c r="G822" s="20" t="s">
        <v>390</v>
      </c>
      <c r="H822" s="20" t="s">
        <v>404</v>
      </c>
      <c r="I822" s="20" t="s">
        <v>389</v>
      </c>
      <c r="J822" s="20" t="s">
        <v>405</v>
      </c>
      <c r="K822" s="20" t="s">
        <v>406</v>
      </c>
      <c r="L822" s="9" t="s">
        <v>352</v>
      </c>
      <c r="M822" s="9">
        <v>3</v>
      </c>
      <c r="N822" s="9" t="s">
        <v>353</v>
      </c>
      <c r="O822" s="9" t="s">
        <v>354</v>
      </c>
      <c r="P822" s="12">
        <v>39.327480000000001</v>
      </c>
      <c r="Q822" s="9" t="s">
        <v>355</v>
      </c>
      <c r="R822" s="9" t="s">
        <v>356</v>
      </c>
      <c r="S822" s="9">
        <v>14</v>
      </c>
      <c r="T822" s="9">
        <v>14</v>
      </c>
      <c r="U822" s="14">
        <f t="shared" si="108"/>
        <v>1.1760912590556813</v>
      </c>
      <c r="V822" s="15">
        <v>27</v>
      </c>
      <c r="W822" s="12">
        <v>7.8337485999999963</v>
      </c>
      <c r="X822" s="9" t="s">
        <v>355</v>
      </c>
      <c r="Y822" s="13" t="s">
        <v>401</v>
      </c>
      <c r="Z822" s="9" t="s">
        <v>359</v>
      </c>
      <c r="AA822" s="10" t="s">
        <v>372</v>
      </c>
      <c r="AB822" s="9" t="s">
        <v>355</v>
      </c>
      <c r="AC822" s="15">
        <v>57</v>
      </c>
      <c r="AD822" s="14">
        <f t="shared" si="109"/>
        <v>1.7558748556724915</v>
      </c>
      <c r="AE822" s="10" t="s">
        <v>407</v>
      </c>
      <c r="AF822" s="9" t="s">
        <v>408</v>
      </c>
      <c r="AG822" s="18">
        <v>9.1521019999999993</v>
      </c>
      <c r="AH822" s="7">
        <f t="shared" si="110"/>
        <v>0</v>
      </c>
      <c r="AI822" s="7">
        <f t="shared" si="111"/>
        <v>0</v>
      </c>
      <c r="AJ822" s="7">
        <f t="shared" si="112"/>
        <v>0</v>
      </c>
      <c r="AK822" s="7">
        <f t="shared" si="113"/>
        <v>0</v>
      </c>
      <c r="AL822" s="7" t="s">
        <v>4160</v>
      </c>
      <c r="AM822" s="18">
        <f t="shared" si="114"/>
        <v>0.96152085167953272</v>
      </c>
      <c r="AN822" s="18">
        <v>9.1521019999999993</v>
      </c>
      <c r="AO822" s="18">
        <v>-79.84648</v>
      </c>
      <c r="AP822" s="9" t="s">
        <v>363</v>
      </c>
      <c r="AQ822" s="9" t="s">
        <v>355</v>
      </c>
      <c r="AR822" s="9">
        <v>1962</v>
      </c>
      <c r="AS822" s="10" t="s">
        <v>374</v>
      </c>
      <c r="AT822" s="20" t="s">
        <v>375</v>
      </c>
      <c r="AU822" s="39">
        <v>11320528</v>
      </c>
      <c r="AV822" s="35">
        <f t="shared" si="115"/>
        <v>7.0538666832249381</v>
      </c>
      <c r="AW822" s="37" t="s">
        <v>338</v>
      </c>
      <c r="AX822" s="40">
        <v>0</v>
      </c>
      <c r="AY822" s="40">
        <v>2200</v>
      </c>
      <c r="AZ822" s="15">
        <v>146</v>
      </c>
      <c r="BA822" s="14">
        <f t="shared" si="116"/>
        <v>2.1643528557844371</v>
      </c>
      <c r="BB822" s="37" t="s">
        <v>367</v>
      </c>
      <c r="BC822" s="20">
        <v>6.6782713085232533E-3</v>
      </c>
      <c r="BD822" s="9">
        <v>31.400000000000002</v>
      </c>
      <c r="BE822" s="9" t="s">
        <v>368</v>
      </c>
      <c r="BF822" s="9">
        <v>0</v>
      </c>
    </row>
    <row r="823" spans="1:58">
      <c r="A823" s="9">
        <v>188</v>
      </c>
      <c r="B823" s="10" t="s">
        <v>76</v>
      </c>
      <c r="C823" s="10" t="s">
        <v>389</v>
      </c>
      <c r="D823" s="20" t="s">
        <v>390</v>
      </c>
      <c r="E823" s="20" t="s">
        <v>404</v>
      </c>
      <c r="F823" s="10" t="s">
        <v>389</v>
      </c>
      <c r="G823" s="20" t="s">
        <v>390</v>
      </c>
      <c r="H823" s="20" t="s">
        <v>404</v>
      </c>
      <c r="I823" s="10" t="s">
        <v>389</v>
      </c>
      <c r="J823" s="20" t="s">
        <v>405</v>
      </c>
      <c r="K823" s="20" t="s">
        <v>406</v>
      </c>
      <c r="L823" s="9" t="s">
        <v>352</v>
      </c>
      <c r="M823" s="9">
        <v>10</v>
      </c>
      <c r="N823" s="9" t="s">
        <v>381</v>
      </c>
      <c r="O823" s="9" t="s">
        <v>455</v>
      </c>
      <c r="P823" s="12">
        <v>36.5</v>
      </c>
      <c r="Q823" s="12" t="s">
        <v>355</v>
      </c>
      <c r="R823" s="9" t="s">
        <v>356</v>
      </c>
      <c r="S823" s="13" t="s">
        <v>903</v>
      </c>
      <c r="T823" s="13" t="s">
        <v>903</v>
      </c>
      <c r="U823" s="14">
        <f t="shared" si="108"/>
        <v>1.1760912590556813</v>
      </c>
      <c r="V823" s="15">
        <v>15</v>
      </c>
      <c r="W823" s="12">
        <v>6.8808965999999963</v>
      </c>
      <c r="X823" s="12">
        <v>1</v>
      </c>
      <c r="Y823" s="13" t="s">
        <v>904</v>
      </c>
      <c r="Z823" s="9" t="s">
        <v>359</v>
      </c>
      <c r="AA823" s="10" t="s">
        <v>372</v>
      </c>
      <c r="AB823" s="9" t="s">
        <v>355</v>
      </c>
      <c r="AC823" s="15">
        <v>305</v>
      </c>
      <c r="AD823" s="14">
        <f t="shared" si="109"/>
        <v>2.4842998393467859</v>
      </c>
      <c r="AE823" s="10" t="s">
        <v>407</v>
      </c>
      <c r="AF823" s="9" t="s">
        <v>408</v>
      </c>
      <c r="AG823" s="18">
        <v>9.1521019999999993</v>
      </c>
      <c r="AH823" s="7">
        <f t="shared" si="110"/>
        <v>0</v>
      </c>
      <c r="AI823" s="7">
        <f t="shared" si="111"/>
        <v>0</v>
      </c>
      <c r="AJ823" s="7">
        <f t="shared" si="112"/>
        <v>0</v>
      </c>
      <c r="AK823" s="7">
        <f t="shared" si="113"/>
        <v>0</v>
      </c>
      <c r="AL823" s="7" t="s">
        <v>4160</v>
      </c>
      <c r="AM823" s="18">
        <f t="shared" si="114"/>
        <v>0.96152085167953272</v>
      </c>
      <c r="AN823" s="18">
        <v>9.1521019999999993</v>
      </c>
      <c r="AO823" s="18">
        <v>-79.84648</v>
      </c>
      <c r="AP823" s="9" t="s">
        <v>363</v>
      </c>
      <c r="AQ823" s="9" t="s">
        <v>355</v>
      </c>
      <c r="AR823" s="15">
        <v>1968</v>
      </c>
      <c r="AS823" s="19" t="s">
        <v>906</v>
      </c>
      <c r="AT823" s="20" t="s">
        <v>907</v>
      </c>
      <c r="AU823" s="40">
        <v>11320528</v>
      </c>
      <c r="AV823" s="35">
        <f t="shared" si="115"/>
        <v>7.0538666832249381</v>
      </c>
      <c r="AW823" s="37" t="s">
        <v>338</v>
      </c>
      <c r="AX823" s="40">
        <v>0</v>
      </c>
      <c r="AY823" s="40">
        <v>2200</v>
      </c>
      <c r="AZ823" s="15">
        <v>146</v>
      </c>
      <c r="BA823" s="14">
        <f t="shared" si="116"/>
        <v>2.1643528557844371</v>
      </c>
      <c r="BB823" s="37" t="s">
        <v>367</v>
      </c>
      <c r="BC823" s="20">
        <v>6.6782713085232533E-3</v>
      </c>
      <c r="BD823" s="9">
        <v>31.400000000000002</v>
      </c>
      <c r="BE823" s="9" t="s">
        <v>368</v>
      </c>
      <c r="BF823" s="9">
        <v>0</v>
      </c>
    </row>
    <row r="824" spans="1:58">
      <c r="A824" s="9">
        <v>189</v>
      </c>
      <c r="B824" s="10" t="s">
        <v>76</v>
      </c>
      <c r="C824" s="10" t="s">
        <v>389</v>
      </c>
      <c r="D824" s="20" t="s">
        <v>390</v>
      </c>
      <c r="E824" s="20" t="s">
        <v>404</v>
      </c>
      <c r="F824" s="10" t="s">
        <v>389</v>
      </c>
      <c r="G824" s="20" t="s">
        <v>390</v>
      </c>
      <c r="H824" s="20" t="s">
        <v>404</v>
      </c>
      <c r="I824" s="10" t="s">
        <v>389</v>
      </c>
      <c r="J824" s="20" t="s">
        <v>405</v>
      </c>
      <c r="K824" s="20" t="s">
        <v>406</v>
      </c>
      <c r="L824" s="9" t="s">
        <v>352</v>
      </c>
      <c r="M824" s="9">
        <v>10</v>
      </c>
      <c r="N824" s="9" t="s">
        <v>381</v>
      </c>
      <c r="O824" s="9" t="s">
        <v>455</v>
      </c>
      <c r="P824" s="12">
        <v>39.299999999999997</v>
      </c>
      <c r="Q824" s="12" t="s">
        <v>355</v>
      </c>
      <c r="R824" s="9" t="s">
        <v>356</v>
      </c>
      <c r="S824" s="13" t="s">
        <v>903</v>
      </c>
      <c r="T824" s="13" t="s">
        <v>903</v>
      </c>
      <c r="U824" s="14">
        <f t="shared" si="108"/>
        <v>1.1760912590556813</v>
      </c>
      <c r="V824" s="15">
        <v>26</v>
      </c>
      <c r="W824" s="12">
        <v>7.9624875999999922</v>
      </c>
      <c r="X824" s="12">
        <v>1</v>
      </c>
      <c r="Y824" s="13" t="s">
        <v>904</v>
      </c>
      <c r="Z824" s="9" t="s">
        <v>359</v>
      </c>
      <c r="AA824" s="10" t="s">
        <v>372</v>
      </c>
      <c r="AB824" s="9" t="s">
        <v>355</v>
      </c>
      <c r="AC824" s="15">
        <v>305</v>
      </c>
      <c r="AD824" s="14">
        <f t="shared" si="109"/>
        <v>2.4842998393467859</v>
      </c>
      <c r="AE824" s="10" t="s">
        <v>407</v>
      </c>
      <c r="AF824" s="9" t="s">
        <v>408</v>
      </c>
      <c r="AG824" s="18">
        <v>9.1521019999999993</v>
      </c>
      <c r="AH824" s="7">
        <f t="shared" si="110"/>
        <v>0</v>
      </c>
      <c r="AI824" s="7">
        <f t="shared" si="111"/>
        <v>0</v>
      </c>
      <c r="AJ824" s="7">
        <f t="shared" si="112"/>
        <v>0</v>
      </c>
      <c r="AK824" s="7">
        <f t="shared" si="113"/>
        <v>0</v>
      </c>
      <c r="AL824" s="7" t="s">
        <v>4160</v>
      </c>
      <c r="AM824" s="18">
        <f t="shared" si="114"/>
        <v>0.96152085167953272</v>
      </c>
      <c r="AN824" s="18">
        <v>9.1521019999999993</v>
      </c>
      <c r="AO824" s="18">
        <v>-79.84648</v>
      </c>
      <c r="AP824" s="9" t="s">
        <v>363</v>
      </c>
      <c r="AQ824" s="9" t="s">
        <v>355</v>
      </c>
      <c r="AR824" s="15">
        <v>1968</v>
      </c>
      <c r="AS824" s="19" t="s">
        <v>906</v>
      </c>
      <c r="AT824" s="20" t="s">
        <v>907</v>
      </c>
      <c r="AU824" s="40">
        <v>11320528</v>
      </c>
      <c r="AV824" s="35">
        <f t="shared" si="115"/>
        <v>7.0538666832249381</v>
      </c>
      <c r="AW824" s="37" t="s">
        <v>338</v>
      </c>
      <c r="AX824" s="40">
        <v>0</v>
      </c>
      <c r="AY824" s="40">
        <v>2200</v>
      </c>
      <c r="AZ824" s="15">
        <v>146</v>
      </c>
      <c r="BA824" s="14">
        <f t="shared" si="116"/>
        <v>2.1643528557844371</v>
      </c>
      <c r="BB824" s="37" t="s">
        <v>367</v>
      </c>
      <c r="BC824" s="20">
        <v>6.6782713085232533E-3</v>
      </c>
      <c r="BD824" s="9">
        <v>31.400000000000002</v>
      </c>
      <c r="BE824" s="9" t="s">
        <v>368</v>
      </c>
      <c r="BF824" s="9">
        <v>0</v>
      </c>
    </row>
    <row r="825" spans="1:58">
      <c r="A825" s="9">
        <v>190</v>
      </c>
      <c r="B825" s="10" t="s">
        <v>76</v>
      </c>
      <c r="C825" s="10" t="s">
        <v>389</v>
      </c>
      <c r="D825" s="20" t="s">
        <v>390</v>
      </c>
      <c r="E825" s="20" t="s">
        <v>404</v>
      </c>
      <c r="F825" s="10" t="s">
        <v>389</v>
      </c>
      <c r="G825" s="20" t="s">
        <v>390</v>
      </c>
      <c r="H825" s="20" t="s">
        <v>404</v>
      </c>
      <c r="I825" s="10" t="s">
        <v>389</v>
      </c>
      <c r="J825" s="20" t="s">
        <v>405</v>
      </c>
      <c r="K825" s="20" t="s">
        <v>406</v>
      </c>
      <c r="L825" s="9" t="s">
        <v>352</v>
      </c>
      <c r="M825" s="9">
        <v>10</v>
      </c>
      <c r="N825" s="9" t="s">
        <v>381</v>
      </c>
      <c r="O825" s="9" t="s">
        <v>455</v>
      </c>
      <c r="P825" s="12">
        <v>41.8</v>
      </c>
      <c r="Q825" s="12" t="s">
        <v>355</v>
      </c>
      <c r="R825" s="9" t="s">
        <v>356</v>
      </c>
      <c r="S825" s="13" t="s">
        <v>903</v>
      </c>
      <c r="T825" s="13" t="s">
        <v>903</v>
      </c>
      <c r="U825" s="14">
        <f t="shared" si="108"/>
        <v>1.1760912590556813</v>
      </c>
      <c r="V825" s="15">
        <v>38</v>
      </c>
      <c r="W825" s="12">
        <v>8.587859599999998</v>
      </c>
      <c r="X825" s="12">
        <v>1</v>
      </c>
      <c r="Y825" s="13" t="s">
        <v>904</v>
      </c>
      <c r="Z825" s="9" t="s">
        <v>359</v>
      </c>
      <c r="AA825" s="10" t="s">
        <v>372</v>
      </c>
      <c r="AB825" s="9" t="s">
        <v>355</v>
      </c>
      <c r="AC825" s="15">
        <v>305</v>
      </c>
      <c r="AD825" s="14">
        <f t="shared" si="109"/>
        <v>2.4842998393467859</v>
      </c>
      <c r="AE825" s="10" t="s">
        <v>407</v>
      </c>
      <c r="AF825" s="9" t="s">
        <v>408</v>
      </c>
      <c r="AG825" s="18">
        <v>9.1521019999999993</v>
      </c>
      <c r="AH825" s="7">
        <f t="shared" si="110"/>
        <v>0</v>
      </c>
      <c r="AI825" s="7">
        <f t="shared" si="111"/>
        <v>0</v>
      </c>
      <c r="AJ825" s="7">
        <f t="shared" si="112"/>
        <v>0</v>
      </c>
      <c r="AK825" s="7">
        <f t="shared" si="113"/>
        <v>0</v>
      </c>
      <c r="AL825" s="7" t="s">
        <v>4160</v>
      </c>
      <c r="AM825" s="18">
        <f t="shared" si="114"/>
        <v>0.96152085167953272</v>
      </c>
      <c r="AN825" s="18">
        <v>9.1521019999999993</v>
      </c>
      <c r="AO825" s="18">
        <v>-79.84648</v>
      </c>
      <c r="AP825" s="9" t="s">
        <v>363</v>
      </c>
      <c r="AQ825" s="9" t="s">
        <v>355</v>
      </c>
      <c r="AR825" s="15">
        <v>1968</v>
      </c>
      <c r="AS825" s="19" t="s">
        <v>906</v>
      </c>
      <c r="AT825" s="20" t="s">
        <v>907</v>
      </c>
      <c r="AU825" s="40">
        <v>11320528</v>
      </c>
      <c r="AV825" s="35">
        <f t="shared" si="115"/>
        <v>7.0538666832249381</v>
      </c>
      <c r="AW825" s="37" t="s">
        <v>338</v>
      </c>
      <c r="AX825" s="40">
        <v>0</v>
      </c>
      <c r="AY825" s="40">
        <v>2200</v>
      </c>
      <c r="AZ825" s="15">
        <v>146</v>
      </c>
      <c r="BA825" s="14">
        <f t="shared" si="116"/>
        <v>2.1643528557844371</v>
      </c>
      <c r="BB825" s="37" t="s">
        <v>367</v>
      </c>
      <c r="BC825" s="20">
        <v>6.6782713085232533E-3</v>
      </c>
      <c r="BD825" s="9">
        <v>31.400000000000002</v>
      </c>
      <c r="BE825" s="9" t="s">
        <v>368</v>
      </c>
      <c r="BF825" s="9">
        <v>0</v>
      </c>
    </row>
    <row r="826" spans="1:58">
      <c r="A826" s="9">
        <v>7</v>
      </c>
      <c r="B826" s="10" t="s">
        <v>76</v>
      </c>
      <c r="C826" s="10" t="s">
        <v>850</v>
      </c>
      <c r="D826" s="20" t="s">
        <v>851</v>
      </c>
      <c r="E826" s="20" t="s">
        <v>853</v>
      </c>
      <c r="F826" s="10" t="s">
        <v>850</v>
      </c>
      <c r="G826" s="20" t="s">
        <v>851</v>
      </c>
      <c r="H826" s="20" t="s">
        <v>853</v>
      </c>
      <c r="I826" s="10" t="s">
        <v>850</v>
      </c>
      <c r="J826" s="20" t="s">
        <v>851</v>
      </c>
      <c r="K826" s="20" t="s">
        <v>853</v>
      </c>
      <c r="L826" s="9" t="s">
        <v>380</v>
      </c>
      <c r="M826" s="9">
        <v>7</v>
      </c>
      <c r="N826" s="9" t="s">
        <v>353</v>
      </c>
      <c r="O826" s="9" t="s">
        <v>382</v>
      </c>
      <c r="P826" s="12">
        <v>26.7</v>
      </c>
      <c r="Q826" s="12" t="s">
        <v>355</v>
      </c>
      <c r="R826" s="9" t="s">
        <v>356</v>
      </c>
      <c r="S826" s="13" t="s">
        <v>903</v>
      </c>
      <c r="T826" s="13" t="s">
        <v>903</v>
      </c>
      <c r="U826" s="14">
        <f t="shared" si="108"/>
        <v>1.1760912590556813</v>
      </c>
      <c r="V826" s="15">
        <v>10</v>
      </c>
      <c r="W826" s="12"/>
      <c r="X826" s="12">
        <v>0.6</v>
      </c>
      <c r="Y826" s="13" t="s">
        <v>854</v>
      </c>
      <c r="Z826" s="9" t="s">
        <v>359</v>
      </c>
      <c r="AA826" s="10" t="s">
        <v>1065</v>
      </c>
      <c r="AB826" s="9" t="s">
        <v>355</v>
      </c>
      <c r="AC826" s="15">
        <v>700</v>
      </c>
      <c r="AD826" s="14">
        <f t="shared" si="109"/>
        <v>2.8450980400142569</v>
      </c>
      <c r="AE826" s="10" t="s">
        <v>856</v>
      </c>
      <c r="AF826" s="9" t="s">
        <v>362</v>
      </c>
      <c r="AG826" s="18">
        <v>44.504286999999998</v>
      </c>
      <c r="AH826" s="7">
        <f t="shared" si="110"/>
        <v>1</v>
      </c>
      <c r="AI826" s="7">
        <f t="shared" si="111"/>
        <v>1</v>
      </c>
      <c r="AJ826" s="7">
        <f t="shared" si="112"/>
        <v>0</v>
      </c>
      <c r="AK826" s="7">
        <f t="shared" si="113"/>
        <v>0</v>
      </c>
      <c r="AL826" s="7" t="s">
        <v>4157</v>
      </c>
      <c r="AM826" s="18">
        <f t="shared" si="114"/>
        <v>1.6484018476274149</v>
      </c>
      <c r="AN826" s="18">
        <v>44.504286999999998</v>
      </c>
      <c r="AO826" s="18">
        <v>-123.55121699999999</v>
      </c>
      <c r="AP826" s="9" t="s">
        <v>363</v>
      </c>
      <c r="AQ826" s="9" t="s">
        <v>355</v>
      </c>
      <c r="AR826" s="15">
        <v>2008</v>
      </c>
      <c r="AS826" s="19" t="s">
        <v>857</v>
      </c>
      <c r="AT826" s="20" t="s">
        <v>858</v>
      </c>
      <c r="AU826" s="34">
        <v>47682</v>
      </c>
      <c r="AV826" s="35">
        <f t="shared" si="115"/>
        <v>4.6783544634005372</v>
      </c>
      <c r="AW826" s="36" t="s">
        <v>366</v>
      </c>
      <c r="AX826" s="34" t="s">
        <v>355</v>
      </c>
      <c r="AY826" s="34" t="s">
        <v>355</v>
      </c>
      <c r="AZ826" s="36">
        <v>115</v>
      </c>
      <c r="BA826" s="14">
        <f t="shared" si="116"/>
        <v>2.0606978403536118</v>
      </c>
      <c r="BB826" s="36" t="s">
        <v>388</v>
      </c>
      <c r="BC826" s="20">
        <v>4.3057222889152863E-3</v>
      </c>
      <c r="BD826" s="9">
        <v>22</v>
      </c>
      <c r="BE826" s="9" t="s">
        <v>368</v>
      </c>
      <c r="BF826" s="9">
        <v>0</v>
      </c>
    </row>
    <row r="827" spans="1:58">
      <c r="A827" s="35">
        <v>283</v>
      </c>
      <c r="B827" s="64" t="s">
        <v>76</v>
      </c>
      <c r="C827" s="64" t="s">
        <v>411</v>
      </c>
      <c r="D827" s="20" t="s">
        <v>1066</v>
      </c>
      <c r="E827" s="20" t="s">
        <v>413</v>
      </c>
      <c r="F827" s="64" t="s">
        <v>411</v>
      </c>
      <c r="G827" s="20" t="s">
        <v>1066</v>
      </c>
      <c r="H827" s="20" t="s">
        <v>413</v>
      </c>
      <c r="I827" s="20" t="s">
        <v>411</v>
      </c>
      <c r="J827" s="20" t="s">
        <v>412</v>
      </c>
      <c r="K827" s="20" t="s">
        <v>413</v>
      </c>
      <c r="L827" s="9" t="s">
        <v>352</v>
      </c>
      <c r="M827" s="9">
        <v>10</v>
      </c>
      <c r="N827" s="9" t="s">
        <v>381</v>
      </c>
      <c r="O827" s="9" t="s">
        <v>455</v>
      </c>
      <c r="P827" s="12">
        <v>28.1</v>
      </c>
      <c r="Q827" s="12" t="s">
        <v>355</v>
      </c>
      <c r="R827" s="9" t="s">
        <v>356</v>
      </c>
      <c r="S827" s="13" t="s">
        <v>903</v>
      </c>
      <c r="T827" s="13" t="s">
        <v>903</v>
      </c>
      <c r="U827" s="14">
        <f t="shared" si="108"/>
        <v>1.1760912590556813</v>
      </c>
      <c r="V827" s="15">
        <v>5</v>
      </c>
      <c r="W827" s="12">
        <v>4.8526382999999988</v>
      </c>
      <c r="X827" s="12">
        <v>1</v>
      </c>
      <c r="Y827" s="13" t="s">
        <v>904</v>
      </c>
      <c r="Z827" s="9" t="s">
        <v>359</v>
      </c>
      <c r="AA827" s="10" t="s">
        <v>372</v>
      </c>
      <c r="AB827" s="9" t="s">
        <v>355</v>
      </c>
      <c r="AC827" s="15">
        <v>305</v>
      </c>
      <c r="AD827" s="14">
        <f t="shared" si="109"/>
        <v>2.4842998393467859</v>
      </c>
      <c r="AE827" s="10" t="s">
        <v>373</v>
      </c>
      <c r="AF827" s="9" t="s">
        <v>362</v>
      </c>
      <c r="AG827" s="18">
        <v>42</v>
      </c>
      <c r="AH827" s="7">
        <f t="shared" si="110"/>
        <v>1</v>
      </c>
      <c r="AI827" s="7">
        <f t="shared" si="111"/>
        <v>1</v>
      </c>
      <c r="AJ827" s="7">
        <f t="shared" si="112"/>
        <v>0</v>
      </c>
      <c r="AK827" s="7">
        <f t="shared" si="113"/>
        <v>0</v>
      </c>
      <c r="AL827" s="7" t="s">
        <v>4157</v>
      </c>
      <c r="AM827" s="18">
        <f t="shared" si="114"/>
        <v>1.6232492903979006</v>
      </c>
      <c r="AN827" s="18">
        <v>42</v>
      </c>
      <c r="AO827" s="18">
        <v>-73.134960000000007</v>
      </c>
      <c r="AP827" s="9" t="s">
        <v>363</v>
      </c>
      <c r="AQ827" s="9" t="s">
        <v>355</v>
      </c>
      <c r="AR827" s="15">
        <v>1968</v>
      </c>
      <c r="AS827" s="19" t="s">
        <v>906</v>
      </c>
      <c r="AT827" s="20" t="s">
        <v>907</v>
      </c>
      <c r="AU827" s="40">
        <v>1122385</v>
      </c>
      <c r="AV827" s="35">
        <f t="shared" si="115"/>
        <v>6.0501418539747238</v>
      </c>
      <c r="AW827" s="37" t="s">
        <v>366</v>
      </c>
      <c r="AX827" s="34" t="s">
        <v>355</v>
      </c>
      <c r="AY827" s="40" t="s">
        <v>355</v>
      </c>
      <c r="AZ827" s="15">
        <v>55</v>
      </c>
      <c r="BA827" s="14">
        <f t="shared" si="116"/>
        <v>1.7403626894942439</v>
      </c>
      <c r="BB827" s="37" t="s">
        <v>367</v>
      </c>
      <c r="BC827" s="20">
        <v>2.6780712284914233E-2</v>
      </c>
      <c r="BD827" s="9">
        <v>25.700000000000003</v>
      </c>
      <c r="BE827" s="9" t="s">
        <v>368</v>
      </c>
      <c r="BF827" s="9">
        <v>0</v>
      </c>
    </row>
    <row r="828" spans="1:58">
      <c r="A828" s="35">
        <v>284</v>
      </c>
      <c r="B828" s="64" t="s">
        <v>76</v>
      </c>
      <c r="C828" s="64" t="s">
        <v>411</v>
      </c>
      <c r="D828" s="20" t="s">
        <v>1066</v>
      </c>
      <c r="E828" s="20" t="s">
        <v>413</v>
      </c>
      <c r="F828" s="64" t="s">
        <v>411</v>
      </c>
      <c r="G828" s="20" t="s">
        <v>1066</v>
      </c>
      <c r="H828" s="20" t="s">
        <v>413</v>
      </c>
      <c r="I828" s="20" t="s">
        <v>411</v>
      </c>
      <c r="J828" s="20" t="s">
        <v>412</v>
      </c>
      <c r="K828" s="20" t="s">
        <v>413</v>
      </c>
      <c r="L828" s="9" t="s">
        <v>352</v>
      </c>
      <c r="M828" s="9">
        <v>10</v>
      </c>
      <c r="N828" s="9" t="s">
        <v>381</v>
      </c>
      <c r="O828" s="9" t="s">
        <v>455</v>
      </c>
      <c r="P828" s="12">
        <v>34</v>
      </c>
      <c r="Q828" s="12" t="s">
        <v>355</v>
      </c>
      <c r="R828" s="9" t="s">
        <v>356</v>
      </c>
      <c r="S828" s="13" t="s">
        <v>903</v>
      </c>
      <c r="T828" s="13" t="s">
        <v>903</v>
      </c>
      <c r="U828" s="14">
        <f t="shared" si="108"/>
        <v>1.1760912590556813</v>
      </c>
      <c r="V828" s="15">
        <v>23</v>
      </c>
      <c r="W828" s="12">
        <v>7.940696299999999</v>
      </c>
      <c r="X828" s="12">
        <v>1</v>
      </c>
      <c r="Y828" s="13" t="s">
        <v>904</v>
      </c>
      <c r="Z828" s="9" t="s">
        <v>359</v>
      </c>
      <c r="AA828" s="10" t="s">
        <v>372</v>
      </c>
      <c r="AB828" s="9" t="s">
        <v>355</v>
      </c>
      <c r="AC828" s="15">
        <v>305</v>
      </c>
      <c r="AD828" s="14">
        <f t="shared" si="109"/>
        <v>2.4842998393467859</v>
      </c>
      <c r="AE828" s="10" t="s">
        <v>373</v>
      </c>
      <c r="AF828" s="9" t="s">
        <v>362</v>
      </c>
      <c r="AG828" s="18">
        <v>42</v>
      </c>
      <c r="AH828" s="7">
        <f t="shared" si="110"/>
        <v>1</v>
      </c>
      <c r="AI828" s="7">
        <f t="shared" si="111"/>
        <v>1</v>
      </c>
      <c r="AJ828" s="7">
        <f t="shared" si="112"/>
        <v>0</v>
      </c>
      <c r="AK828" s="7">
        <f t="shared" si="113"/>
        <v>0</v>
      </c>
      <c r="AL828" s="7" t="s">
        <v>4157</v>
      </c>
      <c r="AM828" s="18">
        <f t="shared" si="114"/>
        <v>1.6232492903979006</v>
      </c>
      <c r="AN828" s="18">
        <v>42</v>
      </c>
      <c r="AO828" s="18">
        <v>-73.134960000000007</v>
      </c>
      <c r="AP828" s="9" t="s">
        <v>363</v>
      </c>
      <c r="AQ828" s="9" t="s">
        <v>355</v>
      </c>
      <c r="AR828" s="15">
        <v>1968</v>
      </c>
      <c r="AS828" s="19" t="s">
        <v>906</v>
      </c>
      <c r="AT828" s="20" t="s">
        <v>907</v>
      </c>
      <c r="AU828" s="40">
        <v>1122385</v>
      </c>
      <c r="AV828" s="35">
        <f t="shared" si="115"/>
        <v>6.0501418539747238</v>
      </c>
      <c r="AW828" s="37" t="s">
        <v>366</v>
      </c>
      <c r="AX828" s="34" t="s">
        <v>355</v>
      </c>
      <c r="AY828" s="40" t="s">
        <v>355</v>
      </c>
      <c r="AZ828" s="15">
        <v>55</v>
      </c>
      <c r="BA828" s="14">
        <f t="shared" si="116"/>
        <v>1.7403626894942439</v>
      </c>
      <c r="BB828" s="37" t="s">
        <v>367</v>
      </c>
      <c r="BC828" s="20">
        <v>2.6780712284914233E-2</v>
      </c>
      <c r="BD828" s="9">
        <v>25.700000000000003</v>
      </c>
      <c r="BE828" s="9" t="s">
        <v>368</v>
      </c>
      <c r="BF828" s="9">
        <v>0</v>
      </c>
    </row>
    <row r="829" spans="1:58">
      <c r="A829" s="9">
        <v>1026</v>
      </c>
      <c r="B829" s="20" t="s">
        <v>76</v>
      </c>
      <c r="C829" s="20" t="s">
        <v>411</v>
      </c>
      <c r="D829" s="20" t="s">
        <v>412</v>
      </c>
      <c r="E829" s="20" t="s">
        <v>413</v>
      </c>
      <c r="F829" s="20" t="s">
        <v>411</v>
      </c>
      <c r="G829" s="20" t="s">
        <v>412</v>
      </c>
      <c r="H829" s="20" t="s">
        <v>413</v>
      </c>
      <c r="I829" s="20" t="s">
        <v>411</v>
      </c>
      <c r="J829" s="20" t="s">
        <v>412</v>
      </c>
      <c r="K829" s="20" t="s">
        <v>413</v>
      </c>
      <c r="L829" s="9" t="s">
        <v>352</v>
      </c>
      <c r="M829" s="9">
        <v>3</v>
      </c>
      <c r="N829" s="9" t="s">
        <v>353</v>
      </c>
      <c r="O829" s="9" t="s">
        <v>354</v>
      </c>
      <c r="P829" s="12">
        <v>28.10595</v>
      </c>
      <c r="Q829" s="9" t="s">
        <v>355</v>
      </c>
      <c r="R829" s="9" t="s">
        <v>356</v>
      </c>
      <c r="S829" s="9">
        <v>14</v>
      </c>
      <c r="T829" s="9">
        <v>14</v>
      </c>
      <c r="U829" s="14">
        <f t="shared" si="108"/>
        <v>1.1760912590556813</v>
      </c>
      <c r="V829" s="15">
        <v>5</v>
      </c>
      <c r="W829" s="12">
        <v>4.8585882999999974</v>
      </c>
      <c r="X829" s="9" t="s">
        <v>355</v>
      </c>
      <c r="Y829" s="13" t="s">
        <v>401</v>
      </c>
      <c r="Z829" s="9" t="s">
        <v>359</v>
      </c>
      <c r="AA829" s="10" t="s">
        <v>372</v>
      </c>
      <c r="AB829" s="9" t="s">
        <v>355</v>
      </c>
      <c r="AC829" s="15">
        <v>422</v>
      </c>
      <c r="AD829" s="14">
        <f t="shared" si="109"/>
        <v>2.6253124509616739</v>
      </c>
      <c r="AE829" s="10" t="s">
        <v>373</v>
      </c>
      <c r="AF829" s="9" t="s">
        <v>362</v>
      </c>
      <c r="AG829" s="18">
        <v>42</v>
      </c>
      <c r="AH829" s="7">
        <f t="shared" si="110"/>
        <v>1</v>
      </c>
      <c r="AI829" s="7">
        <f t="shared" si="111"/>
        <v>1</v>
      </c>
      <c r="AJ829" s="7">
        <f t="shared" si="112"/>
        <v>0</v>
      </c>
      <c r="AK829" s="7">
        <f t="shared" si="113"/>
        <v>0</v>
      </c>
      <c r="AL829" s="7" t="s">
        <v>4157</v>
      </c>
      <c r="AM829" s="18">
        <f t="shared" si="114"/>
        <v>1.6232492903979006</v>
      </c>
      <c r="AN829" s="18">
        <v>42</v>
      </c>
      <c r="AO829" s="18">
        <v>-73.134960000000007</v>
      </c>
      <c r="AP829" s="9" t="s">
        <v>363</v>
      </c>
      <c r="AQ829" s="9" t="s">
        <v>355</v>
      </c>
      <c r="AR829" s="9">
        <v>1962</v>
      </c>
      <c r="AS829" s="10" t="s">
        <v>374</v>
      </c>
      <c r="AT829" s="20" t="s">
        <v>375</v>
      </c>
      <c r="AU829" s="39">
        <v>1122385</v>
      </c>
      <c r="AV829" s="35">
        <f t="shared" si="115"/>
        <v>6.0501418539747238</v>
      </c>
      <c r="AW829" s="37" t="s">
        <v>366</v>
      </c>
      <c r="AX829" s="34" t="s">
        <v>355</v>
      </c>
      <c r="AY829" s="40" t="s">
        <v>355</v>
      </c>
      <c r="AZ829" s="15">
        <v>55</v>
      </c>
      <c r="BA829" s="14">
        <f t="shared" si="116"/>
        <v>1.7403626894942439</v>
      </c>
      <c r="BB829" s="37" t="s">
        <v>367</v>
      </c>
      <c r="BC829" s="20">
        <v>2.6780712284914233E-2</v>
      </c>
      <c r="BD829" s="9">
        <v>25.700000000000003</v>
      </c>
      <c r="BE829" s="9" t="s">
        <v>368</v>
      </c>
      <c r="BF829" s="9">
        <v>0</v>
      </c>
    </row>
    <row r="830" spans="1:58">
      <c r="A830" s="9">
        <v>272</v>
      </c>
      <c r="B830" s="10" t="s">
        <v>76</v>
      </c>
      <c r="C830" s="10" t="s">
        <v>77</v>
      </c>
      <c r="D830" s="20" t="s">
        <v>1067</v>
      </c>
      <c r="E830" s="20" t="s">
        <v>1068</v>
      </c>
      <c r="F830" s="10" t="s">
        <v>77</v>
      </c>
      <c r="G830" s="20" t="s">
        <v>1069</v>
      </c>
      <c r="H830" s="20" t="s">
        <v>1068</v>
      </c>
      <c r="I830" s="10" t="s">
        <v>77</v>
      </c>
      <c r="J830" s="20" t="s">
        <v>1069</v>
      </c>
      <c r="K830" s="20" t="s">
        <v>1068</v>
      </c>
      <c r="L830" s="9" t="s">
        <v>352</v>
      </c>
      <c r="M830" s="9">
        <v>10</v>
      </c>
      <c r="N830" s="9" t="s">
        <v>381</v>
      </c>
      <c r="O830" s="9" t="s">
        <v>455</v>
      </c>
      <c r="P830" s="12">
        <v>31.5</v>
      </c>
      <c r="Q830" s="12" t="s">
        <v>355</v>
      </c>
      <c r="R830" s="9" t="s">
        <v>356</v>
      </c>
      <c r="S830" s="13" t="s">
        <v>903</v>
      </c>
      <c r="T830" s="13" t="s">
        <v>903</v>
      </c>
      <c r="U830" s="14">
        <f t="shared" si="108"/>
        <v>1.1760912590556813</v>
      </c>
      <c r="V830" s="15">
        <v>5</v>
      </c>
      <c r="W830" s="12">
        <v>0.57423119999999273</v>
      </c>
      <c r="X830" s="12">
        <v>1</v>
      </c>
      <c r="Y830" s="13" t="s">
        <v>904</v>
      </c>
      <c r="Z830" s="9" t="s">
        <v>359</v>
      </c>
      <c r="AA830" s="10" t="s">
        <v>372</v>
      </c>
      <c r="AB830" s="9" t="s">
        <v>355</v>
      </c>
      <c r="AC830" s="15">
        <v>305</v>
      </c>
      <c r="AD830" s="14">
        <f t="shared" si="109"/>
        <v>2.4842998393467859</v>
      </c>
      <c r="AE830" s="10" t="s">
        <v>937</v>
      </c>
      <c r="AF830" s="9" t="s">
        <v>420</v>
      </c>
      <c r="AG830" s="18">
        <v>27</v>
      </c>
      <c r="AH830" s="7">
        <f t="shared" si="110"/>
        <v>1</v>
      </c>
      <c r="AI830" s="7">
        <f t="shared" si="111"/>
        <v>0</v>
      </c>
      <c r="AJ830" s="7">
        <f t="shared" si="112"/>
        <v>0</v>
      </c>
      <c r="AK830" s="7">
        <f t="shared" si="113"/>
        <v>0</v>
      </c>
      <c r="AL830" s="7" t="s">
        <v>4159</v>
      </c>
      <c r="AM830" s="18">
        <f t="shared" si="114"/>
        <v>1.4313637641589874</v>
      </c>
      <c r="AN830" s="18">
        <v>27</v>
      </c>
      <c r="AO830" s="18">
        <v>-104.845462</v>
      </c>
      <c r="AP830" s="9" t="s">
        <v>363</v>
      </c>
      <c r="AQ830" s="9" t="s">
        <v>355</v>
      </c>
      <c r="AR830" s="15">
        <v>1968</v>
      </c>
      <c r="AS830" s="19" t="s">
        <v>906</v>
      </c>
      <c r="AT830" s="20" t="s">
        <v>907</v>
      </c>
      <c r="AU830" s="40">
        <v>235847</v>
      </c>
      <c r="AV830" s="35">
        <f t="shared" si="115"/>
        <v>5.3726303563428734</v>
      </c>
      <c r="AW830" s="37" t="s">
        <v>366</v>
      </c>
      <c r="AX830" s="34" t="s">
        <v>355</v>
      </c>
      <c r="AY830" s="40">
        <v>1490</v>
      </c>
      <c r="AZ830" s="15">
        <v>55</v>
      </c>
      <c r="BA830" s="14">
        <f t="shared" si="116"/>
        <v>1.7403626894942439</v>
      </c>
      <c r="BB830" s="37" t="s">
        <v>367</v>
      </c>
      <c r="BC830" s="20">
        <v>4.2442577030811918E-2</v>
      </c>
      <c r="BD830" s="9">
        <v>34.800000000000004</v>
      </c>
      <c r="BE830" s="9" t="s">
        <v>368</v>
      </c>
      <c r="BF830" s="9">
        <v>0</v>
      </c>
    </row>
    <row r="831" spans="1:58">
      <c r="A831" s="9">
        <v>273</v>
      </c>
      <c r="B831" s="10" t="s">
        <v>76</v>
      </c>
      <c r="C831" s="10" t="s">
        <v>77</v>
      </c>
      <c r="D831" s="20" t="s">
        <v>1067</v>
      </c>
      <c r="E831" s="20" t="s">
        <v>1068</v>
      </c>
      <c r="F831" s="10" t="s">
        <v>77</v>
      </c>
      <c r="G831" s="20" t="s">
        <v>1069</v>
      </c>
      <c r="H831" s="20" t="s">
        <v>1068</v>
      </c>
      <c r="I831" s="10" t="s">
        <v>77</v>
      </c>
      <c r="J831" s="20" t="s">
        <v>1069</v>
      </c>
      <c r="K831" s="20" t="s">
        <v>1068</v>
      </c>
      <c r="L831" s="9" t="s">
        <v>352</v>
      </c>
      <c r="M831" s="9">
        <v>10</v>
      </c>
      <c r="N831" s="9" t="s">
        <v>381</v>
      </c>
      <c r="O831" s="9" t="s">
        <v>455</v>
      </c>
      <c r="P831" s="12">
        <v>37.1</v>
      </c>
      <c r="Q831" s="12" t="s">
        <v>355</v>
      </c>
      <c r="R831" s="9" t="s">
        <v>356</v>
      </c>
      <c r="S831" s="13" t="s">
        <v>903</v>
      </c>
      <c r="T831" s="13" t="s">
        <v>903</v>
      </c>
      <c r="U831" s="14">
        <f t="shared" si="108"/>
        <v>1.1760912590556813</v>
      </c>
      <c r="V831" s="15">
        <v>15</v>
      </c>
      <c r="W831" s="12">
        <v>4.6120412000000002</v>
      </c>
      <c r="X831" s="12">
        <v>1</v>
      </c>
      <c r="Y831" s="13" t="s">
        <v>904</v>
      </c>
      <c r="Z831" s="9" t="s">
        <v>359</v>
      </c>
      <c r="AA831" s="10" t="s">
        <v>372</v>
      </c>
      <c r="AB831" s="9" t="s">
        <v>355</v>
      </c>
      <c r="AC831" s="15">
        <v>305</v>
      </c>
      <c r="AD831" s="14">
        <f t="shared" si="109"/>
        <v>2.4842998393467859</v>
      </c>
      <c r="AE831" s="10" t="s">
        <v>937</v>
      </c>
      <c r="AF831" s="9" t="s">
        <v>420</v>
      </c>
      <c r="AG831" s="18">
        <v>27</v>
      </c>
      <c r="AH831" s="7">
        <f t="shared" si="110"/>
        <v>1</v>
      </c>
      <c r="AI831" s="7">
        <f t="shared" si="111"/>
        <v>0</v>
      </c>
      <c r="AJ831" s="7">
        <f t="shared" si="112"/>
        <v>0</v>
      </c>
      <c r="AK831" s="7">
        <f t="shared" si="113"/>
        <v>0</v>
      </c>
      <c r="AL831" s="7" t="s">
        <v>4159</v>
      </c>
      <c r="AM831" s="18">
        <f t="shared" si="114"/>
        <v>1.4313637641589874</v>
      </c>
      <c r="AN831" s="18">
        <v>27</v>
      </c>
      <c r="AO831" s="18">
        <v>-104.845462</v>
      </c>
      <c r="AP831" s="9" t="s">
        <v>363</v>
      </c>
      <c r="AQ831" s="9" t="s">
        <v>355</v>
      </c>
      <c r="AR831" s="15">
        <v>1968</v>
      </c>
      <c r="AS831" s="19" t="s">
        <v>906</v>
      </c>
      <c r="AT831" s="20" t="s">
        <v>907</v>
      </c>
      <c r="AU831" s="40">
        <v>235847</v>
      </c>
      <c r="AV831" s="35">
        <f t="shared" si="115"/>
        <v>5.3726303563428734</v>
      </c>
      <c r="AW831" s="37" t="s">
        <v>366</v>
      </c>
      <c r="AX831" s="34" t="s">
        <v>355</v>
      </c>
      <c r="AY831" s="40">
        <v>1490</v>
      </c>
      <c r="AZ831" s="15">
        <v>55</v>
      </c>
      <c r="BA831" s="14">
        <f t="shared" si="116"/>
        <v>1.7403626894942439</v>
      </c>
      <c r="BB831" s="37" t="s">
        <v>367</v>
      </c>
      <c r="BC831" s="20">
        <v>4.2442577030811918E-2</v>
      </c>
      <c r="BD831" s="9">
        <v>34.800000000000004</v>
      </c>
      <c r="BE831" s="9" t="s">
        <v>368</v>
      </c>
      <c r="BF831" s="9">
        <v>0</v>
      </c>
    </row>
    <row r="832" spans="1:58">
      <c r="A832" s="9">
        <v>274</v>
      </c>
      <c r="B832" s="10" t="s">
        <v>76</v>
      </c>
      <c r="C832" s="10" t="s">
        <v>77</v>
      </c>
      <c r="D832" s="20" t="s">
        <v>1067</v>
      </c>
      <c r="E832" s="20" t="s">
        <v>1068</v>
      </c>
      <c r="F832" s="10" t="s">
        <v>77</v>
      </c>
      <c r="G832" s="20" t="s">
        <v>1069</v>
      </c>
      <c r="H832" s="20" t="s">
        <v>1068</v>
      </c>
      <c r="I832" s="10" t="s">
        <v>77</v>
      </c>
      <c r="J832" s="20" t="s">
        <v>1069</v>
      </c>
      <c r="K832" s="20" t="s">
        <v>1068</v>
      </c>
      <c r="L832" s="9" t="s">
        <v>352</v>
      </c>
      <c r="M832" s="9">
        <v>10</v>
      </c>
      <c r="N832" s="9" t="s">
        <v>381</v>
      </c>
      <c r="O832" s="9" t="s">
        <v>455</v>
      </c>
      <c r="P832" s="12">
        <v>38.700000000000003</v>
      </c>
      <c r="Q832" s="12" t="s">
        <v>355</v>
      </c>
      <c r="R832" s="9" t="s">
        <v>356</v>
      </c>
      <c r="S832" s="13" t="s">
        <v>903</v>
      </c>
      <c r="T832" s="13" t="s">
        <v>903</v>
      </c>
      <c r="U832" s="14">
        <f t="shared" si="108"/>
        <v>1.1760912590556813</v>
      </c>
      <c r="V832" s="15">
        <v>23</v>
      </c>
      <c r="W832" s="12">
        <v>4.9622892000000007</v>
      </c>
      <c r="X832" s="12">
        <v>1</v>
      </c>
      <c r="Y832" s="13" t="s">
        <v>904</v>
      </c>
      <c r="Z832" s="9" t="s">
        <v>359</v>
      </c>
      <c r="AA832" s="10" t="s">
        <v>372</v>
      </c>
      <c r="AB832" s="9" t="s">
        <v>355</v>
      </c>
      <c r="AC832" s="15">
        <v>305</v>
      </c>
      <c r="AD832" s="14">
        <f t="shared" si="109"/>
        <v>2.4842998393467859</v>
      </c>
      <c r="AE832" s="10" t="s">
        <v>937</v>
      </c>
      <c r="AF832" s="9" t="s">
        <v>420</v>
      </c>
      <c r="AG832" s="18">
        <v>27</v>
      </c>
      <c r="AH832" s="7">
        <f t="shared" si="110"/>
        <v>1</v>
      </c>
      <c r="AI832" s="7">
        <f t="shared" si="111"/>
        <v>0</v>
      </c>
      <c r="AJ832" s="7">
        <f t="shared" si="112"/>
        <v>0</v>
      </c>
      <c r="AK832" s="7">
        <f t="shared" si="113"/>
        <v>0</v>
      </c>
      <c r="AL832" s="7" t="s">
        <v>4159</v>
      </c>
      <c r="AM832" s="18">
        <f t="shared" si="114"/>
        <v>1.4313637641589874</v>
      </c>
      <c r="AN832" s="18">
        <v>27</v>
      </c>
      <c r="AO832" s="18">
        <v>-104.845462</v>
      </c>
      <c r="AP832" s="9" t="s">
        <v>363</v>
      </c>
      <c r="AQ832" s="9" t="s">
        <v>355</v>
      </c>
      <c r="AR832" s="15">
        <v>1968</v>
      </c>
      <c r="AS832" s="19" t="s">
        <v>906</v>
      </c>
      <c r="AT832" s="20" t="s">
        <v>907</v>
      </c>
      <c r="AU832" s="40">
        <v>235847</v>
      </c>
      <c r="AV832" s="35">
        <f t="shared" si="115"/>
        <v>5.3726303563428734</v>
      </c>
      <c r="AW832" s="37" t="s">
        <v>366</v>
      </c>
      <c r="AX832" s="34" t="s">
        <v>355</v>
      </c>
      <c r="AY832" s="40">
        <v>1490</v>
      </c>
      <c r="AZ832" s="15">
        <v>55</v>
      </c>
      <c r="BA832" s="14">
        <f t="shared" si="116"/>
        <v>1.7403626894942439</v>
      </c>
      <c r="BB832" s="37" t="s">
        <v>367</v>
      </c>
      <c r="BC832" s="20">
        <v>4.2442577030811918E-2</v>
      </c>
      <c r="BD832" s="9">
        <v>34.800000000000004</v>
      </c>
      <c r="BE832" s="9" t="s">
        <v>368</v>
      </c>
      <c r="BF832" s="9">
        <v>0</v>
      </c>
    </row>
    <row r="833" spans="1:58">
      <c r="A833" s="9">
        <v>275</v>
      </c>
      <c r="B833" s="10" t="s">
        <v>76</v>
      </c>
      <c r="C833" s="10" t="s">
        <v>77</v>
      </c>
      <c r="D833" s="20" t="s">
        <v>1067</v>
      </c>
      <c r="E833" s="20" t="s">
        <v>1068</v>
      </c>
      <c r="F833" s="10" t="s">
        <v>77</v>
      </c>
      <c r="G833" s="20" t="s">
        <v>1069</v>
      </c>
      <c r="H833" s="20" t="s">
        <v>1068</v>
      </c>
      <c r="I833" s="10" t="s">
        <v>77</v>
      </c>
      <c r="J833" s="20" t="s">
        <v>1069</v>
      </c>
      <c r="K833" s="20" t="s">
        <v>1068</v>
      </c>
      <c r="L833" s="9" t="s">
        <v>352</v>
      </c>
      <c r="M833" s="9">
        <v>10</v>
      </c>
      <c r="N833" s="9" t="s">
        <v>381</v>
      </c>
      <c r="O833" s="9" t="s">
        <v>455</v>
      </c>
      <c r="P833" s="12">
        <v>39.5</v>
      </c>
      <c r="Q833" s="12" t="s">
        <v>355</v>
      </c>
      <c r="R833" s="9" t="s">
        <v>356</v>
      </c>
      <c r="S833" s="13" t="s">
        <v>903</v>
      </c>
      <c r="T833" s="13" t="s">
        <v>903</v>
      </c>
      <c r="U833" s="14">
        <f t="shared" si="108"/>
        <v>1.1760912590556813</v>
      </c>
      <c r="V833" s="15">
        <v>30</v>
      </c>
      <c r="W833" s="12">
        <v>4.6687561999999971</v>
      </c>
      <c r="X833" s="12">
        <v>1</v>
      </c>
      <c r="Y833" s="13" t="s">
        <v>904</v>
      </c>
      <c r="Z833" s="9" t="s">
        <v>359</v>
      </c>
      <c r="AA833" s="10" t="s">
        <v>372</v>
      </c>
      <c r="AB833" s="9" t="s">
        <v>355</v>
      </c>
      <c r="AC833" s="15">
        <v>305</v>
      </c>
      <c r="AD833" s="14">
        <f t="shared" si="109"/>
        <v>2.4842998393467859</v>
      </c>
      <c r="AE833" s="10" t="s">
        <v>937</v>
      </c>
      <c r="AF833" s="9" t="s">
        <v>420</v>
      </c>
      <c r="AG833" s="18">
        <v>27</v>
      </c>
      <c r="AH833" s="7">
        <f t="shared" si="110"/>
        <v>1</v>
      </c>
      <c r="AI833" s="7">
        <f t="shared" si="111"/>
        <v>0</v>
      </c>
      <c r="AJ833" s="7">
        <f t="shared" si="112"/>
        <v>0</v>
      </c>
      <c r="AK833" s="7">
        <f t="shared" si="113"/>
        <v>0</v>
      </c>
      <c r="AL833" s="7" t="s">
        <v>4159</v>
      </c>
      <c r="AM833" s="18">
        <f t="shared" si="114"/>
        <v>1.4313637641589874</v>
      </c>
      <c r="AN833" s="18">
        <v>27</v>
      </c>
      <c r="AO833" s="18">
        <v>-104.845462</v>
      </c>
      <c r="AP833" s="9" t="s">
        <v>363</v>
      </c>
      <c r="AQ833" s="9" t="s">
        <v>355</v>
      </c>
      <c r="AR833" s="15">
        <v>1968</v>
      </c>
      <c r="AS833" s="19" t="s">
        <v>906</v>
      </c>
      <c r="AT833" s="20" t="s">
        <v>907</v>
      </c>
      <c r="AU833" s="40">
        <v>235847</v>
      </c>
      <c r="AV833" s="35">
        <f t="shared" si="115"/>
        <v>5.3726303563428734</v>
      </c>
      <c r="AW833" s="37" t="s">
        <v>366</v>
      </c>
      <c r="AX833" s="34" t="s">
        <v>355</v>
      </c>
      <c r="AY833" s="40">
        <v>1490</v>
      </c>
      <c r="AZ833" s="15">
        <v>55</v>
      </c>
      <c r="BA833" s="14">
        <f t="shared" si="116"/>
        <v>1.7403626894942439</v>
      </c>
      <c r="BB833" s="37" t="s">
        <v>367</v>
      </c>
      <c r="BC833" s="20">
        <v>4.2442577030811918E-2</v>
      </c>
      <c r="BD833" s="9">
        <v>34.800000000000004</v>
      </c>
      <c r="BE833" s="9" t="s">
        <v>368</v>
      </c>
      <c r="BF833" s="9">
        <v>0</v>
      </c>
    </row>
    <row r="834" spans="1:58">
      <c r="A834" s="9">
        <v>269</v>
      </c>
      <c r="B834" s="10" t="s">
        <v>76</v>
      </c>
      <c r="C834" s="10" t="s">
        <v>77</v>
      </c>
      <c r="D834" s="20" t="s">
        <v>1070</v>
      </c>
      <c r="E834" s="20" t="s">
        <v>1071</v>
      </c>
      <c r="F834" s="10" t="s">
        <v>77</v>
      </c>
      <c r="G834" s="20" t="s">
        <v>1070</v>
      </c>
      <c r="H834" s="20" t="s">
        <v>1072</v>
      </c>
      <c r="I834" s="10" t="s">
        <v>77</v>
      </c>
      <c r="J834" s="20" t="s">
        <v>1070</v>
      </c>
      <c r="K834" s="20" t="s">
        <v>1072</v>
      </c>
      <c r="L834" s="9" t="s">
        <v>352</v>
      </c>
      <c r="M834" s="9">
        <v>10</v>
      </c>
      <c r="N834" s="9" t="s">
        <v>381</v>
      </c>
      <c r="O834" s="9" t="s">
        <v>455</v>
      </c>
      <c r="P834" s="12">
        <v>36.1</v>
      </c>
      <c r="Q834" s="12" t="s">
        <v>355</v>
      </c>
      <c r="R834" s="9" t="s">
        <v>356</v>
      </c>
      <c r="S834" s="13" t="s">
        <v>903</v>
      </c>
      <c r="T834" s="13" t="s">
        <v>903</v>
      </c>
      <c r="U834" s="14">
        <f t="shared" si="108"/>
        <v>1.1760912590556813</v>
      </c>
      <c r="V834" s="15">
        <v>15</v>
      </c>
      <c r="W834" s="12">
        <v>2.2619916000000018</v>
      </c>
      <c r="X834" s="12">
        <v>1</v>
      </c>
      <c r="Y834" s="13" t="s">
        <v>904</v>
      </c>
      <c r="Z834" s="9" t="s">
        <v>359</v>
      </c>
      <c r="AA834" s="10" t="s">
        <v>372</v>
      </c>
      <c r="AB834" s="9" t="s">
        <v>355</v>
      </c>
      <c r="AC834" s="15">
        <v>305</v>
      </c>
      <c r="AD834" s="14">
        <f t="shared" si="109"/>
        <v>2.4842998393467859</v>
      </c>
      <c r="AE834" s="10" t="s">
        <v>905</v>
      </c>
      <c r="AF834" s="9" t="s">
        <v>420</v>
      </c>
      <c r="AG834" s="18">
        <v>24</v>
      </c>
      <c r="AH834" s="7">
        <f t="shared" si="110"/>
        <v>1</v>
      </c>
      <c r="AI834" s="7">
        <f t="shared" si="111"/>
        <v>0</v>
      </c>
      <c r="AJ834" s="7">
        <f t="shared" si="112"/>
        <v>0</v>
      </c>
      <c r="AK834" s="7">
        <f t="shared" si="113"/>
        <v>0</v>
      </c>
      <c r="AL834" s="7" t="s">
        <v>4159</v>
      </c>
      <c r="AM834" s="18">
        <f t="shared" si="114"/>
        <v>1.3802112417116059</v>
      </c>
      <c r="AN834" s="18">
        <v>24</v>
      </c>
      <c r="AO834" s="18">
        <v>-106.5</v>
      </c>
      <c r="AP834" s="9" t="s">
        <v>363</v>
      </c>
      <c r="AQ834" s="9" t="s">
        <v>355</v>
      </c>
      <c r="AR834" s="15">
        <v>1968</v>
      </c>
      <c r="AS834" s="19" t="s">
        <v>906</v>
      </c>
      <c r="AT834" s="20" t="s">
        <v>907</v>
      </c>
      <c r="AU834" s="40">
        <v>1044634</v>
      </c>
      <c r="AV834" s="35">
        <f t="shared" si="115"/>
        <v>6.01896415683707</v>
      </c>
      <c r="AW834" s="37" t="s">
        <v>366</v>
      </c>
      <c r="AX834" s="34" t="s">
        <v>355</v>
      </c>
      <c r="AY834" s="40">
        <v>1610</v>
      </c>
      <c r="AZ834" s="15">
        <v>55</v>
      </c>
      <c r="BA834" s="14">
        <f t="shared" si="116"/>
        <v>1.7403626894942439</v>
      </c>
      <c r="BB834" s="37" t="s">
        <v>388</v>
      </c>
      <c r="BC834" s="20">
        <v>2.8510604241696637E-2</v>
      </c>
      <c r="BD834" s="9">
        <v>36.4</v>
      </c>
      <c r="BE834" s="9" t="s">
        <v>368</v>
      </c>
      <c r="BF834" s="9">
        <v>0</v>
      </c>
    </row>
    <row r="835" spans="1:58">
      <c r="A835" s="9">
        <v>270</v>
      </c>
      <c r="B835" s="10" t="s">
        <v>76</v>
      </c>
      <c r="C835" s="10" t="s">
        <v>77</v>
      </c>
      <c r="D835" s="20" t="s">
        <v>1070</v>
      </c>
      <c r="E835" s="20" t="s">
        <v>1071</v>
      </c>
      <c r="F835" s="10" t="s">
        <v>77</v>
      </c>
      <c r="G835" s="20" t="s">
        <v>1070</v>
      </c>
      <c r="H835" s="20" t="s">
        <v>1072</v>
      </c>
      <c r="I835" s="10" t="s">
        <v>77</v>
      </c>
      <c r="J835" s="20" t="s">
        <v>1070</v>
      </c>
      <c r="K835" s="20" t="s">
        <v>1072</v>
      </c>
      <c r="L835" s="9" t="s">
        <v>352</v>
      </c>
      <c r="M835" s="9">
        <v>10</v>
      </c>
      <c r="N835" s="9" t="s">
        <v>381</v>
      </c>
      <c r="O835" s="9" t="s">
        <v>455</v>
      </c>
      <c r="P835" s="12">
        <v>40.4</v>
      </c>
      <c r="Q835" s="12" t="s">
        <v>355</v>
      </c>
      <c r="R835" s="9" t="s">
        <v>356</v>
      </c>
      <c r="S835" s="13" t="s">
        <v>903</v>
      </c>
      <c r="T835" s="13" t="s">
        <v>903</v>
      </c>
      <c r="U835" s="14">
        <f t="shared" si="108"/>
        <v>1.1760912590556813</v>
      </c>
      <c r="V835" s="15">
        <v>30</v>
      </c>
      <c r="W835" s="12">
        <v>4.2187065999999973</v>
      </c>
      <c r="X835" s="12">
        <v>1</v>
      </c>
      <c r="Y835" s="13" t="s">
        <v>904</v>
      </c>
      <c r="Z835" s="9" t="s">
        <v>359</v>
      </c>
      <c r="AA835" s="10" t="s">
        <v>372</v>
      </c>
      <c r="AB835" s="9" t="s">
        <v>355</v>
      </c>
      <c r="AC835" s="15">
        <v>305</v>
      </c>
      <c r="AD835" s="14">
        <f t="shared" si="109"/>
        <v>2.4842998393467859</v>
      </c>
      <c r="AE835" s="10" t="s">
        <v>905</v>
      </c>
      <c r="AF835" s="9" t="s">
        <v>420</v>
      </c>
      <c r="AG835" s="18">
        <v>24</v>
      </c>
      <c r="AH835" s="7">
        <f t="shared" si="110"/>
        <v>1</v>
      </c>
      <c r="AI835" s="7">
        <f t="shared" si="111"/>
        <v>0</v>
      </c>
      <c r="AJ835" s="7">
        <f t="shared" si="112"/>
        <v>0</v>
      </c>
      <c r="AK835" s="7">
        <f t="shared" si="113"/>
        <v>0</v>
      </c>
      <c r="AL835" s="7" t="s">
        <v>4159</v>
      </c>
      <c r="AM835" s="18">
        <f t="shared" si="114"/>
        <v>1.3802112417116059</v>
      </c>
      <c r="AN835" s="18">
        <v>24</v>
      </c>
      <c r="AO835" s="18">
        <v>-106.5</v>
      </c>
      <c r="AP835" s="9" t="s">
        <v>363</v>
      </c>
      <c r="AQ835" s="9" t="s">
        <v>355</v>
      </c>
      <c r="AR835" s="15">
        <v>1968</v>
      </c>
      <c r="AS835" s="19" t="s">
        <v>906</v>
      </c>
      <c r="AT835" s="20" t="s">
        <v>907</v>
      </c>
      <c r="AU835" s="40">
        <v>1044634</v>
      </c>
      <c r="AV835" s="35">
        <f t="shared" si="115"/>
        <v>6.01896415683707</v>
      </c>
      <c r="AW835" s="37" t="s">
        <v>366</v>
      </c>
      <c r="AX835" s="34" t="s">
        <v>355</v>
      </c>
      <c r="AY835" s="40">
        <v>1610</v>
      </c>
      <c r="AZ835" s="15">
        <v>55</v>
      </c>
      <c r="BA835" s="14">
        <f t="shared" si="116"/>
        <v>1.7403626894942439</v>
      </c>
      <c r="BB835" s="37" t="s">
        <v>388</v>
      </c>
      <c r="BC835" s="20">
        <v>2.8510604241696637E-2</v>
      </c>
      <c r="BD835" s="9">
        <v>36.4</v>
      </c>
      <c r="BE835" s="9" t="s">
        <v>368</v>
      </c>
      <c r="BF835" s="9">
        <v>0</v>
      </c>
    </row>
    <row r="836" spans="1:58">
      <c r="A836" s="35">
        <v>281</v>
      </c>
      <c r="B836" s="64" t="s">
        <v>76</v>
      </c>
      <c r="C836" s="64" t="s">
        <v>411</v>
      </c>
      <c r="D836" s="20" t="s">
        <v>1066</v>
      </c>
      <c r="E836" s="20" t="s">
        <v>1073</v>
      </c>
      <c r="F836" s="64" t="s">
        <v>411</v>
      </c>
      <c r="G836" s="20" t="s">
        <v>1066</v>
      </c>
      <c r="H836" s="20" t="s">
        <v>1074</v>
      </c>
      <c r="I836" s="64" t="s">
        <v>411</v>
      </c>
      <c r="J836" s="20" t="s">
        <v>1075</v>
      </c>
      <c r="K836" s="20" t="s">
        <v>1074</v>
      </c>
      <c r="L836" s="9" t="s">
        <v>352</v>
      </c>
      <c r="M836" s="9">
        <v>10</v>
      </c>
      <c r="N836" s="9" t="s">
        <v>381</v>
      </c>
      <c r="O836" s="9" t="s">
        <v>455</v>
      </c>
      <c r="P836" s="12">
        <v>35.200000000000003</v>
      </c>
      <c r="Q836" s="12" t="s">
        <v>355</v>
      </c>
      <c r="R836" s="9" t="s">
        <v>356</v>
      </c>
      <c r="S836" s="13" t="s">
        <v>903</v>
      </c>
      <c r="T836" s="13" t="s">
        <v>903</v>
      </c>
      <c r="U836" s="14">
        <f t="shared" si="108"/>
        <v>1.1760912590556813</v>
      </c>
      <c r="V836" s="15">
        <v>5</v>
      </c>
      <c r="W836" s="12">
        <v>5.9617932000000025</v>
      </c>
      <c r="X836" s="12">
        <v>1</v>
      </c>
      <c r="Y836" s="13" t="s">
        <v>904</v>
      </c>
      <c r="Z836" s="9" t="s">
        <v>359</v>
      </c>
      <c r="AA836" s="10" t="s">
        <v>372</v>
      </c>
      <c r="AB836" s="9" t="s">
        <v>355</v>
      </c>
      <c r="AC836" s="15">
        <v>305</v>
      </c>
      <c r="AD836" s="14">
        <f t="shared" si="109"/>
        <v>2.4842998393467859</v>
      </c>
      <c r="AE836" s="10" t="s">
        <v>928</v>
      </c>
      <c r="AF836" s="9" t="s">
        <v>420</v>
      </c>
      <c r="AG836" s="18">
        <v>31</v>
      </c>
      <c r="AH836" s="7">
        <f t="shared" si="110"/>
        <v>1</v>
      </c>
      <c r="AI836" s="7">
        <f t="shared" si="111"/>
        <v>1</v>
      </c>
      <c r="AJ836" s="7">
        <f t="shared" si="112"/>
        <v>0</v>
      </c>
      <c r="AK836" s="7">
        <f t="shared" si="113"/>
        <v>0</v>
      </c>
      <c r="AL836" s="7" t="s">
        <v>4157</v>
      </c>
      <c r="AM836" s="18">
        <f t="shared" si="114"/>
        <v>1.4913616938342726</v>
      </c>
      <c r="AN836" s="18">
        <v>31</v>
      </c>
      <c r="AO836" s="18">
        <v>-110.33088100000001</v>
      </c>
      <c r="AP836" s="9" t="s">
        <v>363</v>
      </c>
      <c r="AQ836" s="9" t="s">
        <v>355</v>
      </c>
      <c r="AR836" s="15">
        <v>1968</v>
      </c>
      <c r="AS836" s="19" t="s">
        <v>906</v>
      </c>
      <c r="AT836" s="20" t="s">
        <v>907</v>
      </c>
      <c r="AU836" s="40">
        <v>121981</v>
      </c>
      <c r="AV836" s="35">
        <f t="shared" si="115"/>
        <v>5.0862921893815916</v>
      </c>
      <c r="AW836" s="37" t="s">
        <v>366</v>
      </c>
      <c r="AX836" s="34" t="s">
        <v>355</v>
      </c>
      <c r="AY836" s="40">
        <v>1363</v>
      </c>
      <c r="AZ836" s="15">
        <v>55</v>
      </c>
      <c r="BA836" s="14">
        <f t="shared" si="116"/>
        <v>1.7403626894942439</v>
      </c>
      <c r="BB836" s="37" t="s">
        <v>388</v>
      </c>
      <c r="BC836" s="20">
        <v>3.4967987194877911E-2</v>
      </c>
      <c r="BD836" s="9">
        <v>32.800000000000004</v>
      </c>
      <c r="BE836" s="9" t="s">
        <v>459</v>
      </c>
      <c r="BF836" s="9">
        <v>1</v>
      </c>
    </row>
    <row r="837" spans="1:58">
      <c r="A837" s="35">
        <v>279</v>
      </c>
      <c r="B837" s="64" t="s">
        <v>76</v>
      </c>
      <c r="C837" s="64" t="s">
        <v>411</v>
      </c>
      <c r="D837" s="20" t="s">
        <v>1066</v>
      </c>
      <c r="E837" s="20" t="s">
        <v>1073</v>
      </c>
      <c r="F837" s="64" t="s">
        <v>411</v>
      </c>
      <c r="G837" s="20" t="s">
        <v>1066</v>
      </c>
      <c r="H837" s="20" t="s">
        <v>1074</v>
      </c>
      <c r="I837" s="64" t="s">
        <v>411</v>
      </c>
      <c r="J837" s="20" t="s">
        <v>1075</v>
      </c>
      <c r="K837" s="20" t="s">
        <v>1074</v>
      </c>
      <c r="L837" s="9" t="s">
        <v>352</v>
      </c>
      <c r="M837" s="9">
        <v>10</v>
      </c>
      <c r="N837" s="9" t="s">
        <v>381</v>
      </c>
      <c r="O837" s="9" t="s">
        <v>455</v>
      </c>
      <c r="P837" s="12">
        <v>35.6</v>
      </c>
      <c r="Q837" s="12" t="s">
        <v>355</v>
      </c>
      <c r="R837" s="9" t="s">
        <v>356</v>
      </c>
      <c r="S837" s="13" t="s">
        <v>903</v>
      </c>
      <c r="T837" s="13" t="s">
        <v>903</v>
      </c>
      <c r="U837" s="14">
        <f t="shared" ref="U837:U900" si="117">LOG(T837+1)</f>
        <v>1.1760912590556813</v>
      </c>
      <c r="V837" s="15">
        <v>5</v>
      </c>
      <c r="W837" s="12">
        <v>9.8212953000000027</v>
      </c>
      <c r="X837" s="12">
        <v>1</v>
      </c>
      <c r="Y837" s="13" t="s">
        <v>904</v>
      </c>
      <c r="Z837" s="9" t="s">
        <v>359</v>
      </c>
      <c r="AA837" s="10" t="s">
        <v>372</v>
      </c>
      <c r="AB837" s="9" t="s">
        <v>355</v>
      </c>
      <c r="AC837" s="15">
        <v>305</v>
      </c>
      <c r="AD837" s="14">
        <f t="shared" ref="AD837:AD900" si="118">LOG(AC837)</f>
        <v>2.4842998393467859</v>
      </c>
      <c r="AE837" s="10" t="s">
        <v>921</v>
      </c>
      <c r="AF837" s="9" t="s">
        <v>420</v>
      </c>
      <c r="AG837" s="18">
        <v>33.646965999999999</v>
      </c>
      <c r="AH837" s="7">
        <f t="shared" ref="AH837:AH900" si="119">IF(AG837&gt;15,1,0)</f>
        <v>1</v>
      </c>
      <c r="AI837" s="7">
        <f t="shared" ref="AI837:AI900" si="120">IF(AG837&gt;30,1,0)</f>
        <v>1</v>
      </c>
      <c r="AJ837" s="7">
        <f t="shared" ref="AJ837:AJ900" si="121">IF(AG837&gt;45,1,0)</f>
        <v>0</v>
      </c>
      <c r="AK837" s="7">
        <f t="shared" ref="AK837:AK900" si="122">IF(AG837&gt;60,1,0)</f>
        <v>0</v>
      </c>
      <c r="AL837" s="7" t="s">
        <v>4157</v>
      </c>
      <c r="AM837" s="18">
        <f t="shared" ref="AM837:AM900" si="123">LOG(AG837)</f>
        <v>1.5269459093069919</v>
      </c>
      <c r="AN837" s="18">
        <v>33.646965999999999</v>
      </c>
      <c r="AO837" s="18">
        <v>-117.689218</v>
      </c>
      <c r="AP837" s="9" t="s">
        <v>363</v>
      </c>
      <c r="AQ837" s="9" t="s">
        <v>355</v>
      </c>
      <c r="AR837" s="15">
        <v>1968</v>
      </c>
      <c r="AS837" s="19" t="s">
        <v>906</v>
      </c>
      <c r="AT837" s="20" t="s">
        <v>907</v>
      </c>
      <c r="AU837" s="40">
        <v>121981</v>
      </c>
      <c r="AV837" s="35">
        <f t="shared" ref="AV837:AV900" si="124">LOG(AU837)</f>
        <v>5.0862921893815916</v>
      </c>
      <c r="AW837" s="37" t="s">
        <v>366</v>
      </c>
      <c r="AX837" s="34" t="s">
        <v>355</v>
      </c>
      <c r="AY837" s="40">
        <v>1363</v>
      </c>
      <c r="AZ837" s="15">
        <v>55</v>
      </c>
      <c r="BA837" s="14">
        <f t="shared" ref="BA837:BA900" si="125">LOG(AZ837)</f>
        <v>1.7403626894942439</v>
      </c>
      <c r="BB837" s="37" t="s">
        <v>388</v>
      </c>
      <c r="BC837" s="20">
        <v>-3.3386954781912656E-2</v>
      </c>
      <c r="BD837" s="9">
        <v>28.700000000000003</v>
      </c>
      <c r="BE837" s="9" t="s">
        <v>459</v>
      </c>
      <c r="BF837" s="9">
        <v>1</v>
      </c>
    </row>
    <row r="838" spans="1:58">
      <c r="A838" s="35">
        <v>282</v>
      </c>
      <c r="B838" s="64" t="s">
        <v>76</v>
      </c>
      <c r="C838" s="64" t="s">
        <v>411</v>
      </c>
      <c r="D838" s="20" t="s">
        <v>1066</v>
      </c>
      <c r="E838" s="20" t="s">
        <v>1073</v>
      </c>
      <c r="F838" s="64" t="s">
        <v>411</v>
      </c>
      <c r="G838" s="20" t="s">
        <v>1066</v>
      </c>
      <c r="H838" s="20" t="s">
        <v>1074</v>
      </c>
      <c r="I838" s="64" t="s">
        <v>411</v>
      </c>
      <c r="J838" s="20" t="s">
        <v>1075</v>
      </c>
      <c r="K838" s="20" t="s">
        <v>1074</v>
      </c>
      <c r="L838" s="9" t="s">
        <v>352</v>
      </c>
      <c r="M838" s="9">
        <v>10</v>
      </c>
      <c r="N838" s="9" t="s">
        <v>381</v>
      </c>
      <c r="O838" s="9" t="s">
        <v>455</v>
      </c>
      <c r="P838" s="12">
        <v>40</v>
      </c>
      <c r="Q838" s="12" t="s">
        <v>355</v>
      </c>
      <c r="R838" s="9" t="s">
        <v>356</v>
      </c>
      <c r="S838" s="13" t="s">
        <v>903</v>
      </c>
      <c r="T838" s="13" t="s">
        <v>903</v>
      </c>
      <c r="U838" s="14">
        <f t="shared" si="117"/>
        <v>1.1760912590556813</v>
      </c>
      <c r="V838" s="15">
        <v>23</v>
      </c>
      <c r="W838" s="12">
        <v>7.9498511999999977</v>
      </c>
      <c r="X838" s="12">
        <v>1</v>
      </c>
      <c r="Y838" s="13" t="s">
        <v>904</v>
      </c>
      <c r="Z838" s="9" t="s">
        <v>359</v>
      </c>
      <c r="AA838" s="10" t="s">
        <v>372</v>
      </c>
      <c r="AB838" s="9" t="s">
        <v>355</v>
      </c>
      <c r="AC838" s="15">
        <v>305</v>
      </c>
      <c r="AD838" s="14">
        <f t="shared" si="118"/>
        <v>2.4842998393467859</v>
      </c>
      <c r="AE838" s="10" t="s">
        <v>928</v>
      </c>
      <c r="AF838" s="9" t="s">
        <v>420</v>
      </c>
      <c r="AG838" s="18">
        <v>31</v>
      </c>
      <c r="AH838" s="7">
        <f t="shared" si="119"/>
        <v>1</v>
      </c>
      <c r="AI838" s="7">
        <f t="shared" si="120"/>
        <v>1</v>
      </c>
      <c r="AJ838" s="7">
        <f t="shared" si="121"/>
        <v>0</v>
      </c>
      <c r="AK838" s="7">
        <f t="shared" si="122"/>
        <v>0</v>
      </c>
      <c r="AL838" s="7" t="s">
        <v>4157</v>
      </c>
      <c r="AM838" s="18">
        <f t="shared" si="123"/>
        <v>1.4913616938342726</v>
      </c>
      <c r="AN838" s="18">
        <v>31</v>
      </c>
      <c r="AO838" s="18">
        <v>-110.33088100000001</v>
      </c>
      <c r="AP838" s="9" t="s">
        <v>363</v>
      </c>
      <c r="AQ838" s="9" t="s">
        <v>355</v>
      </c>
      <c r="AR838" s="15">
        <v>1968</v>
      </c>
      <c r="AS838" s="19" t="s">
        <v>906</v>
      </c>
      <c r="AT838" s="20" t="s">
        <v>907</v>
      </c>
      <c r="AU838" s="40">
        <v>121981</v>
      </c>
      <c r="AV838" s="35">
        <f t="shared" si="124"/>
        <v>5.0862921893815916</v>
      </c>
      <c r="AW838" s="37" t="s">
        <v>366</v>
      </c>
      <c r="AX838" s="34" t="s">
        <v>355</v>
      </c>
      <c r="AY838" s="40">
        <v>1363</v>
      </c>
      <c r="AZ838" s="15">
        <v>55</v>
      </c>
      <c r="BA838" s="14">
        <f t="shared" si="125"/>
        <v>1.7403626894942439</v>
      </c>
      <c r="BB838" s="37" t="s">
        <v>388</v>
      </c>
      <c r="BC838" s="20">
        <v>3.4967987194877911E-2</v>
      </c>
      <c r="BD838" s="9">
        <v>32.800000000000004</v>
      </c>
      <c r="BE838" s="9" t="s">
        <v>459</v>
      </c>
      <c r="BF838" s="9">
        <v>1</v>
      </c>
    </row>
    <row r="839" spans="1:58">
      <c r="A839" s="35">
        <v>280</v>
      </c>
      <c r="B839" s="64" t="s">
        <v>76</v>
      </c>
      <c r="C839" s="64" t="s">
        <v>411</v>
      </c>
      <c r="D839" s="20" t="s">
        <v>1066</v>
      </c>
      <c r="E839" s="20" t="s">
        <v>1073</v>
      </c>
      <c r="F839" s="64" t="s">
        <v>411</v>
      </c>
      <c r="G839" s="20" t="s">
        <v>1066</v>
      </c>
      <c r="H839" s="20" t="s">
        <v>1074</v>
      </c>
      <c r="I839" s="64" t="s">
        <v>411</v>
      </c>
      <c r="J839" s="20" t="s">
        <v>1075</v>
      </c>
      <c r="K839" s="20" t="s">
        <v>1074</v>
      </c>
      <c r="L839" s="9" t="s">
        <v>352</v>
      </c>
      <c r="M839" s="9">
        <v>10</v>
      </c>
      <c r="N839" s="9" t="s">
        <v>381</v>
      </c>
      <c r="O839" s="9" t="s">
        <v>455</v>
      </c>
      <c r="P839" s="12">
        <v>40.299999999999997</v>
      </c>
      <c r="Q839" s="12" t="s">
        <v>355</v>
      </c>
      <c r="R839" s="9" t="s">
        <v>356</v>
      </c>
      <c r="S839" s="13" t="s">
        <v>903</v>
      </c>
      <c r="T839" s="13" t="s">
        <v>903</v>
      </c>
      <c r="U839" s="14">
        <f t="shared" si="117"/>
        <v>1.1760912590556813</v>
      </c>
      <c r="V839" s="15">
        <v>30</v>
      </c>
      <c r="W839" s="12">
        <v>10.615820299999996</v>
      </c>
      <c r="X839" s="12">
        <v>1</v>
      </c>
      <c r="Y839" s="13" t="s">
        <v>904</v>
      </c>
      <c r="Z839" s="9" t="s">
        <v>359</v>
      </c>
      <c r="AA839" s="10" t="s">
        <v>372</v>
      </c>
      <c r="AB839" s="9" t="s">
        <v>355</v>
      </c>
      <c r="AC839" s="15">
        <v>305</v>
      </c>
      <c r="AD839" s="14">
        <f t="shared" si="118"/>
        <v>2.4842998393467859</v>
      </c>
      <c r="AE839" s="10" t="s">
        <v>921</v>
      </c>
      <c r="AF839" s="9" t="s">
        <v>420</v>
      </c>
      <c r="AG839" s="18">
        <v>33.646965999999999</v>
      </c>
      <c r="AH839" s="7">
        <f t="shared" si="119"/>
        <v>1</v>
      </c>
      <c r="AI839" s="7">
        <f t="shared" si="120"/>
        <v>1</v>
      </c>
      <c r="AJ839" s="7">
        <f t="shared" si="121"/>
        <v>0</v>
      </c>
      <c r="AK839" s="7">
        <f t="shared" si="122"/>
        <v>0</v>
      </c>
      <c r="AL839" s="7" t="s">
        <v>4157</v>
      </c>
      <c r="AM839" s="18">
        <f t="shared" si="123"/>
        <v>1.5269459093069919</v>
      </c>
      <c r="AN839" s="18">
        <v>33.646965999999999</v>
      </c>
      <c r="AO839" s="18">
        <v>-117.689218</v>
      </c>
      <c r="AP839" s="9" t="s">
        <v>363</v>
      </c>
      <c r="AQ839" s="9" t="s">
        <v>355</v>
      </c>
      <c r="AR839" s="15">
        <v>1968</v>
      </c>
      <c r="AS839" s="19" t="s">
        <v>906</v>
      </c>
      <c r="AT839" s="20" t="s">
        <v>907</v>
      </c>
      <c r="AU839" s="40">
        <v>121981</v>
      </c>
      <c r="AV839" s="35">
        <f t="shared" si="124"/>
        <v>5.0862921893815916</v>
      </c>
      <c r="AW839" s="37" t="s">
        <v>366</v>
      </c>
      <c r="AX839" s="34" t="s">
        <v>355</v>
      </c>
      <c r="AY839" s="40">
        <v>1363</v>
      </c>
      <c r="AZ839" s="15">
        <v>55</v>
      </c>
      <c r="BA839" s="14">
        <f t="shared" si="125"/>
        <v>1.7403626894942439</v>
      </c>
      <c r="BB839" s="37" t="s">
        <v>388</v>
      </c>
      <c r="BC839" s="20">
        <v>-3.3386954781912656E-2</v>
      </c>
      <c r="BD839" s="9">
        <v>28.700000000000003</v>
      </c>
      <c r="BE839" s="9" t="s">
        <v>459</v>
      </c>
      <c r="BF839" s="9">
        <v>1</v>
      </c>
    </row>
    <row r="840" spans="1:58">
      <c r="A840" s="9">
        <v>263</v>
      </c>
      <c r="B840" s="10" t="s">
        <v>76</v>
      </c>
      <c r="C840" s="10" t="s">
        <v>77</v>
      </c>
      <c r="D840" s="20" t="s">
        <v>501</v>
      </c>
      <c r="E840" s="20" t="s">
        <v>1076</v>
      </c>
      <c r="F840" s="10" t="s">
        <v>77</v>
      </c>
      <c r="G840" s="20" t="s">
        <v>1077</v>
      </c>
      <c r="H840" s="20" t="s">
        <v>1078</v>
      </c>
      <c r="I840" s="10" t="s">
        <v>77</v>
      </c>
      <c r="J840" s="20" t="s">
        <v>1077</v>
      </c>
      <c r="K840" s="20" t="s">
        <v>1078</v>
      </c>
      <c r="L840" s="9" t="s">
        <v>352</v>
      </c>
      <c r="M840" s="9">
        <v>10</v>
      </c>
      <c r="N840" s="9" t="s">
        <v>381</v>
      </c>
      <c r="O840" s="9" t="s">
        <v>455</v>
      </c>
      <c r="P840" s="12">
        <v>35.200000000000003</v>
      </c>
      <c r="Q840" s="12" t="s">
        <v>355</v>
      </c>
      <c r="R840" s="9" t="s">
        <v>356</v>
      </c>
      <c r="S840" s="13" t="s">
        <v>903</v>
      </c>
      <c r="T840" s="13" t="s">
        <v>903</v>
      </c>
      <c r="U840" s="14">
        <f t="shared" si="117"/>
        <v>1.1760912590556813</v>
      </c>
      <c r="V840" s="15">
        <v>5</v>
      </c>
      <c r="W840" s="12">
        <v>4.9492560000000054</v>
      </c>
      <c r="X840" s="12">
        <v>1</v>
      </c>
      <c r="Y840" s="13" t="s">
        <v>904</v>
      </c>
      <c r="Z840" s="9" t="s">
        <v>359</v>
      </c>
      <c r="AA840" s="10" t="s">
        <v>372</v>
      </c>
      <c r="AB840" s="9" t="s">
        <v>355</v>
      </c>
      <c r="AC840" s="15">
        <v>305</v>
      </c>
      <c r="AD840" s="14">
        <f t="shared" si="118"/>
        <v>2.4842998393467859</v>
      </c>
      <c r="AE840" s="10" t="s">
        <v>1079</v>
      </c>
      <c r="AF840" s="9" t="s">
        <v>408</v>
      </c>
      <c r="AG840" s="18">
        <v>21.751384000000002</v>
      </c>
      <c r="AH840" s="7">
        <f t="shared" si="119"/>
        <v>1</v>
      </c>
      <c r="AI840" s="7">
        <f t="shared" si="120"/>
        <v>0</v>
      </c>
      <c r="AJ840" s="7">
        <f t="shared" si="121"/>
        <v>0</v>
      </c>
      <c r="AK840" s="7">
        <f t="shared" si="122"/>
        <v>0</v>
      </c>
      <c r="AL840" s="7" t="s">
        <v>4159</v>
      </c>
      <c r="AM840" s="18">
        <f t="shared" si="123"/>
        <v>1.3374868955177952</v>
      </c>
      <c r="AN840" s="18">
        <v>21.751384000000002</v>
      </c>
      <c r="AO840" s="18">
        <v>-104.845462</v>
      </c>
      <c r="AP840" s="9" t="s">
        <v>363</v>
      </c>
      <c r="AQ840" s="9" t="s">
        <v>355</v>
      </c>
      <c r="AR840" s="15">
        <v>1968</v>
      </c>
      <c r="AS840" s="19" t="s">
        <v>906</v>
      </c>
      <c r="AT840" s="20" t="s">
        <v>907</v>
      </c>
      <c r="AU840" s="40">
        <v>258464</v>
      </c>
      <c r="AV840" s="35">
        <f t="shared" si="124"/>
        <v>5.4124000612012342</v>
      </c>
      <c r="AW840" s="37" t="s">
        <v>366</v>
      </c>
      <c r="AX840" s="34" t="s">
        <v>355</v>
      </c>
      <c r="AY840" s="40">
        <v>1000</v>
      </c>
      <c r="AZ840" s="15">
        <v>33</v>
      </c>
      <c r="BA840" s="14">
        <f t="shared" si="125"/>
        <v>1.5185139398778875</v>
      </c>
      <c r="BB840" s="37" t="s">
        <v>388</v>
      </c>
      <c r="BC840" s="20">
        <v>2.6244097639055351E-2</v>
      </c>
      <c r="BD840" s="9">
        <v>34</v>
      </c>
      <c r="BE840" s="9" t="s">
        <v>368</v>
      </c>
      <c r="BF840" s="9">
        <v>0</v>
      </c>
    </row>
    <row r="841" spans="1:58">
      <c r="A841" s="9">
        <v>264</v>
      </c>
      <c r="B841" s="10" t="s">
        <v>76</v>
      </c>
      <c r="C841" s="10" t="s">
        <v>77</v>
      </c>
      <c r="D841" s="20" t="s">
        <v>501</v>
      </c>
      <c r="E841" s="20" t="s">
        <v>1076</v>
      </c>
      <c r="F841" s="10" t="s">
        <v>77</v>
      </c>
      <c r="G841" s="20" t="s">
        <v>1077</v>
      </c>
      <c r="H841" s="20" t="s">
        <v>1078</v>
      </c>
      <c r="I841" s="10" t="s">
        <v>77</v>
      </c>
      <c r="J841" s="20" t="s">
        <v>1077</v>
      </c>
      <c r="K841" s="20" t="s">
        <v>1078</v>
      </c>
      <c r="L841" s="9" t="s">
        <v>352</v>
      </c>
      <c r="M841" s="9">
        <v>10</v>
      </c>
      <c r="N841" s="9" t="s">
        <v>381</v>
      </c>
      <c r="O841" s="9" t="s">
        <v>455</v>
      </c>
      <c r="P841" s="12">
        <v>42.5</v>
      </c>
      <c r="Q841" s="12" t="s">
        <v>355</v>
      </c>
      <c r="R841" s="9" t="s">
        <v>356</v>
      </c>
      <c r="S841" s="13" t="s">
        <v>903</v>
      </c>
      <c r="T841" s="13" t="s">
        <v>903</v>
      </c>
      <c r="U841" s="14">
        <f t="shared" si="117"/>
        <v>1.1760912590556813</v>
      </c>
      <c r="V841" s="15">
        <v>30</v>
      </c>
      <c r="W841" s="12">
        <v>8.3437809999999999</v>
      </c>
      <c r="X841" s="12">
        <v>1</v>
      </c>
      <c r="Y841" s="13" t="s">
        <v>904</v>
      </c>
      <c r="Z841" s="9" t="s">
        <v>359</v>
      </c>
      <c r="AA841" s="10" t="s">
        <v>372</v>
      </c>
      <c r="AB841" s="9" t="s">
        <v>355</v>
      </c>
      <c r="AC841" s="15">
        <v>305</v>
      </c>
      <c r="AD841" s="14">
        <f t="shared" si="118"/>
        <v>2.4842998393467859</v>
      </c>
      <c r="AE841" s="10" t="s">
        <v>1079</v>
      </c>
      <c r="AF841" s="9" t="s">
        <v>408</v>
      </c>
      <c r="AG841" s="18">
        <v>21.751384000000002</v>
      </c>
      <c r="AH841" s="7">
        <f t="shared" si="119"/>
        <v>1</v>
      </c>
      <c r="AI841" s="7">
        <f t="shared" si="120"/>
        <v>0</v>
      </c>
      <c r="AJ841" s="7">
        <f t="shared" si="121"/>
        <v>0</v>
      </c>
      <c r="AK841" s="7">
        <f t="shared" si="122"/>
        <v>0</v>
      </c>
      <c r="AL841" s="7" t="s">
        <v>4159</v>
      </c>
      <c r="AM841" s="18">
        <f t="shared" si="123"/>
        <v>1.3374868955177952</v>
      </c>
      <c r="AN841" s="18">
        <v>21.751384000000002</v>
      </c>
      <c r="AO841" s="18">
        <v>-104.845462</v>
      </c>
      <c r="AP841" s="9" t="s">
        <v>363</v>
      </c>
      <c r="AQ841" s="9" t="s">
        <v>355</v>
      </c>
      <c r="AR841" s="15">
        <v>1968</v>
      </c>
      <c r="AS841" s="19" t="s">
        <v>906</v>
      </c>
      <c r="AT841" s="20" t="s">
        <v>907</v>
      </c>
      <c r="AU841" s="40">
        <v>258464</v>
      </c>
      <c r="AV841" s="35">
        <f t="shared" si="124"/>
        <v>5.4124000612012342</v>
      </c>
      <c r="AW841" s="37" t="s">
        <v>366</v>
      </c>
      <c r="AX841" s="34" t="s">
        <v>355</v>
      </c>
      <c r="AY841" s="40">
        <v>1000</v>
      </c>
      <c r="AZ841" s="15">
        <v>33</v>
      </c>
      <c r="BA841" s="14">
        <f t="shared" si="125"/>
        <v>1.5185139398778875</v>
      </c>
      <c r="BB841" s="37" t="s">
        <v>388</v>
      </c>
      <c r="BC841" s="20">
        <v>2.6244097639055351E-2</v>
      </c>
      <c r="BD841" s="9">
        <v>34</v>
      </c>
      <c r="BE841" s="9" t="s">
        <v>368</v>
      </c>
      <c r="BF841" s="9">
        <v>0</v>
      </c>
    </row>
    <row r="842" spans="1:58">
      <c r="A842" s="9">
        <v>803</v>
      </c>
      <c r="B842" s="10" t="s">
        <v>76</v>
      </c>
      <c r="C842" s="10" t="s">
        <v>873</v>
      </c>
      <c r="D842" s="20" t="s">
        <v>874</v>
      </c>
      <c r="E842" s="20" t="s">
        <v>595</v>
      </c>
      <c r="F842" s="10" t="s">
        <v>873</v>
      </c>
      <c r="G842" s="20" t="s">
        <v>874</v>
      </c>
      <c r="H842" s="20" t="s">
        <v>595</v>
      </c>
      <c r="I842" s="10" t="s">
        <v>873</v>
      </c>
      <c r="J842" s="20" t="s">
        <v>874</v>
      </c>
      <c r="K842" s="20" t="s">
        <v>595</v>
      </c>
      <c r="L842" s="9" t="s">
        <v>352</v>
      </c>
      <c r="M842" s="9">
        <v>12</v>
      </c>
      <c r="N842" s="9" t="s">
        <v>381</v>
      </c>
      <c r="O842" s="9" t="s">
        <v>354</v>
      </c>
      <c r="P842" s="12">
        <v>35.5</v>
      </c>
      <c r="Q842" s="12" t="s">
        <v>355</v>
      </c>
      <c r="R842" s="9" t="s">
        <v>356</v>
      </c>
      <c r="S842" s="13" t="s">
        <v>903</v>
      </c>
      <c r="T842" s="13" t="s">
        <v>903</v>
      </c>
      <c r="U842" s="14">
        <f t="shared" si="117"/>
        <v>1.1760912590556813</v>
      </c>
      <c r="V842" s="15">
        <v>15</v>
      </c>
      <c r="W842" s="12">
        <v>4.5308470000000014</v>
      </c>
      <c r="X842" s="12">
        <v>1</v>
      </c>
      <c r="Y842" s="13" t="s">
        <v>358</v>
      </c>
      <c r="Z842" s="9" t="s">
        <v>417</v>
      </c>
      <c r="AA842" s="10" t="s">
        <v>418</v>
      </c>
      <c r="AB842" s="9" t="s">
        <v>355</v>
      </c>
      <c r="AC842" s="43">
        <v>993</v>
      </c>
      <c r="AD842" s="14">
        <f t="shared" si="118"/>
        <v>2.996949248495381</v>
      </c>
      <c r="AE842" s="10" t="s">
        <v>402</v>
      </c>
      <c r="AF842" s="44" t="s">
        <v>408</v>
      </c>
      <c r="AG842" s="18">
        <v>22.088820999999999</v>
      </c>
      <c r="AH842" s="7">
        <f t="shared" si="119"/>
        <v>1</v>
      </c>
      <c r="AI842" s="7">
        <f t="shared" si="120"/>
        <v>0</v>
      </c>
      <c r="AJ842" s="7">
        <f t="shared" si="121"/>
        <v>0</v>
      </c>
      <c r="AK842" s="7">
        <f t="shared" si="122"/>
        <v>0</v>
      </c>
      <c r="AL842" s="7" t="s">
        <v>4159</v>
      </c>
      <c r="AM842" s="18">
        <f t="shared" si="123"/>
        <v>1.3441725358416063</v>
      </c>
      <c r="AN842" s="45">
        <v>-22.088820999999999</v>
      </c>
      <c r="AO842" s="45">
        <v>24.334717000000001</v>
      </c>
      <c r="AP842" s="9" t="s">
        <v>402</v>
      </c>
      <c r="AQ842" s="9" t="s">
        <v>403</v>
      </c>
      <c r="AR842" s="15">
        <v>1987</v>
      </c>
      <c r="AS842" s="19" t="s">
        <v>932</v>
      </c>
      <c r="AT842" s="20" t="s">
        <v>933</v>
      </c>
      <c r="AU842" s="40">
        <v>5943427</v>
      </c>
      <c r="AV842" s="35">
        <f t="shared" si="124"/>
        <v>6.7740369328633072</v>
      </c>
      <c r="AW842" s="37" t="s">
        <v>338</v>
      </c>
      <c r="AX842" s="34" t="s">
        <v>355</v>
      </c>
      <c r="AY842" s="40">
        <v>3000</v>
      </c>
      <c r="AZ842" s="15">
        <v>113</v>
      </c>
      <c r="BA842" s="14">
        <f t="shared" si="125"/>
        <v>2.0530784434834195</v>
      </c>
      <c r="BB842" s="37" t="s">
        <v>388</v>
      </c>
      <c r="BC842" s="20">
        <v>3.6160064025610339E-2</v>
      </c>
      <c r="BD842" s="9">
        <v>33</v>
      </c>
      <c r="BE842" s="9" t="s">
        <v>368</v>
      </c>
      <c r="BF842" s="9">
        <v>0</v>
      </c>
    </row>
    <row r="843" spans="1:58">
      <c r="A843" s="9">
        <v>828</v>
      </c>
      <c r="B843" s="10" t="s">
        <v>76</v>
      </c>
      <c r="C843" s="10" t="s">
        <v>1080</v>
      </c>
      <c r="D843" s="20" t="s">
        <v>1081</v>
      </c>
      <c r="E843" s="20" t="s">
        <v>1082</v>
      </c>
      <c r="F843" s="20" t="s">
        <v>426</v>
      </c>
      <c r="G843" s="20" t="s">
        <v>1081</v>
      </c>
      <c r="H843" s="20" t="s">
        <v>1082</v>
      </c>
      <c r="I843" s="45" t="s">
        <v>1080</v>
      </c>
      <c r="J843" s="20" t="s">
        <v>1081</v>
      </c>
      <c r="K843" s="20" t="s">
        <v>1082</v>
      </c>
      <c r="L843" s="9" t="s">
        <v>380</v>
      </c>
      <c r="M843" s="9">
        <v>10</v>
      </c>
      <c r="N843" s="9" t="s">
        <v>381</v>
      </c>
      <c r="O843" s="9" t="s">
        <v>382</v>
      </c>
      <c r="P843" s="12">
        <v>33.272728000000001</v>
      </c>
      <c r="Q843" s="12" t="s">
        <v>355</v>
      </c>
      <c r="R843" s="9" t="s">
        <v>356</v>
      </c>
      <c r="S843" s="13" t="s">
        <v>1083</v>
      </c>
      <c r="T843" s="13" t="s">
        <v>1083</v>
      </c>
      <c r="U843" s="14">
        <f t="shared" si="117"/>
        <v>1.2041199826559248</v>
      </c>
      <c r="V843" s="15">
        <v>15</v>
      </c>
      <c r="W843" s="12"/>
      <c r="X843" s="12">
        <v>1</v>
      </c>
      <c r="Y843" s="13" t="s">
        <v>358</v>
      </c>
      <c r="Z843" s="9" t="s">
        <v>417</v>
      </c>
      <c r="AA843" s="10" t="s">
        <v>1084</v>
      </c>
      <c r="AB843" s="9" t="s">
        <v>355</v>
      </c>
      <c r="AC843" s="15">
        <v>636</v>
      </c>
      <c r="AD843" s="14">
        <f t="shared" si="118"/>
        <v>2.8034571156484138</v>
      </c>
      <c r="AE843" s="10" t="s">
        <v>431</v>
      </c>
      <c r="AF843" s="9" t="s">
        <v>420</v>
      </c>
      <c r="AG843" s="18">
        <v>31.527273000000001</v>
      </c>
      <c r="AH843" s="7">
        <f t="shared" si="119"/>
        <v>1</v>
      </c>
      <c r="AI843" s="7">
        <f t="shared" si="120"/>
        <v>1</v>
      </c>
      <c r="AJ843" s="7">
        <f t="shared" si="121"/>
        <v>0</v>
      </c>
      <c r="AK843" s="7">
        <f t="shared" si="122"/>
        <v>0</v>
      </c>
      <c r="AL843" s="7" t="s">
        <v>4157</v>
      </c>
      <c r="AM843" s="18">
        <f t="shared" si="123"/>
        <v>1.4986864074028203</v>
      </c>
      <c r="AN843" s="18">
        <v>-31.527273000000001</v>
      </c>
      <c r="AO843" s="18">
        <v>-68.521407999999994</v>
      </c>
      <c r="AP843" s="9" t="s">
        <v>363</v>
      </c>
      <c r="AQ843" s="9" t="s">
        <v>355</v>
      </c>
      <c r="AR843" s="15">
        <v>2011</v>
      </c>
      <c r="AS843" s="19" t="s">
        <v>1085</v>
      </c>
      <c r="AT843" s="20" t="s">
        <v>1086</v>
      </c>
      <c r="AU843" s="40">
        <v>675632</v>
      </c>
      <c r="AV843" s="35">
        <f t="shared" si="124"/>
        <v>5.8297102109023804</v>
      </c>
      <c r="AW843" s="37" t="s">
        <v>366</v>
      </c>
      <c r="AX843" s="40">
        <v>50</v>
      </c>
      <c r="AY843" s="40">
        <v>1500</v>
      </c>
      <c r="AZ843" s="37">
        <v>48.8</v>
      </c>
      <c r="BA843" s="14">
        <f t="shared" si="125"/>
        <v>1.6884198220027107</v>
      </c>
      <c r="BB843" s="37" t="s">
        <v>367</v>
      </c>
      <c r="BC843" s="20">
        <v>4.2440976390555208E-3</v>
      </c>
      <c r="BD843" s="9">
        <v>34</v>
      </c>
      <c r="BE843" s="9" t="s">
        <v>368</v>
      </c>
      <c r="BF843" s="9">
        <v>0</v>
      </c>
    </row>
    <row r="844" spans="1:58">
      <c r="A844" s="9">
        <v>827</v>
      </c>
      <c r="B844" s="10" t="s">
        <v>76</v>
      </c>
      <c r="C844" s="10" t="s">
        <v>1080</v>
      </c>
      <c r="D844" s="20" t="s">
        <v>1081</v>
      </c>
      <c r="E844" s="20" t="s">
        <v>1082</v>
      </c>
      <c r="F844" s="20" t="s">
        <v>426</v>
      </c>
      <c r="G844" s="20" t="s">
        <v>1081</v>
      </c>
      <c r="H844" s="20" t="s">
        <v>1082</v>
      </c>
      <c r="I844" s="45" t="s">
        <v>1080</v>
      </c>
      <c r="J844" s="20" t="s">
        <v>1081</v>
      </c>
      <c r="K844" s="20" t="s">
        <v>1082</v>
      </c>
      <c r="L844" s="9" t="s">
        <v>380</v>
      </c>
      <c r="M844" s="9">
        <v>10</v>
      </c>
      <c r="N844" s="9" t="s">
        <v>381</v>
      </c>
      <c r="O844" s="9" t="s">
        <v>382</v>
      </c>
      <c r="P844" s="12">
        <v>33.4</v>
      </c>
      <c r="Q844" s="12" t="s">
        <v>355</v>
      </c>
      <c r="R844" s="9" t="s">
        <v>356</v>
      </c>
      <c r="S844" s="13" t="s">
        <v>1083</v>
      </c>
      <c r="T844" s="13" t="s">
        <v>1083</v>
      </c>
      <c r="U844" s="14">
        <f t="shared" si="117"/>
        <v>1.2041199826559248</v>
      </c>
      <c r="V844" s="15">
        <v>15</v>
      </c>
      <c r="W844" s="12"/>
      <c r="X844" s="12">
        <v>1</v>
      </c>
      <c r="Y844" s="13" t="s">
        <v>401</v>
      </c>
      <c r="Z844" s="9" t="s">
        <v>417</v>
      </c>
      <c r="AA844" s="10" t="s">
        <v>1084</v>
      </c>
      <c r="AB844" s="9" t="s">
        <v>355</v>
      </c>
      <c r="AC844" s="15">
        <v>636</v>
      </c>
      <c r="AD844" s="14">
        <f t="shared" si="118"/>
        <v>2.8034571156484138</v>
      </c>
      <c r="AE844" s="10" t="s">
        <v>431</v>
      </c>
      <c r="AF844" s="9" t="s">
        <v>420</v>
      </c>
      <c r="AG844" s="18">
        <v>31.527273000000001</v>
      </c>
      <c r="AH844" s="7">
        <f t="shared" si="119"/>
        <v>1</v>
      </c>
      <c r="AI844" s="7">
        <f t="shared" si="120"/>
        <v>1</v>
      </c>
      <c r="AJ844" s="7">
        <f t="shared" si="121"/>
        <v>0</v>
      </c>
      <c r="AK844" s="7">
        <f t="shared" si="122"/>
        <v>0</v>
      </c>
      <c r="AL844" s="7" t="s">
        <v>4157</v>
      </c>
      <c r="AM844" s="18">
        <f t="shared" si="123"/>
        <v>1.4986864074028203</v>
      </c>
      <c r="AN844" s="18">
        <v>-31.527273000000001</v>
      </c>
      <c r="AO844" s="18">
        <v>-68.521407999999994</v>
      </c>
      <c r="AP844" s="9" t="s">
        <v>363</v>
      </c>
      <c r="AQ844" s="9" t="s">
        <v>355</v>
      </c>
      <c r="AR844" s="15">
        <v>2011</v>
      </c>
      <c r="AS844" s="19" t="s">
        <v>1085</v>
      </c>
      <c r="AT844" s="20" t="s">
        <v>1086</v>
      </c>
      <c r="AU844" s="40">
        <v>675632</v>
      </c>
      <c r="AV844" s="35">
        <f t="shared" si="124"/>
        <v>5.8297102109023804</v>
      </c>
      <c r="AW844" s="37" t="s">
        <v>366</v>
      </c>
      <c r="AX844" s="40">
        <v>50</v>
      </c>
      <c r="AY844" s="40">
        <v>1500</v>
      </c>
      <c r="AZ844" s="37">
        <v>48.8</v>
      </c>
      <c r="BA844" s="14">
        <f t="shared" si="125"/>
        <v>1.6884198220027107</v>
      </c>
      <c r="BB844" s="37" t="s">
        <v>367</v>
      </c>
      <c r="BC844" s="20">
        <v>4.2440976390555208E-3</v>
      </c>
      <c r="BD844" s="9">
        <v>34</v>
      </c>
      <c r="BE844" s="9" t="s">
        <v>368</v>
      </c>
      <c r="BF844" s="9">
        <v>0</v>
      </c>
    </row>
    <row r="845" spans="1:58">
      <c r="A845" s="9">
        <v>829</v>
      </c>
      <c r="B845" s="10" t="s">
        <v>76</v>
      </c>
      <c r="C845" s="10" t="s">
        <v>1080</v>
      </c>
      <c r="D845" s="20" t="s">
        <v>1081</v>
      </c>
      <c r="E845" s="20" t="s">
        <v>1082</v>
      </c>
      <c r="F845" s="20" t="s">
        <v>426</v>
      </c>
      <c r="G845" s="20" t="s">
        <v>1081</v>
      </c>
      <c r="H845" s="20" t="s">
        <v>1082</v>
      </c>
      <c r="I845" s="45" t="s">
        <v>1080</v>
      </c>
      <c r="J845" s="20" t="s">
        <v>1081</v>
      </c>
      <c r="K845" s="20" t="s">
        <v>1082</v>
      </c>
      <c r="L845" s="9" t="s">
        <v>380</v>
      </c>
      <c r="M845" s="9">
        <v>10</v>
      </c>
      <c r="N845" s="9" t="s">
        <v>381</v>
      </c>
      <c r="O845" s="9" t="s">
        <v>382</v>
      </c>
      <c r="P845" s="12">
        <v>35.799999999999997</v>
      </c>
      <c r="Q845" s="12" t="s">
        <v>355</v>
      </c>
      <c r="R845" s="9" t="s">
        <v>356</v>
      </c>
      <c r="S845" s="13" t="s">
        <v>1083</v>
      </c>
      <c r="T845" s="13" t="s">
        <v>1083</v>
      </c>
      <c r="U845" s="14">
        <f t="shared" si="117"/>
        <v>1.2041199826559248</v>
      </c>
      <c r="V845" s="15">
        <v>15</v>
      </c>
      <c r="W845" s="12"/>
      <c r="X845" s="12">
        <v>1</v>
      </c>
      <c r="Y845" s="13" t="s">
        <v>384</v>
      </c>
      <c r="Z845" s="9" t="s">
        <v>417</v>
      </c>
      <c r="AA845" s="10" t="s">
        <v>1084</v>
      </c>
      <c r="AB845" s="9" t="s">
        <v>355</v>
      </c>
      <c r="AC845" s="15">
        <v>636</v>
      </c>
      <c r="AD845" s="14">
        <f t="shared" si="118"/>
        <v>2.8034571156484138</v>
      </c>
      <c r="AE845" s="10" t="s">
        <v>431</v>
      </c>
      <c r="AF845" s="9" t="s">
        <v>420</v>
      </c>
      <c r="AG845" s="18">
        <v>31.527273000000001</v>
      </c>
      <c r="AH845" s="7">
        <f t="shared" si="119"/>
        <v>1</v>
      </c>
      <c r="AI845" s="7">
        <f t="shared" si="120"/>
        <v>1</v>
      </c>
      <c r="AJ845" s="7">
        <f t="shared" si="121"/>
        <v>0</v>
      </c>
      <c r="AK845" s="7">
        <f t="shared" si="122"/>
        <v>0</v>
      </c>
      <c r="AL845" s="7" t="s">
        <v>4157</v>
      </c>
      <c r="AM845" s="18">
        <f t="shared" si="123"/>
        <v>1.4986864074028203</v>
      </c>
      <c r="AN845" s="18">
        <v>-31.527273000000001</v>
      </c>
      <c r="AO845" s="18">
        <v>-68.521407999999994</v>
      </c>
      <c r="AP845" s="9" t="s">
        <v>363</v>
      </c>
      <c r="AQ845" s="9" t="s">
        <v>355</v>
      </c>
      <c r="AR845" s="15">
        <v>2011</v>
      </c>
      <c r="AS845" s="19" t="s">
        <v>1085</v>
      </c>
      <c r="AT845" s="20" t="s">
        <v>1086</v>
      </c>
      <c r="AU845" s="40">
        <v>675632</v>
      </c>
      <c r="AV845" s="35">
        <f t="shared" si="124"/>
        <v>5.8297102109023804</v>
      </c>
      <c r="AW845" s="37" t="s">
        <v>366</v>
      </c>
      <c r="AX845" s="40">
        <v>50</v>
      </c>
      <c r="AY845" s="40">
        <v>1500</v>
      </c>
      <c r="AZ845" s="37">
        <v>48.8</v>
      </c>
      <c r="BA845" s="14">
        <f t="shared" si="125"/>
        <v>1.6884198220027107</v>
      </c>
      <c r="BB845" s="37" t="s">
        <v>367</v>
      </c>
      <c r="BC845" s="20">
        <v>4.2440976390555208E-3</v>
      </c>
      <c r="BD845" s="9">
        <v>34</v>
      </c>
      <c r="BE845" s="9" t="s">
        <v>368</v>
      </c>
      <c r="BF845" s="9">
        <v>0</v>
      </c>
    </row>
    <row r="846" spans="1:58">
      <c r="A846" s="9">
        <v>766</v>
      </c>
      <c r="B846" s="10" t="s">
        <v>76</v>
      </c>
      <c r="C846" s="10" t="s">
        <v>1087</v>
      </c>
      <c r="D846" s="20" t="s">
        <v>1088</v>
      </c>
      <c r="E846" s="20" t="s">
        <v>1089</v>
      </c>
      <c r="F846" s="10" t="s">
        <v>1087</v>
      </c>
      <c r="G846" s="20" t="s">
        <v>1088</v>
      </c>
      <c r="H846" s="20" t="s">
        <v>1089</v>
      </c>
      <c r="I846" s="45" t="s">
        <v>577</v>
      </c>
      <c r="J846" s="20" t="s">
        <v>1088</v>
      </c>
      <c r="K846" s="20" t="s">
        <v>1089</v>
      </c>
      <c r="L846" s="9" t="s">
        <v>380</v>
      </c>
      <c r="M846" s="9">
        <v>10</v>
      </c>
      <c r="N846" s="9" t="s">
        <v>381</v>
      </c>
      <c r="O846" s="9" t="s">
        <v>382</v>
      </c>
      <c r="P846" s="12">
        <v>32.799999999999997</v>
      </c>
      <c r="Q846" s="12" t="s">
        <v>355</v>
      </c>
      <c r="R846" s="9" t="s">
        <v>356</v>
      </c>
      <c r="S846" s="13" t="s">
        <v>1090</v>
      </c>
      <c r="T846" s="13" t="s">
        <v>1090</v>
      </c>
      <c r="U846" s="14">
        <f t="shared" si="117"/>
        <v>1.3222192947339193</v>
      </c>
      <c r="V846" s="15">
        <v>22</v>
      </c>
      <c r="W846" s="12"/>
      <c r="X846" s="12">
        <v>1</v>
      </c>
      <c r="Y846" s="13" t="s">
        <v>355</v>
      </c>
      <c r="Z846" s="9" t="s">
        <v>359</v>
      </c>
      <c r="AA846" s="10" t="s">
        <v>1091</v>
      </c>
      <c r="AB846" s="9" t="s">
        <v>355</v>
      </c>
      <c r="AC846" s="15">
        <v>1750</v>
      </c>
      <c r="AD846" s="14">
        <f t="shared" si="118"/>
        <v>3.2430380486862944</v>
      </c>
      <c r="AE846" s="10" t="s">
        <v>1092</v>
      </c>
      <c r="AF846" s="9" t="s">
        <v>362</v>
      </c>
      <c r="AG846" s="18">
        <v>41.198611</v>
      </c>
      <c r="AH846" s="7">
        <f t="shared" si="119"/>
        <v>1</v>
      </c>
      <c r="AI846" s="7">
        <f t="shared" si="120"/>
        <v>1</v>
      </c>
      <c r="AJ846" s="7">
        <f t="shared" si="121"/>
        <v>0</v>
      </c>
      <c r="AK846" s="7">
        <f t="shared" si="122"/>
        <v>0</v>
      </c>
      <c r="AL846" s="7" t="s">
        <v>4157</v>
      </c>
      <c r="AM846" s="18">
        <f t="shared" si="123"/>
        <v>1.6148825741592463</v>
      </c>
      <c r="AN846" s="18">
        <v>-41.198611</v>
      </c>
      <c r="AO846" s="18">
        <v>-71.488611000000006</v>
      </c>
      <c r="AP846" s="9" t="s">
        <v>363</v>
      </c>
      <c r="AQ846" s="9" t="s">
        <v>355</v>
      </c>
      <c r="AR846" s="15">
        <v>2010</v>
      </c>
      <c r="AS846" s="19" t="s">
        <v>1093</v>
      </c>
      <c r="AT846" s="20" t="s">
        <v>1094</v>
      </c>
      <c r="AU846" s="40">
        <v>10320</v>
      </c>
      <c r="AV846" s="35">
        <f t="shared" si="124"/>
        <v>4.0136796972911926</v>
      </c>
      <c r="AW846" s="37" t="s">
        <v>366</v>
      </c>
      <c r="AX846" s="40">
        <v>200</v>
      </c>
      <c r="AY846" s="40">
        <v>2200</v>
      </c>
      <c r="AZ846" s="37">
        <v>75</v>
      </c>
      <c r="BA846" s="14">
        <f t="shared" si="125"/>
        <v>1.8750612633917001</v>
      </c>
      <c r="BB846" s="37" t="s">
        <v>388</v>
      </c>
      <c r="BC846" s="20">
        <v>2.3605042016806591E-2</v>
      </c>
      <c r="BD846" s="9">
        <v>16.8</v>
      </c>
      <c r="BE846" s="9" t="s">
        <v>368</v>
      </c>
      <c r="BF846" s="9">
        <v>0</v>
      </c>
    </row>
    <row r="847" spans="1:58">
      <c r="A847" s="9">
        <v>764</v>
      </c>
      <c r="B847" s="10" t="s">
        <v>76</v>
      </c>
      <c r="C847" s="10" t="s">
        <v>426</v>
      </c>
      <c r="D847" s="20" t="s">
        <v>427</v>
      </c>
      <c r="E847" s="20" t="s">
        <v>1095</v>
      </c>
      <c r="F847" s="10" t="s">
        <v>426</v>
      </c>
      <c r="G847" s="20" t="s">
        <v>427</v>
      </c>
      <c r="H847" s="20" t="s">
        <v>1095</v>
      </c>
      <c r="I847" s="10" t="s">
        <v>426</v>
      </c>
      <c r="J847" s="20" t="s">
        <v>427</v>
      </c>
      <c r="K847" s="20" t="s">
        <v>1096</v>
      </c>
      <c r="L847" s="9" t="s">
        <v>380</v>
      </c>
      <c r="M847" s="9">
        <v>10</v>
      </c>
      <c r="N847" s="9" t="s">
        <v>381</v>
      </c>
      <c r="O847" s="9" t="s">
        <v>382</v>
      </c>
      <c r="P847" s="12">
        <v>38.200000000000003</v>
      </c>
      <c r="Q847" s="12" t="s">
        <v>355</v>
      </c>
      <c r="R847" s="9" t="s">
        <v>356</v>
      </c>
      <c r="S847" s="13" t="s">
        <v>1090</v>
      </c>
      <c r="T847" s="13" t="s">
        <v>1090</v>
      </c>
      <c r="U847" s="14">
        <f t="shared" si="117"/>
        <v>1.3222192947339193</v>
      </c>
      <c r="V847" s="15">
        <v>22</v>
      </c>
      <c r="W847" s="12"/>
      <c r="X847" s="12">
        <v>1</v>
      </c>
      <c r="Y847" s="13" t="s">
        <v>355</v>
      </c>
      <c r="Z847" s="9" t="s">
        <v>359</v>
      </c>
      <c r="AA847" s="10" t="s">
        <v>1091</v>
      </c>
      <c r="AB847" s="9" t="s">
        <v>355</v>
      </c>
      <c r="AC847" s="15">
        <v>899</v>
      </c>
      <c r="AD847" s="14">
        <f t="shared" si="118"/>
        <v>2.9537596917332287</v>
      </c>
      <c r="AE847" s="10" t="s">
        <v>1097</v>
      </c>
      <c r="AF847" s="9" t="s">
        <v>362</v>
      </c>
      <c r="AG847" s="18">
        <v>41.181389000000003</v>
      </c>
      <c r="AH847" s="7">
        <f t="shared" si="119"/>
        <v>1</v>
      </c>
      <c r="AI847" s="7">
        <f t="shared" si="120"/>
        <v>1</v>
      </c>
      <c r="AJ847" s="7">
        <f t="shared" si="121"/>
        <v>0</v>
      </c>
      <c r="AK847" s="7">
        <f t="shared" si="122"/>
        <v>0</v>
      </c>
      <c r="AL847" s="7" t="s">
        <v>4157</v>
      </c>
      <c r="AM847" s="18">
        <f t="shared" si="123"/>
        <v>1.6147009907730774</v>
      </c>
      <c r="AN847" s="18">
        <v>-41.181389000000003</v>
      </c>
      <c r="AO847" s="18">
        <v>-71.320555999999996</v>
      </c>
      <c r="AP847" s="9" t="s">
        <v>363</v>
      </c>
      <c r="AQ847" s="9" t="s">
        <v>355</v>
      </c>
      <c r="AR847" s="15">
        <v>2010</v>
      </c>
      <c r="AS847" s="19" t="s">
        <v>1093</v>
      </c>
      <c r="AT847" s="20" t="s">
        <v>1094</v>
      </c>
      <c r="AU847" s="40">
        <v>649404</v>
      </c>
      <c r="AV847" s="35">
        <f t="shared" si="124"/>
        <v>5.8125149593324492</v>
      </c>
      <c r="AW847" s="37" t="s">
        <v>366</v>
      </c>
      <c r="AX847" s="34" t="s">
        <v>355</v>
      </c>
      <c r="AY847" s="40">
        <v>2300</v>
      </c>
      <c r="AZ847" s="37">
        <v>20</v>
      </c>
      <c r="BA847" s="14">
        <f t="shared" si="125"/>
        <v>1.3010299956639813</v>
      </c>
      <c r="BB847" s="37" t="s">
        <v>367</v>
      </c>
      <c r="BC847" s="20">
        <v>2.3605042016806591E-2</v>
      </c>
      <c r="BD847" s="9">
        <v>20.8</v>
      </c>
      <c r="BE847" s="9" t="s">
        <v>368</v>
      </c>
      <c r="BF847" s="9">
        <v>0</v>
      </c>
    </row>
    <row r="848" spans="1:58">
      <c r="A848" s="9">
        <v>765</v>
      </c>
      <c r="B848" s="10" t="s">
        <v>76</v>
      </c>
      <c r="C848" s="10" t="s">
        <v>389</v>
      </c>
      <c r="D848" s="20" t="s">
        <v>405</v>
      </c>
      <c r="E848" s="20" t="s">
        <v>1098</v>
      </c>
      <c r="F848" s="20" t="s">
        <v>389</v>
      </c>
      <c r="G848" s="20" t="s">
        <v>390</v>
      </c>
      <c r="H848" s="20" t="s">
        <v>1099</v>
      </c>
      <c r="I848" s="20" t="s">
        <v>389</v>
      </c>
      <c r="J848" s="20" t="s">
        <v>1100</v>
      </c>
      <c r="K848" s="20" t="s">
        <v>1098</v>
      </c>
      <c r="L848" s="9" t="s">
        <v>380</v>
      </c>
      <c r="M848" s="9">
        <v>10</v>
      </c>
      <c r="N848" s="9" t="s">
        <v>381</v>
      </c>
      <c r="O848" s="9" t="s">
        <v>382</v>
      </c>
      <c r="P848" s="12">
        <v>38.1</v>
      </c>
      <c r="Q848" s="12" t="s">
        <v>355</v>
      </c>
      <c r="R848" s="9" t="s">
        <v>356</v>
      </c>
      <c r="S848" s="13" t="s">
        <v>1090</v>
      </c>
      <c r="T848" s="13" t="s">
        <v>1090</v>
      </c>
      <c r="U848" s="14">
        <f t="shared" si="117"/>
        <v>1.3222192947339193</v>
      </c>
      <c r="V848" s="15">
        <v>22</v>
      </c>
      <c r="W848" s="12"/>
      <c r="X848" s="12">
        <v>1</v>
      </c>
      <c r="Y848" s="13" t="s">
        <v>355</v>
      </c>
      <c r="Z848" s="9" t="s">
        <v>359</v>
      </c>
      <c r="AA848" s="10" t="s">
        <v>1091</v>
      </c>
      <c r="AB848" s="9" t="s">
        <v>355</v>
      </c>
      <c r="AC848" s="15">
        <v>899</v>
      </c>
      <c r="AD848" s="14">
        <f t="shared" si="118"/>
        <v>2.9537596917332287</v>
      </c>
      <c r="AE848" s="10" t="s">
        <v>1097</v>
      </c>
      <c r="AF848" s="9" t="s">
        <v>362</v>
      </c>
      <c r="AG848" s="18">
        <v>41.181389000000003</v>
      </c>
      <c r="AH848" s="7">
        <f t="shared" si="119"/>
        <v>1</v>
      </c>
      <c r="AI848" s="7">
        <f t="shared" si="120"/>
        <v>1</v>
      </c>
      <c r="AJ848" s="7">
        <f t="shared" si="121"/>
        <v>0</v>
      </c>
      <c r="AK848" s="7">
        <f t="shared" si="122"/>
        <v>0</v>
      </c>
      <c r="AL848" s="7" t="s">
        <v>4157</v>
      </c>
      <c r="AM848" s="18">
        <f t="shared" si="123"/>
        <v>1.6147009907730774</v>
      </c>
      <c r="AN848" s="18">
        <v>-41.181389000000003</v>
      </c>
      <c r="AO848" s="18">
        <v>-71.320555999999996</v>
      </c>
      <c r="AP848" s="9" t="s">
        <v>363</v>
      </c>
      <c r="AQ848" s="9" t="s">
        <v>355</v>
      </c>
      <c r="AR848" s="15">
        <v>2010</v>
      </c>
      <c r="AS848" s="19" t="s">
        <v>1093</v>
      </c>
      <c r="AT848" s="20" t="s">
        <v>1094</v>
      </c>
      <c r="AU848" s="40">
        <v>1169456</v>
      </c>
      <c r="AV848" s="35">
        <f t="shared" si="124"/>
        <v>6.0679838864130815</v>
      </c>
      <c r="AW848" s="37" t="s">
        <v>366</v>
      </c>
      <c r="AX848" s="40">
        <v>1000</v>
      </c>
      <c r="AY848" s="40">
        <v>5100</v>
      </c>
      <c r="AZ848" s="37">
        <v>75</v>
      </c>
      <c r="BA848" s="14">
        <f t="shared" si="125"/>
        <v>1.8750612633917001</v>
      </c>
      <c r="BB848" s="37" t="s">
        <v>367</v>
      </c>
      <c r="BC848" s="20">
        <v>2.3605042016806591E-2</v>
      </c>
      <c r="BD848" s="9">
        <v>20.8</v>
      </c>
      <c r="BE848" s="9" t="s">
        <v>368</v>
      </c>
      <c r="BF848" s="9">
        <v>0</v>
      </c>
    </row>
    <row r="849" spans="1:58">
      <c r="A849" s="9">
        <v>767</v>
      </c>
      <c r="B849" s="10" t="s">
        <v>348</v>
      </c>
      <c r="C849" s="10" t="s">
        <v>377</v>
      </c>
      <c r="D849" s="20" t="s">
        <v>378</v>
      </c>
      <c r="E849" s="20" t="s">
        <v>379</v>
      </c>
      <c r="F849" s="10" t="s">
        <v>377</v>
      </c>
      <c r="G849" s="20" t="s">
        <v>378</v>
      </c>
      <c r="H849" s="20" t="s">
        <v>379</v>
      </c>
      <c r="I849" s="10" t="s">
        <v>377</v>
      </c>
      <c r="J849" s="20" t="s">
        <v>378</v>
      </c>
      <c r="K849" s="20" t="s">
        <v>379</v>
      </c>
      <c r="L849" s="9" t="s">
        <v>380</v>
      </c>
      <c r="M849" s="9">
        <v>15</v>
      </c>
      <c r="N849" s="9" t="s">
        <v>381</v>
      </c>
      <c r="O849" s="9" t="s">
        <v>382</v>
      </c>
      <c r="P849" s="12">
        <v>34.424079999999996</v>
      </c>
      <c r="Q849" s="12" t="s">
        <v>355</v>
      </c>
      <c r="R849" s="9" t="s">
        <v>356</v>
      </c>
      <c r="S849" s="13" t="s">
        <v>1101</v>
      </c>
      <c r="T849" s="13" t="s">
        <v>1101</v>
      </c>
      <c r="U849" s="14">
        <f t="shared" si="117"/>
        <v>1.3424226808222062</v>
      </c>
      <c r="V849" s="15">
        <v>10.5</v>
      </c>
      <c r="W849" s="12"/>
      <c r="X849" s="12">
        <v>1</v>
      </c>
      <c r="Y849" s="13" t="s">
        <v>384</v>
      </c>
      <c r="Z849" s="9" t="s">
        <v>359</v>
      </c>
      <c r="AA849" s="10" t="s">
        <v>372</v>
      </c>
      <c r="AB849" s="9" t="s">
        <v>355</v>
      </c>
      <c r="AC849" s="15">
        <v>689</v>
      </c>
      <c r="AD849" s="14">
        <f t="shared" si="118"/>
        <v>2.8382192219076257</v>
      </c>
      <c r="AE849" s="10" t="s">
        <v>385</v>
      </c>
      <c r="AF849" s="9" t="s">
        <v>362</v>
      </c>
      <c r="AG849" s="18">
        <v>40.841022000000002</v>
      </c>
      <c r="AH849" s="7">
        <f t="shared" si="119"/>
        <v>1</v>
      </c>
      <c r="AI849" s="7">
        <f t="shared" si="120"/>
        <v>1</v>
      </c>
      <c r="AJ849" s="7">
        <f t="shared" si="121"/>
        <v>0</v>
      </c>
      <c r="AK849" s="7">
        <f t="shared" si="122"/>
        <v>0</v>
      </c>
      <c r="AL849" s="7" t="s">
        <v>4157</v>
      </c>
      <c r="AM849" s="18">
        <f t="shared" si="123"/>
        <v>1.6110966012749866</v>
      </c>
      <c r="AN849" s="18">
        <v>40.841022000000002</v>
      </c>
      <c r="AO849" s="18">
        <v>-99.101349999999996</v>
      </c>
      <c r="AP849" s="9" t="s">
        <v>363</v>
      </c>
      <c r="AQ849" s="9" t="s">
        <v>355</v>
      </c>
      <c r="AR849" s="15">
        <v>1980</v>
      </c>
      <c r="AS849" s="19" t="s">
        <v>386</v>
      </c>
      <c r="AT849" s="20" t="s">
        <v>387</v>
      </c>
      <c r="AU849" s="34">
        <v>4317635</v>
      </c>
      <c r="AV849" s="35">
        <f t="shared" si="124"/>
        <v>6.6352459255882987</v>
      </c>
      <c r="AW849" s="36" t="s">
        <v>366</v>
      </c>
      <c r="AX849" s="34">
        <v>0</v>
      </c>
      <c r="AY849" s="34">
        <v>3660</v>
      </c>
      <c r="AZ849" s="36">
        <v>265</v>
      </c>
      <c r="BA849" s="14">
        <f t="shared" si="125"/>
        <v>2.4232458739368079</v>
      </c>
      <c r="BB849" s="36" t="s">
        <v>388</v>
      </c>
      <c r="BC849" s="20">
        <v>2.1618647458982974E-2</v>
      </c>
      <c r="BD849" s="9">
        <v>31</v>
      </c>
      <c r="BE849" s="9" t="s">
        <v>368</v>
      </c>
      <c r="BF849" s="9">
        <v>0</v>
      </c>
    </row>
    <row r="850" spans="1:58">
      <c r="A850" s="9">
        <v>9</v>
      </c>
      <c r="B850" s="10" t="s">
        <v>348</v>
      </c>
      <c r="C850" s="10" t="s">
        <v>1102</v>
      </c>
      <c r="D850" s="20" t="s">
        <v>1103</v>
      </c>
      <c r="E850" s="20" t="s">
        <v>1104</v>
      </c>
      <c r="F850" s="10" t="s">
        <v>1102</v>
      </c>
      <c r="G850" s="20" t="s">
        <v>1103</v>
      </c>
      <c r="H850" s="20" t="s">
        <v>1104</v>
      </c>
      <c r="I850" s="10" t="s">
        <v>377</v>
      </c>
      <c r="J850" s="20" t="s">
        <v>1103</v>
      </c>
      <c r="K850" s="20" t="s">
        <v>1104</v>
      </c>
      <c r="L850" s="9" t="s">
        <v>380</v>
      </c>
      <c r="M850" s="9">
        <v>12</v>
      </c>
      <c r="N850" s="9" t="s">
        <v>381</v>
      </c>
      <c r="O850" s="9" t="s">
        <v>382</v>
      </c>
      <c r="P850" s="12">
        <v>29.1</v>
      </c>
      <c r="Q850" s="12" t="s">
        <v>355</v>
      </c>
      <c r="R850" s="9" t="s">
        <v>356</v>
      </c>
      <c r="S850" s="13">
        <v>21</v>
      </c>
      <c r="T850" s="13">
        <v>21</v>
      </c>
      <c r="U850" s="14">
        <f t="shared" si="117"/>
        <v>1.3424226808222062</v>
      </c>
      <c r="V850" s="15">
        <v>14</v>
      </c>
      <c r="W850" s="12"/>
      <c r="X850" s="12">
        <v>0.6</v>
      </c>
      <c r="Y850" s="13" t="s">
        <v>854</v>
      </c>
      <c r="Z850" s="9" t="s">
        <v>359</v>
      </c>
      <c r="AA850" s="10" t="s">
        <v>1065</v>
      </c>
      <c r="AB850" s="9" t="s">
        <v>355</v>
      </c>
      <c r="AC850" s="15">
        <v>790</v>
      </c>
      <c r="AD850" s="14">
        <f t="shared" si="118"/>
        <v>2.8976270912904414</v>
      </c>
      <c r="AE850" s="10" t="s">
        <v>1105</v>
      </c>
      <c r="AF850" s="9" t="s">
        <v>362</v>
      </c>
      <c r="AG850" s="18">
        <v>43.158911000000003</v>
      </c>
      <c r="AH850" s="7">
        <f t="shared" si="119"/>
        <v>1</v>
      </c>
      <c r="AI850" s="7">
        <f t="shared" si="120"/>
        <v>1</v>
      </c>
      <c r="AJ850" s="7">
        <f t="shared" si="121"/>
        <v>0</v>
      </c>
      <c r="AK850" s="7">
        <f t="shared" si="122"/>
        <v>0</v>
      </c>
      <c r="AL850" s="7" t="s">
        <v>4157</v>
      </c>
      <c r="AM850" s="18">
        <f t="shared" si="123"/>
        <v>1.6350704778862781</v>
      </c>
      <c r="AN850" s="18">
        <v>43.158911000000003</v>
      </c>
      <c r="AO850" s="18">
        <v>-122.95398299999999</v>
      </c>
      <c r="AP850" s="9" t="s">
        <v>363</v>
      </c>
      <c r="AQ850" s="9" t="s">
        <v>355</v>
      </c>
      <c r="AR850" s="15">
        <v>2008</v>
      </c>
      <c r="AS850" s="19" t="s">
        <v>857</v>
      </c>
      <c r="AT850" s="20" t="s">
        <v>858</v>
      </c>
      <c r="AU850" s="34">
        <v>169585</v>
      </c>
      <c r="AV850" s="35">
        <f t="shared" si="124"/>
        <v>5.2293874357430763</v>
      </c>
      <c r="AW850" s="36" t="s">
        <v>366</v>
      </c>
      <c r="AX850" s="34">
        <v>0</v>
      </c>
      <c r="AY850" s="34">
        <v>2160</v>
      </c>
      <c r="AZ850" s="36">
        <v>265</v>
      </c>
      <c r="BA850" s="14">
        <f t="shared" si="125"/>
        <v>2.4232458739368079</v>
      </c>
      <c r="BB850" s="36" t="s">
        <v>388</v>
      </c>
      <c r="BC850" s="20">
        <v>5.1524609843937186E-3</v>
      </c>
      <c r="BD850" s="9">
        <v>26.5</v>
      </c>
      <c r="BE850" s="9" t="s">
        <v>368</v>
      </c>
      <c r="BF850" s="9">
        <v>0</v>
      </c>
    </row>
    <row r="851" spans="1:58">
      <c r="A851" s="9">
        <v>574</v>
      </c>
      <c r="B851" s="10" t="s">
        <v>348</v>
      </c>
      <c r="C851" s="10" t="s">
        <v>888</v>
      </c>
      <c r="D851" s="20" t="s">
        <v>889</v>
      </c>
      <c r="E851" s="20" t="s">
        <v>890</v>
      </c>
      <c r="F851" s="10" t="s">
        <v>888</v>
      </c>
      <c r="G851" s="20" t="s">
        <v>889</v>
      </c>
      <c r="H851" s="20" t="s">
        <v>890</v>
      </c>
      <c r="I851" s="10" t="s">
        <v>888</v>
      </c>
      <c r="J851" s="20" t="s">
        <v>889</v>
      </c>
      <c r="K851" s="20" t="s">
        <v>890</v>
      </c>
      <c r="L851" s="9" t="s">
        <v>352</v>
      </c>
      <c r="M851" s="9">
        <v>9</v>
      </c>
      <c r="N851" s="9" t="s">
        <v>353</v>
      </c>
      <c r="O851" s="9" t="s">
        <v>354</v>
      </c>
      <c r="P851" s="12">
        <v>33.9</v>
      </c>
      <c r="Q851" s="12" t="s">
        <v>355</v>
      </c>
      <c r="R851" s="9" t="s">
        <v>356</v>
      </c>
      <c r="S851" s="13">
        <v>21</v>
      </c>
      <c r="T851" s="13">
        <v>21</v>
      </c>
      <c r="U851" s="14">
        <f t="shared" si="117"/>
        <v>1.3424226808222062</v>
      </c>
      <c r="V851" s="15">
        <v>15</v>
      </c>
      <c r="W851" s="12">
        <v>6.4747272000000002</v>
      </c>
      <c r="X851" s="12">
        <v>1</v>
      </c>
      <c r="Y851" s="13" t="s">
        <v>358</v>
      </c>
      <c r="Z851" s="9" t="s">
        <v>417</v>
      </c>
      <c r="AA851" s="10" t="s">
        <v>418</v>
      </c>
      <c r="AB851" s="9" t="s">
        <v>355</v>
      </c>
      <c r="AC851" s="43">
        <v>309</v>
      </c>
      <c r="AD851" s="14">
        <f t="shared" si="118"/>
        <v>2.4899584794248346</v>
      </c>
      <c r="AE851" s="10" t="s">
        <v>402</v>
      </c>
      <c r="AF851" s="44" t="s">
        <v>362</v>
      </c>
      <c r="AG851" s="18">
        <v>40.407006500000001</v>
      </c>
      <c r="AH851" s="7">
        <f t="shared" si="119"/>
        <v>1</v>
      </c>
      <c r="AI851" s="7">
        <f t="shared" si="120"/>
        <v>1</v>
      </c>
      <c r="AJ851" s="7">
        <f t="shared" si="121"/>
        <v>0</v>
      </c>
      <c r="AK851" s="7">
        <f t="shared" si="122"/>
        <v>0</v>
      </c>
      <c r="AL851" s="7" t="s">
        <v>4157</v>
      </c>
      <c r="AM851" s="18">
        <f t="shared" si="123"/>
        <v>1.6064566774981535</v>
      </c>
      <c r="AN851" s="45">
        <v>40.407006500000001</v>
      </c>
      <c r="AO851" s="45">
        <v>-84.204712000000001</v>
      </c>
      <c r="AP851" s="9" t="s">
        <v>402</v>
      </c>
      <c r="AQ851" s="9" t="s">
        <v>403</v>
      </c>
      <c r="AR851" s="15">
        <v>1982</v>
      </c>
      <c r="AS851" s="19" t="s">
        <v>1106</v>
      </c>
      <c r="AT851" s="20" t="s">
        <v>1107</v>
      </c>
      <c r="AU851" s="34">
        <v>1881755</v>
      </c>
      <c r="AV851" s="35">
        <f t="shared" si="124"/>
        <v>6.2745630786691242</v>
      </c>
      <c r="AW851" s="36" t="s">
        <v>366</v>
      </c>
      <c r="AX851" s="34">
        <v>0</v>
      </c>
      <c r="AY851" s="34" t="s">
        <v>355</v>
      </c>
      <c r="AZ851" s="15">
        <v>265</v>
      </c>
      <c r="BA851" s="14">
        <f t="shared" si="125"/>
        <v>2.4232458739368079</v>
      </c>
      <c r="BB851" s="36" t="s">
        <v>343</v>
      </c>
      <c r="BC851" s="20">
        <v>7.5946378551417781E-3</v>
      </c>
      <c r="BD851" s="9">
        <v>28.8</v>
      </c>
      <c r="BE851" s="9" t="s">
        <v>368</v>
      </c>
      <c r="BF851" s="9">
        <v>0</v>
      </c>
    </row>
    <row r="852" spans="1:58">
      <c r="A852" s="9">
        <v>132</v>
      </c>
      <c r="B852" s="10" t="s">
        <v>348</v>
      </c>
      <c r="C852" s="10" t="s">
        <v>377</v>
      </c>
      <c r="D852" s="20" t="s">
        <v>378</v>
      </c>
      <c r="E852" s="20" t="s">
        <v>1108</v>
      </c>
      <c r="F852" s="10" t="s">
        <v>377</v>
      </c>
      <c r="G852" s="20" t="s">
        <v>378</v>
      </c>
      <c r="H852" s="20" t="s">
        <v>1108</v>
      </c>
      <c r="I852" s="10" t="s">
        <v>377</v>
      </c>
      <c r="J852" s="20" t="s">
        <v>378</v>
      </c>
      <c r="K852" s="20" t="s">
        <v>1108</v>
      </c>
      <c r="L852" s="9" t="s">
        <v>352</v>
      </c>
      <c r="M852" s="9">
        <v>4</v>
      </c>
      <c r="N852" s="9" t="s">
        <v>353</v>
      </c>
      <c r="O852" s="9" t="s">
        <v>354</v>
      </c>
      <c r="P852" s="12">
        <v>36.750729999999997</v>
      </c>
      <c r="Q852" s="12" t="s">
        <v>355</v>
      </c>
      <c r="R852" s="9" t="s">
        <v>356</v>
      </c>
      <c r="S852" s="13">
        <v>30</v>
      </c>
      <c r="T852" s="13">
        <v>30</v>
      </c>
      <c r="U852" s="14">
        <f t="shared" si="117"/>
        <v>1.4913616938342726</v>
      </c>
      <c r="V852" s="15">
        <v>20</v>
      </c>
      <c r="W852" s="12">
        <v>10.147546099999996</v>
      </c>
      <c r="X852" s="12">
        <v>1</v>
      </c>
      <c r="Y852" s="13" t="s">
        <v>355</v>
      </c>
      <c r="Z852" s="9" t="s">
        <v>417</v>
      </c>
      <c r="AA852" s="10" t="s">
        <v>418</v>
      </c>
      <c r="AB852" s="9" t="s">
        <v>355</v>
      </c>
      <c r="AC852" s="15">
        <v>30</v>
      </c>
      <c r="AD852" s="14">
        <f t="shared" si="118"/>
        <v>1.4771212547196624</v>
      </c>
      <c r="AE852" s="10" t="s">
        <v>1109</v>
      </c>
      <c r="AF852" s="9" t="s">
        <v>362</v>
      </c>
      <c r="AG852" s="18">
        <v>44.97504</v>
      </c>
      <c r="AH852" s="7">
        <f t="shared" si="119"/>
        <v>1</v>
      </c>
      <c r="AI852" s="7">
        <f t="shared" si="120"/>
        <v>1</v>
      </c>
      <c r="AJ852" s="7">
        <f t="shared" si="121"/>
        <v>0</v>
      </c>
      <c r="AK852" s="7">
        <f t="shared" si="122"/>
        <v>0</v>
      </c>
      <c r="AL852" s="7" t="s">
        <v>4157</v>
      </c>
      <c r="AM852" s="18">
        <f t="shared" si="123"/>
        <v>1.6529715582715423</v>
      </c>
      <c r="AN852" s="18">
        <v>44.97504</v>
      </c>
      <c r="AO852" s="18">
        <v>-73.300130999999993</v>
      </c>
      <c r="AP852" s="9" t="s">
        <v>363</v>
      </c>
      <c r="AQ852" s="9" t="s">
        <v>355</v>
      </c>
      <c r="AR852" s="15">
        <v>1961</v>
      </c>
      <c r="AS852" s="19" t="s">
        <v>1110</v>
      </c>
      <c r="AT852" s="20" t="s">
        <v>1111</v>
      </c>
      <c r="AU852" s="34">
        <v>1761812</v>
      </c>
      <c r="AV852" s="35">
        <f t="shared" si="124"/>
        <v>6.2459595637135603</v>
      </c>
      <c r="AW852" s="36" t="s">
        <v>366</v>
      </c>
      <c r="AX852" s="34" t="s">
        <v>355</v>
      </c>
      <c r="AY852" s="34" t="s">
        <v>355</v>
      </c>
      <c r="AZ852" s="15">
        <v>78</v>
      </c>
      <c r="BA852" s="14">
        <f t="shared" si="125"/>
        <v>1.8920946026904804</v>
      </c>
      <c r="BB852" s="36" t="s">
        <v>388</v>
      </c>
      <c r="BC852" s="20">
        <v>4.3668667466986742E-2</v>
      </c>
      <c r="BD852" s="9">
        <v>26.900000000000002</v>
      </c>
      <c r="BE852" s="9" t="s">
        <v>368</v>
      </c>
      <c r="BF852" s="9">
        <v>0</v>
      </c>
    </row>
    <row r="853" spans="1:58">
      <c r="A853" s="9">
        <v>128</v>
      </c>
      <c r="B853" s="10" t="s">
        <v>348</v>
      </c>
      <c r="C853" s="10" t="s">
        <v>377</v>
      </c>
      <c r="D853" s="20" t="s">
        <v>378</v>
      </c>
      <c r="E853" s="20" t="s">
        <v>1112</v>
      </c>
      <c r="F853" s="10" t="s">
        <v>377</v>
      </c>
      <c r="G853" s="20" t="s">
        <v>378</v>
      </c>
      <c r="H853" s="20" t="s">
        <v>1112</v>
      </c>
      <c r="I853" s="10" t="s">
        <v>377</v>
      </c>
      <c r="J853" s="20" t="s">
        <v>378</v>
      </c>
      <c r="K853" s="20" t="s">
        <v>1112</v>
      </c>
      <c r="L853" s="9" t="s">
        <v>352</v>
      </c>
      <c r="M853" s="9">
        <v>9</v>
      </c>
      <c r="N853" s="9" t="s">
        <v>353</v>
      </c>
      <c r="O853" s="9" t="s">
        <v>354</v>
      </c>
      <c r="P853" s="12">
        <v>37.787550000000003</v>
      </c>
      <c r="Q853" s="12" t="s">
        <v>355</v>
      </c>
      <c r="R853" s="9" t="s">
        <v>356</v>
      </c>
      <c r="S853" s="13">
        <v>30</v>
      </c>
      <c r="T853" s="13">
        <v>30</v>
      </c>
      <c r="U853" s="14">
        <f t="shared" si="117"/>
        <v>1.4913616938342726</v>
      </c>
      <c r="V853" s="15">
        <v>20</v>
      </c>
      <c r="W853" s="12">
        <v>7.3873515999999988</v>
      </c>
      <c r="X853" s="12">
        <v>1</v>
      </c>
      <c r="Y853" s="13" t="s">
        <v>355</v>
      </c>
      <c r="Z853" s="9" t="s">
        <v>417</v>
      </c>
      <c r="AA853" s="10" t="s">
        <v>418</v>
      </c>
      <c r="AB853" s="9" t="s">
        <v>355</v>
      </c>
      <c r="AC853" s="15">
        <v>21</v>
      </c>
      <c r="AD853" s="14">
        <f t="shared" si="118"/>
        <v>1.3222192947339193</v>
      </c>
      <c r="AE853" s="10" t="s">
        <v>1113</v>
      </c>
      <c r="AF853" s="9" t="s">
        <v>420</v>
      </c>
      <c r="AG853" s="18">
        <v>34.588239999999999</v>
      </c>
      <c r="AH853" s="7">
        <f t="shared" si="119"/>
        <v>1</v>
      </c>
      <c r="AI853" s="7">
        <f t="shared" si="120"/>
        <v>1</v>
      </c>
      <c r="AJ853" s="7">
        <f t="shared" si="121"/>
        <v>0</v>
      </c>
      <c r="AK853" s="7">
        <f t="shared" si="122"/>
        <v>0</v>
      </c>
      <c r="AL853" s="7" t="s">
        <v>4157</v>
      </c>
      <c r="AM853" s="18">
        <f t="shared" si="123"/>
        <v>1.5389284637855452</v>
      </c>
      <c r="AN853" s="18">
        <v>34.588239999999999</v>
      </c>
      <c r="AO853" s="18">
        <v>-78.566085000000001</v>
      </c>
      <c r="AP853" s="9" t="s">
        <v>363</v>
      </c>
      <c r="AQ853" s="9" t="s">
        <v>355</v>
      </c>
      <c r="AR853" s="15">
        <v>1961</v>
      </c>
      <c r="AS853" s="19" t="s">
        <v>1110</v>
      </c>
      <c r="AT853" s="20" t="s">
        <v>1111</v>
      </c>
      <c r="AU853" s="34">
        <v>112040</v>
      </c>
      <c r="AV853" s="35">
        <f t="shared" si="124"/>
        <v>5.0493731001515307</v>
      </c>
      <c r="AW853" s="36" t="s">
        <v>366</v>
      </c>
      <c r="AX853" s="34" t="s">
        <v>355</v>
      </c>
      <c r="AY853" s="34" t="s">
        <v>355</v>
      </c>
      <c r="AZ853" s="15">
        <v>78</v>
      </c>
      <c r="BA853" s="14">
        <f t="shared" si="125"/>
        <v>1.8920946026904804</v>
      </c>
      <c r="BB853" s="36" t="s">
        <v>388</v>
      </c>
      <c r="BC853" s="20">
        <v>1.5567026810724499E-2</v>
      </c>
      <c r="BD853" s="9">
        <v>31.400000000000002</v>
      </c>
      <c r="BE853" s="9" t="s">
        <v>368</v>
      </c>
      <c r="BF853" s="9">
        <v>0</v>
      </c>
    </row>
    <row r="854" spans="1:58">
      <c r="A854" s="9">
        <v>129</v>
      </c>
      <c r="B854" s="10" t="s">
        <v>348</v>
      </c>
      <c r="C854" s="10" t="s">
        <v>377</v>
      </c>
      <c r="D854" s="20" t="s">
        <v>378</v>
      </c>
      <c r="E854" s="20" t="s">
        <v>700</v>
      </c>
      <c r="F854" s="10" t="s">
        <v>377</v>
      </c>
      <c r="G854" s="20" t="s">
        <v>378</v>
      </c>
      <c r="H854" s="20" t="s">
        <v>700</v>
      </c>
      <c r="I854" s="10" t="s">
        <v>377</v>
      </c>
      <c r="J854" s="20" t="s">
        <v>378</v>
      </c>
      <c r="K854" s="20" t="s">
        <v>700</v>
      </c>
      <c r="L854" s="9" t="s">
        <v>352</v>
      </c>
      <c r="M854" s="9">
        <v>4</v>
      </c>
      <c r="N854" s="9" t="s">
        <v>353</v>
      </c>
      <c r="O854" s="9" t="s">
        <v>354</v>
      </c>
      <c r="P854" s="12">
        <v>37.21228</v>
      </c>
      <c r="Q854" s="12" t="s">
        <v>355</v>
      </c>
      <c r="R854" s="9" t="s">
        <v>356</v>
      </c>
      <c r="S854" s="13">
        <v>30</v>
      </c>
      <c r="T854" s="13">
        <v>30</v>
      </c>
      <c r="U854" s="14">
        <f t="shared" si="117"/>
        <v>1.4913616938342726</v>
      </c>
      <c r="V854" s="15">
        <v>20</v>
      </c>
      <c r="W854" s="12">
        <v>6.5589472999999998</v>
      </c>
      <c r="X854" s="12">
        <v>1</v>
      </c>
      <c r="Y854" s="13" t="s">
        <v>355</v>
      </c>
      <c r="Z854" s="9" t="s">
        <v>417</v>
      </c>
      <c r="AA854" s="10" t="s">
        <v>418</v>
      </c>
      <c r="AB854" s="9" t="s">
        <v>355</v>
      </c>
      <c r="AC854" s="15">
        <v>111</v>
      </c>
      <c r="AD854" s="14">
        <f t="shared" si="118"/>
        <v>2.0453229787866576</v>
      </c>
      <c r="AE854" s="10" t="s">
        <v>1114</v>
      </c>
      <c r="AF854" s="9" t="s">
        <v>420</v>
      </c>
      <c r="AG854" s="18">
        <v>35.994033000000002</v>
      </c>
      <c r="AH854" s="7">
        <f t="shared" si="119"/>
        <v>1</v>
      </c>
      <c r="AI854" s="7">
        <f t="shared" si="120"/>
        <v>1</v>
      </c>
      <c r="AJ854" s="7">
        <f t="shared" si="121"/>
        <v>0</v>
      </c>
      <c r="AK854" s="7">
        <f t="shared" si="122"/>
        <v>0</v>
      </c>
      <c r="AL854" s="7" t="s">
        <v>4157</v>
      </c>
      <c r="AM854" s="18">
        <f t="shared" si="123"/>
        <v>1.5562305104905527</v>
      </c>
      <c r="AN854" s="18">
        <v>35.994033000000002</v>
      </c>
      <c r="AO854" s="18">
        <v>-78.898618999999997</v>
      </c>
      <c r="AP854" s="9" t="s">
        <v>363</v>
      </c>
      <c r="AQ854" s="9" t="s">
        <v>355</v>
      </c>
      <c r="AR854" s="15">
        <v>1961</v>
      </c>
      <c r="AS854" s="19" t="s">
        <v>1110</v>
      </c>
      <c r="AT854" s="20" t="s">
        <v>1111</v>
      </c>
      <c r="AU854" s="34">
        <v>2989256</v>
      </c>
      <c r="AV854" s="35">
        <f t="shared" si="124"/>
        <v>6.4755631096282826</v>
      </c>
      <c r="AW854" s="36" t="s">
        <v>366</v>
      </c>
      <c r="AX854" s="34" t="s">
        <v>355</v>
      </c>
      <c r="AY854" s="34" t="s">
        <v>355</v>
      </c>
      <c r="AZ854" s="15">
        <v>154</v>
      </c>
      <c r="BA854" s="14">
        <f t="shared" si="125"/>
        <v>2.1875207208364631</v>
      </c>
      <c r="BB854" s="36" t="s">
        <v>388</v>
      </c>
      <c r="BC854" s="20">
        <v>2.4533813525410383E-2</v>
      </c>
      <c r="BD854" s="9">
        <v>31.700000000000003</v>
      </c>
      <c r="BE854" s="9" t="s">
        <v>368</v>
      </c>
      <c r="BF854" s="9">
        <v>0</v>
      </c>
    </row>
    <row r="855" spans="1:58">
      <c r="A855" s="9">
        <v>130</v>
      </c>
      <c r="B855" s="10" t="s">
        <v>348</v>
      </c>
      <c r="C855" s="10" t="s">
        <v>377</v>
      </c>
      <c r="D855" s="20" t="s">
        <v>378</v>
      </c>
      <c r="E855" s="20" t="s">
        <v>1115</v>
      </c>
      <c r="F855" s="10" t="s">
        <v>377</v>
      </c>
      <c r="G855" s="20" t="s">
        <v>378</v>
      </c>
      <c r="H855" s="20" t="s">
        <v>1115</v>
      </c>
      <c r="I855" s="10" t="s">
        <v>377</v>
      </c>
      <c r="J855" s="20" t="s">
        <v>378</v>
      </c>
      <c r="K855" s="20" t="s">
        <v>1115</v>
      </c>
      <c r="L855" s="9" t="s">
        <v>352</v>
      </c>
      <c r="M855" s="9">
        <v>9</v>
      </c>
      <c r="N855" s="9" t="s">
        <v>353</v>
      </c>
      <c r="O855" s="9" t="s">
        <v>354</v>
      </c>
      <c r="P855" s="12">
        <v>37.008600000000001</v>
      </c>
      <c r="Q855" s="12" t="s">
        <v>355</v>
      </c>
      <c r="R855" s="9" t="s">
        <v>356</v>
      </c>
      <c r="S855" s="13">
        <v>30</v>
      </c>
      <c r="T855" s="13">
        <v>30</v>
      </c>
      <c r="U855" s="14">
        <f t="shared" si="117"/>
        <v>1.4913616938342726</v>
      </c>
      <c r="V855" s="15">
        <v>20</v>
      </c>
      <c r="W855" s="12">
        <v>6.3552673000000013</v>
      </c>
      <c r="X855" s="12">
        <v>1</v>
      </c>
      <c r="Y855" s="13" t="s">
        <v>355</v>
      </c>
      <c r="Z855" s="9" t="s">
        <v>417</v>
      </c>
      <c r="AA855" s="10" t="s">
        <v>418</v>
      </c>
      <c r="AB855" s="9" t="s">
        <v>355</v>
      </c>
      <c r="AC855" s="15">
        <v>111</v>
      </c>
      <c r="AD855" s="14">
        <f t="shared" si="118"/>
        <v>2.0453229787866576</v>
      </c>
      <c r="AE855" s="10" t="s">
        <v>1114</v>
      </c>
      <c r="AF855" s="9" t="s">
        <v>420</v>
      </c>
      <c r="AG855" s="18">
        <v>35.994033000000002</v>
      </c>
      <c r="AH855" s="7">
        <f t="shared" si="119"/>
        <v>1</v>
      </c>
      <c r="AI855" s="7">
        <f t="shared" si="120"/>
        <v>1</v>
      </c>
      <c r="AJ855" s="7">
        <f t="shared" si="121"/>
        <v>0</v>
      </c>
      <c r="AK855" s="7">
        <f t="shared" si="122"/>
        <v>0</v>
      </c>
      <c r="AL855" s="7" t="s">
        <v>4157</v>
      </c>
      <c r="AM855" s="18">
        <f t="shared" si="123"/>
        <v>1.5562305104905527</v>
      </c>
      <c r="AN855" s="18">
        <v>35.994033000000002</v>
      </c>
      <c r="AO855" s="18">
        <v>-78.898618999999997</v>
      </c>
      <c r="AP855" s="9" t="s">
        <v>363</v>
      </c>
      <c r="AQ855" s="9" t="s">
        <v>355</v>
      </c>
      <c r="AR855" s="15">
        <v>1961</v>
      </c>
      <c r="AS855" s="19" t="s">
        <v>1110</v>
      </c>
      <c r="AT855" s="20" t="s">
        <v>1111</v>
      </c>
      <c r="AU855" s="34">
        <v>1683604</v>
      </c>
      <c r="AV855" s="35">
        <f t="shared" si="124"/>
        <v>6.2262399488981899</v>
      </c>
      <c r="AW855" s="36" t="s">
        <v>366</v>
      </c>
      <c r="AX855" s="34" t="s">
        <v>355</v>
      </c>
      <c r="AY855" s="34" t="s">
        <v>355</v>
      </c>
      <c r="AZ855" s="15">
        <v>78</v>
      </c>
      <c r="BA855" s="14">
        <f t="shared" si="125"/>
        <v>1.8920946026904804</v>
      </c>
      <c r="BB855" s="36" t="s">
        <v>388</v>
      </c>
      <c r="BC855" s="20">
        <v>2.4533813525410383E-2</v>
      </c>
      <c r="BD855" s="9">
        <v>31.700000000000003</v>
      </c>
      <c r="BE855" s="9" t="s">
        <v>368</v>
      </c>
      <c r="BF855" s="9">
        <v>0</v>
      </c>
    </row>
    <row r="856" spans="1:58">
      <c r="A856" s="9">
        <v>131</v>
      </c>
      <c r="B856" s="10" t="s">
        <v>348</v>
      </c>
      <c r="C856" s="10" t="s">
        <v>377</v>
      </c>
      <c r="D856" s="20" t="s">
        <v>378</v>
      </c>
      <c r="E856" s="20" t="s">
        <v>1116</v>
      </c>
      <c r="F856" s="10" t="s">
        <v>377</v>
      </c>
      <c r="G856" s="20" t="s">
        <v>378</v>
      </c>
      <c r="H856" s="20" t="s">
        <v>1116</v>
      </c>
      <c r="I856" s="10" t="s">
        <v>377</v>
      </c>
      <c r="J856" s="20" t="s">
        <v>378</v>
      </c>
      <c r="K856" s="20" t="s">
        <v>1116</v>
      </c>
      <c r="L856" s="9" t="s">
        <v>352</v>
      </c>
      <c r="M856" s="9">
        <v>3</v>
      </c>
      <c r="N856" s="9" t="s">
        <v>353</v>
      </c>
      <c r="O856" s="9" t="s">
        <v>354</v>
      </c>
      <c r="P856" s="12">
        <v>37.635069999999999</v>
      </c>
      <c r="Q856" s="12" t="s">
        <v>355</v>
      </c>
      <c r="R856" s="9" t="s">
        <v>356</v>
      </c>
      <c r="S856" s="13">
        <v>30</v>
      </c>
      <c r="T856" s="13">
        <v>30</v>
      </c>
      <c r="U856" s="14">
        <f t="shared" si="117"/>
        <v>1.4913616938342726</v>
      </c>
      <c r="V856" s="15">
        <v>20</v>
      </c>
      <c r="W856" s="12">
        <v>7.066115400000001</v>
      </c>
      <c r="X856" s="12">
        <v>1</v>
      </c>
      <c r="Y856" s="13" t="s">
        <v>355</v>
      </c>
      <c r="Z856" s="9" t="s">
        <v>417</v>
      </c>
      <c r="AA856" s="10" t="s">
        <v>418</v>
      </c>
      <c r="AB856" s="9" t="s">
        <v>355</v>
      </c>
      <c r="AC856" s="15">
        <v>4</v>
      </c>
      <c r="AD856" s="14">
        <f t="shared" si="118"/>
        <v>0.6020599913279624</v>
      </c>
      <c r="AE856" s="10" t="s">
        <v>1117</v>
      </c>
      <c r="AF856" s="9" t="s">
        <v>420</v>
      </c>
      <c r="AG856" s="18">
        <v>32.776474999999998</v>
      </c>
      <c r="AH856" s="7">
        <f t="shared" si="119"/>
        <v>1</v>
      </c>
      <c r="AI856" s="7">
        <f t="shared" si="120"/>
        <v>1</v>
      </c>
      <c r="AJ856" s="7">
        <f t="shared" si="121"/>
        <v>0</v>
      </c>
      <c r="AK856" s="7">
        <f t="shared" si="122"/>
        <v>0</v>
      </c>
      <c r="AL856" s="7" t="s">
        <v>4157</v>
      </c>
      <c r="AM856" s="18">
        <f t="shared" si="123"/>
        <v>1.5155622448303712</v>
      </c>
      <c r="AN856" s="18">
        <v>32.776474999999998</v>
      </c>
      <c r="AO856" s="18">
        <v>-79.931050999999997</v>
      </c>
      <c r="AP856" s="9" t="s">
        <v>363</v>
      </c>
      <c r="AQ856" s="9" t="s">
        <v>355</v>
      </c>
      <c r="AR856" s="15">
        <v>1961</v>
      </c>
      <c r="AS856" s="19" t="s">
        <v>1110</v>
      </c>
      <c r="AT856" s="20" t="s">
        <v>1111</v>
      </c>
      <c r="AU856" s="34">
        <v>678496</v>
      </c>
      <c r="AV856" s="35">
        <f t="shared" si="124"/>
        <v>5.8315472916670181</v>
      </c>
      <c r="AW856" s="36" t="s">
        <v>366</v>
      </c>
      <c r="AX856" s="34" t="s">
        <v>355</v>
      </c>
      <c r="AY856" s="34" t="s">
        <v>355</v>
      </c>
      <c r="AZ856" s="15">
        <v>78</v>
      </c>
      <c r="BA856" s="14">
        <f t="shared" si="125"/>
        <v>1.8920946026904804</v>
      </c>
      <c r="BB856" s="36" t="s">
        <v>388</v>
      </c>
      <c r="BC856" s="20">
        <v>1.5774709883953408E-2</v>
      </c>
      <c r="BD856" s="9">
        <v>31.6</v>
      </c>
      <c r="BE856" s="9" t="s">
        <v>368</v>
      </c>
      <c r="BF856" s="9">
        <v>0</v>
      </c>
    </row>
    <row r="857" spans="1:58">
      <c r="A857" s="9">
        <v>134</v>
      </c>
      <c r="B857" s="10" t="s">
        <v>348</v>
      </c>
      <c r="C857" s="10" t="s">
        <v>1118</v>
      </c>
      <c r="D857" s="20" t="s">
        <v>1119</v>
      </c>
      <c r="E857" s="20" t="s">
        <v>1120</v>
      </c>
      <c r="F857" s="10" t="s">
        <v>1118</v>
      </c>
      <c r="G857" s="20" t="s">
        <v>1119</v>
      </c>
      <c r="H857" s="20" t="s">
        <v>1120</v>
      </c>
      <c r="I857" s="10" t="s">
        <v>1118</v>
      </c>
      <c r="J857" s="20" t="s">
        <v>1119</v>
      </c>
      <c r="K857" s="20" t="s">
        <v>1120</v>
      </c>
      <c r="L857" s="9" t="s">
        <v>352</v>
      </c>
      <c r="M857" s="9">
        <v>3</v>
      </c>
      <c r="N857" s="9" t="s">
        <v>353</v>
      </c>
      <c r="O857" s="9" t="s">
        <v>354</v>
      </c>
      <c r="P857" s="12">
        <v>37.11168</v>
      </c>
      <c r="Q857" s="12" t="s">
        <v>355</v>
      </c>
      <c r="R857" s="9" t="s">
        <v>356</v>
      </c>
      <c r="S857" s="13">
        <v>30</v>
      </c>
      <c r="T857" s="13">
        <v>30</v>
      </c>
      <c r="U857" s="14">
        <f t="shared" si="117"/>
        <v>1.4913616938342726</v>
      </c>
      <c r="V857" s="15">
        <v>20</v>
      </c>
      <c r="W857" s="12">
        <v>5.6145662999999999</v>
      </c>
      <c r="X857" s="12">
        <v>1</v>
      </c>
      <c r="Y857" s="13" t="s">
        <v>355</v>
      </c>
      <c r="Z857" s="9" t="s">
        <v>417</v>
      </c>
      <c r="AA857" s="10" t="s">
        <v>418</v>
      </c>
      <c r="AB857" s="9" t="s">
        <v>355</v>
      </c>
      <c r="AC857" s="15">
        <v>6</v>
      </c>
      <c r="AD857" s="14">
        <f t="shared" si="118"/>
        <v>0.77815125038364363</v>
      </c>
      <c r="AE857" s="10" t="s">
        <v>1121</v>
      </c>
      <c r="AF857" s="9" t="s">
        <v>420</v>
      </c>
      <c r="AG857" s="18">
        <v>29.742663</v>
      </c>
      <c r="AH857" s="7">
        <f t="shared" si="119"/>
        <v>1</v>
      </c>
      <c r="AI857" s="7">
        <f t="shared" si="120"/>
        <v>0</v>
      </c>
      <c r="AJ857" s="7">
        <f t="shared" si="121"/>
        <v>0</v>
      </c>
      <c r="AK857" s="7">
        <f t="shared" si="122"/>
        <v>0</v>
      </c>
      <c r="AL857" s="7" t="s">
        <v>4159</v>
      </c>
      <c r="AM857" s="18">
        <f t="shared" si="123"/>
        <v>1.4733798503469697</v>
      </c>
      <c r="AN857" s="18">
        <v>29.742663</v>
      </c>
      <c r="AO857" s="18">
        <v>-90.819528000000005</v>
      </c>
      <c r="AP857" s="9" t="s">
        <v>363</v>
      </c>
      <c r="AQ857" s="9" t="s">
        <v>355</v>
      </c>
      <c r="AR857" s="15">
        <v>1961</v>
      </c>
      <c r="AS857" s="19" t="s">
        <v>1110</v>
      </c>
      <c r="AT857" s="20" t="s">
        <v>1111</v>
      </c>
      <c r="AU857" s="34">
        <v>491850</v>
      </c>
      <c r="AV857" s="35">
        <f t="shared" si="124"/>
        <v>5.6918326757250464</v>
      </c>
      <c r="AW857" s="36" t="s">
        <v>366</v>
      </c>
      <c r="AX857" s="34" t="s">
        <v>355</v>
      </c>
      <c r="AY857" s="34" t="s">
        <v>355</v>
      </c>
      <c r="AZ857" s="15">
        <v>334</v>
      </c>
      <c r="BA857" s="14">
        <f t="shared" si="125"/>
        <v>2.5237464668115646</v>
      </c>
      <c r="BB857" s="36" t="s">
        <v>343</v>
      </c>
      <c r="BC857" s="20">
        <v>1.5170868347339E-2</v>
      </c>
      <c r="BD857" s="9">
        <v>32.700000000000003</v>
      </c>
      <c r="BE857" s="9" t="s">
        <v>368</v>
      </c>
      <c r="BF857" s="9">
        <v>0</v>
      </c>
    </row>
    <row r="858" spans="1:58">
      <c r="A858" s="9">
        <v>57</v>
      </c>
      <c r="B858" s="10" t="s">
        <v>76</v>
      </c>
      <c r="C858" s="10" t="s">
        <v>711</v>
      </c>
      <c r="D858" s="20" t="s">
        <v>712</v>
      </c>
      <c r="E858" s="20" t="s">
        <v>713</v>
      </c>
      <c r="F858" s="10" t="s">
        <v>711</v>
      </c>
      <c r="G858" s="20" t="s">
        <v>712</v>
      </c>
      <c r="H858" s="20" t="s">
        <v>713</v>
      </c>
      <c r="I858" s="10" t="s">
        <v>711</v>
      </c>
      <c r="J858" s="20" t="s">
        <v>712</v>
      </c>
      <c r="K858" s="20" t="s">
        <v>713</v>
      </c>
      <c r="L858" s="9" t="s">
        <v>380</v>
      </c>
      <c r="M858" s="9">
        <v>8</v>
      </c>
      <c r="N858" s="9" t="s">
        <v>353</v>
      </c>
      <c r="O858" s="9" t="s">
        <v>382</v>
      </c>
      <c r="P858" s="12">
        <v>29.6</v>
      </c>
      <c r="Q858" s="12" t="s">
        <v>355</v>
      </c>
      <c r="R858" s="9" t="s">
        <v>356</v>
      </c>
      <c r="S858" s="13">
        <v>30</v>
      </c>
      <c r="T858" s="13">
        <v>30</v>
      </c>
      <c r="U858" s="14">
        <f t="shared" si="117"/>
        <v>1.4913616938342726</v>
      </c>
      <c r="V858" s="15">
        <v>5</v>
      </c>
      <c r="W858" s="12"/>
      <c r="X858" s="12">
        <v>0.42</v>
      </c>
      <c r="Y858" s="13" t="s">
        <v>731</v>
      </c>
      <c r="Z858" s="9" t="s">
        <v>417</v>
      </c>
      <c r="AA858" s="10" t="s">
        <v>1122</v>
      </c>
      <c r="AB858" s="9" t="s">
        <v>355</v>
      </c>
      <c r="AC858" s="15">
        <v>550</v>
      </c>
      <c r="AD858" s="14">
        <f t="shared" si="118"/>
        <v>2.7403626894942437</v>
      </c>
      <c r="AE858" s="10" t="s">
        <v>1123</v>
      </c>
      <c r="AF858" s="9" t="s">
        <v>362</v>
      </c>
      <c r="AG858" s="18">
        <v>41.823410000000003</v>
      </c>
      <c r="AH858" s="7">
        <f t="shared" si="119"/>
        <v>1</v>
      </c>
      <c r="AI858" s="7">
        <f t="shared" si="120"/>
        <v>1</v>
      </c>
      <c r="AJ858" s="7">
        <f t="shared" si="121"/>
        <v>0</v>
      </c>
      <c r="AK858" s="7">
        <f t="shared" si="122"/>
        <v>0</v>
      </c>
      <c r="AL858" s="7" t="s">
        <v>4157</v>
      </c>
      <c r="AM858" s="18">
        <f t="shared" si="123"/>
        <v>1.6214194393809482</v>
      </c>
      <c r="AN858" s="18">
        <v>41.823410000000003</v>
      </c>
      <c r="AO858" s="18">
        <v>-123.94045800000001</v>
      </c>
      <c r="AP858" s="9" t="s">
        <v>363</v>
      </c>
      <c r="AQ858" s="9" t="s">
        <v>355</v>
      </c>
      <c r="AR858" s="15">
        <v>1970</v>
      </c>
      <c r="AS858" s="19" t="s">
        <v>1124</v>
      </c>
      <c r="AT858" s="20" t="s">
        <v>1125</v>
      </c>
      <c r="AU858" s="40">
        <v>303453</v>
      </c>
      <c r="AV858" s="35">
        <f t="shared" si="124"/>
        <v>5.4820914353740404</v>
      </c>
      <c r="AW858" s="37" t="s">
        <v>366</v>
      </c>
      <c r="AX858" s="40">
        <v>0</v>
      </c>
      <c r="AY858" s="40">
        <v>2500</v>
      </c>
      <c r="AZ858" s="36">
        <v>33</v>
      </c>
      <c r="BA858" s="14">
        <f t="shared" si="125"/>
        <v>1.5185139398778875</v>
      </c>
      <c r="BB858" s="37" t="s">
        <v>388</v>
      </c>
      <c r="BC858" s="20">
        <v>-1.7983193277313794E-3</v>
      </c>
      <c r="BD858" s="9">
        <v>24.8</v>
      </c>
      <c r="BE858" s="9" t="s">
        <v>368</v>
      </c>
      <c r="BF858" s="9">
        <v>0</v>
      </c>
    </row>
    <row r="859" spans="1:58">
      <c r="A859" s="9">
        <v>908</v>
      </c>
      <c r="B859" s="10" t="s">
        <v>348</v>
      </c>
      <c r="C859" s="10" t="s">
        <v>1126</v>
      </c>
      <c r="D859" s="20" t="s">
        <v>1127</v>
      </c>
      <c r="E859" s="20" t="s">
        <v>1128</v>
      </c>
      <c r="F859" s="10" t="s">
        <v>1129</v>
      </c>
      <c r="G859" s="20" t="s">
        <v>1127</v>
      </c>
      <c r="H859" s="20" t="s">
        <v>1128</v>
      </c>
      <c r="I859" s="10" t="s">
        <v>1129</v>
      </c>
      <c r="J859" s="20" t="s">
        <v>1127</v>
      </c>
      <c r="K859" s="20" t="s">
        <v>1128</v>
      </c>
      <c r="L859" s="9" t="s">
        <v>352</v>
      </c>
      <c r="M859" s="9">
        <v>9</v>
      </c>
      <c r="N859" s="9" t="s">
        <v>353</v>
      </c>
      <c r="O859" s="9" t="s">
        <v>354</v>
      </c>
      <c r="P859" s="12">
        <v>33.799999999999997</v>
      </c>
      <c r="Q859" s="12" t="s">
        <v>355</v>
      </c>
      <c r="R859" s="9" t="s">
        <v>356</v>
      </c>
      <c r="S859" s="13" t="s">
        <v>1130</v>
      </c>
      <c r="T859" s="13" t="s">
        <v>1130</v>
      </c>
      <c r="U859" s="14">
        <f t="shared" si="117"/>
        <v>1.4913616938342726</v>
      </c>
      <c r="V859" s="15">
        <v>10</v>
      </c>
      <c r="W859" s="12">
        <v>3.8650762999999984</v>
      </c>
      <c r="X859" s="12" t="s">
        <v>355</v>
      </c>
      <c r="Y859" s="13" t="s">
        <v>355</v>
      </c>
      <c r="Z859" s="9" t="s">
        <v>417</v>
      </c>
      <c r="AA859" s="10" t="s">
        <v>418</v>
      </c>
      <c r="AB859" s="9" t="s">
        <v>355</v>
      </c>
      <c r="AC859" s="15">
        <v>1500</v>
      </c>
      <c r="AD859" s="14">
        <f t="shared" si="118"/>
        <v>3.1760912590556813</v>
      </c>
      <c r="AE859" s="10" t="s">
        <v>1058</v>
      </c>
      <c r="AF859" s="9" t="s">
        <v>420</v>
      </c>
      <c r="AG859" s="18">
        <v>34.166666999999997</v>
      </c>
      <c r="AH859" s="7">
        <f t="shared" si="119"/>
        <v>1</v>
      </c>
      <c r="AI859" s="7">
        <f t="shared" si="120"/>
        <v>1</v>
      </c>
      <c r="AJ859" s="7">
        <f t="shared" si="121"/>
        <v>0</v>
      </c>
      <c r="AK859" s="7">
        <f t="shared" si="122"/>
        <v>0</v>
      </c>
      <c r="AL859" s="7" t="s">
        <v>4157</v>
      </c>
      <c r="AM859" s="18">
        <f t="shared" si="123"/>
        <v>1.53360261490913</v>
      </c>
      <c r="AN859" s="18">
        <v>34.166666999999997</v>
      </c>
      <c r="AO859" s="18">
        <v>108.166667</v>
      </c>
      <c r="AP859" s="9" t="s">
        <v>363</v>
      </c>
      <c r="AQ859" s="9" t="s">
        <v>355</v>
      </c>
      <c r="AR859" s="15">
        <v>1987</v>
      </c>
      <c r="AS859" s="19" t="s">
        <v>1131</v>
      </c>
      <c r="AT859" s="20" t="s">
        <v>1132</v>
      </c>
      <c r="AU859" s="34">
        <v>250876</v>
      </c>
      <c r="AV859" s="35">
        <f t="shared" si="124"/>
        <v>5.3994591166111032</v>
      </c>
      <c r="AW859" s="36" t="s">
        <v>366</v>
      </c>
      <c r="AX859" s="34">
        <v>1500</v>
      </c>
      <c r="AY859" s="34">
        <v>4250</v>
      </c>
      <c r="AZ859" s="15">
        <v>78</v>
      </c>
      <c r="BA859" s="14">
        <f t="shared" si="125"/>
        <v>1.8920946026904804</v>
      </c>
      <c r="BB859" s="36" t="s">
        <v>343</v>
      </c>
      <c r="BC859" s="20">
        <v>2.6020408163265157E-2</v>
      </c>
      <c r="BD859" s="9">
        <v>32.700000000000003</v>
      </c>
      <c r="BE859" s="9" t="s">
        <v>459</v>
      </c>
      <c r="BF859" s="9">
        <v>1</v>
      </c>
    </row>
    <row r="860" spans="1:58">
      <c r="A860" s="9">
        <v>907</v>
      </c>
      <c r="B860" s="10" t="s">
        <v>348</v>
      </c>
      <c r="C860" s="10" t="s">
        <v>1126</v>
      </c>
      <c r="D860" s="20" t="s">
        <v>1127</v>
      </c>
      <c r="E860" s="20" t="s">
        <v>1133</v>
      </c>
      <c r="F860" s="10" t="s">
        <v>1129</v>
      </c>
      <c r="G860" s="20" t="s">
        <v>1127</v>
      </c>
      <c r="H860" s="20" t="s">
        <v>1133</v>
      </c>
      <c r="I860" s="10" t="s">
        <v>1129</v>
      </c>
      <c r="J860" s="20" t="s">
        <v>1127</v>
      </c>
      <c r="K860" s="20" t="s">
        <v>1133</v>
      </c>
      <c r="L860" s="9" t="s">
        <v>352</v>
      </c>
      <c r="M860" s="9">
        <v>9</v>
      </c>
      <c r="N860" s="9" t="s">
        <v>353</v>
      </c>
      <c r="O860" s="9" t="s">
        <v>354</v>
      </c>
      <c r="P860" s="12">
        <v>32.6</v>
      </c>
      <c r="Q860" s="12" t="s">
        <v>355</v>
      </c>
      <c r="R860" s="9" t="s">
        <v>356</v>
      </c>
      <c r="S860" s="13" t="s">
        <v>1130</v>
      </c>
      <c r="T860" s="13" t="s">
        <v>1130</v>
      </c>
      <c r="U860" s="14">
        <f t="shared" si="117"/>
        <v>1.4913616938342726</v>
      </c>
      <c r="V860" s="15">
        <v>10</v>
      </c>
      <c r="W860" s="12">
        <v>9.3309462000000032</v>
      </c>
      <c r="X860" s="12" t="s">
        <v>355</v>
      </c>
      <c r="Y860" s="13" t="s">
        <v>355</v>
      </c>
      <c r="Z860" s="9" t="s">
        <v>417</v>
      </c>
      <c r="AA860" s="10" t="s">
        <v>418</v>
      </c>
      <c r="AB860" s="9" t="s">
        <v>355</v>
      </c>
      <c r="AC860" s="15">
        <v>1600</v>
      </c>
      <c r="AD860" s="14">
        <f t="shared" si="118"/>
        <v>3.2041199826559246</v>
      </c>
      <c r="AE860" s="10" t="s">
        <v>1058</v>
      </c>
      <c r="AF860" s="9" t="s">
        <v>420</v>
      </c>
      <c r="AG860" s="18">
        <v>28.683333000000001</v>
      </c>
      <c r="AH860" s="7">
        <f t="shared" si="119"/>
        <v>1</v>
      </c>
      <c r="AI860" s="7">
        <f t="shared" si="120"/>
        <v>0</v>
      </c>
      <c r="AJ860" s="7">
        <f t="shared" si="121"/>
        <v>0</v>
      </c>
      <c r="AK860" s="7">
        <f t="shared" si="122"/>
        <v>0</v>
      </c>
      <c r="AL860" s="7" t="s">
        <v>4159</v>
      </c>
      <c r="AM860" s="18">
        <f t="shared" si="123"/>
        <v>1.457629614896915</v>
      </c>
      <c r="AN860" s="18">
        <v>28.683333000000001</v>
      </c>
      <c r="AO860" s="18">
        <v>102.2</v>
      </c>
      <c r="AP860" s="9" t="s">
        <v>363</v>
      </c>
      <c r="AQ860" s="9" t="s">
        <v>355</v>
      </c>
      <c r="AR860" s="15">
        <v>1987</v>
      </c>
      <c r="AS860" s="19" t="s">
        <v>1131</v>
      </c>
      <c r="AT860" s="20" t="s">
        <v>1132</v>
      </c>
      <c r="AU860" s="34">
        <v>15919</v>
      </c>
      <c r="AV860" s="35">
        <f t="shared" si="124"/>
        <v>4.2019157827406968</v>
      </c>
      <c r="AW860" s="36" t="s">
        <v>366</v>
      </c>
      <c r="AX860" s="34">
        <v>2900</v>
      </c>
      <c r="AY860" s="34">
        <v>4400</v>
      </c>
      <c r="AZ860" s="15">
        <v>78</v>
      </c>
      <c r="BA860" s="14">
        <f t="shared" si="125"/>
        <v>1.8920946026904804</v>
      </c>
      <c r="BB860" s="36" t="s">
        <v>343</v>
      </c>
      <c r="BC860" s="20">
        <v>2.0388955582233158E-2</v>
      </c>
      <c r="BD860" s="9">
        <v>24.8</v>
      </c>
      <c r="BE860" s="9" t="s">
        <v>459</v>
      </c>
      <c r="BF860" s="9">
        <v>1</v>
      </c>
    </row>
    <row r="861" spans="1:58">
      <c r="A861" s="9">
        <v>136</v>
      </c>
      <c r="B861" s="10" t="s">
        <v>348</v>
      </c>
      <c r="C861" s="10" t="s">
        <v>349</v>
      </c>
      <c r="D861" s="20" t="s">
        <v>350</v>
      </c>
      <c r="E861" s="20" t="s">
        <v>351</v>
      </c>
      <c r="F861" s="10" t="s">
        <v>349</v>
      </c>
      <c r="G861" s="20" t="s">
        <v>350</v>
      </c>
      <c r="H861" s="20" t="s">
        <v>351</v>
      </c>
      <c r="I861" s="10" t="s">
        <v>349</v>
      </c>
      <c r="J861" s="20" t="s">
        <v>350</v>
      </c>
      <c r="K861" s="20" t="s">
        <v>351</v>
      </c>
      <c r="L861" s="9" t="s">
        <v>352</v>
      </c>
      <c r="M861" s="9">
        <v>12</v>
      </c>
      <c r="N861" s="9" t="s">
        <v>381</v>
      </c>
      <c r="O861" s="9" t="s">
        <v>354</v>
      </c>
      <c r="P861" s="12">
        <v>35.997160000000001</v>
      </c>
      <c r="Q861" s="12" t="s">
        <v>355</v>
      </c>
      <c r="R861" s="9" t="s">
        <v>356</v>
      </c>
      <c r="S861" s="13">
        <v>30</v>
      </c>
      <c r="T861" s="13">
        <v>30</v>
      </c>
      <c r="U861" s="14">
        <f t="shared" si="117"/>
        <v>1.4913616938342726</v>
      </c>
      <c r="V861" s="15">
        <v>20</v>
      </c>
      <c r="W861" s="12">
        <v>5.5969615999999967</v>
      </c>
      <c r="X861" s="12">
        <v>1</v>
      </c>
      <c r="Y861" s="13" t="s">
        <v>355</v>
      </c>
      <c r="Z861" s="9" t="s">
        <v>417</v>
      </c>
      <c r="AA861" s="10" t="s">
        <v>418</v>
      </c>
      <c r="AB861" s="9" t="s">
        <v>355</v>
      </c>
      <c r="AC861" s="15">
        <v>21</v>
      </c>
      <c r="AD861" s="14">
        <f t="shared" si="118"/>
        <v>1.3222192947339193</v>
      </c>
      <c r="AE861" s="10" t="s">
        <v>1113</v>
      </c>
      <c r="AF861" s="9" t="s">
        <v>420</v>
      </c>
      <c r="AG861" s="18">
        <v>34.588239999999999</v>
      </c>
      <c r="AH861" s="7">
        <f t="shared" si="119"/>
        <v>1</v>
      </c>
      <c r="AI861" s="7">
        <f t="shared" si="120"/>
        <v>1</v>
      </c>
      <c r="AJ861" s="7">
        <f t="shared" si="121"/>
        <v>0</v>
      </c>
      <c r="AK861" s="7">
        <f t="shared" si="122"/>
        <v>0</v>
      </c>
      <c r="AL861" s="7" t="s">
        <v>4157</v>
      </c>
      <c r="AM861" s="18">
        <f t="shared" si="123"/>
        <v>1.5389284637855452</v>
      </c>
      <c r="AN861" s="18">
        <v>34.588239999999999</v>
      </c>
      <c r="AO861" s="18">
        <v>-78.566085000000001</v>
      </c>
      <c r="AP861" s="9" t="s">
        <v>363</v>
      </c>
      <c r="AQ861" s="9" t="s">
        <v>355</v>
      </c>
      <c r="AR861" s="15">
        <v>1961</v>
      </c>
      <c r="AS861" s="19" t="s">
        <v>1110</v>
      </c>
      <c r="AT861" s="20" t="s">
        <v>1111</v>
      </c>
      <c r="AU861" s="34">
        <v>1524467</v>
      </c>
      <c r="AV861" s="35">
        <f t="shared" si="124"/>
        <v>6.1831180276695727</v>
      </c>
      <c r="AW861" s="36" t="s">
        <v>366</v>
      </c>
      <c r="AX861" s="34" t="s">
        <v>355</v>
      </c>
      <c r="AY861" s="34" t="s">
        <v>355</v>
      </c>
      <c r="AZ861" s="15">
        <v>78</v>
      </c>
      <c r="BA861" s="14">
        <f t="shared" si="125"/>
        <v>1.8920946026904804</v>
      </c>
      <c r="BB861" s="36" t="s">
        <v>367</v>
      </c>
      <c r="BC861" s="20">
        <v>1.5567026810724499E-2</v>
      </c>
      <c r="BD861" s="9">
        <v>31.400000000000002</v>
      </c>
      <c r="BE861" s="9" t="s">
        <v>368</v>
      </c>
      <c r="BF861" s="9">
        <v>0</v>
      </c>
    </row>
    <row r="862" spans="1:58">
      <c r="A862" s="9">
        <v>135</v>
      </c>
      <c r="B862" s="10" t="s">
        <v>348</v>
      </c>
      <c r="C862" s="10" t="s">
        <v>349</v>
      </c>
      <c r="D862" s="20" t="s">
        <v>350</v>
      </c>
      <c r="E862" s="20" t="s">
        <v>351</v>
      </c>
      <c r="F862" s="10" t="s">
        <v>349</v>
      </c>
      <c r="G862" s="20" t="s">
        <v>350</v>
      </c>
      <c r="H862" s="20" t="s">
        <v>351</v>
      </c>
      <c r="I862" s="10" t="s">
        <v>349</v>
      </c>
      <c r="J862" s="20" t="s">
        <v>350</v>
      </c>
      <c r="K862" s="20" t="s">
        <v>351</v>
      </c>
      <c r="L862" s="9" t="s">
        <v>352</v>
      </c>
      <c r="M862" s="9">
        <v>7</v>
      </c>
      <c r="N862" s="9" t="s">
        <v>353</v>
      </c>
      <c r="O862" s="9" t="s">
        <v>354</v>
      </c>
      <c r="P862" s="12">
        <v>36.254100000000001</v>
      </c>
      <c r="Q862" s="12" t="s">
        <v>355</v>
      </c>
      <c r="R862" s="9" t="s">
        <v>356</v>
      </c>
      <c r="S862" s="13">
        <v>30</v>
      </c>
      <c r="T862" s="13">
        <v>30</v>
      </c>
      <c r="U862" s="14">
        <f t="shared" si="117"/>
        <v>1.4913616938342726</v>
      </c>
      <c r="V862" s="15">
        <v>20</v>
      </c>
      <c r="W862" s="12">
        <v>7.9633541000000001</v>
      </c>
      <c r="X862" s="12">
        <v>1</v>
      </c>
      <c r="Y862" s="13" t="s">
        <v>355</v>
      </c>
      <c r="Z862" s="9" t="s">
        <v>417</v>
      </c>
      <c r="AA862" s="10" t="s">
        <v>418</v>
      </c>
      <c r="AB862" s="9" t="s">
        <v>355</v>
      </c>
      <c r="AC862" s="15">
        <v>544</v>
      </c>
      <c r="AD862" s="14">
        <f t="shared" si="118"/>
        <v>2.7355988996981799</v>
      </c>
      <c r="AE862" s="10" t="s">
        <v>1134</v>
      </c>
      <c r="AF862" s="9" t="s">
        <v>420</v>
      </c>
      <c r="AG862" s="18">
        <v>36.688625000000002</v>
      </c>
      <c r="AH862" s="7">
        <f t="shared" si="119"/>
        <v>1</v>
      </c>
      <c r="AI862" s="7">
        <f t="shared" si="120"/>
        <v>1</v>
      </c>
      <c r="AJ862" s="7">
        <f t="shared" si="121"/>
        <v>0</v>
      </c>
      <c r="AK862" s="7">
        <f t="shared" si="122"/>
        <v>0</v>
      </c>
      <c r="AL862" s="7" t="s">
        <v>4157</v>
      </c>
      <c r="AM862" s="18">
        <f t="shared" si="123"/>
        <v>1.5645314357651485</v>
      </c>
      <c r="AN862" s="18">
        <v>36.688625000000002</v>
      </c>
      <c r="AO862" s="18">
        <v>-80.321310999999994</v>
      </c>
      <c r="AP862" s="9" t="s">
        <v>363</v>
      </c>
      <c r="AQ862" s="9" t="s">
        <v>355</v>
      </c>
      <c r="AR862" s="15">
        <v>1961</v>
      </c>
      <c r="AS862" s="19" t="s">
        <v>1110</v>
      </c>
      <c r="AT862" s="20" t="s">
        <v>1111</v>
      </c>
      <c r="AU862" s="34">
        <v>1524467</v>
      </c>
      <c r="AV862" s="35">
        <f t="shared" si="124"/>
        <v>6.1831180276695727</v>
      </c>
      <c r="AW862" s="36" t="s">
        <v>366</v>
      </c>
      <c r="AX862" s="34" t="s">
        <v>355</v>
      </c>
      <c r="AY862" s="34" t="s">
        <v>355</v>
      </c>
      <c r="AZ862" s="15">
        <v>78</v>
      </c>
      <c r="BA862" s="14">
        <f t="shared" si="125"/>
        <v>1.8920946026904804</v>
      </c>
      <c r="BB862" s="36" t="s">
        <v>367</v>
      </c>
      <c r="BC862" s="20">
        <v>1.2902761104441898E-2</v>
      </c>
      <c r="BD862" s="9">
        <v>28.900000000000002</v>
      </c>
      <c r="BE862" s="9" t="s">
        <v>368</v>
      </c>
      <c r="BF862" s="9">
        <v>0</v>
      </c>
    </row>
    <row r="863" spans="1:58">
      <c r="A863" s="9">
        <v>139</v>
      </c>
      <c r="B863" s="10" t="s">
        <v>348</v>
      </c>
      <c r="C863" s="10" t="s">
        <v>349</v>
      </c>
      <c r="D863" s="20" t="s">
        <v>350</v>
      </c>
      <c r="E863" s="20" t="s">
        <v>1135</v>
      </c>
      <c r="F863" s="10" t="s">
        <v>349</v>
      </c>
      <c r="G863" s="20" t="s">
        <v>350</v>
      </c>
      <c r="H863" s="20" t="s">
        <v>1135</v>
      </c>
      <c r="I863" s="10" t="s">
        <v>349</v>
      </c>
      <c r="J863" s="20" t="s">
        <v>350</v>
      </c>
      <c r="K863" s="20" t="s">
        <v>1135</v>
      </c>
      <c r="L863" s="9" t="s">
        <v>352</v>
      </c>
      <c r="M863" s="9">
        <v>8</v>
      </c>
      <c r="N863" s="9" t="s">
        <v>353</v>
      </c>
      <c r="O863" s="9" t="s">
        <v>354</v>
      </c>
      <c r="P863" s="12">
        <v>34.386870000000002</v>
      </c>
      <c r="Q863" s="12" t="s">
        <v>355</v>
      </c>
      <c r="R863" s="9" t="s">
        <v>356</v>
      </c>
      <c r="S863" s="13">
        <v>30</v>
      </c>
      <c r="T863" s="13">
        <v>30</v>
      </c>
      <c r="U863" s="14">
        <f t="shared" si="117"/>
        <v>1.4913616938342726</v>
      </c>
      <c r="V863" s="15">
        <v>20</v>
      </c>
      <c r="W863" s="12">
        <v>6.7711489</v>
      </c>
      <c r="X863" s="12">
        <v>1</v>
      </c>
      <c r="Y863" s="13" t="s">
        <v>355</v>
      </c>
      <c r="Z863" s="9" t="s">
        <v>417</v>
      </c>
      <c r="AA863" s="10" t="s">
        <v>418</v>
      </c>
      <c r="AB863" s="9" t="s">
        <v>355</v>
      </c>
      <c r="AC863" s="15">
        <v>801</v>
      </c>
      <c r="AD863" s="14">
        <f t="shared" si="118"/>
        <v>2.9036325160842376</v>
      </c>
      <c r="AE863" s="10" t="s">
        <v>1136</v>
      </c>
      <c r="AF863" s="9" t="s">
        <v>420</v>
      </c>
      <c r="AG863" s="18">
        <v>35.219053000000002</v>
      </c>
      <c r="AH863" s="7">
        <f t="shared" si="119"/>
        <v>1</v>
      </c>
      <c r="AI863" s="7">
        <f t="shared" si="120"/>
        <v>1</v>
      </c>
      <c r="AJ863" s="7">
        <f t="shared" si="121"/>
        <v>0</v>
      </c>
      <c r="AK863" s="7">
        <f t="shared" si="122"/>
        <v>0</v>
      </c>
      <c r="AL863" s="7" t="s">
        <v>4157</v>
      </c>
      <c r="AM863" s="18">
        <f t="shared" si="123"/>
        <v>1.5467776741070192</v>
      </c>
      <c r="AN863" s="18">
        <v>35.219053000000002</v>
      </c>
      <c r="AO863" s="18">
        <v>-82.777857999999995</v>
      </c>
      <c r="AP863" s="9" t="s">
        <v>363</v>
      </c>
      <c r="AQ863" s="9" t="s">
        <v>355</v>
      </c>
      <c r="AR863" s="15">
        <v>1961</v>
      </c>
      <c r="AS863" s="19" t="s">
        <v>1110</v>
      </c>
      <c r="AT863" s="20" t="s">
        <v>1111</v>
      </c>
      <c r="AU863" s="34">
        <v>323911</v>
      </c>
      <c r="AV863" s="35">
        <f t="shared" si="124"/>
        <v>5.5104256968776753</v>
      </c>
      <c r="AW863" s="36" t="s">
        <v>366</v>
      </c>
      <c r="AX863" s="34" t="s">
        <v>355</v>
      </c>
      <c r="AY863" s="34" t="s">
        <v>355</v>
      </c>
      <c r="AZ863" s="15">
        <v>78</v>
      </c>
      <c r="BA863" s="14">
        <f t="shared" si="125"/>
        <v>1.8920946026904804</v>
      </c>
      <c r="BB863" s="36" t="s">
        <v>367</v>
      </c>
      <c r="BC863" s="20">
        <v>2.3101240496199034E-3</v>
      </c>
      <c r="BD863" s="9">
        <v>28.1</v>
      </c>
      <c r="BE863" s="9" t="s">
        <v>368</v>
      </c>
      <c r="BF863" s="9">
        <v>0</v>
      </c>
    </row>
    <row r="864" spans="1:58">
      <c r="A864" s="9">
        <v>140</v>
      </c>
      <c r="B864" s="10" t="s">
        <v>348</v>
      </c>
      <c r="C864" s="10" t="s">
        <v>349</v>
      </c>
      <c r="D864" s="20" t="s">
        <v>350</v>
      </c>
      <c r="E864" s="20" t="s">
        <v>1135</v>
      </c>
      <c r="F864" s="10" t="s">
        <v>349</v>
      </c>
      <c r="G864" s="20" t="s">
        <v>350</v>
      </c>
      <c r="H864" s="20" t="s">
        <v>1135</v>
      </c>
      <c r="I864" s="10" t="s">
        <v>349</v>
      </c>
      <c r="J864" s="20" t="s">
        <v>350</v>
      </c>
      <c r="K864" s="20" t="s">
        <v>1135</v>
      </c>
      <c r="L864" s="9" t="s">
        <v>352</v>
      </c>
      <c r="M864" s="9">
        <v>7</v>
      </c>
      <c r="N864" s="9" t="s">
        <v>353</v>
      </c>
      <c r="O864" s="9" t="s">
        <v>354</v>
      </c>
      <c r="P864" s="12">
        <v>35.163939999999997</v>
      </c>
      <c r="Q864" s="12" t="s">
        <v>355</v>
      </c>
      <c r="R864" s="9" t="s">
        <v>356</v>
      </c>
      <c r="S864" s="13">
        <v>30</v>
      </c>
      <c r="T864" s="13">
        <v>30</v>
      </c>
      <c r="U864" s="14">
        <f t="shared" si="117"/>
        <v>1.4913616938342726</v>
      </c>
      <c r="V864" s="15">
        <v>20</v>
      </c>
      <c r="W864" s="12">
        <v>8.7295122999999961</v>
      </c>
      <c r="X864" s="12">
        <v>1</v>
      </c>
      <c r="Y864" s="13" t="s">
        <v>355</v>
      </c>
      <c r="Z864" s="9" t="s">
        <v>417</v>
      </c>
      <c r="AA864" s="10" t="s">
        <v>418</v>
      </c>
      <c r="AB864" s="9" t="s">
        <v>355</v>
      </c>
      <c r="AC864" s="15">
        <v>872</v>
      </c>
      <c r="AD864" s="14">
        <f t="shared" si="118"/>
        <v>2.9405164849325671</v>
      </c>
      <c r="AE864" s="10" t="s">
        <v>1137</v>
      </c>
      <c r="AF864" s="9" t="s">
        <v>420</v>
      </c>
      <c r="AG864" s="18">
        <v>36.494084000000001</v>
      </c>
      <c r="AH864" s="7">
        <f t="shared" si="119"/>
        <v>1</v>
      </c>
      <c r="AI864" s="7">
        <f t="shared" si="120"/>
        <v>1</v>
      </c>
      <c r="AJ864" s="7">
        <f t="shared" si="121"/>
        <v>0</v>
      </c>
      <c r="AK864" s="7">
        <f t="shared" si="122"/>
        <v>0</v>
      </c>
      <c r="AL864" s="7" t="s">
        <v>4157</v>
      </c>
      <c r="AM864" s="18">
        <f t="shared" si="123"/>
        <v>1.5622224673497567</v>
      </c>
      <c r="AN864" s="18">
        <v>36.494084000000001</v>
      </c>
      <c r="AO864" s="18">
        <v>-81.119607999999999</v>
      </c>
      <c r="AP864" s="9" t="s">
        <v>363</v>
      </c>
      <c r="AQ864" s="9" t="s">
        <v>355</v>
      </c>
      <c r="AR864" s="15">
        <v>1961</v>
      </c>
      <c r="AS864" s="19" t="s">
        <v>1110</v>
      </c>
      <c r="AT864" s="20" t="s">
        <v>1111</v>
      </c>
      <c r="AU864" s="34">
        <v>323911</v>
      </c>
      <c r="AV864" s="35">
        <f t="shared" si="124"/>
        <v>5.5104256968776753</v>
      </c>
      <c r="AW864" s="36" t="s">
        <v>366</v>
      </c>
      <c r="AX864" s="34" t="s">
        <v>355</v>
      </c>
      <c r="AY864" s="34" t="s">
        <v>355</v>
      </c>
      <c r="AZ864" s="15">
        <v>78</v>
      </c>
      <c r="BA864" s="14">
        <f t="shared" si="125"/>
        <v>1.8920946026904804</v>
      </c>
      <c r="BB864" s="36" t="s">
        <v>367</v>
      </c>
      <c r="BC864" s="20">
        <v>1.9629851940776481E-2</v>
      </c>
      <c r="BD864" s="9">
        <v>26.700000000000003</v>
      </c>
      <c r="BE864" s="9" t="s">
        <v>368</v>
      </c>
      <c r="BF864" s="9">
        <v>0</v>
      </c>
    </row>
    <row r="865" spans="1:58">
      <c r="A865" s="9">
        <v>138</v>
      </c>
      <c r="B865" s="10" t="s">
        <v>348</v>
      </c>
      <c r="C865" s="10" t="s">
        <v>349</v>
      </c>
      <c r="D865" s="20" t="s">
        <v>350</v>
      </c>
      <c r="E865" s="20" t="s">
        <v>974</v>
      </c>
      <c r="F865" s="10" t="s">
        <v>349</v>
      </c>
      <c r="G865" s="20" t="s">
        <v>350</v>
      </c>
      <c r="H865" s="20" t="s">
        <v>974</v>
      </c>
      <c r="I865" s="10" t="s">
        <v>349</v>
      </c>
      <c r="J865" s="20" t="s">
        <v>350</v>
      </c>
      <c r="K865" s="20" t="s">
        <v>974</v>
      </c>
      <c r="L865" s="9" t="s">
        <v>352</v>
      </c>
      <c r="M865" s="9">
        <v>8</v>
      </c>
      <c r="N865" s="9" t="s">
        <v>353</v>
      </c>
      <c r="O865" s="9" t="s">
        <v>354</v>
      </c>
      <c r="P865" s="12">
        <v>34.97972</v>
      </c>
      <c r="Q865" s="12" t="s">
        <v>355</v>
      </c>
      <c r="R865" s="9" t="s">
        <v>356</v>
      </c>
      <c r="S865" s="13">
        <v>30</v>
      </c>
      <c r="T865" s="13">
        <v>30</v>
      </c>
      <c r="U865" s="14">
        <f t="shared" si="117"/>
        <v>1.4913616938342726</v>
      </c>
      <c r="V865" s="15">
        <v>20</v>
      </c>
      <c r="W865" s="12">
        <v>6.6889740999999994</v>
      </c>
      <c r="X865" s="12">
        <v>1</v>
      </c>
      <c r="Y865" s="13" t="s">
        <v>355</v>
      </c>
      <c r="Z865" s="9" t="s">
        <v>417</v>
      </c>
      <c r="AA865" s="10" t="s">
        <v>418</v>
      </c>
      <c r="AB865" s="9" t="s">
        <v>355</v>
      </c>
      <c r="AC865" s="15">
        <v>544</v>
      </c>
      <c r="AD865" s="14">
        <f t="shared" si="118"/>
        <v>2.7355988996981799</v>
      </c>
      <c r="AE865" s="10" t="s">
        <v>1134</v>
      </c>
      <c r="AF865" s="9" t="s">
        <v>420</v>
      </c>
      <c r="AG865" s="18">
        <v>36.688625000000002</v>
      </c>
      <c r="AH865" s="7">
        <f t="shared" si="119"/>
        <v>1</v>
      </c>
      <c r="AI865" s="7">
        <f t="shared" si="120"/>
        <v>1</v>
      </c>
      <c r="AJ865" s="7">
        <f t="shared" si="121"/>
        <v>0</v>
      </c>
      <c r="AK865" s="7">
        <f t="shared" si="122"/>
        <v>0</v>
      </c>
      <c r="AL865" s="7" t="s">
        <v>4157</v>
      </c>
      <c r="AM865" s="18">
        <f t="shared" si="123"/>
        <v>1.5645314357651485</v>
      </c>
      <c r="AN865" s="18">
        <v>36.688625000000002</v>
      </c>
      <c r="AO865" s="18">
        <v>-80.321310999999994</v>
      </c>
      <c r="AP865" s="9" t="s">
        <v>363</v>
      </c>
      <c r="AQ865" s="9" t="s">
        <v>355</v>
      </c>
      <c r="AR865" s="15">
        <v>1961</v>
      </c>
      <c r="AS865" s="19" t="s">
        <v>1110</v>
      </c>
      <c r="AT865" s="20" t="s">
        <v>1111</v>
      </c>
      <c r="AU865" s="34">
        <v>308477</v>
      </c>
      <c r="AV865" s="35">
        <f t="shared" si="124"/>
        <v>5.4892227886433114</v>
      </c>
      <c r="AW865" s="36" t="s">
        <v>366</v>
      </c>
      <c r="AX865" s="34" t="s">
        <v>355</v>
      </c>
      <c r="AY865" s="34" t="s">
        <v>355</v>
      </c>
      <c r="AZ865" s="15">
        <v>78</v>
      </c>
      <c r="BA865" s="14">
        <f t="shared" si="125"/>
        <v>1.8920946026904804</v>
      </c>
      <c r="BB865" s="36" t="s">
        <v>367</v>
      </c>
      <c r="BC865" s="20">
        <v>1.2902761104441898E-2</v>
      </c>
      <c r="BD865" s="9">
        <v>28.900000000000002</v>
      </c>
      <c r="BE865" s="9" t="s">
        <v>368</v>
      </c>
      <c r="BF865" s="9">
        <v>0</v>
      </c>
    </row>
    <row r="866" spans="1:58">
      <c r="A866" s="9">
        <v>137</v>
      </c>
      <c r="B866" s="10" t="s">
        <v>348</v>
      </c>
      <c r="C866" s="10" t="s">
        <v>349</v>
      </c>
      <c r="D866" s="20" t="s">
        <v>350</v>
      </c>
      <c r="E866" s="20" t="s">
        <v>974</v>
      </c>
      <c r="F866" s="10" t="s">
        <v>349</v>
      </c>
      <c r="G866" s="20" t="s">
        <v>350</v>
      </c>
      <c r="H866" s="20" t="s">
        <v>974</v>
      </c>
      <c r="I866" s="10" t="s">
        <v>349</v>
      </c>
      <c r="J866" s="20" t="s">
        <v>350</v>
      </c>
      <c r="K866" s="20" t="s">
        <v>974</v>
      </c>
      <c r="L866" s="9" t="s">
        <v>352</v>
      </c>
      <c r="M866" s="9">
        <v>4</v>
      </c>
      <c r="N866" s="9" t="s">
        <v>353</v>
      </c>
      <c r="O866" s="9" t="s">
        <v>354</v>
      </c>
      <c r="P866" s="12">
        <v>34.626579999999997</v>
      </c>
      <c r="Q866" s="12" t="s">
        <v>355</v>
      </c>
      <c r="R866" s="9" t="s">
        <v>356</v>
      </c>
      <c r="S866" s="13">
        <v>30</v>
      </c>
      <c r="T866" s="13">
        <v>30</v>
      </c>
      <c r="U866" s="14">
        <f t="shared" si="117"/>
        <v>1.4913616938342726</v>
      </c>
      <c r="V866" s="15">
        <v>20</v>
      </c>
      <c r="W866" s="12">
        <v>7.1796150999999959</v>
      </c>
      <c r="X866" s="12">
        <v>1</v>
      </c>
      <c r="Y866" s="13" t="s">
        <v>355</v>
      </c>
      <c r="Z866" s="9" t="s">
        <v>417</v>
      </c>
      <c r="AA866" s="10" t="s">
        <v>418</v>
      </c>
      <c r="AB866" s="9" t="s">
        <v>355</v>
      </c>
      <c r="AC866" s="15">
        <v>828</v>
      </c>
      <c r="AD866" s="14">
        <f t="shared" si="118"/>
        <v>2.9180303367848803</v>
      </c>
      <c r="AE866" s="10" t="s">
        <v>1138</v>
      </c>
      <c r="AF866" s="9" t="s">
        <v>420</v>
      </c>
      <c r="AG866" s="18">
        <v>35.624394000000002</v>
      </c>
      <c r="AH866" s="7">
        <f t="shared" si="119"/>
        <v>1</v>
      </c>
      <c r="AI866" s="7">
        <f t="shared" si="120"/>
        <v>1</v>
      </c>
      <c r="AJ866" s="7">
        <f t="shared" si="121"/>
        <v>0</v>
      </c>
      <c r="AK866" s="7">
        <f t="shared" si="122"/>
        <v>0</v>
      </c>
      <c r="AL866" s="7" t="s">
        <v>4157</v>
      </c>
      <c r="AM866" s="18">
        <f t="shared" si="123"/>
        <v>1.5517474853760194</v>
      </c>
      <c r="AN866" s="18">
        <v>35.624394000000002</v>
      </c>
      <c r="AO866" s="18">
        <v>-82.993161000000001</v>
      </c>
      <c r="AP866" s="9" t="s">
        <v>363</v>
      </c>
      <c r="AQ866" s="9" t="s">
        <v>355</v>
      </c>
      <c r="AR866" s="15">
        <v>1961</v>
      </c>
      <c r="AS866" s="19" t="s">
        <v>1110</v>
      </c>
      <c r="AT866" s="20" t="s">
        <v>1111</v>
      </c>
      <c r="AU866" s="34">
        <v>308477</v>
      </c>
      <c r="AV866" s="35">
        <f t="shared" si="124"/>
        <v>5.4892227886433114</v>
      </c>
      <c r="AW866" s="36" t="s">
        <v>366</v>
      </c>
      <c r="AX866" s="34" t="s">
        <v>355</v>
      </c>
      <c r="AY866" s="34" t="s">
        <v>355</v>
      </c>
      <c r="AZ866" s="15">
        <v>78</v>
      </c>
      <c r="BA866" s="14">
        <f t="shared" si="125"/>
        <v>1.8920946026904804</v>
      </c>
      <c r="BB866" s="36" t="s">
        <v>367</v>
      </c>
      <c r="BC866" s="20">
        <v>1.3837535014007724E-3</v>
      </c>
      <c r="BD866" s="9">
        <v>27.900000000000002</v>
      </c>
      <c r="BE866" s="9" t="s">
        <v>368</v>
      </c>
      <c r="BF866" s="9">
        <v>0</v>
      </c>
    </row>
    <row r="867" spans="1:58">
      <c r="A867" s="9">
        <v>141</v>
      </c>
      <c r="B867" s="10" t="s">
        <v>348</v>
      </c>
      <c r="C867" s="10" t="s">
        <v>349</v>
      </c>
      <c r="D867" s="20" t="s">
        <v>350</v>
      </c>
      <c r="E867" s="20" t="s">
        <v>679</v>
      </c>
      <c r="F867" s="10" t="s">
        <v>349</v>
      </c>
      <c r="G867" s="20" t="s">
        <v>350</v>
      </c>
      <c r="H867" s="20" t="s">
        <v>679</v>
      </c>
      <c r="I867" s="10" t="s">
        <v>349</v>
      </c>
      <c r="J867" s="20" t="s">
        <v>350</v>
      </c>
      <c r="K867" s="20" t="s">
        <v>680</v>
      </c>
      <c r="L867" s="9" t="s">
        <v>352</v>
      </c>
      <c r="M867" s="9">
        <v>4</v>
      </c>
      <c r="N867" s="9" t="s">
        <v>353</v>
      </c>
      <c r="O867" s="9" t="s">
        <v>354</v>
      </c>
      <c r="P867" s="12">
        <v>33.863930000000003</v>
      </c>
      <c r="Q867" s="12" t="s">
        <v>355</v>
      </c>
      <c r="R867" s="9" t="s">
        <v>356</v>
      </c>
      <c r="S867" s="13">
        <v>30</v>
      </c>
      <c r="T867" s="13">
        <v>30</v>
      </c>
      <c r="U867" s="14">
        <f t="shared" si="117"/>
        <v>1.4913616938342726</v>
      </c>
      <c r="V867" s="15">
        <v>20</v>
      </c>
      <c r="W867" s="12">
        <v>6.2482089000000016</v>
      </c>
      <c r="X867" s="12">
        <v>1</v>
      </c>
      <c r="Y867" s="13" t="s">
        <v>355</v>
      </c>
      <c r="Z867" s="9" t="s">
        <v>417</v>
      </c>
      <c r="AA867" s="10" t="s">
        <v>418</v>
      </c>
      <c r="AB867" s="9" t="s">
        <v>355</v>
      </c>
      <c r="AC867" s="15">
        <v>801</v>
      </c>
      <c r="AD867" s="14">
        <f t="shared" si="118"/>
        <v>2.9036325160842376</v>
      </c>
      <c r="AE867" s="10" t="s">
        <v>1136</v>
      </c>
      <c r="AF867" s="9" t="s">
        <v>420</v>
      </c>
      <c r="AG867" s="18">
        <v>35.219053000000002</v>
      </c>
      <c r="AH867" s="7">
        <f t="shared" si="119"/>
        <v>1</v>
      </c>
      <c r="AI867" s="7">
        <f t="shared" si="120"/>
        <v>1</v>
      </c>
      <c r="AJ867" s="7">
        <f t="shared" si="121"/>
        <v>0</v>
      </c>
      <c r="AK867" s="7">
        <f t="shared" si="122"/>
        <v>0</v>
      </c>
      <c r="AL867" s="7" t="s">
        <v>4157</v>
      </c>
      <c r="AM867" s="18">
        <f t="shared" si="123"/>
        <v>1.5467776741070192</v>
      </c>
      <c r="AN867" s="18">
        <v>35.219053000000002</v>
      </c>
      <c r="AO867" s="18">
        <v>-82.777857999999995</v>
      </c>
      <c r="AP867" s="9" t="s">
        <v>363</v>
      </c>
      <c r="AQ867" s="9" t="s">
        <v>355</v>
      </c>
      <c r="AR867" s="15">
        <v>1961</v>
      </c>
      <c r="AS867" s="19" t="s">
        <v>1110</v>
      </c>
      <c r="AT867" s="20" t="s">
        <v>1111</v>
      </c>
      <c r="AU867" s="34">
        <v>84401</v>
      </c>
      <c r="AV867" s="35">
        <f t="shared" si="124"/>
        <v>4.9263475922643885</v>
      </c>
      <c r="AW867" s="36" t="s">
        <v>366</v>
      </c>
      <c r="AX867" s="34" t="s">
        <v>355</v>
      </c>
      <c r="AY867" s="34">
        <v>1646</v>
      </c>
      <c r="AZ867" s="15">
        <v>78</v>
      </c>
      <c r="BA867" s="14">
        <f t="shared" si="125"/>
        <v>1.8920946026904804</v>
      </c>
      <c r="BB867" s="36" t="s">
        <v>367</v>
      </c>
      <c r="BC867" s="20">
        <v>2.3101240496199034E-3</v>
      </c>
      <c r="BD867" s="9">
        <v>28.1</v>
      </c>
      <c r="BE867" s="9" t="s">
        <v>368</v>
      </c>
      <c r="BF867" s="9">
        <v>0</v>
      </c>
    </row>
    <row r="868" spans="1:58">
      <c r="A868" s="9">
        <v>142</v>
      </c>
      <c r="B868" s="10" t="s">
        <v>348</v>
      </c>
      <c r="C868" s="10" t="s">
        <v>349</v>
      </c>
      <c r="D868" s="20" t="s">
        <v>350</v>
      </c>
      <c r="E868" s="20" t="s">
        <v>679</v>
      </c>
      <c r="F868" s="10" t="s">
        <v>349</v>
      </c>
      <c r="G868" s="20" t="s">
        <v>350</v>
      </c>
      <c r="H868" s="20" t="s">
        <v>679</v>
      </c>
      <c r="I868" s="10" t="s">
        <v>349</v>
      </c>
      <c r="J868" s="20" t="s">
        <v>350</v>
      </c>
      <c r="K868" s="20" t="s">
        <v>680</v>
      </c>
      <c r="L868" s="9" t="s">
        <v>352</v>
      </c>
      <c r="M868" s="9">
        <v>8</v>
      </c>
      <c r="N868" s="9" t="s">
        <v>353</v>
      </c>
      <c r="O868" s="9" t="s">
        <v>354</v>
      </c>
      <c r="P868" s="12">
        <v>33.598550000000003</v>
      </c>
      <c r="Q868" s="12" t="s">
        <v>355</v>
      </c>
      <c r="R868" s="9" t="s">
        <v>356</v>
      </c>
      <c r="S868" s="13">
        <v>30</v>
      </c>
      <c r="T868" s="13">
        <v>30</v>
      </c>
      <c r="U868" s="14">
        <f t="shared" si="117"/>
        <v>1.4913616938342726</v>
      </c>
      <c r="V868" s="15">
        <v>20</v>
      </c>
      <c r="W868" s="12">
        <v>7.1641223000000025</v>
      </c>
      <c r="X868" s="12">
        <v>1</v>
      </c>
      <c r="Y868" s="13" t="s">
        <v>355</v>
      </c>
      <c r="Z868" s="9" t="s">
        <v>417</v>
      </c>
      <c r="AA868" s="10" t="s">
        <v>418</v>
      </c>
      <c r="AB868" s="9" t="s">
        <v>355</v>
      </c>
      <c r="AC868" s="15">
        <v>872</v>
      </c>
      <c r="AD868" s="14">
        <f t="shared" si="118"/>
        <v>2.9405164849325671</v>
      </c>
      <c r="AE868" s="10" t="s">
        <v>1137</v>
      </c>
      <c r="AF868" s="9" t="s">
        <v>420</v>
      </c>
      <c r="AG868" s="18">
        <v>36.494084000000001</v>
      </c>
      <c r="AH868" s="7">
        <f t="shared" si="119"/>
        <v>1</v>
      </c>
      <c r="AI868" s="7">
        <f t="shared" si="120"/>
        <v>1</v>
      </c>
      <c r="AJ868" s="7">
        <f t="shared" si="121"/>
        <v>0</v>
      </c>
      <c r="AK868" s="7">
        <f t="shared" si="122"/>
        <v>0</v>
      </c>
      <c r="AL868" s="7" t="s">
        <v>4157</v>
      </c>
      <c r="AM868" s="18">
        <f t="shared" si="123"/>
        <v>1.5622224673497567</v>
      </c>
      <c r="AN868" s="18">
        <v>36.494084000000001</v>
      </c>
      <c r="AO868" s="18">
        <v>-81.119607999999999</v>
      </c>
      <c r="AP868" s="9" t="s">
        <v>363</v>
      </c>
      <c r="AQ868" s="9" t="s">
        <v>355</v>
      </c>
      <c r="AR868" s="15">
        <v>1961</v>
      </c>
      <c r="AS868" s="19" t="s">
        <v>1110</v>
      </c>
      <c r="AT868" s="20" t="s">
        <v>1111</v>
      </c>
      <c r="AU868" s="34">
        <v>84401</v>
      </c>
      <c r="AV868" s="35">
        <f t="shared" si="124"/>
        <v>4.9263475922643885</v>
      </c>
      <c r="AW868" s="36" t="s">
        <v>366</v>
      </c>
      <c r="AX868" s="34" t="s">
        <v>355</v>
      </c>
      <c r="AY868" s="34">
        <v>1646</v>
      </c>
      <c r="AZ868" s="15">
        <v>78</v>
      </c>
      <c r="BA868" s="14">
        <f t="shared" si="125"/>
        <v>1.8920946026904804</v>
      </c>
      <c r="BB868" s="36" t="s">
        <v>367</v>
      </c>
      <c r="BC868" s="20">
        <v>1.9629851940776481E-2</v>
      </c>
      <c r="BD868" s="9">
        <v>26.700000000000003</v>
      </c>
      <c r="BE868" s="9" t="s">
        <v>368</v>
      </c>
      <c r="BF868" s="9">
        <v>0</v>
      </c>
    </row>
    <row r="869" spans="1:58">
      <c r="A869" s="9">
        <v>154</v>
      </c>
      <c r="B869" s="10" t="s">
        <v>348</v>
      </c>
      <c r="C869" s="10" t="s">
        <v>349</v>
      </c>
      <c r="D869" s="20" t="s">
        <v>393</v>
      </c>
      <c r="E869" s="20" t="s">
        <v>394</v>
      </c>
      <c r="F869" s="10" t="s">
        <v>349</v>
      </c>
      <c r="G869" s="20" t="s">
        <v>393</v>
      </c>
      <c r="H869" s="20" t="s">
        <v>394</v>
      </c>
      <c r="I869" s="10" t="s">
        <v>349</v>
      </c>
      <c r="J869" s="20" t="s">
        <v>393</v>
      </c>
      <c r="K869" s="20" t="s">
        <v>394</v>
      </c>
      <c r="L869" s="9" t="s">
        <v>430</v>
      </c>
      <c r="M869" s="9">
        <v>3</v>
      </c>
      <c r="N869" s="9" t="s">
        <v>353</v>
      </c>
      <c r="O869" s="9" t="s">
        <v>354</v>
      </c>
      <c r="P869" s="12">
        <v>32.07038</v>
      </c>
      <c r="Q869" s="12" t="s">
        <v>355</v>
      </c>
      <c r="R869" s="9" t="s">
        <v>356</v>
      </c>
      <c r="S869" s="13">
        <v>30</v>
      </c>
      <c r="T869" s="13">
        <v>30</v>
      </c>
      <c r="U869" s="14">
        <f t="shared" si="117"/>
        <v>1.4913616938342726</v>
      </c>
      <c r="V869" s="15">
        <v>20</v>
      </c>
      <c r="W869" s="12">
        <v>4.3702807999999962</v>
      </c>
      <c r="X869" s="12">
        <v>1</v>
      </c>
      <c r="Y869" s="13" t="s">
        <v>355</v>
      </c>
      <c r="Z869" s="9" t="s">
        <v>417</v>
      </c>
      <c r="AA869" s="10" t="s">
        <v>418</v>
      </c>
      <c r="AB869" s="9" t="s">
        <v>355</v>
      </c>
      <c r="AC869" s="15">
        <v>790</v>
      </c>
      <c r="AD869" s="14">
        <f t="shared" si="118"/>
        <v>2.8976270912904414</v>
      </c>
      <c r="AE869" s="10" t="s">
        <v>1139</v>
      </c>
      <c r="AF869" s="9" t="s">
        <v>420</v>
      </c>
      <c r="AG869" s="18">
        <v>35.316864000000002</v>
      </c>
      <c r="AH869" s="7">
        <f t="shared" si="119"/>
        <v>1</v>
      </c>
      <c r="AI869" s="7">
        <f t="shared" si="120"/>
        <v>1</v>
      </c>
      <c r="AJ869" s="7">
        <f t="shared" si="121"/>
        <v>0</v>
      </c>
      <c r="AK869" s="7">
        <f t="shared" si="122"/>
        <v>0</v>
      </c>
      <c r="AL869" s="7" t="s">
        <v>4157</v>
      </c>
      <c r="AM869" s="18">
        <f t="shared" si="123"/>
        <v>1.5479821329587224</v>
      </c>
      <c r="AN869" s="18">
        <v>35.316864000000002</v>
      </c>
      <c r="AO869" s="18">
        <v>-83.209366000000003</v>
      </c>
      <c r="AP869" s="9" t="s">
        <v>363</v>
      </c>
      <c r="AQ869" s="9" t="s">
        <v>355</v>
      </c>
      <c r="AR869" s="15">
        <v>1961</v>
      </c>
      <c r="AS869" s="19" t="s">
        <v>1110</v>
      </c>
      <c r="AT869" s="20" t="s">
        <v>1111</v>
      </c>
      <c r="AU869" s="34">
        <v>1195927</v>
      </c>
      <c r="AV869" s="35">
        <f t="shared" si="124"/>
        <v>6.0777046709025946</v>
      </c>
      <c r="AW869" s="36" t="s">
        <v>366</v>
      </c>
      <c r="AX869" s="34" t="s">
        <v>355</v>
      </c>
      <c r="AY869" s="34" t="s">
        <v>355</v>
      </c>
      <c r="AZ869" s="15">
        <v>78</v>
      </c>
      <c r="BA869" s="14">
        <f t="shared" si="125"/>
        <v>1.8920946026904804</v>
      </c>
      <c r="BB869" s="36" t="s">
        <v>367</v>
      </c>
      <c r="BC869" s="20">
        <v>3.2953181272512384E-3</v>
      </c>
      <c r="BD869" s="9">
        <v>28.200000000000003</v>
      </c>
      <c r="BE869" s="9" t="s">
        <v>368</v>
      </c>
      <c r="BF869" s="9">
        <v>0</v>
      </c>
    </row>
    <row r="870" spans="1:58">
      <c r="A870" s="9">
        <v>156</v>
      </c>
      <c r="B870" s="10" t="s">
        <v>348</v>
      </c>
      <c r="C870" s="10" t="s">
        <v>349</v>
      </c>
      <c r="D870" s="20" t="s">
        <v>393</v>
      </c>
      <c r="E870" s="20" t="s">
        <v>975</v>
      </c>
      <c r="F870" s="10" t="s">
        <v>349</v>
      </c>
      <c r="G870" s="20" t="s">
        <v>393</v>
      </c>
      <c r="H870" s="20" t="s">
        <v>975</v>
      </c>
      <c r="I870" s="10" t="s">
        <v>349</v>
      </c>
      <c r="J870" s="20" t="s">
        <v>393</v>
      </c>
      <c r="K870" s="20" t="s">
        <v>975</v>
      </c>
      <c r="L870" s="9" t="s">
        <v>352</v>
      </c>
      <c r="M870" s="9">
        <v>3</v>
      </c>
      <c r="N870" s="9" t="s">
        <v>353</v>
      </c>
      <c r="O870" s="9" t="s">
        <v>354</v>
      </c>
      <c r="P870" s="12">
        <v>35.80059</v>
      </c>
      <c r="Q870" s="12" t="s">
        <v>355</v>
      </c>
      <c r="R870" s="9" t="s">
        <v>356</v>
      </c>
      <c r="S870" s="13">
        <v>30</v>
      </c>
      <c r="T870" s="13">
        <v>30</v>
      </c>
      <c r="U870" s="14">
        <f t="shared" si="117"/>
        <v>1.4913616938342726</v>
      </c>
      <c r="V870" s="15">
        <v>20</v>
      </c>
      <c r="W870" s="12">
        <v>7.5098440999999987</v>
      </c>
      <c r="X870" s="12">
        <v>1</v>
      </c>
      <c r="Y870" s="13" t="s">
        <v>355</v>
      </c>
      <c r="Z870" s="9" t="s">
        <v>417</v>
      </c>
      <c r="AA870" s="10" t="s">
        <v>418</v>
      </c>
      <c r="AB870" s="9" t="s">
        <v>355</v>
      </c>
      <c r="AC870" s="15">
        <v>544</v>
      </c>
      <c r="AD870" s="14">
        <f t="shared" si="118"/>
        <v>2.7355988996981799</v>
      </c>
      <c r="AE870" s="10" t="s">
        <v>1134</v>
      </c>
      <c r="AF870" s="9" t="s">
        <v>420</v>
      </c>
      <c r="AG870" s="18">
        <v>36.688625000000002</v>
      </c>
      <c r="AH870" s="7">
        <f t="shared" si="119"/>
        <v>1</v>
      </c>
      <c r="AI870" s="7">
        <f t="shared" si="120"/>
        <v>1</v>
      </c>
      <c r="AJ870" s="7">
        <f t="shared" si="121"/>
        <v>0</v>
      </c>
      <c r="AK870" s="7">
        <f t="shared" si="122"/>
        <v>0</v>
      </c>
      <c r="AL870" s="7" t="s">
        <v>4157</v>
      </c>
      <c r="AM870" s="18">
        <f t="shared" si="123"/>
        <v>1.5645314357651485</v>
      </c>
      <c r="AN870" s="18">
        <v>36.688625000000002</v>
      </c>
      <c r="AO870" s="18">
        <v>-80.321310999999994</v>
      </c>
      <c r="AP870" s="9" t="s">
        <v>363</v>
      </c>
      <c r="AQ870" s="9" t="s">
        <v>355</v>
      </c>
      <c r="AR870" s="15">
        <v>1961</v>
      </c>
      <c r="AS870" s="19" t="s">
        <v>1110</v>
      </c>
      <c r="AT870" s="20" t="s">
        <v>1111</v>
      </c>
      <c r="AU870" s="34">
        <v>848341</v>
      </c>
      <c r="AV870" s="35">
        <f t="shared" si="124"/>
        <v>5.9285704567971029</v>
      </c>
      <c r="AW870" s="36" t="s">
        <v>366</v>
      </c>
      <c r="AX870" s="34" t="s">
        <v>355</v>
      </c>
      <c r="AY870" s="34" t="s">
        <v>355</v>
      </c>
      <c r="AZ870" s="15">
        <v>154</v>
      </c>
      <c r="BA870" s="14">
        <f t="shared" si="125"/>
        <v>2.1875207208364631</v>
      </c>
      <c r="BB870" s="36" t="s">
        <v>367</v>
      </c>
      <c r="BC870" s="20">
        <v>1.2902761104441898E-2</v>
      </c>
      <c r="BD870" s="9">
        <v>28.900000000000002</v>
      </c>
      <c r="BE870" s="9" t="s">
        <v>368</v>
      </c>
      <c r="BF870" s="9">
        <v>0</v>
      </c>
    </row>
    <row r="871" spans="1:58">
      <c r="A871" s="9">
        <v>155</v>
      </c>
      <c r="B871" s="10" t="s">
        <v>348</v>
      </c>
      <c r="C871" s="10" t="s">
        <v>349</v>
      </c>
      <c r="D871" s="20" t="s">
        <v>393</v>
      </c>
      <c r="E871" s="20" t="s">
        <v>976</v>
      </c>
      <c r="F871" s="10" t="s">
        <v>349</v>
      </c>
      <c r="G871" s="20" t="s">
        <v>393</v>
      </c>
      <c r="H871" s="20" t="s">
        <v>976</v>
      </c>
      <c r="I871" s="10" t="s">
        <v>349</v>
      </c>
      <c r="J871" s="20" t="s">
        <v>393</v>
      </c>
      <c r="K871" s="20" t="s">
        <v>976</v>
      </c>
      <c r="L871" s="9" t="s">
        <v>352</v>
      </c>
      <c r="M871" s="9">
        <v>10</v>
      </c>
      <c r="N871" s="9" t="s">
        <v>381</v>
      </c>
      <c r="O871" s="9" t="s">
        <v>354</v>
      </c>
      <c r="P871" s="12">
        <v>34.956009999999999</v>
      </c>
      <c r="Q871" s="12" t="s">
        <v>355</v>
      </c>
      <c r="R871" s="9" t="s">
        <v>356</v>
      </c>
      <c r="S871" s="13">
        <v>30</v>
      </c>
      <c r="T871" s="13">
        <v>30</v>
      </c>
      <c r="U871" s="14">
        <f t="shared" si="117"/>
        <v>1.4913616938342726</v>
      </c>
      <c r="V871" s="15">
        <v>20</v>
      </c>
      <c r="W871" s="12">
        <v>6.6652640999999981</v>
      </c>
      <c r="X871" s="12">
        <v>1</v>
      </c>
      <c r="Y871" s="13" t="s">
        <v>355</v>
      </c>
      <c r="Z871" s="9" t="s">
        <v>417</v>
      </c>
      <c r="AA871" s="10" t="s">
        <v>418</v>
      </c>
      <c r="AB871" s="9" t="s">
        <v>355</v>
      </c>
      <c r="AC871" s="15">
        <v>567</v>
      </c>
      <c r="AD871" s="14">
        <f t="shared" si="118"/>
        <v>2.7535830588929064</v>
      </c>
      <c r="AE871" s="10" t="s">
        <v>1140</v>
      </c>
      <c r="AF871" s="9" t="s">
        <v>420</v>
      </c>
      <c r="AG871" s="18">
        <v>37.313288</v>
      </c>
      <c r="AH871" s="7">
        <f t="shared" si="119"/>
        <v>1</v>
      </c>
      <c r="AI871" s="7">
        <f t="shared" si="120"/>
        <v>1</v>
      </c>
      <c r="AJ871" s="7">
        <f t="shared" si="121"/>
        <v>0</v>
      </c>
      <c r="AK871" s="7">
        <f t="shared" si="122"/>
        <v>0</v>
      </c>
      <c r="AL871" s="7" t="s">
        <v>4157</v>
      </c>
      <c r="AM871" s="18">
        <f t="shared" si="123"/>
        <v>1.5718635202104785</v>
      </c>
      <c r="AN871" s="18">
        <v>37.313288</v>
      </c>
      <c r="AO871" s="18">
        <v>-80.677079000000006</v>
      </c>
      <c r="AP871" s="9" t="s">
        <v>363</v>
      </c>
      <c r="AQ871" s="9" t="s">
        <v>355</v>
      </c>
      <c r="AR871" s="15">
        <v>1961</v>
      </c>
      <c r="AS871" s="19" t="s">
        <v>1110</v>
      </c>
      <c r="AT871" s="20" t="s">
        <v>1111</v>
      </c>
      <c r="AU871" s="34">
        <v>449475</v>
      </c>
      <c r="AV871" s="35">
        <f t="shared" si="124"/>
        <v>5.652705541088185</v>
      </c>
      <c r="AW871" s="36" t="s">
        <v>366</v>
      </c>
      <c r="AX871" s="34" t="s">
        <v>355</v>
      </c>
      <c r="AY871" s="34" t="s">
        <v>355</v>
      </c>
      <c r="AZ871" s="15">
        <v>154</v>
      </c>
      <c r="BA871" s="14">
        <f t="shared" si="125"/>
        <v>2.1875207208364631</v>
      </c>
      <c r="BB871" s="36" t="s">
        <v>367</v>
      </c>
      <c r="BC871" s="20">
        <v>1.7852340936374687E-2</v>
      </c>
      <c r="BD871" s="9">
        <v>28.900000000000002</v>
      </c>
      <c r="BE871" s="9" t="s">
        <v>368</v>
      </c>
      <c r="BF871" s="9">
        <v>0</v>
      </c>
    </row>
    <row r="872" spans="1:58">
      <c r="A872" s="9">
        <v>157</v>
      </c>
      <c r="B872" s="10" t="s">
        <v>348</v>
      </c>
      <c r="C872" s="10" t="s">
        <v>349</v>
      </c>
      <c r="D872" s="20" t="s">
        <v>1141</v>
      </c>
      <c r="E872" s="20" t="s">
        <v>1142</v>
      </c>
      <c r="F872" s="20" t="s">
        <v>349</v>
      </c>
      <c r="G872" s="20" t="s">
        <v>393</v>
      </c>
      <c r="H872" s="20" t="s">
        <v>1143</v>
      </c>
      <c r="I872" s="20" t="s">
        <v>349</v>
      </c>
      <c r="J872" s="20" t="s">
        <v>393</v>
      </c>
      <c r="K872" s="20" t="s">
        <v>1143</v>
      </c>
      <c r="L872" s="9" t="s">
        <v>352</v>
      </c>
      <c r="M872" s="9">
        <v>3</v>
      </c>
      <c r="N872" s="9" t="s">
        <v>353</v>
      </c>
      <c r="O872" s="9" t="s">
        <v>354</v>
      </c>
      <c r="P872" s="12">
        <v>37.841639999999998</v>
      </c>
      <c r="Q872" s="12" t="s">
        <v>355</v>
      </c>
      <c r="R872" s="9" t="s">
        <v>356</v>
      </c>
      <c r="S872" s="13">
        <v>30</v>
      </c>
      <c r="T872" s="13">
        <v>30</v>
      </c>
      <c r="U872" s="14">
        <f t="shared" si="117"/>
        <v>1.4913616938342726</v>
      </c>
      <c r="V872" s="15">
        <v>20</v>
      </c>
      <c r="W872" s="12">
        <v>7.4414415999999939</v>
      </c>
      <c r="X872" s="12">
        <v>1</v>
      </c>
      <c r="Y872" s="13" t="s">
        <v>355</v>
      </c>
      <c r="Z872" s="9" t="s">
        <v>417</v>
      </c>
      <c r="AA872" s="10" t="s">
        <v>418</v>
      </c>
      <c r="AB872" s="9" t="s">
        <v>355</v>
      </c>
      <c r="AC872" s="15">
        <v>21</v>
      </c>
      <c r="AD872" s="14">
        <f t="shared" si="118"/>
        <v>1.3222192947339193</v>
      </c>
      <c r="AE872" s="10" t="s">
        <v>1113</v>
      </c>
      <c r="AF872" s="9" t="s">
        <v>420</v>
      </c>
      <c r="AG872" s="18">
        <v>34.588239999999999</v>
      </c>
      <c r="AH872" s="7">
        <f t="shared" si="119"/>
        <v>1</v>
      </c>
      <c r="AI872" s="7">
        <f t="shared" si="120"/>
        <v>1</v>
      </c>
      <c r="AJ872" s="7">
        <f t="shared" si="121"/>
        <v>0</v>
      </c>
      <c r="AK872" s="7">
        <f t="shared" si="122"/>
        <v>0</v>
      </c>
      <c r="AL872" s="7" t="s">
        <v>4157</v>
      </c>
      <c r="AM872" s="18">
        <f t="shared" si="123"/>
        <v>1.5389284637855452</v>
      </c>
      <c r="AN872" s="18">
        <v>34.588239999999999</v>
      </c>
      <c r="AO872" s="18">
        <v>-78.566085000000001</v>
      </c>
      <c r="AP872" s="9" t="s">
        <v>363</v>
      </c>
      <c r="AQ872" s="9" t="s">
        <v>355</v>
      </c>
      <c r="AR872" s="15">
        <v>1961</v>
      </c>
      <c r="AS872" s="19" t="s">
        <v>1110</v>
      </c>
      <c r="AT872" s="20" t="s">
        <v>1111</v>
      </c>
      <c r="AU872" s="34">
        <v>743952</v>
      </c>
      <c r="AV872" s="35">
        <f t="shared" si="124"/>
        <v>5.8715449156431685</v>
      </c>
      <c r="AW872" s="36" t="s">
        <v>366</v>
      </c>
      <c r="AX872" s="34" t="s">
        <v>355</v>
      </c>
      <c r="AY872" s="34" t="s">
        <v>355</v>
      </c>
      <c r="AZ872" s="15">
        <v>78</v>
      </c>
      <c r="BA872" s="14">
        <f t="shared" si="125"/>
        <v>1.8920946026904804</v>
      </c>
      <c r="BB872" s="36" t="s">
        <v>367</v>
      </c>
      <c r="BC872" s="20">
        <v>1.5567026810724499E-2</v>
      </c>
      <c r="BD872" s="9">
        <v>31.400000000000002</v>
      </c>
      <c r="BE872" s="9" t="s">
        <v>368</v>
      </c>
      <c r="BF872" s="9">
        <v>0</v>
      </c>
    </row>
    <row r="873" spans="1:58">
      <c r="A873" s="9">
        <v>152</v>
      </c>
      <c r="B873" s="10" t="s">
        <v>348</v>
      </c>
      <c r="C873" s="10" t="s">
        <v>349</v>
      </c>
      <c r="D873" s="20" t="s">
        <v>1144</v>
      </c>
      <c r="E873" s="20" t="s">
        <v>1145</v>
      </c>
      <c r="F873" s="20" t="s">
        <v>349</v>
      </c>
      <c r="G873" s="20" t="s">
        <v>1144</v>
      </c>
      <c r="H873" s="20" t="s">
        <v>1146</v>
      </c>
      <c r="I873" s="20" t="s">
        <v>349</v>
      </c>
      <c r="J873" s="20" t="s">
        <v>1144</v>
      </c>
      <c r="K873" s="20" t="s">
        <v>1146</v>
      </c>
      <c r="L873" s="9" t="s">
        <v>352</v>
      </c>
      <c r="M873" s="9">
        <v>3</v>
      </c>
      <c r="N873" s="9" t="s">
        <v>353</v>
      </c>
      <c r="O873" s="9" t="s">
        <v>354</v>
      </c>
      <c r="P873" s="12">
        <v>33.442810000000001</v>
      </c>
      <c r="Q873" s="12" t="s">
        <v>355</v>
      </c>
      <c r="R873" s="9" t="s">
        <v>356</v>
      </c>
      <c r="S873" s="13">
        <v>30</v>
      </c>
      <c r="T873" s="13">
        <v>30</v>
      </c>
      <c r="U873" s="14">
        <f t="shared" si="117"/>
        <v>1.4913616938342726</v>
      </c>
      <c r="V873" s="15">
        <v>20</v>
      </c>
      <c r="W873" s="12">
        <v>5.9114670000000018</v>
      </c>
      <c r="X873" s="12">
        <v>1</v>
      </c>
      <c r="Y873" s="13" t="s">
        <v>355</v>
      </c>
      <c r="Z873" s="9" t="s">
        <v>417</v>
      </c>
      <c r="AA873" s="10" t="s">
        <v>418</v>
      </c>
      <c r="AB873" s="9" t="s">
        <v>355</v>
      </c>
      <c r="AC873" s="15">
        <v>800</v>
      </c>
      <c r="AD873" s="14">
        <f t="shared" si="118"/>
        <v>2.9030899869919438</v>
      </c>
      <c r="AE873" s="10" t="s">
        <v>1147</v>
      </c>
      <c r="AF873" s="9" t="s">
        <v>420</v>
      </c>
      <c r="AG873" s="18">
        <v>35.119751999999998</v>
      </c>
      <c r="AH873" s="7">
        <f t="shared" si="119"/>
        <v>1</v>
      </c>
      <c r="AI873" s="7">
        <f t="shared" si="120"/>
        <v>1</v>
      </c>
      <c r="AJ873" s="7">
        <f t="shared" si="121"/>
        <v>0</v>
      </c>
      <c r="AK873" s="7">
        <f t="shared" si="122"/>
        <v>0</v>
      </c>
      <c r="AL873" s="7" t="s">
        <v>4157</v>
      </c>
      <c r="AM873" s="18">
        <f t="shared" si="123"/>
        <v>1.5455514404512689</v>
      </c>
      <c r="AN873" s="18">
        <v>35.119751999999998</v>
      </c>
      <c r="AO873" s="18">
        <v>-83.336188000000007</v>
      </c>
      <c r="AP873" s="9" t="s">
        <v>363</v>
      </c>
      <c r="AQ873" s="9" t="s">
        <v>355</v>
      </c>
      <c r="AR873" s="15">
        <v>1961</v>
      </c>
      <c r="AS873" s="19" t="s">
        <v>1110</v>
      </c>
      <c r="AT873" s="20" t="s">
        <v>1111</v>
      </c>
      <c r="AU873" s="34">
        <v>763827</v>
      </c>
      <c r="AV873" s="35">
        <f t="shared" si="124"/>
        <v>5.8829950058882581</v>
      </c>
      <c r="AW873" s="36" t="s">
        <v>366</v>
      </c>
      <c r="AX873" s="34" t="s">
        <v>355</v>
      </c>
      <c r="AY873" s="34" t="s">
        <v>355</v>
      </c>
      <c r="AZ873" s="15">
        <v>154</v>
      </c>
      <c r="BA873" s="14">
        <f t="shared" si="125"/>
        <v>2.1875207208364631</v>
      </c>
      <c r="BB873" s="36" t="s">
        <v>388</v>
      </c>
      <c r="BC873" s="20">
        <v>3.2953181272512384E-3</v>
      </c>
      <c r="BD873" s="9">
        <v>28</v>
      </c>
      <c r="BE873" s="9" t="s">
        <v>368</v>
      </c>
      <c r="BF873" s="9">
        <v>0</v>
      </c>
    </row>
    <row r="874" spans="1:58">
      <c r="A874" s="9">
        <v>151</v>
      </c>
      <c r="B874" s="10" t="s">
        <v>348</v>
      </c>
      <c r="C874" s="10" t="s">
        <v>349</v>
      </c>
      <c r="D874" s="20" t="s">
        <v>1148</v>
      </c>
      <c r="E874" s="20" t="s">
        <v>1149</v>
      </c>
      <c r="F874" s="10" t="s">
        <v>349</v>
      </c>
      <c r="G874" s="20" t="s">
        <v>1148</v>
      </c>
      <c r="H874" s="20" t="s">
        <v>1149</v>
      </c>
      <c r="I874" s="10" t="s">
        <v>349</v>
      </c>
      <c r="J874" s="20" t="s">
        <v>1148</v>
      </c>
      <c r="K874" s="20" t="s">
        <v>1149</v>
      </c>
      <c r="L874" s="9" t="s">
        <v>352</v>
      </c>
      <c r="M874" s="9">
        <v>5</v>
      </c>
      <c r="N874" s="9" t="s">
        <v>353</v>
      </c>
      <c r="O874" s="9" t="s">
        <v>354</v>
      </c>
      <c r="P874" s="12">
        <v>36.653959999999998</v>
      </c>
      <c r="Q874" s="12" t="s">
        <v>355</v>
      </c>
      <c r="R874" s="9" t="s">
        <v>356</v>
      </c>
      <c r="S874" s="13">
        <v>30</v>
      </c>
      <c r="T874" s="13">
        <v>30</v>
      </c>
      <c r="U874" s="14">
        <f t="shared" si="117"/>
        <v>1.4913616938342726</v>
      </c>
      <c r="V874" s="15">
        <v>22</v>
      </c>
      <c r="W874" s="12">
        <v>5.6881892999999977</v>
      </c>
      <c r="X874" s="12">
        <v>1</v>
      </c>
      <c r="Y874" s="13" t="s">
        <v>355</v>
      </c>
      <c r="Z874" s="9" t="s">
        <v>417</v>
      </c>
      <c r="AA874" s="10" t="s">
        <v>418</v>
      </c>
      <c r="AB874" s="9" t="s">
        <v>355</v>
      </c>
      <c r="AC874" s="15">
        <v>111</v>
      </c>
      <c r="AD874" s="14">
        <f t="shared" si="118"/>
        <v>2.0453229787866576</v>
      </c>
      <c r="AE874" s="10" t="s">
        <v>1114</v>
      </c>
      <c r="AF874" s="9" t="s">
        <v>420</v>
      </c>
      <c r="AG874" s="18">
        <v>35.994033000000002</v>
      </c>
      <c r="AH874" s="7">
        <f t="shared" si="119"/>
        <v>1</v>
      </c>
      <c r="AI874" s="7">
        <f t="shared" si="120"/>
        <v>1</v>
      </c>
      <c r="AJ874" s="7">
        <f t="shared" si="121"/>
        <v>0</v>
      </c>
      <c r="AK874" s="7">
        <f t="shared" si="122"/>
        <v>0</v>
      </c>
      <c r="AL874" s="7" t="s">
        <v>4157</v>
      </c>
      <c r="AM874" s="18">
        <f t="shared" si="123"/>
        <v>1.5562305104905527</v>
      </c>
      <c r="AN874" s="18">
        <v>35.994033000000002</v>
      </c>
      <c r="AO874" s="18">
        <v>-78.898618999999997</v>
      </c>
      <c r="AP874" s="9" t="s">
        <v>363</v>
      </c>
      <c r="AQ874" s="9" t="s">
        <v>355</v>
      </c>
      <c r="AR874" s="15">
        <v>1961</v>
      </c>
      <c r="AS874" s="19" t="s">
        <v>1110</v>
      </c>
      <c r="AT874" s="20" t="s">
        <v>1111</v>
      </c>
      <c r="AU874" s="34">
        <v>1510367</v>
      </c>
      <c r="AV874" s="35">
        <f t="shared" si="124"/>
        <v>6.1790824881599864</v>
      </c>
      <c r="AW874" s="36" t="s">
        <v>366</v>
      </c>
      <c r="AX874" s="34" t="s">
        <v>355</v>
      </c>
      <c r="AY874" s="34" t="s">
        <v>355</v>
      </c>
      <c r="AZ874" s="15">
        <v>78</v>
      </c>
      <c r="BA874" s="14">
        <f t="shared" si="125"/>
        <v>1.8920946026904804</v>
      </c>
      <c r="BB874" s="36" t="s">
        <v>367</v>
      </c>
      <c r="BC874" s="20">
        <v>2.4533813525410383E-2</v>
      </c>
      <c r="BD874" s="9">
        <v>31.700000000000003</v>
      </c>
      <c r="BE874" s="9" t="s">
        <v>368</v>
      </c>
      <c r="BF874" s="9">
        <v>0</v>
      </c>
    </row>
    <row r="875" spans="1:58">
      <c r="A875" s="9">
        <v>172</v>
      </c>
      <c r="B875" s="10" t="s">
        <v>348</v>
      </c>
      <c r="C875" s="10" t="s">
        <v>622</v>
      </c>
      <c r="D875" s="20" t="s">
        <v>681</v>
      </c>
      <c r="E875" s="20" t="s">
        <v>682</v>
      </c>
      <c r="F875" s="10" t="s">
        <v>622</v>
      </c>
      <c r="G875" s="20" t="s">
        <v>683</v>
      </c>
      <c r="H875" s="20" t="s">
        <v>682</v>
      </c>
      <c r="I875" s="10" t="s">
        <v>622</v>
      </c>
      <c r="J875" s="20" t="s">
        <v>683</v>
      </c>
      <c r="K875" s="20" t="s">
        <v>682</v>
      </c>
      <c r="L875" s="9" t="s">
        <v>352</v>
      </c>
      <c r="M875" s="9">
        <v>10</v>
      </c>
      <c r="N875" s="9" t="s">
        <v>381</v>
      </c>
      <c r="O875" s="9" t="s">
        <v>354</v>
      </c>
      <c r="P875" s="12">
        <v>39.436880000000002</v>
      </c>
      <c r="Q875" s="12" t="s">
        <v>355</v>
      </c>
      <c r="R875" s="9" t="s">
        <v>356</v>
      </c>
      <c r="S875" s="13">
        <v>30</v>
      </c>
      <c r="T875" s="13">
        <v>30</v>
      </c>
      <c r="U875" s="14">
        <f t="shared" si="117"/>
        <v>1.4913616938342726</v>
      </c>
      <c r="V875" s="15">
        <v>20</v>
      </c>
      <c r="W875" s="12">
        <v>8.8679254000000043</v>
      </c>
      <c r="X875" s="12">
        <v>1</v>
      </c>
      <c r="Y875" s="13" t="s">
        <v>355</v>
      </c>
      <c r="Z875" s="9" t="s">
        <v>417</v>
      </c>
      <c r="AA875" s="10" t="s">
        <v>418</v>
      </c>
      <c r="AB875" s="9" t="s">
        <v>355</v>
      </c>
      <c r="AC875" s="15">
        <v>9</v>
      </c>
      <c r="AD875" s="14">
        <f t="shared" si="118"/>
        <v>0.95424250943932487</v>
      </c>
      <c r="AE875" s="10" t="s">
        <v>1150</v>
      </c>
      <c r="AF875" s="9" t="s">
        <v>420</v>
      </c>
      <c r="AG875" s="18">
        <v>34.027540000000002</v>
      </c>
      <c r="AH875" s="7">
        <f t="shared" si="119"/>
        <v>1</v>
      </c>
      <c r="AI875" s="7">
        <f t="shared" si="120"/>
        <v>1</v>
      </c>
      <c r="AJ875" s="7">
        <f t="shared" si="121"/>
        <v>0</v>
      </c>
      <c r="AK875" s="7">
        <f t="shared" si="122"/>
        <v>0</v>
      </c>
      <c r="AL875" s="7" t="s">
        <v>4157</v>
      </c>
      <c r="AM875" s="18">
        <f t="shared" si="123"/>
        <v>1.5318305531791792</v>
      </c>
      <c r="AN875" s="18">
        <v>34.027540000000002</v>
      </c>
      <c r="AO875" s="18">
        <v>-78.202038999999999</v>
      </c>
      <c r="AP875" s="9" t="s">
        <v>363</v>
      </c>
      <c r="AQ875" s="9" t="s">
        <v>355</v>
      </c>
      <c r="AR875" s="15">
        <v>1961</v>
      </c>
      <c r="AS875" s="19" t="s">
        <v>1110</v>
      </c>
      <c r="AT875" s="20" t="s">
        <v>1111</v>
      </c>
      <c r="AU875" s="34">
        <v>3437299</v>
      </c>
      <c r="AV875" s="35">
        <f t="shared" si="124"/>
        <v>6.5362173117130542</v>
      </c>
      <c r="AW875" s="36" t="s">
        <v>366</v>
      </c>
      <c r="AX875" s="34" t="s">
        <v>355</v>
      </c>
      <c r="AY875" s="34" t="s">
        <v>355</v>
      </c>
      <c r="AZ875" s="15">
        <v>78</v>
      </c>
      <c r="BA875" s="14">
        <f t="shared" si="125"/>
        <v>1.8920946026904804</v>
      </c>
      <c r="BB875" s="36" t="s">
        <v>388</v>
      </c>
      <c r="BC875" s="20">
        <v>7.241696678671361E-3</v>
      </c>
      <c r="BD875" s="9">
        <v>31.6</v>
      </c>
      <c r="BE875" s="9" t="s">
        <v>368</v>
      </c>
      <c r="BF875" s="9">
        <v>0</v>
      </c>
    </row>
    <row r="876" spans="1:58">
      <c r="A876" s="9">
        <v>160</v>
      </c>
      <c r="B876" s="10" t="s">
        <v>348</v>
      </c>
      <c r="C876" s="10" t="s">
        <v>622</v>
      </c>
      <c r="D876" s="20" t="s">
        <v>681</v>
      </c>
      <c r="E876" s="20" t="s">
        <v>682</v>
      </c>
      <c r="F876" s="10" t="s">
        <v>622</v>
      </c>
      <c r="G876" s="20" t="s">
        <v>683</v>
      </c>
      <c r="H876" s="20" t="s">
        <v>682</v>
      </c>
      <c r="I876" s="10" t="s">
        <v>622</v>
      </c>
      <c r="J876" s="20" t="s">
        <v>683</v>
      </c>
      <c r="K876" s="20" t="s">
        <v>682</v>
      </c>
      <c r="L876" s="9" t="s">
        <v>352</v>
      </c>
      <c r="M876" s="9">
        <v>12</v>
      </c>
      <c r="N876" s="9" t="s">
        <v>381</v>
      </c>
      <c r="O876" s="9" t="s">
        <v>354</v>
      </c>
      <c r="P876" s="12">
        <v>37.97636</v>
      </c>
      <c r="Q876" s="12" t="s">
        <v>355</v>
      </c>
      <c r="R876" s="9" t="s">
        <v>356</v>
      </c>
      <c r="S876" s="13">
        <v>30</v>
      </c>
      <c r="T876" s="13">
        <v>30</v>
      </c>
      <c r="U876" s="14">
        <f t="shared" si="117"/>
        <v>1.4913616938342726</v>
      </c>
      <c r="V876" s="15">
        <v>20</v>
      </c>
      <c r="W876" s="12">
        <v>9.4324797999999959</v>
      </c>
      <c r="X876" s="12">
        <v>1</v>
      </c>
      <c r="Y876" s="13" t="s">
        <v>355</v>
      </c>
      <c r="Z876" s="9" t="s">
        <v>417</v>
      </c>
      <c r="AA876" s="10" t="s">
        <v>418</v>
      </c>
      <c r="AB876" s="9" t="s">
        <v>355</v>
      </c>
      <c r="AC876" s="15">
        <v>56</v>
      </c>
      <c r="AD876" s="14">
        <f t="shared" si="118"/>
        <v>1.7481880270062005</v>
      </c>
      <c r="AE876" s="10" t="s">
        <v>1151</v>
      </c>
      <c r="AF876" s="9" t="s">
        <v>362</v>
      </c>
      <c r="AG876" s="18">
        <v>42.117230999999997</v>
      </c>
      <c r="AH876" s="7">
        <f t="shared" si="119"/>
        <v>1</v>
      </c>
      <c r="AI876" s="7">
        <f t="shared" si="120"/>
        <v>1</v>
      </c>
      <c r="AJ876" s="7">
        <f t="shared" si="121"/>
        <v>0</v>
      </c>
      <c r="AK876" s="7">
        <f t="shared" si="122"/>
        <v>0</v>
      </c>
      <c r="AL876" s="7" t="s">
        <v>4157</v>
      </c>
      <c r="AM876" s="18">
        <f t="shared" si="123"/>
        <v>1.6244598107339911</v>
      </c>
      <c r="AN876" s="18">
        <v>42.117230999999997</v>
      </c>
      <c r="AO876" s="18">
        <v>-72.662420999999995</v>
      </c>
      <c r="AP876" s="9" t="s">
        <v>363</v>
      </c>
      <c r="AQ876" s="9" t="s">
        <v>355</v>
      </c>
      <c r="AR876" s="15">
        <v>1961</v>
      </c>
      <c r="AS876" s="19" t="s">
        <v>1110</v>
      </c>
      <c r="AT876" s="20" t="s">
        <v>1111</v>
      </c>
      <c r="AU876" s="34">
        <v>3437299</v>
      </c>
      <c r="AV876" s="35">
        <f t="shared" si="124"/>
        <v>6.5362173117130542</v>
      </c>
      <c r="AW876" s="36" t="s">
        <v>366</v>
      </c>
      <c r="AX876" s="34" t="s">
        <v>355</v>
      </c>
      <c r="AY876" s="34" t="s">
        <v>355</v>
      </c>
      <c r="AZ876" s="15">
        <v>78</v>
      </c>
      <c r="BA876" s="14">
        <f t="shared" si="125"/>
        <v>1.8920946026904804</v>
      </c>
      <c r="BB876" s="36" t="s">
        <v>388</v>
      </c>
      <c r="BC876" s="20">
        <v>2.4527811124449628E-2</v>
      </c>
      <c r="BD876" s="9">
        <v>29.200000000000003</v>
      </c>
      <c r="BE876" s="9" t="s">
        <v>368</v>
      </c>
      <c r="BF876" s="9">
        <v>0</v>
      </c>
    </row>
    <row r="877" spans="1:58">
      <c r="A877" s="9">
        <v>167</v>
      </c>
      <c r="B877" s="10" t="s">
        <v>348</v>
      </c>
      <c r="C877" s="10" t="s">
        <v>622</v>
      </c>
      <c r="D877" s="20" t="s">
        <v>681</v>
      </c>
      <c r="E877" s="20" t="s">
        <v>682</v>
      </c>
      <c r="F877" s="10" t="s">
        <v>622</v>
      </c>
      <c r="G877" s="20" t="s">
        <v>683</v>
      </c>
      <c r="H877" s="20" t="s">
        <v>682</v>
      </c>
      <c r="I877" s="10" t="s">
        <v>622</v>
      </c>
      <c r="J877" s="20" t="s">
        <v>683</v>
      </c>
      <c r="K877" s="20" t="s">
        <v>682</v>
      </c>
      <c r="L877" s="9" t="s">
        <v>352</v>
      </c>
      <c r="M877" s="9">
        <v>11</v>
      </c>
      <c r="N877" s="9" t="s">
        <v>381</v>
      </c>
      <c r="O877" s="9" t="s">
        <v>354</v>
      </c>
      <c r="P877" s="12">
        <v>39.015389999999996</v>
      </c>
      <c r="Q877" s="12" t="s">
        <v>355</v>
      </c>
      <c r="R877" s="9" t="s">
        <v>356</v>
      </c>
      <c r="S877" s="13">
        <v>30</v>
      </c>
      <c r="T877" s="13">
        <v>30</v>
      </c>
      <c r="U877" s="14">
        <f t="shared" si="117"/>
        <v>1.4913616938342726</v>
      </c>
      <c r="V877" s="15">
        <v>20</v>
      </c>
      <c r="W877" s="12">
        <v>8.1933010999999958</v>
      </c>
      <c r="X877" s="12">
        <v>1</v>
      </c>
      <c r="Y877" s="13" t="s">
        <v>355</v>
      </c>
      <c r="Z877" s="9" t="s">
        <v>417</v>
      </c>
      <c r="AA877" s="10" t="s">
        <v>418</v>
      </c>
      <c r="AB877" s="9" t="s">
        <v>355</v>
      </c>
      <c r="AC877" s="15">
        <v>87</v>
      </c>
      <c r="AD877" s="14">
        <f t="shared" si="118"/>
        <v>1.9395192526186185</v>
      </c>
      <c r="AE877" s="10" t="s">
        <v>1152</v>
      </c>
      <c r="AF877" s="9" t="s">
        <v>420</v>
      </c>
      <c r="AG877" s="18">
        <v>36.074142000000002</v>
      </c>
      <c r="AH877" s="7">
        <f t="shared" si="119"/>
        <v>1</v>
      </c>
      <c r="AI877" s="7">
        <f t="shared" si="120"/>
        <v>1</v>
      </c>
      <c r="AJ877" s="7">
        <f t="shared" si="121"/>
        <v>0</v>
      </c>
      <c r="AK877" s="7">
        <f t="shared" si="122"/>
        <v>0</v>
      </c>
      <c r="AL877" s="7" t="s">
        <v>4157</v>
      </c>
      <c r="AM877" s="18">
        <f t="shared" si="123"/>
        <v>1.5571960104766405</v>
      </c>
      <c r="AN877" s="18">
        <v>36.074142000000002</v>
      </c>
      <c r="AO877" s="18">
        <v>-78.242675000000006</v>
      </c>
      <c r="AP877" s="9" t="s">
        <v>363</v>
      </c>
      <c r="AQ877" s="9" t="s">
        <v>355</v>
      </c>
      <c r="AR877" s="15">
        <v>1961</v>
      </c>
      <c r="AS877" s="19" t="s">
        <v>1110</v>
      </c>
      <c r="AT877" s="20" t="s">
        <v>1111</v>
      </c>
      <c r="AU877" s="34">
        <v>3437299</v>
      </c>
      <c r="AV877" s="35">
        <f t="shared" si="124"/>
        <v>6.5362173117130542</v>
      </c>
      <c r="AW877" s="36" t="s">
        <v>366</v>
      </c>
      <c r="AX877" s="34" t="s">
        <v>355</v>
      </c>
      <c r="AY877" s="34" t="s">
        <v>355</v>
      </c>
      <c r="AZ877" s="15">
        <v>78</v>
      </c>
      <c r="BA877" s="14">
        <f t="shared" si="125"/>
        <v>1.8920946026904804</v>
      </c>
      <c r="BB877" s="36" t="s">
        <v>388</v>
      </c>
      <c r="BC877" s="20">
        <v>2.0149259703881379E-2</v>
      </c>
      <c r="BD877" s="9">
        <v>31.900000000000002</v>
      </c>
      <c r="BE877" s="9" t="s">
        <v>368</v>
      </c>
      <c r="BF877" s="9">
        <v>0</v>
      </c>
    </row>
    <row r="878" spans="1:58">
      <c r="A878" s="9">
        <v>158</v>
      </c>
      <c r="B878" s="10" t="s">
        <v>348</v>
      </c>
      <c r="C878" s="10" t="s">
        <v>622</v>
      </c>
      <c r="D878" s="20" t="s">
        <v>681</v>
      </c>
      <c r="E878" s="20" t="s">
        <v>682</v>
      </c>
      <c r="F878" s="10" t="s">
        <v>622</v>
      </c>
      <c r="G878" s="20" t="s">
        <v>683</v>
      </c>
      <c r="H878" s="20" t="s">
        <v>682</v>
      </c>
      <c r="I878" s="10" t="s">
        <v>622</v>
      </c>
      <c r="J878" s="20" t="s">
        <v>683</v>
      </c>
      <c r="K878" s="20" t="s">
        <v>682</v>
      </c>
      <c r="L878" s="9" t="s">
        <v>352</v>
      </c>
      <c r="M878" s="9">
        <v>6</v>
      </c>
      <c r="N878" s="9" t="s">
        <v>353</v>
      </c>
      <c r="O878" s="9" t="s">
        <v>354</v>
      </c>
      <c r="P878" s="12">
        <v>38.749720000000003</v>
      </c>
      <c r="Q878" s="12" t="s">
        <v>355</v>
      </c>
      <c r="R878" s="9" t="s">
        <v>356</v>
      </c>
      <c r="S878" s="13">
        <v>30</v>
      </c>
      <c r="T878" s="13">
        <v>30</v>
      </c>
      <c r="U878" s="14">
        <f t="shared" si="117"/>
        <v>1.4913616938342726</v>
      </c>
      <c r="V878" s="15">
        <v>20</v>
      </c>
      <c r="W878" s="12">
        <v>15.268525799999999</v>
      </c>
      <c r="X878" s="12">
        <v>1</v>
      </c>
      <c r="Y878" s="13" t="s">
        <v>355</v>
      </c>
      <c r="Z878" s="9" t="s">
        <v>417</v>
      </c>
      <c r="AA878" s="10" t="s">
        <v>418</v>
      </c>
      <c r="AB878" s="9" t="s">
        <v>355</v>
      </c>
      <c r="AC878" s="15">
        <v>169</v>
      </c>
      <c r="AD878" s="14">
        <f t="shared" si="118"/>
        <v>2.2278867046136734</v>
      </c>
      <c r="AE878" s="10" t="s">
        <v>1153</v>
      </c>
      <c r="AF878" s="9" t="s">
        <v>362</v>
      </c>
      <c r="AG878" s="18">
        <v>51.253774999999997</v>
      </c>
      <c r="AH878" s="7">
        <f t="shared" si="119"/>
        <v>1</v>
      </c>
      <c r="AI878" s="7">
        <f t="shared" si="120"/>
        <v>1</v>
      </c>
      <c r="AJ878" s="7">
        <f t="shared" si="121"/>
        <v>1</v>
      </c>
      <c r="AK878" s="7">
        <f t="shared" si="122"/>
        <v>0</v>
      </c>
      <c r="AL878" s="7" t="s">
        <v>4158</v>
      </c>
      <c r="AM878" s="18">
        <f t="shared" si="123"/>
        <v>1.709725858045684</v>
      </c>
      <c r="AN878" s="18">
        <v>51.253774999999997</v>
      </c>
      <c r="AO878" s="18">
        <v>-85.323213999999993</v>
      </c>
      <c r="AP878" s="9" t="s">
        <v>363</v>
      </c>
      <c r="AQ878" s="9" t="s">
        <v>355</v>
      </c>
      <c r="AR878" s="15">
        <v>1961</v>
      </c>
      <c r="AS878" s="19" t="s">
        <v>1110</v>
      </c>
      <c r="AT878" s="20" t="s">
        <v>1111</v>
      </c>
      <c r="AU878" s="34">
        <v>3437299</v>
      </c>
      <c r="AV878" s="35">
        <f t="shared" si="124"/>
        <v>6.5362173117130542</v>
      </c>
      <c r="AW878" s="36" t="s">
        <v>366</v>
      </c>
      <c r="AX878" s="34" t="s">
        <v>355</v>
      </c>
      <c r="AY878" s="34" t="s">
        <v>355</v>
      </c>
      <c r="AZ878" s="15">
        <v>78</v>
      </c>
      <c r="BA878" s="14">
        <f t="shared" si="125"/>
        <v>1.8920946026904804</v>
      </c>
      <c r="BB878" s="36" t="s">
        <v>388</v>
      </c>
      <c r="BC878" s="20">
        <v>3.7494997999199683E-2</v>
      </c>
      <c r="BD878" s="9">
        <v>23.200000000000003</v>
      </c>
      <c r="BE878" s="9" t="s">
        <v>368</v>
      </c>
      <c r="BF878" s="9">
        <v>0</v>
      </c>
    </row>
    <row r="879" spans="1:58">
      <c r="A879" s="9">
        <v>161</v>
      </c>
      <c r="B879" s="10" t="s">
        <v>348</v>
      </c>
      <c r="C879" s="10" t="s">
        <v>622</v>
      </c>
      <c r="D879" s="20" t="s">
        <v>681</v>
      </c>
      <c r="E879" s="20" t="s">
        <v>682</v>
      </c>
      <c r="F879" s="10" t="s">
        <v>622</v>
      </c>
      <c r="G879" s="20" t="s">
        <v>683</v>
      </c>
      <c r="H879" s="20" t="s">
        <v>682</v>
      </c>
      <c r="I879" s="10" t="s">
        <v>622</v>
      </c>
      <c r="J879" s="20" t="s">
        <v>683</v>
      </c>
      <c r="K879" s="20" t="s">
        <v>682</v>
      </c>
      <c r="L879" s="9" t="s">
        <v>352</v>
      </c>
      <c r="M879" s="9">
        <v>10</v>
      </c>
      <c r="N879" s="9" t="s">
        <v>381</v>
      </c>
      <c r="O879" s="9" t="s">
        <v>354</v>
      </c>
      <c r="P879" s="12">
        <v>38.299160000000001</v>
      </c>
      <c r="Q879" s="12" t="s">
        <v>355</v>
      </c>
      <c r="R879" s="9" t="s">
        <v>356</v>
      </c>
      <c r="S879" s="13">
        <v>30</v>
      </c>
      <c r="T879" s="13">
        <v>30</v>
      </c>
      <c r="U879" s="14">
        <f t="shared" si="117"/>
        <v>1.4913616938342726</v>
      </c>
      <c r="V879" s="15">
        <v>20</v>
      </c>
      <c r="W879" s="12">
        <v>10.599060799999997</v>
      </c>
      <c r="X879" s="12">
        <v>1</v>
      </c>
      <c r="Y879" s="13" t="s">
        <v>355</v>
      </c>
      <c r="Z879" s="9" t="s">
        <v>417</v>
      </c>
      <c r="AA879" s="10" t="s">
        <v>418</v>
      </c>
      <c r="AB879" s="9" t="s">
        <v>355</v>
      </c>
      <c r="AC879" s="15">
        <v>174</v>
      </c>
      <c r="AD879" s="14">
        <f t="shared" si="118"/>
        <v>2.2405492482825999</v>
      </c>
      <c r="AE879" s="10" t="s">
        <v>1154</v>
      </c>
      <c r="AF879" s="9" t="s">
        <v>362</v>
      </c>
      <c r="AG879" s="18">
        <v>41.128847999999998</v>
      </c>
      <c r="AH879" s="7">
        <f t="shared" si="119"/>
        <v>1</v>
      </c>
      <c r="AI879" s="7">
        <f t="shared" si="120"/>
        <v>1</v>
      </c>
      <c r="AJ879" s="7">
        <f t="shared" si="121"/>
        <v>0</v>
      </c>
      <c r="AK879" s="7">
        <f t="shared" si="122"/>
        <v>0</v>
      </c>
      <c r="AL879" s="7" t="s">
        <v>4157</v>
      </c>
      <c r="AM879" s="18">
        <f t="shared" si="123"/>
        <v>1.614146545292064</v>
      </c>
      <c r="AN879" s="18">
        <v>41.128847999999998</v>
      </c>
      <c r="AO879" s="18">
        <v>-74.686881999999997</v>
      </c>
      <c r="AP879" s="9" t="s">
        <v>363</v>
      </c>
      <c r="AQ879" s="9" t="s">
        <v>355</v>
      </c>
      <c r="AR879" s="15">
        <v>1961</v>
      </c>
      <c r="AS879" s="19" t="s">
        <v>1110</v>
      </c>
      <c r="AT879" s="20" t="s">
        <v>1111</v>
      </c>
      <c r="AU879" s="34">
        <v>3437299</v>
      </c>
      <c r="AV879" s="35">
        <f t="shared" si="124"/>
        <v>6.5362173117130542</v>
      </c>
      <c r="AW879" s="36" t="s">
        <v>366</v>
      </c>
      <c r="AX879" s="34" t="s">
        <v>355</v>
      </c>
      <c r="AY879" s="34" t="s">
        <v>355</v>
      </c>
      <c r="AZ879" s="15">
        <v>78</v>
      </c>
      <c r="BA879" s="14">
        <f t="shared" si="125"/>
        <v>1.8920946026904804</v>
      </c>
      <c r="BB879" s="36" t="s">
        <v>388</v>
      </c>
      <c r="BC879" s="20">
        <v>2.2910764305722316E-2</v>
      </c>
      <c r="BD879" s="9">
        <v>28.200000000000003</v>
      </c>
      <c r="BE879" s="9" t="s">
        <v>368</v>
      </c>
      <c r="BF879" s="9">
        <v>0</v>
      </c>
    </row>
    <row r="880" spans="1:58">
      <c r="A880" s="9">
        <v>168</v>
      </c>
      <c r="B880" s="10" t="s">
        <v>348</v>
      </c>
      <c r="C880" s="10" t="s">
        <v>622</v>
      </c>
      <c r="D880" s="20" t="s">
        <v>681</v>
      </c>
      <c r="E880" s="20" t="s">
        <v>682</v>
      </c>
      <c r="F880" s="10" t="s">
        <v>622</v>
      </c>
      <c r="G880" s="20" t="s">
        <v>683</v>
      </c>
      <c r="H880" s="20" t="s">
        <v>682</v>
      </c>
      <c r="I880" s="10" t="s">
        <v>622</v>
      </c>
      <c r="J880" s="20" t="s">
        <v>683</v>
      </c>
      <c r="K880" s="20" t="s">
        <v>682</v>
      </c>
      <c r="L880" s="9" t="s">
        <v>352</v>
      </c>
      <c r="M880" s="9">
        <v>13</v>
      </c>
      <c r="N880" s="9" t="s">
        <v>381</v>
      </c>
      <c r="O880" s="9" t="s">
        <v>354</v>
      </c>
      <c r="P880" s="12">
        <v>37.181870000000004</v>
      </c>
      <c r="Q880" s="12" t="s">
        <v>355</v>
      </c>
      <c r="R880" s="9" t="s">
        <v>356</v>
      </c>
      <c r="S880" s="13">
        <v>30</v>
      </c>
      <c r="T880" s="13">
        <v>30</v>
      </c>
      <c r="U880" s="14">
        <f t="shared" si="117"/>
        <v>1.4913616938342726</v>
      </c>
      <c r="V880" s="15">
        <v>20</v>
      </c>
      <c r="W880" s="12">
        <v>6.8660497000000014</v>
      </c>
      <c r="X880" s="12">
        <v>1</v>
      </c>
      <c r="Y880" s="13" t="s">
        <v>355</v>
      </c>
      <c r="Z880" s="9" t="s">
        <v>417</v>
      </c>
      <c r="AA880" s="10" t="s">
        <v>418</v>
      </c>
      <c r="AB880" s="9" t="s">
        <v>355</v>
      </c>
      <c r="AC880" s="15">
        <v>193</v>
      </c>
      <c r="AD880" s="14">
        <f t="shared" si="118"/>
        <v>2.2855573090077739</v>
      </c>
      <c r="AE880" s="10" t="s">
        <v>1155</v>
      </c>
      <c r="AF880" s="9" t="s">
        <v>420</v>
      </c>
      <c r="AG880" s="18">
        <v>36.026302000000001</v>
      </c>
      <c r="AH880" s="7">
        <f t="shared" si="119"/>
        <v>1</v>
      </c>
      <c r="AI880" s="7">
        <f t="shared" si="120"/>
        <v>1</v>
      </c>
      <c r="AJ880" s="7">
        <f t="shared" si="121"/>
        <v>0</v>
      </c>
      <c r="AK880" s="7">
        <f t="shared" si="122"/>
        <v>0</v>
      </c>
      <c r="AL880" s="7" t="s">
        <v>4157</v>
      </c>
      <c r="AM880" s="18">
        <f t="shared" si="123"/>
        <v>1.5566196852860972</v>
      </c>
      <c r="AN880" s="18">
        <v>36.026302000000001</v>
      </c>
      <c r="AO880" s="18">
        <v>-79.109690000000001</v>
      </c>
      <c r="AP880" s="9" t="s">
        <v>363</v>
      </c>
      <c r="AQ880" s="9" t="s">
        <v>355</v>
      </c>
      <c r="AR880" s="15">
        <v>1961</v>
      </c>
      <c r="AS880" s="19" t="s">
        <v>1110</v>
      </c>
      <c r="AT880" s="20" t="s">
        <v>1111</v>
      </c>
      <c r="AU880" s="34">
        <v>3437299</v>
      </c>
      <c r="AV880" s="35">
        <f t="shared" si="124"/>
        <v>6.5362173117130542</v>
      </c>
      <c r="AW880" s="36" t="s">
        <v>366</v>
      </c>
      <c r="AX880" s="34" t="s">
        <v>355</v>
      </c>
      <c r="AY880" s="34" t="s">
        <v>355</v>
      </c>
      <c r="AZ880" s="15">
        <v>78</v>
      </c>
      <c r="BA880" s="14">
        <f t="shared" si="125"/>
        <v>1.8920946026904804</v>
      </c>
      <c r="BB880" s="36" t="s">
        <v>388</v>
      </c>
      <c r="BC880" s="20">
        <v>2.0466586634653255E-2</v>
      </c>
      <c r="BD880" s="9">
        <v>31.3</v>
      </c>
      <c r="BE880" s="9" t="s">
        <v>368</v>
      </c>
      <c r="BF880" s="9">
        <v>0</v>
      </c>
    </row>
    <row r="881" spans="1:58">
      <c r="A881" s="9">
        <v>171</v>
      </c>
      <c r="B881" s="10" t="s">
        <v>348</v>
      </c>
      <c r="C881" s="10" t="s">
        <v>622</v>
      </c>
      <c r="D881" s="20" t="s">
        <v>681</v>
      </c>
      <c r="E881" s="20" t="s">
        <v>682</v>
      </c>
      <c r="F881" s="10" t="s">
        <v>622</v>
      </c>
      <c r="G881" s="20" t="s">
        <v>683</v>
      </c>
      <c r="H881" s="20" t="s">
        <v>682</v>
      </c>
      <c r="I881" s="10" t="s">
        <v>622</v>
      </c>
      <c r="J881" s="20" t="s">
        <v>683</v>
      </c>
      <c r="K881" s="20" t="s">
        <v>682</v>
      </c>
      <c r="L881" s="9" t="s">
        <v>352</v>
      </c>
      <c r="M881" s="9">
        <v>10</v>
      </c>
      <c r="N881" s="9" t="s">
        <v>381</v>
      </c>
      <c r="O881" s="9" t="s">
        <v>354</v>
      </c>
      <c r="P881" s="12">
        <v>38.43336</v>
      </c>
      <c r="Q881" s="12" t="s">
        <v>355</v>
      </c>
      <c r="R881" s="9" t="s">
        <v>356</v>
      </c>
      <c r="S881" s="13">
        <v>30</v>
      </c>
      <c r="T881" s="13">
        <v>30</v>
      </c>
      <c r="U881" s="14">
        <f t="shared" si="117"/>
        <v>1.4913616938342726</v>
      </c>
      <c r="V881" s="15">
        <v>20</v>
      </c>
      <c r="W881" s="12">
        <v>8.1175396999999982</v>
      </c>
      <c r="X881" s="12">
        <v>1</v>
      </c>
      <c r="Y881" s="13" t="s">
        <v>355</v>
      </c>
      <c r="Z881" s="9" t="s">
        <v>417</v>
      </c>
      <c r="AA881" s="10" t="s">
        <v>418</v>
      </c>
      <c r="AB881" s="9" t="s">
        <v>355</v>
      </c>
      <c r="AC881" s="15">
        <v>193</v>
      </c>
      <c r="AD881" s="14">
        <f t="shared" si="118"/>
        <v>2.2855573090077739</v>
      </c>
      <c r="AE881" s="10" t="s">
        <v>1155</v>
      </c>
      <c r="AF881" s="9" t="s">
        <v>420</v>
      </c>
      <c r="AG881" s="18">
        <v>36.026302000000001</v>
      </c>
      <c r="AH881" s="7">
        <f t="shared" si="119"/>
        <v>1</v>
      </c>
      <c r="AI881" s="7">
        <f t="shared" si="120"/>
        <v>1</v>
      </c>
      <c r="AJ881" s="7">
        <f t="shared" si="121"/>
        <v>0</v>
      </c>
      <c r="AK881" s="7">
        <f t="shared" si="122"/>
        <v>0</v>
      </c>
      <c r="AL881" s="7" t="s">
        <v>4157</v>
      </c>
      <c r="AM881" s="18">
        <f t="shared" si="123"/>
        <v>1.5566196852860972</v>
      </c>
      <c r="AN881" s="18">
        <v>36.026302000000001</v>
      </c>
      <c r="AO881" s="18">
        <v>-79.109690000000001</v>
      </c>
      <c r="AP881" s="9" t="s">
        <v>363</v>
      </c>
      <c r="AQ881" s="9" t="s">
        <v>355</v>
      </c>
      <c r="AR881" s="15">
        <v>1961</v>
      </c>
      <c r="AS881" s="19" t="s">
        <v>1110</v>
      </c>
      <c r="AT881" s="20" t="s">
        <v>1111</v>
      </c>
      <c r="AU881" s="34">
        <v>3437299</v>
      </c>
      <c r="AV881" s="35">
        <f t="shared" si="124"/>
        <v>6.5362173117130542</v>
      </c>
      <c r="AW881" s="36" t="s">
        <v>366</v>
      </c>
      <c r="AX881" s="34" t="s">
        <v>355</v>
      </c>
      <c r="AY881" s="34" t="s">
        <v>355</v>
      </c>
      <c r="AZ881" s="15">
        <v>78</v>
      </c>
      <c r="BA881" s="14">
        <f t="shared" si="125"/>
        <v>1.8920946026904804</v>
      </c>
      <c r="BB881" s="36" t="s">
        <v>388</v>
      </c>
      <c r="BC881" s="20">
        <v>2.0466586634653255E-2</v>
      </c>
      <c r="BD881" s="9">
        <v>31.3</v>
      </c>
      <c r="BE881" s="9" t="s">
        <v>368</v>
      </c>
      <c r="BF881" s="9">
        <v>0</v>
      </c>
    </row>
    <row r="882" spans="1:58">
      <c r="A882" s="9">
        <v>170</v>
      </c>
      <c r="B882" s="10" t="s">
        <v>348</v>
      </c>
      <c r="C882" s="10" t="s">
        <v>622</v>
      </c>
      <c r="D882" s="20" t="s">
        <v>681</v>
      </c>
      <c r="E882" s="20" t="s">
        <v>682</v>
      </c>
      <c r="F882" s="10" t="s">
        <v>622</v>
      </c>
      <c r="G882" s="20" t="s">
        <v>683</v>
      </c>
      <c r="H882" s="20" t="s">
        <v>682</v>
      </c>
      <c r="I882" s="10" t="s">
        <v>622</v>
      </c>
      <c r="J882" s="20" t="s">
        <v>683</v>
      </c>
      <c r="K882" s="20" t="s">
        <v>682</v>
      </c>
      <c r="L882" s="9" t="s">
        <v>352</v>
      </c>
      <c r="M882" s="9">
        <v>9</v>
      </c>
      <c r="N882" s="9" t="s">
        <v>353</v>
      </c>
      <c r="O882" s="9" t="s">
        <v>354</v>
      </c>
      <c r="P882" s="12">
        <v>39.160350000000001</v>
      </c>
      <c r="Q882" s="12" t="s">
        <v>355</v>
      </c>
      <c r="R882" s="9" t="s">
        <v>356</v>
      </c>
      <c r="S882" s="13">
        <v>30</v>
      </c>
      <c r="T882" s="13">
        <v>30</v>
      </c>
      <c r="U882" s="14">
        <f t="shared" si="117"/>
        <v>1.4913616938342726</v>
      </c>
      <c r="V882" s="15">
        <v>20</v>
      </c>
      <c r="W882" s="12">
        <v>8.8445296999999989</v>
      </c>
      <c r="X882" s="12">
        <v>1</v>
      </c>
      <c r="Y882" s="13" t="s">
        <v>355</v>
      </c>
      <c r="Z882" s="9" t="s">
        <v>417</v>
      </c>
      <c r="AA882" s="10" t="s">
        <v>418</v>
      </c>
      <c r="AB882" s="9" t="s">
        <v>355</v>
      </c>
      <c r="AC882" s="15">
        <v>193</v>
      </c>
      <c r="AD882" s="14">
        <f t="shared" si="118"/>
        <v>2.2855573090077739</v>
      </c>
      <c r="AE882" s="10" t="s">
        <v>1155</v>
      </c>
      <c r="AF882" s="9" t="s">
        <v>420</v>
      </c>
      <c r="AG882" s="18">
        <v>36.026302000000001</v>
      </c>
      <c r="AH882" s="7">
        <f t="shared" si="119"/>
        <v>1</v>
      </c>
      <c r="AI882" s="7">
        <f t="shared" si="120"/>
        <v>1</v>
      </c>
      <c r="AJ882" s="7">
        <f t="shared" si="121"/>
        <v>0</v>
      </c>
      <c r="AK882" s="7">
        <f t="shared" si="122"/>
        <v>0</v>
      </c>
      <c r="AL882" s="7" t="s">
        <v>4157</v>
      </c>
      <c r="AM882" s="18">
        <f t="shared" si="123"/>
        <v>1.5566196852860972</v>
      </c>
      <c r="AN882" s="18">
        <v>36.026302000000001</v>
      </c>
      <c r="AO882" s="18">
        <v>-79.109690000000001</v>
      </c>
      <c r="AP882" s="9" t="s">
        <v>363</v>
      </c>
      <c r="AQ882" s="9" t="s">
        <v>355</v>
      </c>
      <c r="AR882" s="15">
        <v>1961</v>
      </c>
      <c r="AS882" s="19" t="s">
        <v>1110</v>
      </c>
      <c r="AT882" s="20" t="s">
        <v>1111</v>
      </c>
      <c r="AU882" s="34">
        <v>3437299</v>
      </c>
      <c r="AV882" s="35">
        <f t="shared" si="124"/>
        <v>6.5362173117130542</v>
      </c>
      <c r="AW882" s="36" t="s">
        <v>366</v>
      </c>
      <c r="AX882" s="34" t="s">
        <v>355</v>
      </c>
      <c r="AY882" s="34" t="s">
        <v>355</v>
      </c>
      <c r="AZ882" s="15">
        <v>78</v>
      </c>
      <c r="BA882" s="14">
        <f t="shared" si="125"/>
        <v>1.8920946026904804</v>
      </c>
      <c r="BB882" s="36" t="s">
        <v>388</v>
      </c>
      <c r="BC882" s="20">
        <v>2.0466586634653255E-2</v>
      </c>
      <c r="BD882" s="9">
        <v>31.3</v>
      </c>
      <c r="BE882" s="9" t="s">
        <v>368</v>
      </c>
      <c r="BF882" s="9">
        <v>0</v>
      </c>
    </row>
    <row r="883" spans="1:58">
      <c r="A883" s="9">
        <v>169</v>
      </c>
      <c r="B883" s="10" t="s">
        <v>348</v>
      </c>
      <c r="C883" s="10" t="s">
        <v>622</v>
      </c>
      <c r="D883" s="20" t="s">
        <v>681</v>
      </c>
      <c r="E883" s="20" t="s">
        <v>682</v>
      </c>
      <c r="F883" s="10" t="s">
        <v>622</v>
      </c>
      <c r="G883" s="20" t="s">
        <v>683</v>
      </c>
      <c r="H883" s="20" t="s">
        <v>682</v>
      </c>
      <c r="I883" s="10" t="s">
        <v>622</v>
      </c>
      <c r="J883" s="20" t="s">
        <v>683</v>
      </c>
      <c r="K883" s="20" t="s">
        <v>682</v>
      </c>
      <c r="L883" s="9" t="s">
        <v>352</v>
      </c>
      <c r="M883" s="9">
        <v>12</v>
      </c>
      <c r="N883" s="9" t="s">
        <v>381</v>
      </c>
      <c r="O883" s="9" t="s">
        <v>354</v>
      </c>
      <c r="P883" s="12">
        <v>39.192329999999998</v>
      </c>
      <c r="Q883" s="12" t="s">
        <v>355</v>
      </c>
      <c r="R883" s="9" t="s">
        <v>356</v>
      </c>
      <c r="S883" s="13">
        <v>30</v>
      </c>
      <c r="T883" s="13">
        <v>30</v>
      </c>
      <c r="U883" s="14">
        <f t="shared" si="117"/>
        <v>1.4913616938342726</v>
      </c>
      <c r="V883" s="15">
        <v>20</v>
      </c>
      <c r="W883" s="12">
        <v>8.8765096999999962</v>
      </c>
      <c r="X883" s="12">
        <v>1</v>
      </c>
      <c r="Y883" s="13" t="s">
        <v>355</v>
      </c>
      <c r="Z883" s="9" t="s">
        <v>417</v>
      </c>
      <c r="AA883" s="10" t="s">
        <v>418</v>
      </c>
      <c r="AB883" s="9" t="s">
        <v>355</v>
      </c>
      <c r="AC883" s="15">
        <v>193</v>
      </c>
      <c r="AD883" s="14">
        <f t="shared" si="118"/>
        <v>2.2855573090077739</v>
      </c>
      <c r="AE883" s="10" t="s">
        <v>1155</v>
      </c>
      <c r="AF883" s="9" t="s">
        <v>420</v>
      </c>
      <c r="AG883" s="18">
        <v>36.026302000000001</v>
      </c>
      <c r="AH883" s="7">
        <f t="shared" si="119"/>
        <v>1</v>
      </c>
      <c r="AI883" s="7">
        <f t="shared" si="120"/>
        <v>1</v>
      </c>
      <c r="AJ883" s="7">
        <f t="shared" si="121"/>
        <v>0</v>
      </c>
      <c r="AK883" s="7">
        <f t="shared" si="122"/>
        <v>0</v>
      </c>
      <c r="AL883" s="7" t="s">
        <v>4157</v>
      </c>
      <c r="AM883" s="18">
        <f t="shared" si="123"/>
        <v>1.5566196852860972</v>
      </c>
      <c r="AN883" s="18">
        <v>36.026302000000001</v>
      </c>
      <c r="AO883" s="18">
        <v>-79.109690000000001</v>
      </c>
      <c r="AP883" s="9" t="s">
        <v>363</v>
      </c>
      <c r="AQ883" s="9" t="s">
        <v>355</v>
      </c>
      <c r="AR883" s="15">
        <v>1961</v>
      </c>
      <c r="AS883" s="19" t="s">
        <v>1110</v>
      </c>
      <c r="AT883" s="20" t="s">
        <v>1111</v>
      </c>
      <c r="AU883" s="34">
        <v>3437299</v>
      </c>
      <c r="AV883" s="35">
        <f t="shared" si="124"/>
        <v>6.5362173117130542</v>
      </c>
      <c r="AW883" s="36" t="s">
        <v>366</v>
      </c>
      <c r="AX883" s="34" t="s">
        <v>355</v>
      </c>
      <c r="AY883" s="34" t="s">
        <v>355</v>
      </c>
      <c r="AZ883" s="15">
        <v>78</v>
      </c>
      <c r="BA883" s="14">
        <f t="shared" si="125"/>
        <v>1.8920946026904804</v>
      </c>
      <c r="BB883" s="36" t="s">
        <v>388</v>
      </c>
      <c r="BC883" s="20">
        <v>2.0466586634653255E-2</v>
      </c>
      <c r="BD883" s="9">
        <v>31.3</v>
      </c>
      <c r="BE883" s="9" t="s">
        <v>368</v>
      </c>
      <c r="BF883" s="9">
        <v>0</v>
      </c>
    </row>
    <row r="884" spans="1:58">
      <c r="A884" s="9">
        <v>159</v>
      </c>
      <c r="B884" s="10" t="s">
        <v>348</v>
      </c>
      <c r="C884" s="10" t="s">
        <v>622</v>
      </c>
      <c r="D884" s="20" t="s">
        <v>681</v>
      </c>
      <c r="E884" s="20" t="s">
        <v>682</v>
      </c>
      <c r="F884" s="10" t="s">
        <v>622</v>
      </c>
      <c r="G884" s="20" t="s">
        <v>683</v>
      </c>
      <c r="H884" s="20" t="s">
        <v>682</v>
      </c>
      <c r="I884" s="10" t="s">
        <v>622</v>
      </c>
      <c r="J884" s="20" t="s">
        <v>683</v>
      </c>
      <c r="K884" s="20" t="s">
        <v>682</v>
      </c>
      <c r="L884" s="9" t="s">
        <v>352</v>
      </c>
      <c r="M884" s="9">
        <v>8</v>
      </c>
      <c r="N884" s="9" t="s">
        <v>353</v>
      </c>
      <c r="O884" s="9" t="s">
        <v>354</v>
      </c>
      <c r="P884" s="12">
        <v>39.19988</v>
      </c>
      <c r="Q884" s="12" t="s">
        <v>355</v>
      </c>
      <c r="R884" s="9" t="s">
        <v>356</v>
      </c>
      <c r="S884" s="13">
        <v>30</v>
      </c>
      <c r="T884" s="13">
        <v>30</v>
      </c>
      <c r="U884" s="14">
        <f t="shared" si="117"/>
        <v>1.4913616938342726</v>
      </c>
      <c r="V884" s="15">
        <v>20</v>
      </c>
      <c r="W884" s="12">
        <v>14.4530143</v>
      </c>
      <c r="X884" s="12">
        <v>1</v>
      </c>
      <c r="Y884" s="13" t="s">
        <v>355</v>
      </c>
      <c r="Z884" s="9" t="s">
        <v>417</v>
      </c>
      <c r="AA884" s="10" t="s">
        <v>418</v>
      </c>
      <c r="AB884" s="9" t="s">
        <v>355</v>
      </c>
      <c r="AC884" s="15">
        <v>222</v>
      </c>
      <c r="AD884" s="14">
        <f t="shared" si="118"/>
        <v>2.3463529744506388</v>
      </c>
      <c r="AE884" s="10" t="s">
        <v>1156</v>
      </c>
      <c r="AF884" s="9" t="s">
        <v>362</v>
      </c>
      <c r="AG884" s="18">
        <v>46.311708000000003</v>
      </c>
      <c r="AH884" s="7">
        <f t="shared" si="119"/>
        <v>1</v>
      </c>
      <c r="AI884" s="7">
        <f t="shared" si="120"/>
        <v>1</v>
      </c>
      <c r="AJ884" s="7">
        <f t="shared" si="121"/>
        <v>1</v>
      </c>
      <c r="AK884" s="7">
        <f t="shared" si="122"/>
        <v>0</v>
      </c>
      <c r="AL884" s="7" t="s">
        <v>4158</v>
      </c>
      <c r="AM884" s="18">
        <f t="shared" si="123"/>
        <v>1.6656907982967739</v>
      </c>
      <c r="AN884" s="18">
        <v>46.311708000000003</v>
      </c>
      <c r="AO884" s="18">
        <v>-84.593209000000002</v>
      </c>
      <c r="AP884" s="9" t="s">
        <v>363</v>
      </c>
      <c r="AQ884" s="9" t="s">
        <v>355</v>
      </c>
      <c r="AR884" s="15">
        <v>1961</v>
      </c>
      <c r="AS884" s="19" t="s">
        <v>1110</v>
      </c>
      <c r="AT884" s="20" t="s">
        <v>1111</v>
      </c>
      <c r="AU884" s="34">
        <v>3437299</v>
      </c>
      <c r="AV884" s="35">
        <f t="shared" si="124"/>
        <v>6.5362173117130542</v>
      </c>
      <c r="AW884" s="36" t="s">
        <v>366</v>
      </c>
      <c r="AX884" s="34" t="s">
        <v>355</v>
      </c>
      <c r="AY884" s="34" t="s">
        <v>355</v>
      </c>
      <c r="AZ884" s="15">
        <v>78</v>
      </c>
      <c r="BA884" s="14">
        <f t="shared" si="125"/>
        <v>1.8920946026904804</v>
      </c>
      <c r="BB884" s="36" t="s">
        <v>388</v>
      </c>
      <c r="BC884" s="20">
        <v>2.4971588635454463E-2</v>
      </c>
      <c r="BD884" s="9">
        <v>24.700000000000003</v>
      </c>
      <c r="BE884" s="9" t="s">
        <v>368</v>
      </c>
      <c r="BF884" s="9">
        <v>0</v>
      </c>
    </row>
    <row r="885" spans="1:58">
      <c r="A885" s="9">
        <v>162</v>
      </c>
      <c r="B885" s="10" t="s">
        <v>348</v>
      </c>
      <c r="C885" s="10" t="s">
        <v>622</v>
      </c>
      <c r="D885" s="20" t="s">
        <v>681</v>
      </c>
      <c r="E885" s="20" t="s">
        <v>682</v>
      </c>
      <c r="F885" s="10" t="s">
        <v>622</v>
      </c>
      <c r="G885" s="20" t="s">
        <v>683</v>
      </c>
      <c r="H885" s="20" t="s">
        <v>682</v>
      </c>
      <c r="I885" s="10" t="s">
        <v>622</v>
      </c>
      <c r="J885" s="20" t="s">
        <v>683</v>
      </c>
      <c r="K885" s="20" t="s">
        <v>682</v>
      </c>
      <c r="L885" s="9" t="s">
        <v>352</v>
      </c>
      <c r="M885" s="9">
        <v>14</v>
      </c>
      <c r="N885" s="9" t="s">
        <v>381</v>
      </c>
      <c r="O885" s="9" t="s">
        <v>354</v>
      </c>
      <c r="P885" s="12">
        <v>37.997590000000002</v>
      </c>
      <c r="Q885" s="12" t="s">
        <v>355</v>
      </c>
      <c r="R885" s="9" t="s">
        <v>356</v>
      </c>
      <c r="S885" s="13">
        <v>30</v>
      </c>
      <c r="T885" s="13">
        <v>30</v>
      </c>
      <c r="U885" s="14">
        <f t="shared" si="117"/>
        <v>1.4913616938342726</v>
      </c>
      <c r="V885" s="15">
        <v>20</v>
      </c>
      <c r="W885" s="12">
        <v>9.2005754999999994</v>
      </c>
      <c r="X885" s="12">
        <v>1</v>
      </c>
      <c r="Y885" s="13" t="s">
        <v>355</v>
      </c>
      <c r="Z885" s="9" t="s">
        <v>417</v>
      </c>
      <c r="AA885" s="10" t="s">
        <v>418</v>
      </c>
      <c r="AB885" s="9" t="s">
        <v>355</v>
      </c>
      <c r="AC885" s="15">
        <v>396</v>
      </c>
      <c r="AD885" s="14">
        <f t="shared" si="118"/>
        <v>2.5976951859255122</v>
      </c>
      <c r="AE885" s="10" t="s">
        <v>1157</v>
      </c>
      <c r="AF885" s="9" t="s">
        <v>420</v>
      </c>
      <c r="AG885" s="18">
        <v>37.788302000000002</v>
      </c>
      <c r="AH885" s="7">
        <f t="shared" si="119"/>
        <v>1</v>
      </c>
      <c r="AI885" s="7">
        <f t="shared" si="120"/>
        <v>1</v>
      </c>
      <c r="AJ885" s="7">
        <f t="shared" si="121"/>
        <v>0</v>
      </c>
      <c r="AK885" s="7">
        <f t="shared" si="122"/>
        <v>0</v>
      </c>
      <c r="AL885" s="7" t="s">
        <v>4157</v>
      </c>
      <c r="AM885" s="18">
        <f t="shared" si="123"/>
        <v>1.5773573775323066</v>
      </c>
      <c r="AN885" s="18">
        <v>37.788302000000002</v>
      </c>
      <c r="AO885" s="18">
        <v>-81.953481999999994</v>
      </c>
      <c r="AP885" s="9" t="s">
        <v>363</v>
      </c>
      <c r="AQ885" s="9" t="s">
        <v>355</v>
      </c>
      <c r="AR885" s="15">
        <v>1961</v>
      </c>
      <c r="AS885" s="19" t="s">
        <v>1110</v>
      </c>
      <c r="AT885" s="20" t="s">
        <v>1111</v>
      </c>
      <c r="AU885" s="34">
        <v>3437299</v>
      </c>
      <c r="AV885" s="35">
        <f t="shared" si="124"/>
        <v>6.5362173117130542</v>
      </c>
      <c r="AW885" s="36" t="s">
        <v>366</v>
      </c>
      <c r="AX885" s="34" t="s">
        <v>355</v>
      </c>
      <c r="AY885" s="34" t="s">
        <v>355</v>
      </c>
      <c r="AZ885" s="15">
        <v>78</v>
      </c>
      <c r="BA885" s="14">
        <f t="shared" si="125"/>
        <v>1.8920946026904804</v>
      </c>
      <c r="BB885" s="36" t="s">
        <v>388</v>
      </c>
      <c r="BC885" s="20">
        <v>1.2912765106042423E-2</v>
      </c>
      <c r="BD885" s="9">
        <v>29.5</v>
      </c>
      <c r="BE885" s="9" t="s">
        <v>368</v>
      </c>
      <c r="BF885" s="9">
        <v>0</v>
      </c>
    </row>
    <row r="886" spans="1:58">
      <c r="A886" s="9">
        <v>163</v>
      </c>
      <c r="B886" s="10" t="s">
        <v>348</v>
      </c>
      <c r="C886" s="10" t="s">
        <v>622</v>
      </c>
      <c r="D886" s="20" t="s">
        <v>681</v>
      </c>
      <c r="E886" s="20" t="s">
        <v>682</v>
      </c>
      <c r="F886" s="10" t="s">
        <v>622</v>
      </c>
      <c r="G886" s="20" t="s">
        <v>683</v>
      </c>
      <c r="H886" s="20" t="s">
        <v>682</v>
      </c>
      <c r="I886" s="10" t="s">
        <v>622</v>
      </c>
      <c r="J886" s="20" t="s">
        <v>683</v>
      </c>
      <c r="K886" s="20" t="s">
        <v>682</v>
      </c>
      <c r="L886" s="9" t="s">
        <v>352</v>
      </c>
      <c r="M886" s="9">
        <v>10</v>
      </c>
      <c r="N886" s="9" t="s">
        <v>381</v>
      </c>
      <c r="O886" s="9" t="s">
        <v>354</v>
      </c>
      <c r="P886" s="12">
        <v>38.334470000000003</v>
      </c>
      <c r="Q886" s="12" t="s">
        <v>355</v>
      </c>
      <c r="R886" s="9" t="s">
        <v>356</v>
      </c>
      <c r="S886" s="13">
        <v>30</v>
      </c>
      <c r="T886" s="13">
        <v>30</v>
      </c>
      <c r="U886" s="14">
        <f t="shared" si="117"/>
        <v>1.4913616938342726</v>
      </c>
      <c r="V886" s="15">
        <v>20</v>
      </c>
      <c r="W886" s="12">
        <v>10.043724100000002</v>
      </c>
      <c r="X886" s="12">
        <v>1</v>
      </c>
      <c r="Y886" s="13" t="s">
        <v>355</v>
      </c>
      <c r="Z886" s="9" t="s">
        <v>417</v>
      </c>
      <c r="AA886" s="10" t="s">
        <v>418</v>
      </c>
      <c r="AB886" s="9" t="s">
        <v>355</v>
      </c>
      <c r="AC886" s="15">
        <v>567</v>
      </c>
      <c r="AD886" s="14">
        <f t="shared" si="118"/>
        <v>2.7535830588929064</v>
      </c>
      <c r="AE886" s="10" t="s">
        <v>1140</v>
      </c>
      <c r="AF886" s="9" t="s">
        <v>420</v>
      </c>
      <c r="AG886" s="18">
        <v>37.313288</v>
      </c>
      <c r="AH886" s="7">
        <f t="shared" si="119"/>
        <v>1</v>
      </c>
      <c r="AI886" s="7">
        <f t="shared" si="120"/>
        <v>1</v>
      </c>
      <c r="AJ886" s="7">
        <f t="shared" si="121"/>
        <v>0</v>
      </c>
      <c r="AK886" s="7">
        <f t="shared" si="122"/>
        <v>0</v>
      </c>
      <c r="AL886" s="7" t="s">
        <v>4157</v>
      </c>
      <c r="AM886" s="18">
        <f t="shared" si="123"/>
        <v>1.5718635202104785</v>
      </c>
      <c r="AN886" s="18">
        <v>37.313288</v>
      </c>
      <c r="AO886" s="18">
        <v>-80.677079000000006</v>
      </c>
      <c r="AP886" s="9" t="s">
        <v>363</v>
      </c>
      <c r="AQ886" s="9" t="s">
        <v>355</v>
      </c>
      <c r="AR886" s="15">
        <v>1961</v>
      </c>
      <c r="AS886" s="19" t="s">
        <v>1110</v>
      </c>
      <c r="AT886" s="20" t="s">
        <v>1111</v>
      </c>
      <c r="AU886" s="34">
        <v>3437299</v>
      </c>
      <c r="AV886" s="35">
        <f t="shared" si="124"/>
        <v>6.5362173117130542</v>
      </c>
      <c r="AW886" s="36" t="s">
        <v>366</v>
      </c>
      <c r="AX886" s="34" t="s">
        <v>355</v>
      </c>
      <c r="AY886" s="34" t="s">
        <v>355</v>
      </c>
      <c r="AZ886" s="15">
        <v>78</v>
      </c>
      <c r="BA886" s="14">
        <f t="shared" si="125"/>
        <v>1.8920946026904804</v>
      </c>
      <c r="BB886" s="36" t="s">
        <v>388</v>
      </c>
      <c r="BC886" s="20">
        <v>1.7852340936374687E-2</v>
      </c>
      <c r="BD886" s="9">
        <v>28.900000000000002</v>
      </c>
      <c r="BE886" s="9" t="s">
        <v>368</v>
      </c>
      <c r="BF886" s="9">
        <v>0</v>
      </c>
    </row>
    <row r="887" spans="1:58">
      <c r="A887" s="9">
        <v>166</v>
      </c>
      <c r="B887" s="10" t="s">
        <v>348</v>
      </c>
      <c r="C887" s="10" t="s">
        <v>622</v>
      </c>
      <c r="D887" s="20" t="s">
        <v>681</v>
      </c>
      <c r="E887" s="20" t="s">
        <v>682</v>
      </c>
      <c r="F887" s="10" t="s">
        <v>622</v>
      </c>
      <c r="G887" s="20" t="s">
        <v>683</v>
      </c>
      <c r="H887" s="20" t="s">
        <v>682</v>
      </c>
      <c r="I887" s="10" t="s">
        <v>622</v>
      </c>
      <c r="J887" s="20" t="s">
        <v>683</v>
      </c>
      <c r="K887" s="20" t="s">
        <v>682</v>
      </c>
      <c r="L887" s="9" t="s">
        <v>352</v>
      </c>
      <c r="M887" s="9">
        <v>10</v>
      </c>
      <c r="N887" s="9" t="s">
        <v>381</v>
      </c>
      <c r="O887" s="9" t="s">
        <v>354</v>
      </c>
      <c r="P887" s="12">
        <v>39.174630000000001</v>
      </c>
      <c r="Q887" s="12" t="s">
        <v>355</v>
      </c>
      <c r="R887" s="9" t="s">
        <v>356</v>
      </c>
      <c r="S887" s="13">
        <v>30</v>
      </c>
      <c r="T887" s="13">
        <v>30</v>
      </c>
      <c r="U887" s="14">
        <f t="shared" si="117"/>
        <v>1.4913616938342726</v>
      </c>
      <c r="V887" s="15">
        <v>20</v>
      </c>
      <c r="W887" s="12">
        <v>11.474530799999997</v>
      </c>
      <c r="X887" s="12">
        <v>1</v>
      </c>
      <c r="Y887" s="13" t="s">
        <v>355</v>
      </c>
      <c r="Z887" s="9" t="s">
        <v>417</v>
      </c>
      <c r="AA887" s="10" t="s">
        <v>418</v>
      </c>
      <c r="AB887" s="9" t="s">
        <v>355</v>
      </c>
      <c r="AC887" s="15">
        <v>790</v>
      </c>
      <c r="AD887" s="14">
        <f t="shared" si="118"/>
        <v>2.8976270912904414</v>
      </c>
      <c r="AE887" s="10" t="s">
        <v>1139</v>
      </c>
      <c r="AF887" s="9" t="s">
        <v>420</v>
      </c>
      <c r="AG887" s="18">
        <v>35.316864000000002</v>
      </c>
      <c r="AH887" s="7">
        <f t="shared" si="119"/>
        <v>1</v>
      </c>
      <c r="AI887" s="7">
        <f t="shared" si="120"/>
        <v>1</v>
      </c>
      <c r="AJ887" s="7">
        <f t="shared" si="121"/>
        <v>0</v>
      </c>
      <c r="AK887" s="7">
        <f t="shared" si="122"/>
        <v>0</v>
      </c>
      <c r="AL887" s="7" t="s">
        <v>4157</v>
      </c>
      <c r="AM887" s="18">
        <f t="shared" si="123"/>
        <v>1.5479821329587224</v>
      </c>
      <c r="AN887" s="18">
        <v>35.316864000000002</v>
      </c>
      <c r="AO887" s="18">
        <v>-83.209366000000003</v>
      </c>
      <c r="AP887" s="9" t="s">
        <v>363</v>
      </c>
      <c r="AQ887" s="9" t="s">
        <v>355</v>
      </c>
      <c r="AR887" s="15">
        <v>1961</v>
      </c>
      <c r="AS887" s="19" t="s">
        <v>1110</v>
      </c>
      <c r="AT887" s="20" t="s">
        <v>1111</v>
      </c>
      <c r="AU887" s="34">
        <v>3437299</v>
      </c>
      <c r="AV887" s="35">
        <f t="shared" si="124"/>
        <v>6.5362173117130542</v>
      </c>
      <c r="AW887" s="36" t="s">
        <v>366</v>
      </c>
      <c r="AX887" s="34" t="s">
        <v>355</v>
      </c>
      <c r="AY887" s="34" t="s">
        <v>355</v>
      </c>
      <c r="AZ887" s="15">
        <v>78</v>
      </c>
      <c r="BA887" s="14">
        <f t="shared" si="125"/>
        <v>1.8920946026904804</v>
      </c>
      <c r="BB887" s="36" t="s">
        <v>388</v>
      </c>
      <c r="BC887" s="20">
        <v>3.2953181272512384E-3</v>
      </c>
      <c r="BD887" s="9">
        <v>28.200000000000003</v>
      </c>
      <c r="BE887" s="9" t="s">
        <v>368</v>
      </c>
      <c r="BF887" s="9">
        <v>0</v>
      </c>
    </row>
    <row r="888" spans="1:58">
      <c r="A888" s="9">
        <v>165</v>
      </c>
      <c r="B888" s="10" t="s">
        <v>348</v>
      </c>
      <c r="C888" s="10" t="s">
        <v>622</v>
      </c>
      <c r="D888" s="20" t="s">
        <v>681</v>
      </c>
      <c r="E888" s="20" t="s">
        <v>682</v>
      </c>
      <c r="F888" s="10" t="s">
        <v>622</v>
      </c>
      <c r="G888" s="20" t="s">
        <v>683</v>
      </c>
      <c r="H888" s="20" t="s">
        <v>682</v>
      </c>
      <c r="I888" s="10" t="s">
        <v>622</v>
      </c>
      <c r="J888" s="20" t="s">
        <v>683</v>
      </c>
      <c r="K888" s="20" t="s">
        <v>682</v>
      </c>
      <c r="L888" s="9" t="s">
        <v>352</v>
      </c>
      <c r="M888" s="9">
        <v>10</v>
      </c>
      <c r="N888" s="9" t="s">
        <v>381</v>
      </c>
      <c r="O888" s="9" t="s">
        <v>354</v>
      </c>
      <c r="P888" s="12">
        <v>38.440600000000003</v>
      </c>
      <c r="Q888" s="12" t="s">
        <v>355</v>
      </c>
      <c r="R888" s="9" t="s">
        <v>356</v>
      </c>
      <c r="S888" s="13">
        <v>30</v>
      </c>
      <c r="T888" s="13">
        <v>30</v>
      </c>
      <c r="U888" s="14">
        <f t="shared" si="117"/>
        <v>1.4913616938342726</v>
      </c>
      <c r="V888" s="15">
        <v>20</v>
      </c>
      <c r="W888" s="12">
        <v>12.006172300000003</v>
      </c>
      <c r="X888" s="12">
        <v>1</v>
      </c>
      <c r="Y888" s="13" t="s">
        <v>355</v>
      </c>
      <c r="Z888" s="9" t="s">
        <v>417</v>
      </c>
      <c r="AA888" s="10" t="s">
        <v>418</v>
      </c>
      <c r="AB888" s="9" t="s">
        <v>355</v>
      </c>
      <c r="AC888" s="15">
        <v>872</v>
      </c>
      <c r="AD888" s="14">
        <f t="shared" si="118"/>
        <v>2.9405164849325671</v>
      </c>
      <c r="AE888" s="10" t="s">
        <v>1137</v>
      </c>
      <c r="AF888" s="9" t="s">
        <v>420</v>
      </c>
      <c r="AG888" s="18">
        <v>36.494084000000001</v>
      </c>
      <c r="AH888" s="7">
        <f t="shared" si="119"/>
        <v>1</v>
      </c>
      <c r="AI888" s="7">
        <f t="shared" si="120"/>
        <v>1</v>
      </c>
      <c r="AJ888" s="7">
        <f t="shared" si="121"/>
        <v>0</v>
      </c>
      <c r="AK888" s="7">
        <f t="shared" si="122"/>
        <v>0</v>
      </c>
      <c r="AL888" s="7" t="s">
        <v>4157</v>
      </c>
      <c r="AM888" s="18">
        <f t="shared" si="123"/>
        <v>1.5622224673497567</v>
      </c>
      <c r="AN888" s="18">
        <v>36.494084000000001</v>
      </c>
      <c r="AO888" s="18">
        <v>-81.119607999999999</v>
      </c>
      <c r="AP888" s="9" t="s">
        <v>363</v>
      </c>
      <c r="AQ888" s="9" t="s">
        <v>355</v>
      </c>
      <c r="AR888" s="15">
        <v>1961</v>
      </c>
      <c r="AS888" s="19" t="s">
        <v>1110</v>
      </c>
      <c r="AT888" s="20" t="s">
        <v>1111</v>
      </c>
      <c r="AU888" s="34">
        <v>3437299</v>
      </c>
      <c r="AV888" s="35">
        <f t="shared" si="124"/>
        <v>6.5362173117130542</v>
      </c>
      <c r="AW888" s="36" t="s">
        <v>366</v>
      </c>
      <c r="AX888" s="34" t="s">
        <v>355</v>
      </c>
      <c r="AY888" s="34" t="s">
        <v>355</v>
      </c>
      <c r="AZ888" s="15">
        <v>78</v>
      </c>
      <c r="BA888" s="14">
        <f t="shared" si="125"/>
        <v>1.8920946026904804</v>
      </c>
      <c r="BB888" s="36" t="s">
        <v>388</v>
      </c>
      <c r="BC888" s="20">
        <v>1.9629851940776481E-2</v>
      </c>
      <c r="BD888" s="9">
        <v>26.700000000000003</v>
      </c>
      <c r="BE888" s="9" t="s">
        <v>368</v>
      </c>
      <c r="BF888" s="9">
        <v>0</v>
      </c>
    </row>
    <row r="889" spans="1:58">
      <c r="A889" s="9">
        <v>164</v>
      </c>
      <c r="B889" s="10" t="s">
        <v>348</v>
      </c>
      <c r="C889" s="10" t="s">
        <v>622</v>
      </c>
      <c r="D889" s="20" t="s">
        <v>681</v>
      </c>
      <c r="E889" s="20" t="s">
        <v>682</v>
      </c>
      <c r="F889" s="10" t="s">
        <v>622</v>
      </c>
      <c r="G889" s="20" t="s">
        <v>683</v>
      </c>
      <c r="H889" s="20" t="s">
        <v>682</v>
      </c>
      <c r="I889" s="10" t="s">
        <v>622</v>
      </c>
      <c r="J889" s="20" t="s">
        <v>683</v>
      </c>
      <c r="K889" s="20" t="s">
        <v>682</v>
      </c>
      <c r="L889" s="9" t="s">
        <v>352</v>
      </c>
      <c r="M889" s="9">
        <v>10</v>
      </c>
      <c r="N889" s="9" t="s">
        <v>381</v>
      </c>
      <c r="O889" s="9" t="s">
        <v>354</v>
      </c>
      <c r="P889" s="12">
        <v>38.444420000000001</v>
      </c>
      <c r="Q889" s="12" t="s">
        <v>355</v>
      </c>
      <c r="R889" s="9" t="s">
        <v>356</v>
      </c>
      <c r="S889" s="13">
        <v>30</v>
      </c>
      <c r="T889" s="13">
        <v>30</v>
      </c>
      <c r="U889" s="14">
        <f t="shared" si="117"/>
        <v>1.4913616938342726</v>
      </c>
      <c r="V889" s="15">
        <v>20</v>
      </c>
      <c r="W889" s="12">
        <v>12.0099923</v>
      </c>
      <c r="X889" s="12">
        <v>1</v>
      </c>
      <c r="Y889" s="13" t="s">
        <v>355</v>
      </c>
      <c r="Z889" s="9" t="s">
        <v>417</v>
      </c>
      <c r="AA889" s="10" t="s">
        <v>418</v>
      </c>
      <c r="AB889" s="9" t="s">
        <v>355</v>
      </c>
      <c r="AC889" s="15">
        <v>872</v>
      </c>
      <c r="AD889" s="14">
        <f t="shared" si="118"/>
        <v>2.9405164849325671</v>
      </c>
      <c r="AE889" s="10" t="s">
        <v>1137</v>
      </c>
      <c r="AF889" s="9" t="s">
        <v>420</v>
      </c>
      <c r="AG889" s="18">
        <v>36.494084000000001</v>
      </c>
      <c r="AH889" s="7">
        <f t="shared" si="119"/>
        <v>1</v>
      </c>
      <c r="AI889" s="7">
        <f t="shared" si="120"/>
        <v>1</v>
      </c>
      <c r="AJ889" s="7">
        <f t="shared" si="121"/>
        <v>0</v>
      </c>
      <c r="AK889" s="7">
        <f t="shared" si="122"/>
        <v>0</v>
      </c>
      <c r="AL889" s="7" t="s">
        <v>4157</v>
      </c>
      <c r="AM889" s="18">
        <f t="shared" si="123"/>
        <v>1.5622224673497567</v>
      </c>
      <c r="AN889" s="18">
        <v>36.494084000000001</v>
      </c>
      <c r="AO889" s="18">
        <v>-81.119607999999999</v>
      </c>
      <c r="AP889" s="9" t="s">
        <v>363</v>
      </c>
      <c r="AQ889" s="9" t="s">
        <v>355</v>
      </c>
      <c r="AR889" s="15">
        <v>1961</v>
      </c>
      <c r="AS889" s="19" t="s">
        <v>1110</v>
      </c>
      <c r="AT889" s="20" t="s">
        <v>1111</v>
      </c>
      <c r="AU889" s="34">
        <v>3437299</v>
      </c>
      <c r="AV889" s="35">
        <f t="shared" si="124"/>
        <v>6.5362173117130542</v>
      </c>
      <c r="AW889" s="36" t="s">
        <v>366</v>
      </c>
      <c r="AX889" s="34" t="s">
        <v>355</v>
      </c>
      <c r="AY889" s="34" t="s">
        <v>355</v>
      </c>
      <c r="AZ889" s="15">
        <v>78</v>
      </c>
      <c r="BA889" s="14">
        <f t="shared" si="125"/>
        <v>1.8920946026904804</v>
      </c>
      <c r="BB889" s="36" t="s">
        <v>388</v>
      </c>
      <c r="BC889" s="20">
        <v>1.9629851940776481E-2</v>
      </c>
      <c r="BD889" s="9">
        <v>26.700000000000003</v>
      </c>
      <c r="BE889" s="9" t="s">
        <v>368</v>
      </c>
      <c r="BF889" s="9">
        <v>0</v>
      </c>
    </row>
    <row r="890" spans="1:58">
      <c r="A890" s="9">
        <v>909</v>
      </c>
      <c r="B890" s="10" t="s">
        <v>348</v>
      </c>
      <c r="C890" s="10" t="s">
        <v>622</v>
      </c>
      <c r="D890" s="20" t="s">
        <v>1158</v>
      </c>
      <c r="E890" s="20" t="s">
        <v>1159</v>
      </c>
      <c r="F890" s="10" t="s">
        <v>622</v>
      </c>
      <c r="G890" s="20" t="s">
        <v>1158</v>
      </c>
      <c r="H890" s="20" t="s">
        <v>1160</v>
      </c>
      <c r="I890" s="10" t="s">
        <v>622</v>
      </c>
      <c r="J890" s="20" t="s">
        <v>1158</v>
      </c>
      <c r="K890" s="20" t="s">
        <v>1160</v>
      </c>
      <c r="L890" s="9" t="s">
        <v>352</v>
      </c>
      <c r="M890" s="9">
        <v>10</v>
      </c>
      <c r="N890" s="9" t="s">
        <v>381</v>
      </c>
      <c r="O890" s="9" t="s">
        <v>354</v>
      </c>
      <c r="P890" s="12">
        <v>34.1</v>
      </c>
      <c r="Q890" s="12" t="s">
        <v>355</v>
      </c>
      <c r="R890" s="9" t="s">
        <v>356</v>
      </c>
      <c r="S890" s="13" t="s">
        <v>1130</v>
      </c>
      <c r="T890" s="13" t="s">
        <v>1130</v>
      </c>
      <c r="U890" s="14">
        <f t="shared" si="117"/>
        <v>1.4913616938342726</v>
      </c>
      <c r="V890" s="15">
        <v>10</v>
      </c>
      <c r="W890" s="12">
        <v>4.3338324999999998</v>
      </c>
      <c r="X890" s="12" t="s">
        <v>355</v>
      </c>
      <c r="Y890" s="13" t="s">
        <v>355</v>
      </c>
      <c r="Z890" s="9" t="s">
        <v>417</v>
      </c>
      <c r="AA890" s="10" t="s">
        <v>418</v>
      </c>
      <c r="AB890" s="9" t="s">
        <v>355</v>
      </c>
      <c r="AC890" s="15">
        <v>500</v>
      </c>
      <c r="AD890" s="14">
        <f t="shared" si="118"/>
        <v>2.6989700043360187</v>
      </c>
      <c r="AE890" s="10" t="s">
        <v>1058</v>
      </c>
      <c r="AF890" s="9" t="s">
        <v>420</v>
      </c>
      <c r="AG890" s="18">
        <v>24.6</v>
      </c>
      <c r="AH890" s="7">
        <f t="shared" si="119"/>
        <v>1</v>
      </c>
      <c r="AI890" s="7">
        <f t="shared" si="120"/>
        <v>0</v>
      </c>
      <c r="AJ890" s="7">
        <f t="shared" si="121"/>
        <v>0</v>
      </c>
      <c r="AK890" s="7">
        <f t="shared" si="122"/>
        <v>0</v>
      </c>
      <c r="AL890" s="7" t="s">
        <v>4159</v>
      </c>
      <c r="AM890" s="18">
        <f t="shared" si="123"/>
        <v>1.3909351071033791</v>
      </c>
      <c r="AN890" s="18">
        <v>24.6</v>
      </c>
      <c r="AO890" s="18">
        <v>111.63333299999999</v>
      </c>
      <c r="AP890" s="9" t="s">
        <v>363</v>
      </c>
      <c r="AQ890" s="9" t="s">
        <v>355</v>
      </c>
      <c r="AR890" s="15">
        <v>1987</v>
      </c>
      <c r="AS890" s="19" t="s">
        <v>1131</v>
      </c>
      <c r="AT890" s="20" t="s">
        <v>1132</v>
      </c>
      <c r="AU890" s="34">
        <v>229889</v>
      </c>
      <c r="AV890" s="35">
        <f t="shared" si="124"/>
        <v>5.3615181911318599</v>
      </c>
      <c r="AW890" s="36" t="s">
        <v>366</v>
      </c>
      <c r="AX890" s="34">
        <v>50</v>
      </c>
      <c r="AY890" s="34">
        <v>1800</v>
      </c>
      <c r="AZ890" s="15">
        <v>265</v>
      </c>
      <c r="BA890" s="14">
        <f t="shared" si="125"/>
        <v>2.4232458739368079</v>
      </c>
      <c r="BB890" s="36" t="s">
        <v>343</v>
      </c>
      <c r="BC890" s="20">
        <v>1.2480992396959108E-2</v>
      </c>
      <c r="BD890" s="9">
        <v>32.5</v>
      </c>
      <c r="BE890" s="9" t="s">
        <v>368</v>
      </c>
      <c r="BF890" s="9">
        <v>0</v>
      </c>
    </row>
    <row r="891" spans="1:58">
      <c r="A891" s="9">
        <v>910</v>
      </c>
      <c r="B891" s="10" t="s">
        <v>348</v>
      </c>
      <c r="C891" s="10" t="s">
        <v>622</v>
      </c>
      <c r="D891" s="20" t="s">
        <v>1161</v>
      </c>
      <c r="E891" s="20" t="s">
        <v>1162</v>
      </c>
      <c r="F891" s="10" t="s">
        <v>622</v>
      </c>
      <c r="G891" s="20" t="s">
        <v>1161</v>
      </c>
      <c r="H891" s="20" t="s">
        <v>1162</v>
      </c>
      <c r="I891" s="10" t="s">
        <v>622</v>
      </c>
      <c r="J891" s="20" t="s">
        <v>1161</v>
      </c>
      <c r="K891" s="20" t="s">
        <v>1162</v>
      </c>
      <c r="L891" s="9" t="s">
        <v>352</v>
      </c>
      <c r="M891" s="9">
        <v>10</v>
      </c>
      <c r="N891" s="9" t="s">
        <v>381</v>
      </c>
      <c r="O891" s="9" t="s">
        <v>354</v>
      </c>
      <c r="P891" s="12">
        <v>35.700000000000003</v>
      </c>
      <c r="Q891" s="12" t="s">
        <v>355</v>
      </c>
      <c r="R891" s="9" t="s">
        <v>356</v>
      </c>
      <c r="S891" s="13" t="s">
        <v>1130</v>
      </c>
      <c r="T891" s="13" t="s">
        <v>1130</v>
      </c>
      <c r="U891" s="14">
        <f t="shared" si="117"/>
        <v>1.4913616938342726</v>
      </c>
      <c r="V891" s="15">
        <v>10</v>
      </c>
      <c r="W891" s="12">
        <v>5.9338325000000012</v>
      </c>
      <c r="X891" s="12" t="s">
        <v>355</v>
      </c>
      <c r="Y891" s="13" t="s">
        <v>355</v>
      </c>
      <c r="Z891" s="9" t="s">
        <v>417</v>
      </c>
      <c r="AA891" s="10" t="s">
        <v>418</v>
      </c>
      <c r="AB891" s="9" t="s">
        <v>355</v>
      </c>
      <c r="AC891" s="15">
        <v>500</v>
      </c>
      <c r="AD891" s="14">
        <f t="shared" si="118"/>
        <v>2.6989700043360187</v>
      </c>
      <c r="AE891" s="10" t="s">
        <v>1058</v>
      </c>
      <c r="AF891" s="9" t="s">
        <v>420</v>
      </c>
      <c r="AG891" s="18">
        <v>24.6</v>
      </c>
      <c r="AH891" s="7">
        <f t="shared" si="119"/>
        <v>1</v>
      </c>
      <c r="AI891" s="7">
        <f t="shared" si="120"/>
        <v>0</v>
      </c>
      <c r="AJ891" s="7">
        <f t="shared" si="121"/>
        <v>0</v>
      </c>
      <c r="AK891" s="7">
        <f t="shared" si="122"/>
        <v>0</v>
      </c>
      <c r="AL891" s="7" t="s">
        <v>4159</v>
      </c>
      <c r="AM891" s="18">
        <f t="shared" si="123"/>
        <v>1.3909351071033791</v>
      </c>
      <c r="AN891" s="18">
        <v>24.6</v>
      </c>
      <c r="AO891" s="18">
        <v>111.63333299999999</v>
      </c>
      <c r="AP891" s="9" t="s">
        <v>363</v>
      </c>
      <c r="AQ891" s="9" t="s">
        <v>355</v>
      </c>
      <c r="AR891" s="15">
        <v>1987</v>
      </c>
      <c r="AS891" s="19" t="s">
        <v>1131</v>
      </c>
      <c r="AT891" s="20" t="s">
        <v>1132</v>
      </c>
      <c r="AU891" s="34">
        <v>228811</v>
      </c>
      <c r="AV891" s="35">
        <f t="shared" si="124"/>
        <v>5.3594768991614901</v>
      </c>
      <c r="AW891" s="36" t="s">
        <v>366</v>
      </c>
      <c r="AX891" s="34">
        <v>200</v>
      </c>
      <c r="AY891" s="34">
        <v>1200</v>
      </c>
      <c r="AZ891" s="15">
        <v>115</v>
      </c>
      <c r="BA891" s="14">
        <f t="shared" si="125"/>
        <v>2.0606978403536118</v>
      </c>
      <c r="BB891" s="36" t="s">
        <v>367</v>
      </c>
      <c r="BC891" s="20">
        <v>1.2480992396959108E-2</v>
      </c>
      <c r="BD891" s="9">
        <v>32.5</v>
      </c>
      <c r="BE891" s="9" t="s">
        <v>368</v>
      </c>
      <c r="BF891" s="9">
        <v>0</v>
      </c>
    </row>
    <row r="892" spans="1:58">
      <c r="A892" s="9">
        <v>895</v>
      </c>
      <c r="B892" s="10" t="s">
        <v>348</v>
      </c>
      <c r="C892" s="10" t="s">
        <v>349</v>
      </c>
      <c r="D892" s="20" t="s">
        <v>817</v>
      </c>
      <c r="E892" s="20" t="s">
        <v>1163</v>
      </c>
      <c r="F892" s="10" t="s">
        <v>349</v>
      </c>
      <c r="G892" s="20" t="s">
        <v>817</v>
      </c>
      <c r="H892" s="20" t="s">
        <v>1163</v>
      </c>
      <c r="I892" s="10" t="s">
        <v>349</v>
      </c>
      <c r="J892" s="20" t="s">
        <v>817</v>
      </c>
      <c r="K892" s="20" t="s">
        <v>1163</v>
      </c>
      <c r="L892" s="9" t="s">
        <v>352</v>
      </c>
      <c r="M892" s="9">
        <v>12</v>
      </c>
      <c r="N892" s="9" t="s">
        <v>381</v>
      </c>
      <c r="O892" s="9" t="s">
        <v>354</v>
      </c>
      <c r="P892" s="12">
        <v>34.299999999999997</v>
      </c>
      <c r="Q892" s="12" t="s">
        <v>355</v>
      </c>
      <c r="R892" s="9" t="s">
        <v>356</v>
      </c>
      <c r="S892" s="13" t="s">
        <v>1130</v>
      </c>
      <c r="T892" s="13" t="s">
        <v>1130</v>
      </c>
      <c r="U892" s="14">
        <f t="shared" si="117"/>
        <v>1.4913616938342726</v>
      </c>
      <c r="V892" s="15">
        <v>15</v>
      </c>
      <c r="W892" s="12">
        <v>6.2840804999999946</v>
      </c>
      <c r="X892" s="12">
        <v>1</v>
      </c>
      <c r="Y892" s="13" t="s">
        <v>358</v>
      </c>
      <c r="Z892" s="9" t="s">
        <v>417</v>
      </c>
      <c r="AA892" s="10" t="s">
        <v>418</v>
      </c>
      <c r="AB892" s="9" t="s">
        <v>355</v>
      </c>
      <c r="AC892" s="15">
        <v>105</v>
      </c>
      <c r="AD892" s="14">
        <f t="shared" si="118"/>
        <v>2.0211892990699383</v>
      </c>
      <c r="AE892" s="10" t="s">
        <v>1164</v>
      </c>
      <c r="AF892" s="9" t="s">
        <v>362</v>
      </c>
      <c r="AG892" s="18">
        <v>39.952565999999997</v>
      </c>
      <c r="AH892" s="7">
        <f t="shared" si="119"/>
        <v>1</v>
      </c>
      <c r="AI892" s="7">
        <f t="shared" si="120"/>
        <v>1</v>
      </c>
      <c r="AJ892" s="7">
        <f t="shared" si="121"/>
        <v>0</v>
      </c>
      <c r="AK892" s="7">
        <f t="shared" si="122"/>
        <v>0</v>
      </c>
      <c r="AL892" s="7" t="s">
        <v>4157</v>
      </c>
      <c r="AM892" s="18">
        <f t="shared" si="123"/>
        <v>1.6015446776137896</v>
      </c>
      <c r="AN892" s="18">
        <v>39.952565999999997</v>
      </c>
      <c r="AO892" s="18">
        <v>-75.443308000000002</v>
      </c>
      <c r="AP892" s="9" t="s">
        <v>363</v>
      </c>
      <c r="AQ892" s="9" t="s">
        <v>355</v>
      </c>
      <c r="AR892" s="15">
        <v>1998</v>
      </c>
      <c r="AS892" s="19" t="s">
        <v>1165</v>
      </c>
      <c r="AT892" s="20" t="s">
        <v>1166</v>
      </c>
      <c r="AU892" s="34">
        <v>1826920</v>
      </c>
      <c r="AV892" s="35">
        <f t="shared" si="124"/>
        <v>6.2617195302100948</v>
      </c>
      <c r="AW892" s="36" t="s">
        <v>366</v>
      </c>
      <c r="AX892" s="34" t="s">
        <v>355</v>
      </c>
      <c r="AY892" s="34" t="s">
        <v>355</v>
      </c>
      <c r="AZ892" s="15">
        <v>78</v>
      </c>
      <c r="BA892" s="14">
        <f t="shared" si="125"/>
        <v>1.8920946026904804</v>
      </c>
      <c r="BB892" s="36" t="s">
        <v>367</v>
      </c>
      <c r="BC892" s="20">
        <v>2.1920768307322855E-2</v>
      </c>
      <c r="BD892" s="9">
        <v>29.5</v>
      </c>
      <c r="BE892" s="9" t="s">
        <v>368</v>
      </c>
      <c r="BF892" s="9">
        <v>0</v>
      </c>
    </row>
    <row r="893" spans="1:58">
      <c r="A893" s="9">
        <v>143</v>
      </c>
      <c r="B893" s="10" t="s">
        <v>348</v>
      </c>
      <c r="C893" s="10" t="s">
        <v>349</v>
      </c>
      <c r="D893" s="20" t="s">
        <v>817</v>
      </c>
      <c r="E893" s="20" t="s">
        <v>1163</v>
      </c>
      <c r="F893" s="10" t="s">
        <v>349</v>
      </c>
      <c r="G893" s="20" t="s">
        <v>817</v>
      </c>
      <c r="H893" s="20" t="s">
        <v>1163</v>
      </c>
      <c r="I893" s="10" t="s">
        <v>349</v>
      </c>
      <c r="J893" s="20" t="s">
        <v>817</v>
      </c>
      <c r="K893" s="20" t="s">
        <v>1163</v>
      </c>
      <c r="L893" s="9" t="s">
        <v>352</v>
      </c>
      <c r="M893" s="9">
        <v>5</v>
      </c>
      <c r="N893" s="9" t="s">
        <v>353</v>
      </c>
      <c r="O893" s="9" t="s">
        <v>354</v>
      </c>
      <c r="P893" s="12">
        <v>34.709679999999999</v>
      </c>
      <c r="Q893" s="12" t="s">
        <v>355</v>
      </c>
      <c r="R893" s="9" t="s">
        <v>356</v>
      </c>
      <c r="S893" s="13">
        <v>30</v>
      </c>
      <c r="T893" s="13">
        <v>30</v>
      </c>
      <c r="U893" s="14">
        <f t="shared" si="117"/>
        <v>1.4913616938342726</v>
      </c>
      <c r="V893" s="15">
        <v>20</v>
      </c>
      <c r="W893" s="12">
        <v>9.7940580999999973</v>
      </c>
      <c r="X893" s="12">
        <v>1</v>
      </c>
      <c r="Y893" s="13" t="s">
        <v>355</v>
      </c>
      <c r="Z893" s="9" t="s">
        <v>417</v>
      </c>
      <c r="AA893" s="10" t="s">
        <v>418</v>
      </c>
      <c r="AB893" s="9" t="s">
        <v>355</v>
      </c>
      <c r="AC893" s="15">
        <v>1128</v>
      </c>
      <c r="AD893" s="14">
        <f t="shared" si="118"/>
        <v>3.0523090996473234</v>
      </c>
      <c r="AE893" s="10" t="s">
        <v>1167</v>
      </c>
      <c r="AF893" s="9" t="s">
        <v>420</v>
      </c>
      <c r="AG893" s="18">
        <v>37.375135999999998</v>
      </c>
      <c r="AH893" s="7">
        <f t="shared" si="119"/>
        <v>1</v>
      </c>
      <c r="AI893" s="7">
        <f t="shared" si="120"/>
        <v>1</v>
      </c>
      <c r="AJ893" s="7">
        <f t="shared" si="121"/>
        <v>0</v>
      </c>
      <c r="AK893" s="7">
        <f t="shared" si="122"/>
        <v>0</v>
      </c>
      <c r="AL893" s="7" t="s">
        <v>4157</v>
      </c>
      <c r="AM893" s="18">
        <f t="shared" si="123"/>
        <v>1.5725827816386286</v>
      </c>
      <c r="AN893" s="18">
        <v>37.375135999999998</v>
      </c>
      <c r="AO893" s="18">
        <v>-80.522746999999995</v>
      </c>
      <c r="AP893" s="9" t="s">
        <v>363</v>
      </c>
      <c r="AQ893" s="9" t="s">
        <v>355</v>
      </c>
      <c r="AR893" s="15">
        <v>1961</v>
      </c>
      <c r="AS893" s="19" t="s">
        <v>1110</v>
      </c>
      <c r="AT893" s="20" t="s">
        <v>1111</v>
      </c>
      <c r="AU893" s="34">
        <v>1826920</v>
      </c>
      <c r="AV893" s="35">
        <f t="shared" si="124"/>
        <v>6.2617195302100948</v>
      </c>
      <c r="AW893" s="36" t="s">
        <v>366</v>
      </c>
      <c r="AX893" s="34" t="s">
        <v>355</v>
      </c>
      <c r="AY893" s="34" t="s">
        <v>355</v>
      </c>
      <c r="AZ893" s="15">
        <v>78</v>
      </c>
      <c r="BA893" s="14">
        <f t="shared" si="125"/>
        <v>1.8920946026904804</v>
      </c>
      <c r="BB893" s="36" t="s">
        <v>367</v>
      </c>
      <c r="BC893" s="20">
        <v>1.7852340936374687E-2</v>
      </c>
      <c r="BD893" s="9">
        <v>24.900000000000002</v>
      </c>
      <c r="BE893" s="9" t="s">
        <v>368</v>
      </c>
      <c r="BF893" s="9">
        <v>0</v>
      </c>
    </row>
    <row r="894" spans="1:58">
      <c r="A894" s="9">
        <v>144</v>
      </c>
      <c r="B894" s="10" t="s">
        <v>348</v>
      </c>
      <c r="C894" s="10" t="s">
        <v>349</v>
      </c>
      <c r="D894" s="20" t="s">
        <v>817</v>
      </c>
      <c r="E894" s="20" t="s">
        <v>1168</v>
      </c>
      <c r="F894" s="10" t="s">
        <v>349</v>
      </c>
      <c r="G894" s="20" t="s">
        <v>817</v>
      </c>
      <c r="H894" s="20" t="s">
        <v>1168</v>
      </c>
      <c r="I894" s="10" t="s">
        <v>349</v>
      </c>
      <c r="J894" s="20" t="s">
        <v>817</v>
      </c>
      <c r="K894" s="20" t="s">
        <v>1168</v>
      </c>
      <c r="L894" s="9" t="s">
        <v>352</v>
      </c>
      <c r="M894" s="9">
        <v>7</v>
      </c>
      <c r="N894" s="9" t="s">
        <v>353</v>
      </c>
      <c r="O894" s="9" t="s">
        <v>354</v>
      </c>
      <c r="P894" s="12">
        <v>35.07038</v>
      </c>
      <c r="Q894" s="12" t="s">
        <v>355</v>
      </c>
      <c r="R894" s="9" t="s">
        <v>356</v>
      </c>
      <c r="S894" s="13">
        <v>30</v>
      </c>
      <c r="T894" s="13">
        <v>30</v>
      </c>
      <c r="U894" s="14">
        <f t="shared" si="117"/>
        <v>1.4913616938342726</v>
      </c>
      <c r="V894" s="15">
        <v>20</v>
      </c>
      <c r="W894" s="12">
        <v>10.154758099999999</v>
      </c>
      <c r="X894" s="12">
        <v>1</v>
      </c>
      <c r="Y894" s="13" t="s">
        <v>355</v>
      </c>
      <c r="Z894" s="9" t="s">
        <v>417</v>
      </c>
      <c r="AA894" s="10" t="s">
        <v>418</v>
      </c>
      <c r="AB894" s="9" t="s">
        <v>355</v>
      </c>
      <c r="AC894" s="15">
        <v>1128</v>
      </c>
      <c r="AD894" s="14">
        <f t="shared" si="118"/>
        <v>3.0523090996473234</v>
      </c>
      <c r="AE894" s="10" t="s">
        <v>1167</v>
      </c>
      <c r="AF894" s="9" t="s">
        <v>420</v>
      </c>
      <c r="AG894" s="18">
        <v>37.375135999999998</v>
      </c>
      <c r="AH894" s="7">
        <f t="shared" si="119"/>
        <v>1</v>
      </c>
      <c r="AI894" s="7">
        <f t="shared" si="120"/>
        <v>1</v>
      </c>
      <c r="AJ894" s="7">
        <f t="shared" si="121"/>
        <v>0</v>
      </c>
      <c r="AK894" s="7">
        <f t="shared" si="122"/>
        <v>0</v>
      </c>
      <c r="AL894" s="7" t="s">
        <v>4157</v>
      </c>
      <c r="AM894" s="18">
        <f t="shared" si="123"/>
        <v>1.5725827816386286</v>
      </c>
      <c r="AN894" s="18">
        <v>37.375135999999998</v>
      </c>
      <c r="AO894" s="18">
        <v>-80.522746999999995</v>
      </c>
      <c r="AP894" s="9" t="s">
        <v>363</v>
      </c>
      <c r="AQ894" s="9" t="s">
        <v>355</v>
      </c>
      <c r="AR894" s="15">
        <v>1961</v>
      </c>
      <c r="AS894" s="19" t="s">
        <v>1110</v>
      </c>
      <c r="AT894" s="20" t="s">
        <v>1111</v>
      </c>
      <c r="AU894" s="34">
        <v>1340865</v>
      </c>
      <c r="AV894" s="35">
        <f t="shared" si="124"/>
        <v>6.1273850547297366</v>
      </c>
      <c r="AW894" s="36" t="s">
        <v>366</v>
      </c>
      <c r="AX894" s="34" t="s">
        <v>355</v>
      </c>
      <c r="AY894" s="34" t="s">
        <v>355</v>
      </c>
      <c r="AZ894" s="15">
        <v>154</v>
      </c>
      <c r="BA894" s="14">
        <f t="shared" si="125"/>
        <v>2.1875207208364631</v>
      </c>
      <c r="BB894" s="36" t="s">
        <v>367</v>
      </c>
      <c r="BC894" s="20">
        <v>1.7852340936374687E-2</v>
      </c>
      <c r="BD894" s="9">
        <v>24.900000000000002</v>
      </c>
      <c r="BE894" s="9" t="s">
        <v>368</v>
      </c>
      <c r="BF894" s="9">
        <v>0</v>
      </c>
    </row>
    <row r="895" spans="1:58">
      <c r="A895" s="9">
        <v>146</v>
      </c>
      <c r="B895" s="10" t="s">
        <v>348</v>
      </c>
      <c r="C895" s="10" t="s">
        <v>349</v>
      </c>
      <c r="D895" s="20" t="s">
        <v>817</v>
      </c>
      <c r="E895" s="20" t="s">
        <v>1169</v>
      </c>
      <c r="F895" s="10" t="s">
        <v>349</v>
      </c>
      <c r="G895" s="20" t="s">
        <v>817</v>
      </c>
      <c r="H895" s="20" t="s">
        <v>1169</v>
      </c>
      <c r="I895" s="10" t="s">
        <v>349</v>
      </c>
      <c r="J895" s="20" t="s">
        <v>817</v>
      </c>
      <c r="K895" s="20" t="s">
        <v>1169</v>
      </c>
      <c r="L895" s="9" t="s">
        <v>352</v>
      </c>
      <c r="M895" s="9">
        <v>10</v>
      </c>
      <c r="N895" s="9" t="s">
        <v>381</v>
      </c>
      <c r="O895" s="9" t="s">
        <v>354</v>
      </c>
      <c r="P895" s="12">
        <v>35.184750000000001</v>
      </c>
      <c r="Q895" s="12" t="s">
        <v>355</v>
      </c>
      <c r="R895" s="9" t="s">
        <v>356</v>
      </c>
      <c r="S895" s="13">
        <v>30</v>
      </c>
      <c r="T895" s="13">
        <v>30</v>
      </c>
      <c r="U895" s="14">
        <f t="shared" si="117"/>
        <v>1.4913616938342726</v>
      </c>
      <c r="V895" s="15">
        <v>20</v>
      </c>
      <c r="W895" s="12">
        <v>5.9658450000000016</v>
      </c>
      <c r="X895" s="12">
        <v>1</v>
      </c>
      <c r="Y895" s="13" t="s">
        <v>355</v>
      </c>
      <c r="Z895" s="9" t="s">
        <v>417</v>
      </c>
      <c r="AA895" s="10" t="s">
        <v>418</v>
      </c>
      <c r="AB895" s="9" t="s">
        <v>355</v>
      </c>
      <c r="AC895" s="15">
        <v>358</v>
      </c>
      <c r="AD895" s="14">
        <f t="shared" si="118"/>
        <v>2.5538830266438746</v>
      </c>
      <c r="AE895" s="10" t="s">
        <v>1170</v>
      </c>
      <c r="AF895" s="9" t="s">
        <v>420</v>
      </c>
      <c r="AG895" s="18">
        <v>35.827168</v>
      </c>
      <c r="AH895" s="7">
        <f t="shared" si="119"/>
        <v>1</v>
      </c>
      <c r="AI895" s="7">
        <f t="shared" si="120"/>
        <v>1</v>
      </c>
      <c r="AJ895" s="7">
        <f t="shared" si="121"/>
        <v>0</v>
      </c>
      <c r="AK895" s="7">
        <f t="shared" si="122"/>
        <v>0</v>
      </c>
      <c r="AL895" s="7" t="s">
        <v>4157</v>
      </c>
      <c r="AM895" s="18">
        <f t="shared" si="123"/>
        <v>1.5542124802123911</v>
      </c>
      <c r="AN895" s="18">
        <v>35.827168</v>
      </c>
      <c r="AO895" s="18">
        <v>-83.507019999999997</v>
      </c>
      <c r="AP895" s="9" t="s">
        <v>363</v>
      </c>
      <c r="AQ895" s="9" t="s">
        <v>355</v>
      </c>
      <c r="AR895" s="15">
        <v>1961</v>
      </c>
      <c r="AS895" s="19" t="s">
        <v>1110</v>
      </c>
      <c r="AT895" s="20" t="s">
        <v>1111</v>
      </c>
      <c r="AU895" s="34">
        <v>1943</v>
      </c>
      <c r="AV895" s="35">
        <f t="shared" si="124"/>
        <v>3.2884728005997825</v>
      </c>
      <c r="AW895" s="36" t="s">
        <v>366</v>
      </c>
      <c r="AX895" s="34">
        <v>768</v>
      </c>
      <c r="AY895" s="34">
        <v>1780</v>
      </c>
      <c r="AZ895" s="15">
        <v>78</v>
      </c>
      <c r="BA895" s="14">
        <f t="shared" si="125"/>
        <v>1.8920946026904804</v>
      </c>
      <c r="BB895" s="36" t="s">
        <v>367</v>
      </c>
      <c r="BC895" s="20">
        <v>1.4605842336936274E-3</v>
      </c>
      <c r="BD895" s="9">
        <v>30</v>
      </c>
      <c r="BE895" s="9" t="s">
        <v>459</v>
      </c>
      <c r="BF895" s="9">
        <v>1</v>
      </c>
    </row>
    <row r="896" spans="1:58">
      <c r="A896" s="9">
        <v>150</v>
      </c>
      <c r="B896" s="10" t="s">
        <v>348</v>
      </c>
      <c r="C896" s="10" t="s">
        <v>349</v>
      </c>
      <c r="D896" s="20" t="s">
        <v>817</v>
      </c>
      <c r="E896" s="20" t="s">
        <v>1169</v>
      </c>
      <c r="F896" s="10" t="s">
        <v>349</v>
      </c>
      <c r="G896" s="20" t="s">
        <v>817</v>
      </c>
      <c r="H896" s="20" t="s">
        <v>1169</v>
      </c>
      <c r="I896" s="10" t="s">
        <v>349</v>
      </c>
      <c r="J896" s="20" t="s">
        <v>817</v>
      </c>
      <c r="K896" s="20" t="s">
        <v>1169</v>
      </c>
      <c r="L896" s="9" t="s">
        <v>352</v>
      </c>
      <c r="M896" s="9">
        <v>4</v>
      </c>
      <c r="N896" s="9" t="s">
        <v>353</v>
      </c>
      <c r="O896" s="9" t="s">
        <v>354</v>
      </c>
      <c r="P896" s="12">
        <v>35.079180000000001</v>
      </c>
      <c r="Q896" s="12" t="s">
        <v>355</v>
      </c>
      <c r="R896" s="9" t="s">
        <v>356</v>
      </c>
      <c r="S896" s="13">
        <v>30</v>
      </c>
      <c r="T896" s="13">
        <v>30</v>
      </c>
      <c r="U896" s="14">
        <f t="shared" si="117"/>
        <v>1.4913616938342726</v>
      </c>
      <c r="V896" s="15">
        <v>20</v>
      </c>
      <c r="W896" s="12">
        <v>6.1134093000000007</v>
      </c>
      <c r="X896" s="12">
        <v>1</v>
      </c>
      <c r="Y896" s="13" t="s">
        <v>355</v>
      </c>
      <c r="Z896" s="9" t="s">
        <v>417</v>
      </c>
      <c r="AA896" s="10" t="s">
        <v>418</v>
      </c>
      <c r="AB896" s="9" t="s">
        <v>355</v>
      </c>
      <c r="AC896" s="15">
        <v>516</v>
      </c>
      <c r="AD896" s="14">
        <f t="shared" si="118"/>
        <v>2.7126497016272113</v>
      </c>
      <c r="AE896" s="10" t="s">
        <v>1171</v>
      </c>
      <c r="AF896" s="9" t="s">
        <v>420</v>
      </c>
      <c r="AG896" s="18">
        <v>35.113480000000003</v>
      </c>
      <c r="AH896" s="7">
        <f t="shared" si="119"/>
        <v>1</v>
      </c>
      <c r="AI896" s="7">
        <f t="shared" si="120"/>
        <v>1</v>
      </c>
      <c r="AJ896" s="7">
        <f t="shared" si="121"/>
        <v>0</v>
      </c>
      <c r="AK896" s="7">
        <f t="shared" si="122"/>
        <v>0</v>
      </c>
      <c r="AL896" s="7" t="s">
        <v>4157</v>
      </c>
      <c r="AM896" s="18">
        <f t="shared" si="123"/>
        <v>1.545473873324706</v>
      </c>
      <c r="AN896" s="18">
        <v>35.113480000000003</v>
      </c>
      <c r="AO896" s="18">
        <v>-84.059028999999995</v>
      </c>
      <c r="AP896" s="9" t="s">
        <v>363</v>
      </c>
      <c r="AQ896" s="9" t="s">
        <v>355</v>
      </c>
      <c r="AR896" s="15">
        <v>1961</v>
      </c>
      <c r="AS896" s="19" t="s">
        <v>1110</v>
      </c>
      <c r="AT896" s="20" t="s">
        <v>1111</v>
      </c>
      <c r="AU896" s="34">
        <v>1943</v>
      </c>
      <c r="AV896" s="35">
        <f t="shared" si="124"/>
        <v>3.2884728005997825</v>
      </c>
      <c r="AW896" s="36" t="s">
        <v>366</v>
      </c>
      <c r="AX896" s="34">
        <v>768</v>
      </c>
      <c r="AY896" s="34">
        <v>1780</v>
      </c>
      <c r="AZ896" s="15">
        <v>78</v>
      </c>
      <c r="BA896" s="14">
        <f t="shared" si="125"/>
        <v>1.8920946026904804</v>
      </c>
      <c r="BB896" s="36" t="s">
        <v>367</v>
      </c>
      <c r="BC896" s="20">
        <v>9.664665866346742E-3</v>
      </c>
      <c r="BD896" s="9">
        <v>29.700000000000003</v>
      </c>
      <c r="BE896" s="9" t="s">
        <v>459</v>
      </c>
      <c r="BF896" s="9">
        <v>1</v>
      </c>
    </row>
    <row r="897" spans="1:58">
      <c r="A897" s="9">
        <v>149</v>
      </c>
      <c r="B897" s="10" t="s">
        <v>348</v>
      </c>
      <c r="C897" s="10" t="s">
        <v>349</v>
      </c>
      <c r="D897" s="20" t="s">
        <v>817</v>
      </c>
      <c r="E897" s="20" t="s">
        <v>1169</v>
      </c>
      <c r="F897" s="10" t="s">
        <v>349</v>
      </c>
      <c r="G897" s="20" t="s">
        <v>817</v>
      </c>
      <c r="H897" s="20" t="s">
        <v>1169</v>
      </c>
      <c r="I897" s="10" t="s">
        <v>349</v>
      </c>
      <c r="J897" s="20" t="s">
        <v>817</v>
      </c>
      <c r="K897" s="20" t="s">
        <v>1169</v>
      </c>
      <c r="L897" s="9" t="s">
        <v>352</v>
      </c>
      <c r="M897" s="9">
        <v>10</v>
      </c>
      <c r="N897" s="9" t="s">
        <v>381</v>
      </c>
      <c r="O897" s="9" t="s">
        <v>354</v>
      </c>
      <c r="P897" s="12">
        <v>34.938420000000001</v>
      </c>
      <c r="Q897" s="12" t="s">
        <v>355</v>
      </c>
      <c r="R897" s="9" t="s">
        <v>356</v>
      </c>
      <c r="S897" s="13">
        <v>30</v>
      </c>
      <c r="T897" s="13">
        <v>30</v>
      </c>
      <c r="U897" s="14">
        <f t="shared" si="117"/>
        <v>1.4913616938342726</v>
      </c>
      <c r="V897" s="15">
        <v>20</v>
      </c>
      <c r="W897" s="12">
        <v>7.407077000000001</v>
      </c>
      <c r="X897" s="12">
        <v>1</v>
      </c>
      <c r="Y897" s="13" t="s">
        <v>355</v>
      </c>
      <c r="Z897" s="9" t="s">
        <v>417</v>
      </c>
      <c r="AA897" s="10" t="s">
        <v>418</v>
      </c>
      <c r="AB897" s="9" t="s">
        <v>355</v>
      </c>
      <c r="AC897" s="15">
        <v>800</v>
      </c>
      <c r="AD897" s="14">
        <f t="shared" si="118"/>
        <v>2.9030899869919438</v>
      </c>
      <c r="AE897" s="10" t="s">
        <v>1147</v>
      </c>
      <c r="AF897" s="9" t="s">
        <v>420</v>
      </c>
      <c r="AG897" s="18">
        <v>35.119751999999998</v>
      </c>
      <c r="AH897" s="7">
        <f t="shared" si="119"/>
        <v>1</v>
      </c>
      <c r="AI897" s="7">
        <f t="shared" si="120"/>
        <v>1</v>
      </c>
      <c r="AJ897" s="7">
        <f t="shared" si="121"/>
        <v>0</v>
      </c>
      <c r="AK897" s="7">
        <f t="shared" si="122"/>
        <v>0</v>
      </c>
      <c r="AL897" s="7" t="s">
        <v>4157</v>
      </c>
      <c r="AM897" s="18">
        <f t="shared" si="123"/>
        <v>1.5455514404512689</v>
      </c>
      <c r="AN897" s="18">
        <v>35.119751999999998</v>
      </c>
      <c r="AO897" s="18">
        <v>-83.336188000000007</v>
      </c>
      <c r="AP897" s="9" t="s">
        <v>363</v>
      </c>
      <c r="AQ897" s="9" t="s">
        <v>355</v>
      </c>
      <c r="AR897" s="15">
        <v>1961</v>
      </c>
      <c r="AS897" s="19" t="s">
        <v>1110</v>
      </c>
      <c r="AT897" s="20" t="s">
        <v>1111</v>
      </c>
      <c r="AU897" s="34">
        <v>1943</v>
      </c>
      <c r="AV897" s="35">
        <f t="shared" si="124"/>
        <v>3.2884728005997825</v>
      </c>
      <c r="AW897" s="36" t="s">
        <v>366</v>
      </c>
      <c r="AX897" s="34">
        <v>768</v>
      </c>
      <c r="AY897" s="34">
        <v>1780</v>
      </c>
      <c r="AZ897" s="15">
        <v>78</v>
      </c>
      <c r="BA897" s="14">
        <f t="shared" si="125"/>
        <v>1.8920946026904804</v>
      </c>
      <c r="BB897" s="36" t="s">
        <v>367</v>
      </c>
      <c r="BC897" s="20">
        <v>3.2953181272512384E-3</v>
      </c>
      <c r="BD897" s="9">
        <v>28</v>
      </c>
      <c r="BE897" s="9" t="s">
        <v>459</v>
      </c>
      <c r="BF897" s="9">
        <v>1</v>
      </c>
    </row>
    <row r="898" spans="1:58">
      <c r="A898" s="9">
        <v>148</v>
      </c>
      <c r="B898" s="10" t="s">
        <v>348</v>
      </c>
      <c r="C898" s="10" t="s">
        <v>349</v>
      </c>
      <c r="D898" s="20" t="s">
        <v>817</v>
      </c>
      <c r="E898" s="20" t="s">
        <v>1169</v>
      </c>
      <c r="F898" s="10" t="s">
        <v>349</v>
      </c>
      <c r="G898" s="20" t="s">
        <v>817</v>
      </c>
      <c r="H898" s="20" t="s">
        <v>1169</v>
      </c>
      <c r="I898" s="10" t="s">
        <v>349</v>
      </c>
      <c r="J898" s="20" t="s">
        <v>817</v>
      </c>
      <c r="K898" s="20" t="s">
        <v>1169</v>
      </c>
      <c r="L898" s="9" t="s">
        <v>352</v>
      </c>
      <c r="M898" s="9">
        <v>15</v>
      </c>
      <c r="N898" s="9" t="s">
        <v>381</v>
      </c>
      <c r="O898" s="9" t="s">
        <v>354</v>
      </c>
      <c r="P898" s="12">
        <v>35.149560000000001</v>
      </c>
      <c r="Q898" s="12" t="s">
        <v>355</v>
      </c>
      <c r="R898" s="9" t="s">
        <v>356</v>
      </c>
      <c r="S898" s="13">
        <v>30</v>
      </c>
      <c r="T898" s="13">
        <v>30</v>
      </c>
      <c r="U898" s="14">
        <f t="shared" si="117"/>
        <v>1.4913616938342726</v>
      </c>
      <c r="V898" s="15">
        <v>20</v>
      </c>
      <c r="W898" s="12">
        <v>7.6182170000000013</v>
      </c>
      <c r="X898" s="12">
        <v>1</v>
      </c>
      <c r="Y898" s="13" t="s">
        <v>355</v>
      </c>
      <c r="Z898" s="9" t="s">
        <v>417</v>
      </c>
      <c r="AA898" s="10" t="s">
        <v>418</v>
      </c>
      <c r="AB898" s="9" t="s">
        <v>355</v>
      </c>
      <c r="AC898" s="15">
        <v>800</v>
      </c>
      <c r="AD898" s="14">
        <f t="shared" si="118"/>
        <v>2.9030899869919438</v>
      </c>
      <c r="AE898" s="10" t="s">
        <v>1147</v>
      </c>
      <c r="AF898" s="9" t="s">
        <v>420</v>
      </c>
      <c r="AG898" s="18">
        <v>35.119751999999998</v>
      </c>
      <c r="AH898" s="7">
        <f t="shared" si="119"/>
        <v>1</v>
      </c>
      <c r="AI898" s="7">
        <f t="shared" si="120"/>
        <v>1</v>
      </c>
      <c r="AJ898" s="7">
        <f t="shared" si="121"/>
        <v>0</v>
      </c>
      <c r="AK898" s="7">
        <f t="shared" si="122"/>
        <v>0</v>
      </c>
      <c r="AL898" s="7" t="s">
        <v>4157</v>
      </c>
      <c r="AM898" s="18">
        <f t="shared" si="123"/>
        <v>1.5455514404512689</v>
      </c>
      <c r="AN898" s="18">
        <v>35.119751999999998</v>
      </c>
      <c r="AO898" s="18">
        <v>-83.336188000000007</v>
      </c>
      <c r="AP898" s="9" t="s">
        <v>363</v>
      </c>
      <c r="AQ898" s="9" t="s">
        <v>355</v>
      </c>
      <c r="AR898" s="15">
        <v>1961</v>
      </c>
      <c r="AS898" s="19" t="s">
        <v>1110</v>
      </c>
      <c r="AT898" s="20" t="s">
        <v>1111</v>
      </c>
      <c r="AU898" s="34">
        <v>1943</v>
      </c>
      <c r="AV898" s="35">
        <f t="shared" si="124"/>
        <v>3.2884728005997825</v>
      </c>
      <c r="AW898" s="36" t="s">
        <v>366</v>
      </c>
      <c r="AX898" s="34">
        <v>768</v>
      </c>
      <c r="AY898" s="34">
        <v>1780</v>
      </c>
      <c r="AZ898" s="15">
        <v>78</v>
      </c>
      <c r="BA898" s="14">
        <f t="shared" si="125"/>
        <v>1.8920946026904804</v>
      </c>
      <c r="BB898" s="36" t="s">
        <v>367</v>
      </c>
      <c r="BC898" s="20">
        <v>3.2953181272512384E-3</v>
      </c>
      <c r="BD898" s="9">
        <v>28</v>
      </c>
      <c r="BE898" s="9" t="s">
        <v>459</v>
      </c>
      <c r="BF898" s="9">
        <v>1</v>
      </c>
    </row>
    <row r="899" spans="1:58">
      <c r="A899" s="9">
        <v>147</v>
      </c>
      <c r="B899" s="10" t="s">
        <v>348</v>
      </c>
      <c r="C899" s="10" t="s">
        <v>349</v>
      </c>
      <c r="D899" s="20" t="s">
        <v>817</v>
      </c>
      <c r="E899" s="20" t="s">
        <v>1169</v>
      </c>
      <c r="F899" s="10" t="s">
        <v>349</v>
      </c>
      <c r="G899" s="20" t="s">
        <v>817</v>
      </c>
      <c r="H899" s="20" t="s">
        <v>1169</v>
      </c>
      <c r="I899" s="10" t="s">
        <v>349</v>
      </c>
      <c r="J899" s="20" t="s">
        <v>817</v>
      </c>
      <c r="K899" s="20" t="s">
        <v>1169</v>
      </c>
      <c r="L899" s="9" t="s">
        <v>352</v>
      </c>
      <c r="M899" s="9">
        <v>10</v>
      </c>
      <c r="N899" s="9" t="s">
        <v>381</v>
      </c>
      <c r="O899" s="9" t="s">
        <v>354</v>
      </c>
      <c r="P899" s="12">
        <v>34.868029999999997</v>
      </c>
      <c r="Q899" s="12" t="s">
        <v>355</v>
      </c>
      <c r="R899" s="9" t="s">
        <v>356</v>
      </c>
      <c r="S899" s="13">
        <v>30</v>
      </c>
      <c r="T899" s="13">
        <v>30</v>
      </c>
      <c r="U899" s="14">
        <f t="shared" si="117"/>
        <v>1.4913616938342726</v>
      </c>
      <c r="V899" s="15">
        <v>20</v>
      </c>
      <c r="W899" s="12">
        <v>7.2523088999999956</v>
      </c>
      <c r="X899" s="12">
        <v>1</v>
      </c>
      <c r="Y899" s="13" t="s">
        <v>355</v>
      </c>
      <c r="Z899" s="9" t="s">
        <v>417</v>
      </c>
      <c r="AA899" s="10" t="s">
        <v>418</v>
      </c>
      <c r="AB899" s="9" t="s">
        <v>355</v>
      </c>
      <c r="AC899" s="15">
        <v>801</v>
      </c>
      <c r="AD899" s="14">
        <f t="shared" si="118"/>
        <v>2.9036325160842376</v>
      </c>
      <c r="AE899" s="10" t="s">
        <v>1136</v>
      </c>
      <c r="AF899" s="9" t="s">
        <v>420</v>
      </c>
      <c r="AG899" s="18">
        <v>35.219053000000002</v>
      </c>
      <c r="AH899" s="7">
        <f t="shared" si="119"/>
        <v>1</v>
      </c>
      <c r="AI899" s="7">
        <f t="shared" si="120"/>
        <v>1</v>
      </c>
      <c r="AJ899" s="7">
        <f t="shared" si="121"/>
        <v>0</v>
      </c>
      <c r="AK899" s="7">
        <f t="shared" si="122"/>
        <v>0</v>
      </c>
      <c r="AL899" s="7" t="s">
        <v>4157</v>
      </c>
      <c r="AM899" s="18">
        <f t="shared" si="123"/>
        <v>1.5467776741070192</v>
      </c>
      <c r="AN899" s="18">
        <v>35.219053000000002</v>
      </c>
      <c r="AO899" s="18">
        <v>-82.777857999999995</v>
      </c>
      <c r="AP899" s="9" t="s">
        <v>363</v>
      </c>
      <c r="AQ899" s="9" t="s">
        <v>355</v>
      </c>
      <c r="AR899" s="15">
        <v>1961</v>
      </c>
      <c r="AS899" s="19" t="s">
        <v>1110</v>
      </c>
      <c r="AT899" s="20" t="s">
        <v>1111</v>
      </c>
      <c r="AU899" s="34">
        <v>1943</v>
      </c>
      <c r="AV899" s="35">
        <f t="shared" si="124"/>
        <v>3.2884728005997825</v>
      </c>
      <c r="AW899" s="36" t="s">
        <v>366</v>
      </c>
      <c r="AX899" s="34">
        <v>768</v>
      </c>
      <c r="AY899" s="34">
        <v>1780</v>
      </c>
      <c r="AZ899" s="15">
        <v>78</v>
      </c>
      <c r="BA899" s="14">
        <f t="shared" si="125"/>
        <v>1.8920946026904804</v>
      </c>
      <c r="BB899" s="36" t="s">
        <v>367</v>
      </c>
      <c r="BC899" s="20">
        <v>2.3101240496199034E-3</v>
      </c>
      <c r="BD899" s="9">
        <v>28.1</v>
      </c>
      <c r="BE899" s="9" t="s">
        <v>459</v>
      </c>
      <c r="BF899" s="9">
        <v>1</v>
      </c>
    </row>
    <row r="900" spans="1:58">
      <c r="A900" s="9">
        <v>896</v>
      </c>
      <c r="B900" s="10" t="s">
        <v>348</v>
      </c>
      <c r="C900" s="10" t="s">
        <v>349</v>
      </c>
      <c r="D900" s="20" t="s">
        <v>817</v>
      </c>
      <c r="E900" s="20" t="s">
        <v>1169</v>
      </c>
      <c r="F900" s="10" t="s">
        <v>349</v>
      </c>
      <c r="G900" s="20" t="s">
        <v>817</v>
      </c>
      <c r="H900" s="20" t="s">
        <v>1169</v>
      </c>
      <c r="I900" s="10" t="s">
        <v>349</v>
      </c>
      <c r="J900" s="20" t="s">
        <v>817</v>
      </c>
      <c r="K900" s="20" t="s">
        <v>1169</v>
      </c>
      <c r="L900" s="9" t="s">
        <v>352</v>
      </c>
      <c r="M900" s="9">
        <v>11</v>
      </c>
      <c r="N900" s="9" t="s">
        <v>381</v>
      </c>
      <c r="O900" s="9" t="s">
        <v>354</v>
      </c>
      <c r="P900" s="12">
        <v>34.1</v>
      </c>
      <c r="Q900" s="12" t="s">
        <v>355</v>
      </c>
      <c r="R900" s="9" t="s">
        <v>356</v>
      </c>
      <c r="S900" s="13" t="s">
        <v>1130</v>
      </c>
      <c r="T900" s="13" t="s">
        <v>1130</v>
      </c>
      <c r="U900" s="14">
        <f t="shared" si="117"/>
        <v>1.4913616938342726</v>
      </c>
      <c r="V900" s="15">
        <v>15</v>
      </c>
      <c r="W900" s="12">
        <v>10.8092541</v>
      </c>
      <c r="X900" s="12">
        <v>1</v>
      </c>
      <c r="Y900" s="13" t="s">
        <v>358</v>
      </c>
      <c r="Z900" s="9" t="s">
        <v>417</v>
      </c>
      <c r="AA900" s="10" t="s">
        <v>418</v>
      </c>
      <c r="AB900" s="9" t="s">
        <v>355</v>
      </c>
      <c r="AC900" s="15">
        <v>1299</v>
      </c>
      <c r="AD900" s="14">
        <f t="shared" si="118"/>
        <v>3.1136091510730277</v>
      </c>
      <c r="AE900" s="10" t="s">
        <v>1172</v>
      </c>
      <c r="AF900" s="9" t="s">
        <v>420</v>
      </c>
      <c r="AG900" s="18">
        <v>36.090029000000001</v>
      </c>
      <c r="AH900" s="7">
        <f t="shared" si="119"/>
        <v>1</v>
      </c>
      <c r="AI900" s="7">
        <f t="shared" si="120"/>
        <v>1</v>
      </c>
      <c r="AJ900" s="7">
        <f t="shared" si="121"/>
        <v>0</v>
      </c>
      <c r="AK900" s="7">
        <f t="shared" si="122"/>
        <v>0</v>
      </c>
      <c r="AL900" s="7" t="s">
        <v>4157</v>
      </c>
      <c r="AM900" s="18">
        <f t="shared" si="123"/>
        <v>1.5573872310352599</v>
      </c>
      <c r="AN900" s="18">
        <v>36.090029000000001</v>
      </c>
      <c r="AO900" s="18">
        <v>-81.835611999999998</v>
      </c>
      <c r="AP900" s="9" t="s">
        <v>363</v>
      </c>
      <c r="AQ900" s="9" t="s">
        <v>355</v>
      </c>
      <c r="AR900" s="15">
        <v>1998</v>
      </c>
      <c r="AS900" s="19" t="s">
        <v>1165</v>
      </c>
      <c r="AT900" s="20" t="s">
        <v>1166</v>
      </c>
      <c r="AU900" s="34">
        <v>1943</v>
      </c>
      <c r="AV900" s="35">
        <f t="shared" si="124"/>
        <v>3.2884728005997825</v>
      </c>
      <c r="AW900" s="36" t="s">
        <v>366</v>
      </c>
      <c r="AX900" s="34">
        <v>768</v>
      </c>
      <c r="AY900" s="34">
        <v>1780</v>
      </c>
      <c r="AZ900" s="15">
        <v>78</v>
      </c>
      <c r="BA900" s="14">
        <f t="shared" si="125"/>
        <v>1.8920946026904804</v>
      </c>
      <c r="BB900" s="36" t="s">
        <v>367</v>
      </c>
      <c r="BC900" s="20">
        <v>1.2631052420967981E-2</v>
      </c>
      <c r="BD900" s="9">
        <v>23.900000000000002</v>
      </c>
      <c r="BE900" s="9" t="s">
        <v>459</v>
      </c>
      <c r="BF900" s="9">
        <v>1</v>
      </c>
    </row>
    <row r="901" spans="1:58">
      <c r="A901" s="9">
        <v>145</v>
      </c>
      <c r="B901" s="10" t="s">
        <v>348</v>
      </c>
      <c r="C901" s="10" t="s">
        <v>349</v>
      </c>
      <c r="D901" s="20" t="s">
        <v>817</v>
      </c>
      <c r="E901" s="20" t="s">
        <v>1173</v>
      </c>
      <c r="F901" s="10" t="s">
        <v>349</v>
      </c>
      <c r="G901" s="20" t="s">
        <v>817</v>
      </c>
      <c r="H901" s="20" t="s">
        <v>1173</v>
      </c>
      <c r="I901" s="10" t="s">
        <v>349</v>
      </c>
      <c r="J901" s="20" t="s">
        <v>817</v>
      </c>
      <c r="K901" s="20" t="s">
        <v>1173</v>
      </c>
      <c r="L901" s="9" t="s">
        <v>352</v>
      </c>
      <c r="M901" s="9">
        <v>4</v>
      </c>
      <c r="N901" s="9" t="s">
        <v>353</v>
      </c>
      <c r="O901" s="9" t="s">
        <v>354</v>
      </c>
      <c r="P901" s="12">
        <v>35.03519</v>
      </c>
      <c r="Q901" s="12" t="s">
        <v>355</v>
      </c>
      <c r="R901" s="9" t="s">
        <v>356</v>
      </c>
      <c r="S901" s="13">
        <v>30</v>
      </c>
      <c r="T901" s="13">
        <v>30</v>
      </c>
      <c r="U901" s="14">
        <f t="shared" ref="U901:U926" si="126">LOG(T901+1)</f>
        <v>1.4913616938342726</v>
      </c>
      <c r="V901" s="15">
        <v>20</v>
      </c>
      <c r="W901" s="12">
        <v>6.7444440999999991</v>
      </c>
      <c r="X901" s="12">
        <v>1</v>
      </c>
      <c r="Y901" s="13" t="s">
        <v>355</v>
      </c>
      <c r="Z901" s="9" t="s">
        <v>417</v>
      </c>
      <c r="AA901" s="10" t="s">
        <v>418</v>
      </c>
      <c r="AB901" s="9" t="s">
        <v>355</v>
      </c>
      <c r="AC901" s="15">
        <v>594</v>
      </c>
      <c r="AD901" s="14">
        <f t="shared" ref="AD901:AD967" si="127">LOG(AC901)</f>
        <v>2.7737864449811935</v>
      </c>
      <c r="AE901" s="10" t="s">
        <v>1174</v>
      </c>
      <c r="AF901" s="9" t="s">
        <v>420</v>
      </c>
      <c r="AG901" s="18">
        <v>37.246712000000002</v>
      </c>
      <c r="AH901" s="7">
        <f t="shared" ref="AH901:AH926" si="128">IF(AG901&gt;15,1,0)</f>
        <v>1</v>
      </c>
      <c r="AI901" s="7">
        <f t="shared" ref="AI901:AI926" si="129">IF(AG901&gt;30,1,0)</f>
        <v>1</v>
      </c>
      <c r="AJ901" s="7">
        <f t="shared" ref="AJ901:AJ926" si="130">IF(AG901&gt;45,1,0)</f>
        <v>0</v>
      </c>
      <c r="AK901" s="7">
        <f t="shared" ref="AK901:AK926" si="131">IF(AG901&gt;60,1,0)</f>
        <v>0</v>
      </c>
      <c r="AL901" s="7" t="s">
        <v>4157</v>
      </c>
      <c r="AM901" s="18">
        <f t="shared" ref="AM901:AM967" si="132">LOG(AG901)</f>
        <v>1.5710879408888183</v>
      </c>
      <c r="AN901" s="18">
        <v>37.246712000000002</v>
      </c>
      <c r="AO901" s="18">
        <v>-80.120525999999998</v>
      </c>
      <c r="AP901" s="9" t="s">
        <v>363</v>
      </c>
      <c r="AQ901" s="9" t="s">
        <v>355</v>
      </c>
      <c r="AR901" s="15">
        <v>1961</v>
      </c>
      <c r="AS901" s="19" t="s">
        <v>1110</v>
      </c>
      <c r="AT901" s="20" t="s">
        <v>1111</v>
      </c>
      <c r="AU901" s="34">
        <v>114369</v>
      </c>
      <c r="AV901" s="35">
        <f t="shared" ref="AV901:AV967" si="133">LOG(AU901)</f>
        <v>5.0583083238155604</v>
      </c>
      <c r="AW901" s="36" t="s">
        <v>366</v>
      </c>
      <c r="AX901" s="34" t="s">
        <v>355</v>
      </c>
      <c r="AY901" s="34" t="s">
        <v>355</v>
      </c>
      <c r="AZ901" s="15">
        <v>154</v>
      </c>
      <c r="BA901" s="14">
        <f t="shared" ref="BA901:BA967" si="134">LOG(AZ901)</f>
        <v>2.1875207208364631</v>
      </c>
      <c r="BB901" s="36" t="s">
        <v>367</v>
      </c>
      <c r="BC901" s="20">
        <v>1.2297318927571417E-2</v>
      </c>
      <c r="BD901" s="9">
        <v>28.900000000000002</v>
      </c>
      <c r="BE901" s="9" t="s">
        <v>368</v>
      </c>
      <c r="BF901" s="9">
        <v>0</v>
      </c>
    </row>
    <row r="902" spans="1:58">
      <c r="A902" s="9">
        <v>153</v>
      </c>
      <c r="B902" s="10" t="s">
        <v>348</v>
      </c>
      <c r="C902" s="10" t="s">
        <v>349</v>
      </c>
      <c r="D902" s="20" t="s">
        <v>1175</v>
      </c>
      <c r="E902" s="20" t="s">
        <v>620</v>
      </c>
      <c r="F902" s="10" t="s">
        <v>349</v>
      </c>
      <c r="G902" s="20" t="s">
        <v>1175</v>
      </c>
      <c r="H902" s="20" t="s">
        <v>620</v>
      </c>
      <c r="I902" s="10" t="s">
        <v>349</v>
      </c>
      <c r="J902" s="20" t="s">
        <v>1175</v>
      </c>
      <c r="K902" s="20" t="s">
        <v>620</v>
      </c>
      <c r="L902" s="9" t="s">
        <v>352</v>
      </c>
      <c r="M902" s="9">
        <v>3</v>
      </c>
      <c r="N902" s="9" t="s">
        <v>353</v>
      </c>
      <c r="O902" s="9" t="s">
        <v>354</v>
      </c>
      <c r="P902" s="12">
        <v>35.80059</v>
      </c>
      <c r="Q902" s="12" t="s">
        <v>355</v>
      </c>
      <c r="R902" s="9" t="s">
        <v>356</v>
      </c>
      <c r="S902" s="13">
        <v>30</v>
      </c>
      <c r="T902" s="13">
        <v>30</v>
      </c>
      <c r="U902" s="14">
        <f t="shared" si="126"/>
        <v>1.4913616938342726</v>
      </c>
      <c r="V902" s="15">
        <v>20</v>
      </c>
      <c r="W902" s="12">
        <v>5.1472572999999997</v>
      </c>
      <c r="X902" s="12">
        <v>1</v>
      </c>
      <c r="Y902" s="13" t="s">
        <v>355</v>
      </c>
      <c r="Z902" s="9" t="s">
        <v>417</v>
      </c>
      <c r="AA902" s="10" t="s">
        <v>418</v>
      </c>
      <c r="AB902" s="9" t="s">
        <v>355</v>
      </c>
      <c r="AC902" s="15">
        <v>111</v>
      </c>
      <c r="AD902" s="14">
        <f t="shared" si="127"/>
        <v>2.0453229787866576</v>
      </c>
      <c r="AE902" s="10" t="s">
        <v>1114</v>
      </c>
      <c r="AF902" s="9" t="s">
        <v>420</v>
      </c>
      <c r="AG902" s="18">
        <v>35.994033000000002</v>
      </c>
      <c r="AH902" s="7">
        <f t="shared" si="128"/>
        <v>1</v>
      </c>
      <c r="AI902" s="7">
        <f t="shared" si="129"/>
        <v>1</v>
      </c>
      <c r="AJ902" s="7">
        <f t="shared" si="130"/>
        <v>0</v>
      </c>
      <c r="AK902" s="7">
        <f t="shared" si="131"/>
        <v>0</v>
      </c>
      <c r="AL902" s="7" t="s">
        <v>4157</v>
      </c>
      <c r="AM902" s="18">
        <f t="shared" si="132"/>
        <v>1.5562305104905527</v>
      </c>
      <c r="AN902" s="18">
        <v>35.994033000000002</v>
      </c>
      <c r="AO902" s="18">
        <v>-78.898618999999997</v>
      </c>
      <c r="AP902" s="9" t="s">
        <v>363</v>
      </c>
      <c r="AQ902" s="9" t="s">
        <v>355</v>
      </c>
      <c r="AR902" s="15">
        <v>1961</v>
      </c>
      <c r="AS902" s="19" t="s">
        <v>1110</v>
      </c>
      <c r="AT902" s="20" t="s">
        <v>1111</v>
      </c>
      <c r="AU902" s="34">
        <v>759147</v>
      </c>
      <c r="AV902" s="35">
        <f t="shared" si="133"/>
        <v>5.8803258801212754</v>
      </c>
      <c r="AW902" s="36" t="s">
        <v>366</v>
      </c>
      <c r="AX902" s="34" t="s">
        <v>355</v>
      </c>
      <c r="AY902" s="34" t="s">
        <v>355</v>
      </c>
      <c r="AZ902" s="15">
        <v>115</v>
      </c>
      <c r="BA902" s="14">
        <f t="shared" si="134"/>
        <v>2.0606978403536118</v>
      </c>
      <c r="BB902" s="36" t="s">
        <v>367</v>
      </c>
      <c r="BC902" s="20">
        <v>2.4533813525410383E-2</v>
      </c>
      <c r="BD902" s="9">
        <v>31.700000000000003</v>
      </c>
      <c r="BE902" s="9" t="s">
        <v>368</v>
      </c>
      <c r="BF902" s="9">
        <v>0</v>
      </c>
    </row>
    <row r="903" spans="1:58">
      <c r="A903" s="9">
        <v>133</v>
      </c>
      <c r="B903" s="10" t="s">
        <v>348</v>
      </c>
      <c r="C903" s="10" t="s">
        <v>622</v>
      </c>
      <c r="D903" s="20" t="s">
        <v>1176</v>
      </c>
      <c r="E903" s="20" t="s">
        <v>646</v>
      </c>
      <c r="F903" s="10" t="s">
        <v>622</v>
      </c>
      <c r="G903" s="20" t="s">
        <v>1176</v>
      </c>
      <c r="H903" s="20" t="s">
        <v>646</v>
      </c>
      <c r="I903" s="10" t="s">
        <v>622</v>
      </c>
      <c r="J903" s="20" t="s">
        <v>1176</v>
      </c>
      <c r="K903" s="20" t="s">
        <v>646</v>
      </c>
      <c r="L903" s="9" t="s">
        <v>352</v>
      </c>
      <c r="M903" s="9">
        <v>12</v>
      </c>
      <c r="N903" s="9" t="s">
        <v>381</v>
      </c>
      <c r="O903" s="9" t="s">
        <v>354</v>
      </c>
      <c r="P903" s="12">
        <v>36.10521</v>
      </c>
      <c r="Q903" s="12" t="s">
        <v>355</v>
      </c>
      <c r="R903" s="9" t="s">
        <v>356</v>
      </c>
      <c r="S903" s="13">
        <v>30</v>
      </c>
      <c r="T903" s="13">
        <v>30</v>
      </c>
      <c r="U903" s="14">
        <f t="shared" si="126"/>
        <v>1.4913616938342726</v>
      </c>
      <c r="V903" s="15">
        <v>20</v>
      </c>
      <c r="W903" s="12">
        <v>12.286503400000001</v>
      </c>
      <c r="X903" s="12">
        <v>1</v>
      </c>
      <c r="Y903" s="13" t="s">
        <v>355</v>
      </c>
      <c r="Z903" s="9" t="s">
        <v>417</v>
      </c>
      <c r="AA903" s="10" t="s">
        <v>418</v>
      </c>
      <c r="AB903" s="9" t="s">
        <v>355</v>
      </c>
      <c r="AC903" s="15">
        <v>66</v>
      </c>
      <c r="AD903" s="14">
        <f t="shared" si="127"/>
        <v>1.8195439355418688</v>
      </c>
      <c r="AE903" s="10" t="s">
        <v>1177</v>
      </c>
      <c r="AF903" s="9" t="s">
        <v>362</v>
      </c>
      <c r="AG903" s="18">
        <v>47.606209</v>
      </c>
      <c r="AH903" s="7">
        <f t="shared" si="128"/>
        <v>1</v>
      </c>
      <c r="AI903" s="7">
        <f t="shared" si="129"/>
        <v>1</v>
      </c>
      <c r="AJ903" s="7">
        <f t="shared" si="130"/>
        <v>1</v>
      </c>
      <c r="AK903" s="7">
        <f t="shared" si="131"/>
        <v>0</v>
      </c>
      <c r="AL903" s="7" t="s">
        <v>4158</v>
      </c>
      <c r="AM903" s="18">
        <f t="shared" si="132"/>
        <v>1.6776635989092299</v>
      </c>
      <c r="AN903" s="18">
        <v>47.606209</v>
      </c>
      <c r="AO903" s="18">
        <v>-122.332071</v>
      </c>
      <c r="AP903" s="9" t="s">
        <v>363</v>
      </c>
      <c r="AQ903" s="9" t="s">
        <v>355</v>
      </c>
      <c r="AR903" s="15">
        <v>1961</v>
      </c>
      <c r="AS903" s="19" t="s">
        <v>1110</v>
      </c>
      <c r="AT903" s="20" t="s">
        <v>1111</v>
      </c>
      <c r="AU903" s="34">
        <v>577700</v>
      </c>
      <c r="AV903" s="35">
        <f t="shared" si="133"/>
        <v>5.761702367541413</v>
      </c>
      <c r="AW903" s="36" t="s">
        <v>366</v>
      </c>
      <c r="AX903" s="34">
        <v>0</v>
      </c>
      <c r="AY903" s="34">
        <v>2800</v>
      </c>
      <c r="AZ903" s="15">
        <v>154</v>
      </c>
      <c r="BA903" s="14">
        <f t="shared" si="134"/>
        <v>2.1875207208364631</v>
      </c>
      <c r="BB903" s="36" t="s">
        <v>367</v>
      </c>
      <c r="BC903" s="20">
        <v>8.7919167667069621E-3</v>
      </c>
      <c r="BD903" s="9">
        <v>23.6</v>
      </c>
      <c r="BE903" s="9" t="s">
        <v>368</v>
      </c>
      <c r="BF903" s="9">
        <v>0</v>
      </c>
    </row>
    <row r="904" spans="1:58">
      <c r="A904" s="9">
        <v>911</v>
      </c>
      <c r="B904" s="10" t="s">
        <v>348</v>
      </c>
      <c r="C904" s="10" t="s">
        <v>622</v>
      </c>
      <c r="D904" s="20" t="s">
        <v>1178</v>
      </c>
      <c r="E904" s="20" t="s">
        <v>1179</v>
      </c>
      <c r="F904" s="10" t="s">
        <v>622</v>
      </c>
      <c r="G904" s="20" t="s">
        <v>1178</v>
      </c>
      <c r="H904" s="20" t="s">
        <v>1179</v>
      </c>
      <c r="I904" s="10" t="s">
        <v>622</v>
      </c>
      <c r="J904" s="20" t="s">
        <v>1178</v>
      </c>
      <c r="K904" s="20" t="s">
        <v>1179</v>
      </c>
      <c r="L904" s="9" t="s">
        <v>352</v>
      </c>
      <c r="M904" s="9">
        <v>6</v>
      </c>
      <c r="N904" s="9" t="s">
        <v>353</v>
      </c>
      <c r="O904" s="9" t="s">
        <v>354</v>
      </c>
      <c r="P904" s="12">
        <v>35.4</v>
      </c>
      <c r="Q904" s="12" t="s">
        <v>355</v>
      </c>
      <c r="R904" s="9" t="s">
        <v>356</v>
      </c>
      <c r="S904" s="13" t="s">
        <v>1130</v>
      </c>
      <c r="T904" s="13" t="s">
        <v>1130</v>
      </c>
      <c r="U904" s="14">
        <f t="shared" si="126"/>
        <v>1.4913616938342726</v>
      </c>
      <c r="V904" s="15">
        <v>10</v>
      </c>
      <c r="W904" s="12">
        <v>13.396617699999997</v>
      </c>
      <c r="X904" s="12" t="s">
        <v>355</v>
      </c>
      <c r="Y904" s="13" t="s">
        <v>355</v>
      </c>
      <c r="Z904" s="9" t="s">
        <v>417</v>
      </c>
      <c r="AA904" s="10" t="s">
        <v>418</v>
      </c>
      <c r="AB904" s="9" t="s">
        <v>355</v>
      </c>
      <c r="AC904" s="15">
        <v>2000</v>
      </c>
      <c r="AD904" s="14">
        <f t="shared" si="127"/>
        <v>3.3010299956639813</v>
      </c>
      <c r="AE904" s="10" t="s">
        <v>1058</v>
      </c>
      <c r="AF904" s="9" t="s">
        <v>420</v>
      </c>
      <c r="AG904" s="18">
        <v>27.166667</v>
      </c>
      <c r="AH904" s="7">
        <f t="shared" si="128"/>
        <v>1</v>
      </c>
      <c r="AI904" s="7">
        <f t="shared" si="129"/>
        <v>0</v>
      </c>
      <c r="AJ904" s="7">
        <f t="shared" si="130"/>
        <v>0</v>
      </c>
      <c r="AK904" s="7">
        <f t="shared" si="131"/>
        <v>0</v>
      </c>
      <c r="AL904" s="7" t="s">
        <v>4159</v>
      </c>
      <c r="AM904" s="18">
        <f t="shared" si="132"/>
        <v>1.4340363593490808</v>
      </c>
      <c r="AN904" s="18">
        <v>27.166667</v>
      </c>
      <c r="AO904" s="18">
        <v>104.033333</v>
      </c>
      <c r="AP904" s="9" t="s">
        <v>363</v>
      </c>
      <c r="AQ904" s="9" t="s">
        <v>355</v>
      </c>
      <c r="AR904" s="15">
        <v>1987</v>
      </c>
      <c r="AS904" s="19" t="s">
        <v>1131</v>
      </c>
      <c r="AT904" s="20" t="s">
        <v>1132</v>
      </c>
      <c r="AU904" s="34">
        <v>34329</v>
      </c>
      <c r="AV904" s="35">
        <f t="shared" si="133"/>
        <v>4.5356611526594435</v>
      </c>
      <c r="AW904" s="36" t="s">
        <v>366</v>
      </c>
      <c r="AX904" s="34">
        <v>1500</v>
      </c>
      <c r="AY904" s="34">
        <v>2400</v>
      </c>
      <c r="AZ904" s="15">
        <v>154</v>
      </c>
      <c r="BA904" s="14">
        <f t="shared" si="134"/>
        <v>2.1875207208364631</v>
      </c>
      <c r="BB904" s="36" t="s">
        <v>367</v>
      </c>
      <c r="BC904" s="20">
        <v>8.9687875150062622E-3</v>
      </c>
      <c r="BD904" s="9">
        <v>23.3</v>
      </c>
      <c r="BE904" s="9" t="s">
        <v>459</v>
      </c>
      <c r="BF904" s="9">
        <v>1</v>
      </c>
    </row>
    <row r="905" spans="1:58">
      <c r="A905" s="9">
        <v>719</v>
      </c>
      <c r="B905" s="10" t="s">
        <v>76</v>
      </c>
      <c r="C905" s="10" t="s">
        <v>721</v>
      </c>
      <c r="D905" s="20" t="s">
        <v>752</v>
      </c>
      <c r="E905" s="20" t="s">
        <v>755</v>
      </c>
      <c r="F905" s="10" t="s">
        <v>721</v>
      </c>
      <c r="G905" s="20" t="s">
        <v>752</v>
      </c>
      <c r="H905" s="20" t="s">
        <v>755</v>
      </c>
      <c r="I905" s="10" t="s">
        <v>101</v>
      </c>
      <c r="J905" s="20" t="s">
        <v>752</v>
      </c>
      <c r="K905" s="20" t="s">
        <v>755</v>
      </c>
      <c r="L905" s="9" t="s">
        <v>352</v>
      </c>
      <c r="M905" s="9">
        <v>30</v>
      </c>
      <c r="N905" s="9" t="s">
        <v>381</v>
      </c>
      <c r="O905" s="9" t="s">
        <v>354</v>
      </c>
      <c r="P905" s="12">
        <v>37.75</v>
      </c>
      <c r="Q905" s="12" t="s">
        <v>355</v>
      </c>
      <c r="R905" s="9" t="s">
        <v>356</v>
      </c>
      <c r="S905" s="13" t="s">
        <v>1180</v>
      </c>
      <c r="T905" s="13" t="s">
        <v>1180</v>
      </c>
      <c r="U905" s="14">
        <f t="shared" si="126"/>
        <v>1.6627578316815741</v>
      </c>
      <c r="V905" s="15">
        <v>15</v>
      </c>
      <c r="W905" s="12">
        <v>12.265423499999997</v>
      </c>
      <c r="X905" s="12">
        <v>1</v>
      </c>
      <c r="Y905" s="13" t="s">
        <v>384</v>
      </c>
      <c r="Z905" s="9" t="s">
        <v>417</v>
      </c>
      <c r="AA905" s="10" t="s">
        <v>418</v>
      </c>
      <c r="AB905" s="9" t="s">
        <v>355</v>
      </c>
      <c r="AC905" s="15">
        <v>29</v>
      </c>
      <c r="AD905" s="14">
        <f t="shared" si="127"/>
        <v>1.4623979978989561</v>
      </c>
      <c r="AE905" s="10" t="s">
        <v>1181</v>
      </c>
      <c r="AF905" s="9" t="s">
        <v>420</v>
      </c>
      <c r="AG905" s="18">
        <v>34.012275000000002</v>
      </c>
      <c r="AH905" s="7">
        <f t="shared" si="128"/>
        <v>1</v>
      </c>
      <c r="AI905" s="7">
        <f t="shared" si="129"/>
        <v>1</v>
      </c>
      <c r="AJ905" s="7">
        <f t="shared" si="130"/>
        <v>0</v>
      </c>
      <c r="AK905" s="7">
        <f t="shared" si="131"/>
        <v>0</v>
      </c>
      <c r="AL905" s="7" t="s">
        <v>4157</v>
      </c>
      <c r="AM905" s="18">
        <f t="shared" si="132"/>
        <v>1.5316356818269428</v>
      </c>
      <c r="AN905" s="18">
        <v>-34.012275000000002</v>
      </c>
      <c r="AO905" s="18">
        <v>151.09433999999999</v>
      </c>
      <c r="AP905" s="9" t="s">
        <v>363</v>
      </c>
      <c r="AQ905" s="9" t="s">
        <v>355</v>
      </c>
      <c r="AR905" s="15">
        <v>1980</v>
      </c>
      <c r="AS905" s="19" t="s">
        <v>1182</v>
      </c>
      <c r="AT905" s="20" t="s">
        <v>1183</v>
      </c>
      <c r="AU905" s="40">
        <v>663231</v>
      </c>
      <c r="AV905" s="35">
        <f t="shared" si="133"/>
        <v>5.8216648173225174</v>
      </c>
      <c r="AW905" s="37" t="s">
        <v>366</v>
      </c>
      <c r="AX905" s="34" t="s">
        <v>355</v>
      </c>
      <c r="AY905" s="40" t="s">
        <v>355</v>
      </c>
      <c r="AZ905" s="15">
        <v>55</v>
      </c>
      <c r="BA905" s="14">
        <f t="shared" si="134"/>
        <v>1.7403626894942439</v>
      </c>
      <c r="BB905" s="37" t="s">
        <v>388</v>
      </c>
      <c r="BC905" s="20">
        <v>1.1282112845137693E-2</v>
      </c>
      <c r="BD905" s="9">
        <v>26.5</v>
      </c>
      <c r="BE905" s="9" t="s">
        <v>368</v>
      </c>
      <c r="BF905" s="9">
        <v>0</v>
      </c>
    </row>
    <row r="906" spans="1:58">
      <c r="A906" s="9">
        <v>720</v>
      </c>
      <c r="B906" s="10" t="s">
        <v>76</v>
      </c>
      <c r="C906" s="10" t="s">
        <v>721</v>
      </c>
      <c r="D906" s="20" t="s">
        <v>752</v>
      </c>
      <c r="E906" s="20" t="s">
        <v>755</v>
      </c>
      <c r="F906" s="10" t="s">
        <v>721</v>
      </c>
      <c r="G906" s="20" t="s">
        <v>752</v>
      </c>
      <c r="H906" s="20" t="s">
        <v>755</v>
      </c>
      <c r="I906" s="10" t="s">
        <v>101</v>
      </c>
      <c r="J906" s="20" t="s">
        <v>752</v>
      </c>
      <c r="K906" s="20" t="s">
        <v>755</v>
      </c>
      <c r="L906" s="9" t="s">
        <v>352</v>
      </c>
      <c r="M906" s="9">
        <v>30</v>
      </c>
      <c r="N906" s="9" t="s">
        <v>381</v>
      </c>
      <c r="O906" s="9" t="s">
        <v>354</v>
      </c>
      <c r="P906" s="12">
        <v>39.299999999999997</v>
      </c>
      <c r="Q906" s="12" t="s">
        <v>355</v>
      </c>
      <c r="R906" s="9" t="s">
        <v>356</v>
      </c>
      <c r="S906" s="13" t="s">
        <v>1180</v>
      </c>
      <c r="T906" s="13" t="s">
        <v>1180</v>
      </c>
      <c r="U906" s="14">
        <f t="shared" si="126"/>
        <v>1.6627578316815741</v>
      </c>
      <c r="V906" s="15">
        <v>25</v>
      </c>
      <c r="W906" s="12">
        <v>12.2532335</v>
      </c>
      <c r="X906" s="12">
        <v>1</v>
      </c>
      <c r="Y906" s="13" t="s">
        <v>384</v>
      </c>
      <c r="Z906" s="9" t="s">
        <v>417</v>
      </c>
      <c r="AA906" s="10" t="s">
        <v>418</v>
      </c>
      <c r="AB906" s="9" t="s">
        <v>355</v>
      </c>
      <c r="AC906" s="15">
        <v>29</v>
      </c>
      <c r="AD906" s="14">
        <f t="shared" si="127"/>
        <v>1.4623979978989561</v>
      </c>
      <c r="AE906" s="10" t="s">
        <v>1181</v>
      </c>
      <c r="AF906" s="9" t="s">
        <v>420</v>
      </c>
      <c r="AG906" s="18">
        <v>34.012275000000002</v>
      </c>
      <c r="AH906" s="7">
        <f t="shared" si="128"/>
        <v>1</v>
      </c>
      <c r="AI906" s="7">
        <f t="shared" si="129"/>
        <v>1</v>
      </c>
      <c r="AJ906" s="7">
        <f t="shared" si="130"/>
        <v>0</v>
      </c>
      <c r="AK906" s="7">
        <f t="shared" si="131"/>
        <v>0</v>
      </c>
      <c r="AL906" s="7" t="s">
        <v>4157</v>
      </c>
      <c r="AM906" s="18">
        <f t="shared" si="132"/>
        <v>1.5316356818269428</v>
      </c>
      <c r="AN906" s="18">
        <v>-34.012275000000002</v>
      </c>
      <c r="AO906" s="18">
        <v>151.09433999999999</v>
      </c>
      <c r="AP906" s="9" t="s">
        <v>363</v>
      </c>
      <c r="AQ906" s="9" t="s">
        <v>355</v>
      </c>
      <c r="AR906" s="15">
        <v>1980</v>
      </c>
      <c r="AS906" s="19" t="s">
        <v>1182</v>
      </c>
      <c r="AT906" s="20" t="s">
        <v>1183</v>
      </c>
      <c r="AU906" s="40">
        <v>663231</v>
      </c>
      <c r="AV906" s="35">
        <f t="shared" si="133"/>
        <v>5.8216648173225174</v>
      </c>
      <c r="AW906" s="37" t="s">
        <v>366</v>
      </c>
      <c r="AX906" s="34" t="s">
        <v>355</v>
      </c>
      <c r="AY906" s="40" t="s">
        <v>355</v>
      </c>
      <c r="AZ906" s="15">
        <v>55</v>
      </c>
      <c r="BA906" s="14">
        <f t="shared" si="134"/>
        <v>1.7403626894942439</v>
      </c>
      <c r="BB906" s="37" t="s">
        <v>388</v>
      </c>
      <c r="BC906" s="20">
        <v>1.1282112845137693E-2</v>
      </c>
      <c r="BD906" s="9">
        <v>26.5</v>
      </c>
      <c r="BE906" s="9" t="s">
        <v>368</v>
      </c>
      <c r="BF906" s="9">
        <v>0</v>
      </c>
    </row>
    <row r="907" spans="1:58">
      <c r="A907" s="9">
        <v>623</v>
      </c>
      <c r="B907" s="10" t="s">
        <v>348</v>
      </c>
      <c r="C907" s="10" t="s">
        <v>622</v>
      </c>
      <c r="D907" s="20" t="s">
        <v>661</v>
      </c>
      <c r="E907" s="20" t="s">
        <v>1184</v>
      </c>
      <c r="F907" s="10" t="s">
        <v>622</v>
      </c>
      <c r="G907" s="20" t="s">
        <v>661</v>
      </c>
      <c r="H907" s="20" t="s">
        <v>1184</v>
      </c>
      <c r="I907" s="10" t="s">
        <v>622</v>
      </c>
      <c r="J907" s="20" t="s">
        <v>661</v>
      </c>
      <c r="K907" s="20" t="s">
        <v>1184</v>
      </c>
      <c r="L907" s="9" t="s">
        <v>352</v>
      </c>
      <c r="M907" s="9">
        <v>8</v>
      </c>
      <c r="N907" s="9" t="s">
        <v>353</v>
      </c>
      <c r="O907" s="9" t="s">
        <v>354</v>
      </c>
      <c r="P907" s="12">
        <v>36.799999999999997</v>
      </c>
      <c r="Q907" s="12" t="s">
        <v>355</v>
      </c>
      <c r="R907" s="9" t="s">
        <v>356</v>
      </c>
      <c r="S907" s="13">
        <v>56</v>
      </c>
      <c r="T907" s="13">
        <v>56</v>
      </c>
      <c r="U907" s="14">
        <f t="shared" si="126"/>
        <v>1.7558748556724915</v>
      </c>
      <c r="V907" s="15">
        <v>15</v>
      </c>
      <c r="W907" s="12">
        <v>10.893532999999998</v>
      </c>
      <c r="X907" s="12">
        <v>0.5</v>
      </c>
      <c r="Y907" s="13" t="s">
        <v>358</v>
      </c>
      <c r="Z907" s="9" t="s">
        <v>417</v>
      </c>
      <c r="AA907" s="10" t="s">
        <v>418</v>
      </c>
      <c r="AB907" s="9" t="s">
        <v>355</v>
      </c>
      <c r="AC907" s="15">
        <v>105</v>
      </c>
      <c r="AD907" s="14">
        <f t="shared" si="127"/>
        <v>2.0211892990699383</v>
      </c>
      <c r="AE907" s="10" t="s">
        <v>1185</v>
      </c>
      <c r="AF907" s="9" t="s">
        <v>362</v>
      </c>
      <c r="AG907" s="18">
        <v>46.891401999999999</v>
      </c>
      <c r="AH907" s="7">
        <f t="shared" si="128"/>
        <v>1</v>
      </c>
      <c r="AI907" s="7">
        <f t="shared" si="129"/>
        <v>1</v>
      </c>
      <c r="AJ907" s="7">
        <f t="shared" si="130"/>
        <v>1</v>
      </c>
      <c r="AK907" s="7">
        <f t="shared" si="131"/>
        <v>0</v>
      </c>
      <c r="AL907" s="7" t="s">
        <v>4158</v>
      </c>
      <c r="AM907" s="18">
        <f t="shared" si="132"/>
        <v>1.6710932178478515</v>
      </c>
      <c r="AN907" s="18">
        <v>46.891401999999999</v>
      </c>
      <c r="AO907" s="18">
        <v>19.443249000000002</v>
      </c>
      <c r="AP907" s="9" t="s">
        <v>363</v>
      </c>
      <c r="AQ907" s="9" t="s">
        <v>355</v>
      </c>
      <c r="AR907" s="15">
        <v>2007</v>
      </c>
      <c r="AS907" s="19" t="s">
        <v>1186</v>
      </c>
      <c r="AT907" s="10" t="s">
        <v>1187</v>
      </c>
      <c r="AU907" s="34">
        <v>266539</v>
      </c>
      <c r="AV907" s="35">
        <f t="shared" si="133"/>
        <v>5.4257607640026926</v>
      </c>
      <c r="AW907" s="36" t="s">
        <v>366</v>
      </c>
      <c r="AX907" s="34">
        <v>0</v>
      </c>
      <c r="AY907" s="34">
        <v>600</v>
      </c>
      <c r="AZ907" s="15">
        <v>154</v>
      </c>
      <c r="BA907" s="14">
        <f t="shared" si="134"/>
        <v>2.1875207208364631</v>
      </c>
      <c r="BB907" s="36" t="s">
        <v>367</v>
      </c>
      <c r="BC907" s="20">
        <v>3.5348939575830012E-2</v>
      </c>
      <c r="BD907" s="9">
        <v>27</v>
      </c>
      <c r="BE907" s="9" t="s">
        <v>459</v>
      </c>
      <c r="BF907" s="9">
        <v>1</v>
      </c>
    </row>
    <row r="908" spans="1:58">
      <c r="A908" s="9">
        <v>624</v>
      </c>
      <c r="B908" s="10" t="s">
        <v>348</v>
      </c>
      <c r="C908" s="10" t="s">
        <v>622</v>
      </c>
      <c r="D908" s="20" t="s">
        <v>661</v>
      </c>
      <c r="E908" s="20" t="s">
        <v>1184</v>
      </c>
      <c r="F908" s="10" t="s">
        <v>622</v>
      </c>
      <c r="G908" s="20" t="s">
        <v>661</v>
      </c>
      <c r="H908" s="20" t="s">
        <v>1184</v>
      </c>
      <c r="I908" s="10" t="s">
        <v>622</v>
      </c>
      <c r="J908" s="20" t="s">
        <v>661</v>
      </c>
      <c r="K908" s="20" t="s">
        <v>1184</v>
      </c>
      <c r="L908" s="9" t="s">
        <v>352</v>
      </c>
      <c r="M908" s="9">
        <v>8</v>
      </c>
      <c r="N908" s="9" t="s">
        <v>353</v>
      </c>
      <c r="O908" s="9" t="s">
        <v>354</v>
      </c>
      <c r="P908" s="12">
        <v>37.9</v>
      </c>
      <c r="Q908" s="12" t="s">
        <v>355</v>
      </c>
      <c r="R908" s="9" t="s">
        <v>356</v>
      </c>
      <c r="S908" s="13">
        <v>56</v>
      </c>
      <c r="T908" s="13">
        <v>56</v>
      </c>
      <c r="U908" s="14">
        <f t="shared" si="126"/>
        <v>1.7558748556724915</v>
      </c>
      <c r="V908" s="15">
        <v>25</v>
      </c>
      <c r="W908" s="12">
        <v>10.431342999999998</v>
      </c>
      <c r="X908" s="12">
        <v>0.5</v>
      </c>
      <c r="Y908" s="13" t="s">
        <v>358</v>
      </c>
      <c r="Z908" s="9" t="s">
        <v>417</v>
      </c>
      <c r="AA908" s="10" t="s">
        <v>418</v>
      </c>
      <c r="AB908" s="9" t="s">
        <v>355</v>
      </c>
      <c r="AC908" s="15">
        <v>105</v>
      </c>
      <c r="AD908" s="14">
        <f t="shared" si="127"/>
        <v>2.0211892990699383</v>
      </c>
      <c r="AE908" s="10" t="s">
        <v>1185</v>
      </c>
      <c r="AF908" s="9" t="s">
        <v>362</v>
      </c>
      <c r="AG908" s="18">
        <v>46.891401999999999</v>
      </c>
      <c r="AH908" s="7">
        <f t="shared" si="128"/>
        <v>1</v>
      </c>
      <c r="AI908" s="7">
        <f t="shared" si="129"/>
        <v>1</v>
      </c>
      <c r="AJ908" s="7">
        <f t="shared" si="130"/>
        <v>1</v>
      </c>
      <c r="AK908" s="7">
        <f t="shared" si="131"/>
        <v>0</v>
      </c>
      <c r="AL908" s="7" t="s">
        <v>4158</v>
      </c>
      <c r="AM908" s="18">
        <f t="shared" si="132"/>
        <v>1.6710932178478515</v>
      </c>
      <c r="AN908" s="18">
        <v>46.891401999999999</v>
      </c>
      <c r="AO908" s="18">
        <v>19.443249000000002</v>
      </c>
      <c r="AP908" s="9" t="s">
        <v>363</v>
      </c>
      <c r="AQ908" s="9" t="s">
        <v>355</v>
      </c>
      <c r="AR908" s="15">
        <v>2007</v>
      </c>
      <c r="AS908" s="19" t="s">
        <v>1186</v>
      </c>
      <c r="AT908" s="10" t="s">
        <v>1187</v>
      </c>
      <c r="AU908" s="34">
        <v>266539</v>
      </c>
      <c r="AV908" s="35">
        <f t="shared" si="133"/>
        <v>5.4257607640026926</v>
      </c>
      <c r="AW908" s="36" t="s">
        <v>366</v>
      </c>
      <c r="AX908" s="34">
        <v>0</v>
      </c>
      <c r="AY908" s="34">
        <v>600</v>
      </c>
      <c r="AZ908" s="15">
        <v>154</v>
      </c>
      <c r="BA908" s="14">
        <f t="shared" si="134"/>
        <v>2.1875207208364631</v>
      </c>
      <c r="BB908" s="36" t="s">
        <v>367</v>
      </c>
      <c r="BC908" s="20">
        <v>3.5348939575830012E-2</v>
      </c>
      <c r="BD908" s="9">
        <v>27</v>
      </c>
      <c r="BE908" s="9" t="s">
        <v>459</v>
      </c>
      <c r="BF908" s="9">
        <v>1</v>
      </c>
    </row>
    <row r="909" spans="1:58">
      <c r="A909" s="9">
        <v>721</v>
      </c>
      <c r="B909" s="10" t="s">
        <v>76</v>
      </c>
      <c r="C909" s="10" t="s">
        <v>721</v>
      </c>
      <c r="D909" s="20" t="s">
        <v>752</v>
      </c>
      <c r="E909" s="20" t="s">
        <v>755</v>
      </c>
      <c r="F909" s="10" t="s">
        <v>721</v>
      </c>
      <c r="G909" s="20" t="s">
        <v>752</v>
      </c>
      <c r="H909" s="20" t="s">
        <v>755</v>
      </c>
      <c r="I909" s="10" t="s">
        <v>101</v>
      </c>
      <c r="J909" s="20" t="s">
        <v>752</v>
      </c>
      <c r="K909" s="20" t="s">
        <v>755</v>
      </c>
      <c r="L909" s="9" t="s">
        <v>352</v>
      </c>
      <c r="M909" s="9">
        <v>30</v>
      </c>
      <c r="N909" s="9" t="s">
        <v>381</v>
      </c>
      <c r="O909" s="9" t="s">
        <v>354</v>
      </c>
      <c r="P909" s="12">
        <v>36.799999999999997</v>
      </c>
      <c r="Q909" s="12" t="s">
        <v>355</v>
      </c>
      <c r="R909" s="9" t="s">
        <v>356</v>
      </c>
      <c r="S909" s="13" t="s">
        <v>1188</v>
      </c>
      <c r="T909" s="13" t="s">
        <v>1188</v>
      </c>
      <c r="U909" s="14">
        <f t="shared" si="126"/>
        <v>1.9590413923210936</v>
      </c>
      <c r="V909" s="15">
        <v>15</v>
      </c>
      <c r="W909" s="12">
        <v>11.315423499999994</v>
      </c>
      <c r="X909" s="12">
        <v>1</v>
      </c>
      <c r="Y909" s="13" t="s">
        <v>384</v>
      </c>
      <c r="Z909" s="9" t="s">
        <v>417</v>
      </c>
      <c r="AA909" s="10" t="s">
        <v>418</v>
      </c>
      <c r="AB909" s="9" t="s">
        <v>355</v>
      </c>
      <c r="AC909" s="15">
        <v>29</v>
      </c>
      <c r="AD909" s="14">
        <f t="shared" si="127"/>
        <v>1.4623979978989561</v>
      </c>
      <c r="AE909" s="10" t="s">
        <v>1181</v>
      </c>
      <c r="AF909" s="9" t="s">
        <v>420</v>
      </c>
      <c r="AG909" s="18">
        <v>34.012275000000002</v>
      </c>
      <c r="AH909" s="7">
        <f t="shared" si="128"/>
        <v>1</v>
      </c>
      <c r="AI909" s="7">
        <f t="shared" si="129"/>
        <v>1</v>
      </c>
      <c r="AJ909" s="7">
        <f t="shared" si="130"/>
        <v>0</v>
      </c>
      <c r="AK909" s="7">
        <f t="shared" si="131"/>
        <v>0</v>
      </c>
      <c r="AL909" s="7" t="s">
        <v>4157</v>
      </c>
      <c r="AM909" s="18">
        <f t="shared" si="132"/>
        <v>1.5316356818269428</v>
      </c>
      <c r="AN909" s="18">
        <v>-34.012275000000002</v>
      </c>
      <c r="AO909" s="18">
        <v>151.09433999999999</v>
      </c>
      <c r="AP909" s="9" t="s">
        <v>363</v>
      </c>
      <c r="AQ909" s="9" t="s">
        <v>355</v>
      </c>
      <c r="AR909" s="15">
        <v>1980</v>
      </c>
      <c r="AS909" s="19" t="s">
        <v>1182</v>
      </c>
      <c r="AT909" s="20" t="s">
        <v>1183</v>
      </c>
      <c r="AU909" s="40">
        <v>663231</v>
      </c>
      <c r="AV909" s="35">
        <f t="shared" si="133"/>
        <v>5.8216648173225174</v>
      </c>
      <c r="AW909" s="37" t="s">
        <v>366</v>
      </c>
      <c r="AX909" s="34" t="s">
        <v>355</v>
      </c>
      <c r="AY909" s="40" t="s">
        <v>355</v>
      </c>
      <c r="AZ909" s="15">
        <v>55</v>
      </c>
      <c r="BA909" s="14">
        <f t="shared" si="134"/>
        <v>1.7403626894942439</v>
      </c>
      <c r="BB909" s="37" t="s">
        <v>388</v>
      </c>
      <c r="BC909" s="20">
        <v>1.1282112845137693E-2</v>
      </c>
      <c r="BD909" s="9">
        <v>26.5</v>
      </c>
      <c r="BE909" s="9" t="s">
        <v>368</v>
      </c>
      <c r="BF909" s="9">
        <v>0</v>
      </c>
    </row>
    <row r="910" spans="1:58">
      <c r="A910" s="9">
        <v>722</v>
      </c>
      <c r="B910" s="10" t="s">
        <v>76</v>
      </c>
      <c r="C910" s="10" t="s">
        <v>721</v>
      </c>
      <c r="D910" s="20" t="s">
        <v>752</v>
      </c>
      <c r="E910" s="20" t="s">
        <v>755</v>
      </c>
      <c r="F910" s="10" t="s">
        <v>721</v>
      </c>
      <c r="G910" s="20" t="s">
        <v>752</v>
      </c>
      <c r="H910" s="20" t="s">
        <v>755</v>
      </c>
      <c r="I910" s="10" t="s">
        <v>101</v>
      </c>
      <c r="J910" s="20" t="s">
        <v>752</v>
      </c>
      <c r="K910" s="20" t="s">
        <v>755</v>
      </c>
      <c r="L910" s="9" t="s">
        <v>352</v>
      </c>
      <c r="M910" s="9">
        <v>30</v>
      </c>
      <c r="N910" s="9" t="s">
        <v>381</v>
      </c>
      <c r="O910" s="9" t="s">
        <v>354</v>
      </c>
      <c r="P910" s="12">
        <v>39.299999999999997</v>
      </c>
      <c r="Q910" s="12" t="s">
        <v>355</v>
      </c>
      <c r="R910" s="9" t="s">
        <v>356</v>
      </c>
      <c r="S910" s="13" t="s">
        <v>1188</v>
      </c>
      <c r="T910" s="13" t="s">
        <v>1188</v>
      </c>
      <c r="U910" s="14">
        <f t="shared" si="126"/>
        <v>1.9590413923210936</v>
      </c>
      <c r="V910" s="15">
        <v>25</v>
      </c>
      <c r="W910" s="12">
        <v>12.2532335</v>
      </c>
      <c r="X910" s="12">
        <v>1</v>
      </c>
      <c r="Y910" s="13" t="s">
        <v>384</v>
      </c>
      <c r="Z910" s="9" t="s">
        <v>417</v>
      </c>
      <c r="AA910" s="10" t="s">
        <v>418</v>
      </c>
      <c r="AB910" s="9" t="s">
        <v>355</v>
      </c>
      <c r="AC910" s="15">
        <v>29</v>
      </c>
      <c r="AD910" s="14">
        <f t="shared" si="127"/>
        <v>1.4623979978989561</v>
      </c>
      <c r="AE910" s="10" t="s">
        <v>1181</v>
      </c>
      <c r="AF910" s="9" t="s">
        <v>420</v>
      </c>
      <c r="AG910" s="18">
        <v>34.012275000000002</v>
      </c>
      <c r="AH910" s="7">
        <f t="shared" si="128"/>
        <v>1</v>
      </c>
      <c r="AI910" s="7">
        <f t="shared" si="129"/>
        <v>1</v>
      </c>
      <c r="AJ910" s="7">
        <f t="shared" si="130"/>
        <v>0</v>
      </c>
      <c r="AK910" s="7">
        <f t="shared" si="131"/>
        <v>0</v>
      </c>
      <c r="AL910" s="7" t="s">
        <v>4157</v>
      </c>
      <c r="AM910" s="18">
        <f t="shared" si="132"/>
        <v>1.5316356818269428</v>
      </c>
      <c r="AN910" s="18">
        <v>-34.012275000000002</v>
      </c>
      <c r="AO910" s="18">
        <v>151.09433999999999</v>
      </c>
      <c r="AP910" s="9" t="s">
        <v>363</v>
      </c>
      <c r="AQ910" s="9" t="s">
        <v>355</v>
      </c>
      <c r="AR910" s="15">
        <v>1980</v>
      </c>
      <c r="AS910" s="19" t="s">
        <v>1182</v>
      </c>
      <c r="AT910" s="20" t="s">
        <v>1183</v>
      </c>
      <c r="AU910" s="40">
        <v>663231</v>
      </c>
      <c r="AV910" s="35">
        <f t="shared" si="133"/>
        <v>5.8216648173225174</v>
      </c>
      <c r="AW910" s="37" t="s">
        <v>366</v>
      </c>
      <c r="AX910" s="34" t="s">
        <v>355</v>
      </c>
      <c r="AY910" s="40" t="s">
        <v>355</v>
      </c>
      <c r="AZ910" s="15">
        <v>55</v>
      </c>
      <c r="BA910" s="14">
        <f t="shared" si="134"/>
        <v>1.7403626894942439</v>
      </c>
      <c r="BB910" s="37" t="s">
        <v>388</v>
      </c>
      <c r="BC910" s="20">
        <v>1.1282112845137693E-2</v>
      </c>
      <c r="BD910" s="9">
        <v>26.5</v>
      </c>
      <c r="BE910" s="9" t="s">
        <v>368</v>
      </c>
      <c r="BF910" s="9">
        <v>0</v>
      </c>
    </row>
    <row r="911" spans="1:58">
      <c r="A911" s="9">
        <v>631</v>
      </c>
      <c r="B911" s="10" t="s">
        <v>76</v>
      </c>
      <c r="C911" s="10" t="s">
        <v>77</v>
      </c>
      <c r="D911" s="20" t="s">
        <v>503</v>
      </c>
      <c r="E911" s="20" t="s">
        <v>507</v>
      </c>
      <c r="F911" s="10" t="s">
        <v>77</v>
      </c>
      <c r="G911" s="20" t="s">
        <v>503</v>
      </c>
      <c r="H911" s="20" t="s">
        <v>507</v>
      </c>
      <c r="I911" s="10" t="s">
        <v>77</v>
      </c>
      <c r="J911" s="20" t="s">
        <v>378</v>
      </c>
      <c r="K911" s="20" t="s">
        <v>507</v>
      </c>
      <c r="L911" s="9" t="s">
        <v>430</v>
      </c>
      <c r="M911" s="9">
        <v>10</v>
      </c>
      <c r="N911" s="9" t="s">
        <v>381</v>
      </c>
      <c r="O911" s="9" t="s">
        <v>382</v>
      </c>
      <c r="P911" s="12">
        <v>37.5</v>
      </c>
      <c r="Q911" s="12" t="s">
        <v>355</v>
      </c>
      <c r="R911" s="9" t="s">
        <v>356</v>
      </c>
      <c r="S911" s="13" t="s">
        <v>1189</v>
      </c>
      <c r="T911" s="13" t="s">
        <v>1190</v>
      </c>
      <c r="U911" s="14">
        <f t="shared" si="126"/>
        <v>2.0827853703164503</v>
      </c>
      <c r="V911" s="15">
        <v>20</v>
      </c>
      <c r="W911" s="12"/>
      <c r="X911" s="12">
        <v>0.5</v>
      </c>
      <c r="Y911" s="13" t="s">
        <v>355</v>
      </c>
      <c r="Z911" s="9" t="s">
        <v>359</v>
      </c>
      <c r="AA911" s="10" t="s">
        <v>1191</v>
      </c>
      <c r="AB911" s="9" t="s">
        <v>355</v>
      </c>
      <c r="AC911" s="15">
        <v>1496</v>
      </c>
      <c r="AD911" s="14">
        <f t="shared" si="127"/>
        <v>3.1749315935284423</v>
      </c>
      <c r="AE911" s="10" t="s">
        <v>626</v>
      </c>
      <c r="AF911" s="9" t="s">
        <v>362</v>
      </c>
      <c r="AG911" s="18">
        <v>40.549999999999997</v>
      </c>
      <c r="AH911" s="7">
        <f t="shared" si="128"/>
        <v>1</v>
      </c>
      <c r="AI911" s="7">
        <f t="shared" si="129"/>
        <v>1</v>
      </c>
      <c r="AJ911" s="7">
        <f t="shared" si="130"/>
        <v>0</v>
      </c>
      <c r="AK911" s="7">
        <f t="shared" si="131"/>
        <v>0</v>
      </c>
      <c r="AL911" s="7" t="s">
        <v>4157</v>
      </c>
      <c r="AM911" s="18">
        <f t="shared" si="132"/>
        <v>1.6079908585471747</v>
      </c>
      <c r="AN911" s="18">
        <v>40.549999999999997</v>
      </c>
      <c r="AO911" s="18">
        <v>-105.016667</v>
      </c>
      <c r="AP911" s="9" t="s">
        <v>363</v>
      </c>
      <c r="AQ911" s="9" t="s">
        <v>443</v>
      </c>
      <c r="AR911" s="15">
        <v>1978</v>
      </c>
      <c r="AS911" s="19" t="s">
        <v>1192</v>
      </c>
      <c r="AT911" s="10" t="s">
        <v>1193</v>
      </c>
      <c r="AU911" s="40">
        <v>3425336</v>
      </c>
      <c r="AV911" s="35">
        <f t="shared" si="133"/>
        <v>6.5347031789784316</v>
      </c>
      <c r="AW911" s="37" t="s">
        <v>366</v>
      </c>
      <c r="AX911" s="34" t="s">
        <v>355</v>
      </c>
      <c r="AY911" s="40" t="s">
        <v>355</v>
      </c>
      <c r="AZ911" s="36">
        <v>33</v>
      </c>
      <c r="BA911" s="14">
        <f t="shared" si="134"/>
        <v>1.5185139398778875</v>
      </c>
      <c r="BB911" s="37" t="s">
        <v>367</v>
      </c>
      <c r="BC911" s="20">
        <v>2.2623849539815964E-2</v>
      </c>
      <c r="BD911" s="9">
        <v>30.400000000000002</v>
      </c>
      <c r="BE911" s="9" t="s">
        <v>368</v>
      </c>
      <c r="BF911" s="9">
        <v>0</v>
      </c>
    </row>
    <row r="912" spans="1:58">
      <c r="A912" s="9">
        <v>628</v>
      </c>
      <c r="B912" s="10" t="s">
        <v>76</v>
      </c>
      <c r="C912" s="10" t="s">
        <v>77</v>
      </c>
      <c r="D912" s="20" t="s">
        <v>503</v>
      </c>
      <c r="E912" s="20" t="s">
        <v>507</v>
      </c>
      <c r="F912" s="10" t="s">
        <v>77</v>
      </c>
      <c r="G912" s="20" t="s">
        <v>503</v>
      </c>
      <c r="H912" s="20" t="s">
        <v>507</v>
      </c>
      <c r="I912" s="10" t="s">
        <v>77</v>
      </c>
      <c r="J912" s="20" t="s">
        <v>378</v>
      </c>
      <c r="K912" s="20" t="s">
        <v>507</v>
      </c>
      <c r="L912" s="9" t="s">
        <v>430</v>
      </c>
      <c r="M912" s="9">
        <v>10</v>
      </c>
      <c r="N912" s="9" t="s">
        <v>381</v>
      </c>
      <c r="O912" s="9" t="s">
        <v>382</v>
      </c>
      <c r="P912" s="12">
        <v>39.1</v>
      </c>
      <c r="Q912" s="12" t="s">
        <v>355</v>
      </c>
      <c r="R912" s="9" t="s">
        <v>356</v>
      </c>
      <c r="S912" s="13" t="s">
        <v>1189</v>
      </c>
      <c r="T912" s="13" t="s">
        <v>1190</v>
      </c>
      <c r="U912" s="14">
        <f t="shared" si="126"/>
        <v>2.0827853703164503</v>
      </c>
      <c r="V912" s="15">
        <v>20</v>
      </c>
      <c r="W912" s="12"/>
      <c r="X912" s="12">
        <v>0.5</v>
      </c>
      <c r="Y912" s="13" t="s">
        <v>355</v>
      </c>
      <c r="Z912" s="9" t="s">
        <v>359</v>
      </c>
      <c r="AA912" s="10" t="s">
        <v>1191</v>
      </c>
      <c r="AB912" s="9" t="s">
        <v>355</v>
      </c>
      <c r="AC912" s="15">
        <v>1520</v>
      </c>
      <c r="AD912" s="14">
        <f t="shared" si="127"/>
        <v>3.1818435879447726</v>
      </c>
      <c r="AE912" s="10" t="s">
        <v>626</v>
      </c>
      <c r="AF912" s="9" t="s">
        <v>362</v>
      </c>
      <c r="AG912" s="18">
        <v>40.6</v>
      </c>
      <c r="AH912" s="7">
        <f t="shared" si="128"/>
        <v>1</v>
      </c>
      <c r="AI912" s="7">
        <f t="shared" si="129"/>
        <v>1</v>
      </c>
      <c r="AJ912" s="7">
        <f t="shared" si="130"/>
        <v>0</v>
      </c>
      <c r="AK912" s="7">
        <f t="shared" si="131"/>
        <v>0</v>
      </c>
      <c r="AL912" s="7" t="s">
        <v>4157</v>
      </c>
      <c r="AM912" s="18">
        <f t="shared" si="132"/>
        <v>1.608526033577194</v>
      </c>
      <c r="AN912" s="18">
        <v>40.6</v>
      </c>
      <c r="AO912" s="18">
        <v>-105.016667</v>
      </c>
      <c r="AP912" s="9" t="s">
        <v>363</v>
      </c>
      <c r="AQ912" s="9" t="s">
        <v>1194</v>
      </c>
      <c r="AR912" s="15">
        <v>1978</v>
      </c>
      <c r="AS912" s="19" t="s">
        <v>1192</v>
      </c>
      <c r="AT912" s="10" t="s">
        <v>1193</v>
      </c>
      <c r="AU912" s="40">
        <v>3425336</v>
      </c>
      <c r="AV912" s="35">
        <f t="shared" si="133"/>
        <v>6.5347031789784316</v>
      </c>
      <c r="AW912" s="37" t="s">
        <v>366</v>
      </c>
      <c r="AX912" s="34" t="s">
        <v>355</v>
      </c>
      <c r="AY912" s="40" t="s">
        <v>355</v>
      </c>
      <c r="AZ912" s="36">
        <v>33</v>
      </c>
      <c r="BA912" s="14">
        <f t="shared" si="134"/>
        <v>1.5185139398778875</v>
      </c>
      <c r="BB912" s="37" t="s">
        <v>367</v>
      </c>
      <c r="BC912" s="20">
        <v>2.2623849539815964E-2</v>
      </c>
      <c r="BD912" s="9">
        <v>30.200000000000003</v>
      </c>
      <c r="BE912" s="9" t="s">
        <v>368</v>
      </c>
      <c r="BF912" s="9">
        <v>0</v>
      </c>
    </row>
    <row r="913" spans="1:58">
      <c r="A913" s="9">
        <v>72</v>
      </c>
      <c r="B913" s="10" t="s">
        <v>76</v>
      </c>
      <c r="C913" s="10" t="s">
        <v>369</v>
      </c>
      <c r="D913" s="20" t="s">
        <v>370</v>
      </c>
      <c r="E913" s="20" t="s">
        <v>485</v>
      </c>
      <c r="F913" s="10" t="s">
        <v>369</v>
      </c>
      <c r="G913" s="20" t="s">
        <v>370</v>
      </c>
      <c r="H913" s="20" t="s">
        <v>485</v>
      </c>
      <c r="I913" s="10" t="s">
        <v>369</v>
      </c>
      <c r="J913" s="20" t="s">
        <v>398</v>
      </c>
      <c r="K913" s="20" t="s">
        <v>486</v>
      </c>
      <c r="L913" s="9" t="s">
        <v>380</v>
      </c>
      <c r="M913" s="9">
        <v>10</v>
      </c>
      <c r="N913" s="9" t="s">
        <v>355</v>
      </c>
      <c r="O913" s="9" t="s">
        <v>1195</v>
      </c>
      <c r="P913" s="12">
        <v>26.182950000000002</v>
      </c>
      <c r="Q913" s="9" t="s">
        <v>355</v>
      </c>
      <c r="R913" s="9" t="s">
        <v>356</v>
      </c>
      <c r="S913" s="13" t="s">
        <v>1189</v>
      </c>
      <c r="T913" s="13" t="s">
        <v>1190</v>
      </c>
      <c r="U913" s="14">
        <f t="shared" si="126"/>
        <v>2.0827853703164503</v>
      </c>
      <c r="V913" s="15">
        <v>15</v>
      </c>
      <c r="W913" s="12"/>
      <c r="X913" s="12">
        <v>0.7</v>
      </c>
      <c r="Y913" s="13" t="s">
        <v>358</v>
      </c>
      <c r="Z913" s="9" t="s">
        <v>359</v>
      </c>
      <c r="AA913" s="10" t="s">
        <v>1196</v>
      </c>
      <c r="AB913" s="9" t="s">
        <v>355</v>
      </c>
      <c r="AC913" s="15">
        <v>67</v>
      </c>
      <c r="AD913" s="14">
        <f t="shared" si="127"/>
        <v>1.8260748027008264</v>
      </c>
      <c r="AE913" s="10" t="s">
        <v>884</v>
      </c>
      <c r="AF913" s="9" t="s">
        <v>362</v>
      </c>
      <c r="AG913" s="18">
        <v>42.633333</v>
      </c>
      <c r="AH913" s="7">
        <f t="shared" si="128"/>
        <v>1</v>
      </c>
      <c r="AI913" s="7">
        <f t="shared" si="129"/>
        <v>1</v>
      </c>
      <c r="AJ913" s="7">
        <f t="shared" si="130"/>
        <v>0</v>
      </c>
      <c r="AK913" s="7">
        <f t="shared" si="131"/>
        <v>0</v>
      </c>
      <c r="AL913" s="7" t="s">
        <v>4157</v>
      </c>
      <c r="AM913" s="18">
        <f t="shared" si="132"/>
        <v>1.6297492863634131</v>
      </c>
      <c r="AN913" s="18">
        <v>42.633333</v>
      </c>
      <c r="AO913" s="18">
        <v>-73.849999999999994</v>
      </c>
      <c r="AP913" s="9" t="s">
        <v>363</v>
      </c>
      <c r="AQ913" s="9" t="s">
        <v>355</v>
      </c>
      <c r="AR913" s="15">
        <v>1986</v>
      </c>
      <c r="AS913" s="19" t="s">
        <v>882</v>
      </c>
      <c r="AT913" s="20" t="s">
        <v>883</v>
      </c>
      <c r="AU913" s="40">
        <v>9096515</v>
      </c>
      <c r="AV913" s="35">
        <f t="shared" si="133"/>
        <v>6.9588750399961636</v>
      </c>
      <c r="AW913" s="37" t="s">
        <v>366</v>
      </c>
      <c r="AX913" s="34" t="s">
        <v>355</v>
      </c>
      <c r="AY913" s="40" t="s">
        <v>355</v>
      </c>
      <c r="AZ913" s="36">
        <v>55</v>
      </c>
      <c r="BA913" s="14">
        <f t="shared" si="134"/>
        <v>1.7403626894942439</v>
      </c>
      <c r="BB913" s="37" t="s">
        <v>388</v>
      </c>
      <c r="BC913" s="20">
        <v>2.092276910764292E-2</v>
      </c>
      <c r="BD913" s="9">
        <v>28.6</v>
      </c>
      <c r="BE913" s="9" t="s">
        <v>368</v>
      </c>
      <c r="BF913" s="9">
        <v>0</v>
      </c>
    </row>
    <row r="914" spans="1:58">
      <c r="A914" s="9">
        <v>77</v>
      </c>
      <c r="B914" s="10" t="s">
        <v>76</v>
      </c>
      <c r="C914" s="10" t="s">
        <v>369</v>
      </c>
      <c r="D914" s="20" t="s">
        <v>370</v>
      </c>
      <c r="E914" s="20" t="s">
        <v>485</v>
      </c>
      <c r="F914" s="10" t="s">
        <v>369</v>
      </c>
      <c r="G914" s="20" t="s">
        <v>370</v>
      </c>
      <c r="H914" s="20" t="s">
        <v>485</v>
      </c>
      <c r="I914" s="10" t="s">
        <v>369</v>
      </c>
      <c r="J914" s="20" t="s">
        <v>398</v>
      </c>
      <c r="K914" s="20" t="s">
        <v>486</v>
      </c>
      <c r="L914" s="9" t="s">
        <v>380</v>
      </c>
      <c r="M914" s="9">
        <v>10</v>
      </c>
      <c r="N914" s="9" t="s">
        <v>355</v>
      </c>
      <c r="O914" s="9" t="s">
        <v>1195</v>
      </c>
      <c r="P914" s="12">
        <v>33.833240000000004</v>
      </c>
      <c r="Q914" s="12" t="s">
        <v>355</v>
      </c>
      <c r="R914" s="9" t="s">
        <v>356</v>
      </c>
      <c r="S914" s="13" t="s">
        <v>1189</v>
      </c>
      <c r="T914" s="13" t="s">
        <v>1190</v>
      </c>
      <c r="U914" s="14">
        <f t="shared" si="126"/>
        <v>2.0827853703164503</v>
      </c>
      <c r="V914" s="15">
        <v>20</v>
      </c>
      <c r="W914" s="12"/>
      <c r="X914" s="12">
        <v>0.7</v>
      </c>
      <c r="Y914" s="13" t="s">
        <v>358</v>
      </c>
      <c r="Z914" s="9" t="s">
        <v>359</v>
      </c>
      <c r="AA914" s="10" t="s">
        <v>1196</v>
      </c>
      <c r="AB914" s="9" t="s">
        <v>355</v>
      </c>
      <c r="AC914" s="15">
        <v>67</v>
      </c>
      <c r="AD914" s="14">
        <f t="shared" si="127"/>
        <v>1.8260748027008264</v>
      </c>
      <c r="AE914" s="10" t="s">
        <v>884</v>
      </c>
      <c r="AF914" s="9" t="s">
        <v>362</v>
      </c>
      <c r="AG914" s="18">
        <v>42.633333</v>
      </c>
      <c r="AH914" s="7">
        <f t="shared" si="128"/>
        <v>1</v>
      </c>
      <c r="AI914" s="7">
        <f t="shared" si="129"/>
        <v>1</v>
      </c>
      <c r="AJ914" s="7">
        <f t="shared" si="130"/>
        <v>0</v>
      </c>
      <c r="AK914" s="7">
        <f t="shared" si="131"/>
        <v>0</v>
      </c>
      <c r="AL914" s="7" t="s">
        <v>4157</v>
      </c>
      <c r="AM914" s="18">
        <f t="shared" si="132"/>
        <v>1.6297492863634131</v>
      </c>
      <c r="AN914" s="18">
        <v>42.633333</v>
      </c>
      <c r="AO914" s="18">
        <v>-73.849999999999994</v>
      </c>
      <c r="AP914" s="9" t="s">
        <v>363</v>
      </c>
      <c r="AQ914" s="9" t="s">
        <v>355</v>
      </c>
      <c r="AR914" s="15">
        <v>1986</v>
      </c>
      <c r="AS914" s="19" t="s">
        <v>882</v>
      </c>
      <c r="AT914" s="20" t="s">
        <v>883</v>
      </c>
      <c r="AU914" s="40">
        <v>9096515</v>
      </c>
      <c r="AV914" s="35">
        <f t="shared" si="133"/>
        <v>6.9588750399961636</v>
      </c>
      <c r="AW914" s="37" t="s">
        <v>366</v>
      </c>
      <c r="AX914" s="34" t="s">
        <v>355</v>
      </c>
      <c r="AY914" s="40" t="s">
        <v>355</v>
      </c>
      <c r="AZ914" s="36">
        <v>55</v>
      </c>
      <c r="BA914" s="14">
        <f t="shared" si="134"/>
        <v>1.7403626894942439</v>
      </c>
      <c r="BB914" s="37" t="s">
        <v>388</v>
      </c>
      <c r="BC914" s="20">
        <v>2.092276910764292E-2</v>
      </c>
      <c r="BD914" s="9">
        <v>28.6</v>
      </c>
      <c r="BE914" s="9" t="s">
        <v>368</v>
      </c>
      <c r="BF914" s="9">
        <v>0</v>
      </c>
    </row>
    <row r="915" spans="1:58">
      <c r="A915" s="9">
        <v>78</v>
      </c>
      <c r="B915" s="10" t="s">
        <v>76</v>
      </c>
      <c r="C915" s="10" t="s">
        <v>369</v>
      </c>
      <c r="D915" s="20" t="s">
        <v>370</v>
      </c>
      <c r="E915" s="20" t="s">
        <v>485</v>
      </c>
      <c r="F915" s="10" t="s">
        <v>369</v>
      </c>
      <c r="G915" s="20" t="s">
        <v>370</v>
      </c>
      <c r="H915" s="20" t="s">
        <v>485</v>
      </c>
      <c r="I915" s="10" t="s">
        <v>369</v>
      </c>
      <c r="J915" s="20" t="s">
        <v>398</v>
      </c>
      <c r="K915" s="20" t="s">
        <v>486</v>
      </c>
      <c r="L915" s="9" t="s">
        <v>380</v>
      </c>
      <c r="M915" s="9">
        <v>10</v>
      </c>
      <c r="N915" s="9" t="s">
        <v>355</v>
      </c>
      <c r="O915" s="9" t="s">
        <v>1195</v>
      </c>
      <c r="P915" s="12">
        <v>31.28848</v>
      </c>
      <c r="Q915" s="12" t="s">
        <v>355</v>
      </c>
      <c r="R915" s="9" t="s">
        <v>356</v>
      </c>
      <c r="S915" s="13" t="s">
        <v>1189</v>
      </c>
      <c r="T915" s="13" t="s">
        <v>1190</v>
      </c>
      <c r="U915" s="14">
        <f t="shared" si="126"/>
        <v>2.0827853703164503</v>
      </c>
      <c r="V915" s="15">
        <v>20</v>
      </c>
      <c r="W915" s="12"/>
      <c r="X915" s="12">
        <v>0.7</v>
      </c>
      <c r="Y915" s="13" t="s">
        <v>358</v>
      </c>
      <c r="Z915" s="9" t="s">
        <v>359</v>
      </c>
      <c r="AA915" s="10" t="s">
        <v>1196</v>
      </c>
      <c r="AB915" s="9" t="s">
        <v>355</v>
      </c>
      <c r="AC915" s="15">
        <v>75</v>
      </c>
      <c r="AD915" s="14">
        <f t="shared" si="127"/>
        <v>1.8750612633917001</v>
      </c>
      <c r="AE915" s="10" t="s">
        <v>1197</v>
      </c>
      <c r="AF915" s="9" t="s">
        <v>362</v>
      </c>
      <c r="AG915" s="18">
        <v>45.516666999999998</v>
      </c>
      <c r="AH915" s="7">
        <f t="shared" si="128"/>
        <v>1</v>
      </c>
      <c r="AI915" s="7">
        <f t="shared" si="129"/>
        <v>1</v>
      </c>
      <c r="AJ915" s="7">
        <f t="shared" si="130"/>
        <v>1</v>
      </c>
      <c r="AK915" s="7">
        <f t="shared" si="131"/>
        <v>0</v>
      </c>
      <c r="AL915" s="7" t="s">
        <v>4158</v>
      </c>
      <c r="AM915" s="18">
        <f t="shared" si="132"/>
        <v>1.6581704529365693</v>
      </c>
      <c r="AN915" s="18">
        <v>45.516666999999998</v>
      </c>
      <c r="AO915" s="18">
        <v>-73.3</v>
      </c>
      <c r="AP915" s="9" t="s">
        <v>363</v>
      </c>
      <c r="AQ915" s="9" t="s">
        <v>355</v>
      </c>
      <c r="AR915" s="15">
        <v>1986</v>
      </c>
      <c r="AS915" s="19" t="s">
        <v>882</v>
      </c>
      <c r="AT915" s="20" t="s">
        <v>883</v>
      </c>
      <c r="AU915" s="40">
        <v>9096515</v>
      </c>
      <c r="AV915" s="35">
        <f t="shared" si="133"/>
        <v>6.9588750399961636</v>
      </c>
      <c r="AW915" s="37" t="s">
        <v>366</v>
      </c>
      <c r="AX915" s="34" t="s">
        <v>355</v>
      </c>
      <c r="AY915" s="40" t="s">
        <v>355</v>
      </c>
      <c r="AZ915" s="36">
        <v>55</v>
      </c>
      <c r="BA915" s="14">
        <f t="shared" si="134"/>
        <v>1.7403626894942439</v>
      </c>
      <c r="BB915" s="37" t="s">
        <v>388</v>
      </c>
      <c r="BC915" s="20">
        <v>2.9677470988395134E-2</v>
      </c>
      <c r="BD915" s="9">
        <v>26.700000000000003</v>
      </c>
      <c r="BE915" s="9" t="s">
        <v>368</v>
      </c>
      <c r="BF915" s="9">
        <v>0</v>
      </c>
    </row>
    <row r="916" spans="1:58">
      <c r="A916" s="9">
        <v>79</v>
      </c>
      <c r="B916" s="10" t="s">
        <v>76</v>
      </c>
      <c r="C916" s="10" t="s">
        <v>369</v>
      </c>
      <c r="D916" s="20" t="s">
        <v>370</v>
      </c>
      <c r="E916" s="20" t="s">
        <v>485</v>
      </c>
      <c r="F916" s="10" t="s">
        <v>369</v>
      </c>
      <c r="G916" s="20" t="s">
        <v>370</v>
      </c>
      <c r="H916" s="20" t="s">
        <v>485</v>
      </c>
      <c r="I916" s="10" t="s">
        <v>369</v>
      </c>
      <c r="J916" s="20" t="s">
        <v>398</v>
      </c>
      <c r="K916" s="20" t="s">
        <v>486</v>
      </c>
      <c r="L916" s="9" t="s">
        <v>380</v>
      </c>
      <c r="M916" s="9">
        <v>10</v>
      </c>
      <c r="N916" s="9" t="s">
        <v>355</v>
      </c>
      <c r="O916" s="9" t="s">
        <v>1195</v>
      </c>
      <c r="P916" s="12">
        <v>35.32846</v>
      </c>
      <c r="Q916" s="12" t="s">
        <v>355</v>
      </c>
      <c r="R916" s="9" t="s">
        <v>356</v>
      </c>
      <c r="S916" s="13" t="s">
        <v>1189</v>
      </c>
      <c r="T916" s="13" t="s">
        <v>1190</v>
      </c>
      <c r="U916" s="14">
        <f t="shared" si="126"/>
        <v>2.0827853703164503</v>
      </c>
      <c r="V916" s="15">
        <v>20</v>
      </c>
      <c r="W916" s="12"/>
      <c r="X916" s="12">
        <v>0.7</v>
      </c>
      <c r="Y916" s="13" t="s">
        <v>358</v>
      </c>
      <c r="Z916" s="9" t="s">
        <v>359</v>
      </c>
      <c r="AA916" s="10" t="s">
        <v>1196</v>
      </c>
      <c r="AB916" s="9" t="s">
        <v>355</v>
      </c>
      <c r="AC916" s="15">
        <v>75</v>
      </c>
      <c r="AD916" s="14">
        <f t="shared" si="127"/>
        <v>1.8750612633917001</v>
      </c>
      <c r="AE916" s="10" t="s">
        <v>1197</v>
      </c>
      <c r="AF916" s="9" t="s">
        <v>362</v>
      </c>
      <c r="AG916" s="18">
        <v>45.516666999999998</v>
      </c>
      <c r="AH916" s="7">
        <f t="shared" si="128"/>
        <v>1</v>
      </c>
      <c r="AI916" s="7">
        <f t="shared" si="129"/>
        <v>1</v>
      </c>
      <c r="AJ916" s="7">
        <f t="shared" si="130"/>
        <v>1</v>
      </c>
      <c r="AK916" s="7">
        <f t="shared" si="131"/>
        <v>0</v>
      </c>
      <c r="AL916" s="7" t="s">
        <v>4158</v>
      </c>
      <c r="AM916" s="18">
        <f t="shared" si="132"/>
        <v>1.6581704529365693</v>
      </c>
      <c r="AN916" s="18">
        <v>45.516666999999998</v>
      </c>
      <c r="AO916" s="18">
        <v>-73.3</v>
      </c>
      <c r="AP916" s="9" t="s">
        <v>363</v>
      </c>
      <c r="AQ916" s="9" t="s">
        <v>355</v>
      </c>
      <c r="AR916" s="15">
        <v>1986</v>
      </c>
      <c r="AS916" s="19" t="s">
        <v>882</v>
      </c>
      <c r="AT916" s="20" t="s">
        <v>883</v>
      </c>
      <c r="AU916" s="40">
        <v>9096515</v>
      </c>
      <c r="AV916" s="35">
        <f t="shared" si="133"/>
        <v>6.9588750399961636</v>
      </c>
      <c r="AW916" s="37" t="s">
        <v>366</v>
      </c>
      <c r="AX916" s="34" t="s">
        <v>355</v>
      </c>
      <c r="AY916" s="40" t="s">
        <v>355</v>
      </c>
      <c r="AZ916" s="36">
        <v>55</v>
      </c>
      <c r="BA916" s="14">
        <f t="shared" si="134"/>
        <v>1.7403626894942439</v>
      </c>
      <c r="BB916" s="37" t="s">
        <v>388</v>
      </c>
      <c r="BC916" s="20">
        <v>2.9677470988395134E-2</v>
      </c>
      <c r="BD916" s="9">
        <v>26.700000000000003</v>
      </c>
      <c r="BE916" s="9" t="s">
        <v>368</v>
      </c>
      <c r="BF916" s="9">
        <v>0</v>
      </c>
    </row>
    <row r="917" spans="1:58">
      <c r="A917" s="9">
        <v>70</v>
      </c>
      <c r="B917" s="10" t="s">
        <v>76</v>
      </c>
      <c r="C917" s="10" t="s">
        <v>369</v>
      </c>
      <c r="D917" s="20" t="s">
        <v>370</v>
      </c>
      <c r="E917" s="20" t="s">
        <v>485</v>
      </c>
      <c r="F917" s="10" t="s">
        <v>369</v>
      </c>
      <c r="G917" s="20" t="s">
        <v>370</v>
      </c>
      <c r="H917" s="20" t="s">
        <v>485</v>
      </c>
      <c r="I917" s="10" t="s">
        <v>369</v>
      </c>
      <c r="J917" s="20" t="s">
        <v>398</v>
      </c>
      <c r="K917" s="20" t="s">
        <v>486</v>
      </c>
      <c r="L917" s="9" t="s">
        <v>380</v>
      </c>
      <c r="M917" s="9">
        <v>10</v>
      </c>
      <c r="N917" s="9" t="s">
        <v>355</v>
      </c>
      <c r="O917" s="9" t="s">
        <v>1195</v>
      </c>
      <c r="P917" s="12">
        <v>26.015149999999998</v>
      </c>
      <c r="Q917" s="12" t="s">
        <v>355</v>
      </c>
      <c r="R917" s="9" t="s">
        <v>356</v>
      </c>
      <c r="S917" s="13" t="s">
        <v>1189</v>
      </c>
      <c r="T917" s="13" t="s">
        <v>1190</v>
      </c>
      <c r="U917" s="14">
        <f t="shared" si="126"/>
        <v>2.0827853703164503</v>
      </c>
      <c r="V917" s="15">
        <v>15</v>
      </c>
      <c r="W917" s="12"/>
      <c r="X917" s="12">
        <v>0.7</v>
      </c>
      <c r="Y917" s="13" t="s">
        <v>358</v>
      </c>
      <c r="Z917" s="9" t="s">
        <v>359</v>
      </c>
      <c r="AA917" s="10" t="s">
        <v>1196</v>
      </c>
      <c r="AB917" s="9" t="s">
        <v>355</v>
      </c>
      <c r="AC917" s="15">
        <v>250</v>
      </c>
      <c r="AD917" s="14">
        <f t="shared" si="127"/>
        <v>2.3979400086720375</v>
      </c>
      <c r="AE917" s="10" t="s">
        <v>885</v>
      </c>
      <c r="AF917" s="9" t="s">
        <v>362</v>
      </c>
      <c r="AG917" s="18">
        <v>38.799999999999997</v>
      </c>
      <c r="AH917" s="7">
        <f t="shared" si="128"/>
        <v>1</v>
      </c>
      <c r="AI917" s="7">
        <f t="shared" si="129"/>
        <v>1</v>
      </c>
      <c r="AJ917" s="7">
        <f t="shared" si="130"/>
        <v>0</v>
      </c>
      <c r="AK917" s="7">
        <f t="shared" si="131"/>
        <v>0</v>
      </c>
      <c r="AL917" s="7" t="s">
        <v>4157</v>
      </c>
      <c r="AM917" s="18">
        <f t="shared" si="132"/>
        <v>1.5888317255942073</v>
      </c>
      <c r="AN917" s="18">
        <v>38.799999999999997</v>
      </c>
      <c r="AO917" s="18">
        <v>-83.4</v>
      </c>
      <c r="AP917" s="9" t="s">
        <v>363</v>
      </c>
      <c r="AQ917" s="9" t="s">
        <v>355</v>
      </c>
      <c r="AR917" s="15">
        <v>1986</v>
      </c>
      <c r="AS917" s="19" t="s">
        <v>882</v>
      </c>
      <c r="AT917" s="20" t="s">
        <v>883</v>
      </c>
      <c r="AU917" s="40">
        <v>9096515</v>
      </c>
      <c r="AV917" s="35">
        <f t="shared" si="133"/>
        <v>6.9588750399961636</v>
      </c>
      <c r="AW917" s="37" t="s">
        <v>366</v>
      </c>
      <c r="AX917" s="34" t="s">
        <v>355</v>
      </c>
      <c r="AY917" s="40" t="s">
        <v>355</v>
      </c>
      <c r="AZ917" s="36">
        <v>55</v>
      </c>
      <c r="BA917" s="14">
        <f t="shared" si="134"/>
        <v>1.7403626894942439</v>
      </c>
      <c r="BB917" s="37" t="s">
        <v>388</v>
      </c>
      <c r="BC917" s="20">
        <v>2.7258903561424653E-3</v>
      </c>
      <c r="BD917" s="9">
        <v>29.8</v>
      </c>
      <c r="BE917" s="9" t="s">
        <v>368</v>
      </c>
      <c r="BF917" s="9">
        <v>0</v>
      </c>
    </row>
    <row r="918" spans="1:58">
      <c r="A918" s="9">
        <v>75</v>
      </c>
      <c r="B918" s="10" t="s">
        <v>76</v>
      </c>
      <c r="C918" s="10" t="s">
        <v>369</v>
      </c>
      <c r="D918" s="20" t="s">
        <v>370</v>
      </c>
      <c r="E918" s="20" t="s">
        <v>485</v>
      </c>
      <c r="F918" s="10" t="s">
        <v>369</v>
      </c>
      <c r="G918" s="20" t="s">
        <v>370</v>
      </c>
      <c r="H918" s="20" t="s">
        <v>485</v>
      </c>
      <c r="I918" s="10" t="s">
        <v>369</v>
      </c>
      <c r="J918" s="20" t="s">
        <v>398</v>
      </c>
      <c r="K918" s="20" t="s">
        <v>486</v>
      </c>
      <c r="L918" s="9" t="s">
        <v>380</v>
      </c>
      <c r="M918" s="9">
        <v>10</v>
      </c>
      <c r="N918" s="9" t="s">
        <v>355</v>
      </c>
      <c r="O918" s="9" t="s">
        <v>1195</v>
      </c>
      <c r="P918" s="12">
        <v>35.953620000000001</v>
      </c>
      <c r="Q918" s="12" t="s">
        <v>355</v>
      </c>
      <c r="R918" s="9" t="s">
        <v>356</v>
      </c>
      <c r="S918" s="13" t="s">
        <v>1189</v>
      </c>
      <c r="T918" s="13" t="s">
        <v>1190</v>
      </c>
      <c r="U918" s="14">
        <f t="shared" si="126"/>
        <v>2.0827853703164503</v>
      </c>
      <c r="V918" s="15">
        <v>20</v>
      </c>
      <c r="W918" s="12"/>
      <c r="X918" s="12">
        <v>0.7</v>
      </c>
      <c r="Y918" s="13" t="s">
        <v>358</v>
      </c>
      <c r="Z918" s="9" t="s">
        <v>359</v>
      </c>
      <c r="AA918" s="10" t="s">
        <v>1196</v>
      </c>
      <c r="AB918" s="9" t="s">
        <v>355</v>
      </c>
      <c r="AC918" s="15">
        <v>250</v>
      </c>
      <c r="AD918" s="14">
        <f t="shared" si="127"/>
        <v>2.3979400086720375</v>
      </c>
      <c r="AE918" s="10" t="s">
        <v>885</v>
      </c>
      <c r="AF918" s="9" t="s">
        <v>362</v>
      </c>
      <c r="AG918" s="18">
        <v>38.799999999999997</v>
      </c>
      <c r="AH918" s="7">
        <f t="shared" si="128"/>
        <v>1</v>
      </c>
      <c r="AI918" s="7">
        <f t="shared" si="129"/>
        <v>1</v>
      </c>
      <c r="AJ918" s="7">
        <f t="shared" si="130"/>
        <v>0</v>
      </c>
      <c r="AK918" s="7">
        <f t="shared" si="131"/>
        <v>0</v>
      </c>
      <c r="AL918" s="7" t="s">
        <v>4157</v>
      </c>
      <c r="AM918" s="18">
        <f t="shared" si="132"/>
        <v>1.5888317255942073</v>
      </c>
      <c r="AN918" s="18">
        <v>38.799999999999997</v>
      </c>
      <c r="AO918" s="18">
        <v>-83.4</v>
      </c>
      <c r="AP918" s="9" t="s">
        <v>363</v>
      </c>
      <c r="AQ918" s="9" t="s">
        <v>355</v>
      </c>
      <c r="AR918" s="15">
        <v>1986</v>
      </c>
      <c r="AS918" s="19" t="s">
        <v>882</v>
      </c>
      <c r="AT918" s="20" t="s">
        <v>883</v>
      </c>
      <c r="AU918" s="40">
        <v>9096515</v>
      </c>
      <c r="AV918" s="35">
        <f t="shared" si="133"/>
        <v>6.9588750399961636</v>
      </c>
      <c r="AW918" s="37" t="s">
        <v>366</v>
      </c>
      <c r="AX918" s="34" t="s">
        <v>355</v>
      </c>
      <c r="AY918" s="40" t="s">
        <v>355</v>
      </c>
      <c r="AZ918" s="36">
        <v>55</v>
      </c>
      <c r="BA918" s="14">
        <f t="shared" si="134"/>
        <v>1.7403626894942439</v>
      </c>
      <c r="BB918" s="37" t="s">
        <v>388</v>
      </c>
      <c r="BC918" s="20">
        <v>2.7258903561424653E-3</v>
      </c>
      <c r="BD918" s="9">
        <v>29.8</v>
      </c>
      <c r="BE918" s="9" t="s">
        <v>368</v>
      </c>
      <c r="BF918" s="9">
        <v>0</v>
      </c>
    </row>
    <row r="919" spans="1:58">
      <c r="A919" s="9">
        <v>71</v>
      </c>
      <c r="B919" s="10" t="s">
        <v>76</v>
      </c>
      <c r="C919" s="10" t="s">
        <v>369</v>
      </c>
      <c r="D919" s="20" t="s">
        <v>370</v>
      </c>
      <c r="E919" s="20" t="s">
        <v>485</v>
      </c>
      <c r="F919" s="10" t="s">
        <v>369</v>
      </c>
      <c r="G919" s="20" t="s">
        <v>370</v>
      </c>
      <c r="H919" s="20" t="s">
        <v>485</v>
      </c>
      <c r="I919" s="10" t="s">
        <v>369</v>
      </c>
      <c r="J919" s="20" t="s">
        <v>398</v>
      </c>
      <c r="K919" s="20" t="s">
        <v>486</v>
      </c>
      <c r="L919" s="9" t="s">
        <v>380</v>
      </c>
      <c r="M919" s="9">
        <v>10</v>
      </c>
      <c r="N919" s="9" t="s">
        <v>355</v>
      </c>
      <c r="O919" s="9" t="s">
        <v>1195</v>
      </c>
      <c r="P919" s="12">
        <v>27.138210000000001</v>
      </c>
      <c r="Q919" s="12" t="s">
        <v>355</v>
      </c>
      <c r="R919" s="9" t="s">
        <v>356</v>
      </c>
      <c r="S919" s="13" t="s">
        <v>1189</v>
      </c>
      <c r="T919" s="13" t="s">
        <v>1190</v>
      </c>
      <c r="U919" s="14">
        <f t="shared" si="126"/>
        <v>2.0827853703164503</v>
      </c>
      <c r="V919" s="15">
        <v>15</v>
      </c>
      <c r="W919" s="12"/>
      <c r="X919" s="12">
        <v>0.7</v>
      </c>
      <c r="Y919" s="13" t="s">
        <v>358</v>
      </c>
      <c r="Z919" s="9" t="s">
        <v>359</v>
      </c>
      <c r="AA919" s="10" t="s">
        <v>1196</v>
      </c>
      <c r="AB919" s="9" t="s">
        <v>355</v>
      </c>
      <c r="AC919" s="15">
        <v>262</v>
      </c>
      <c r="AD919" s="14">
        <f t="shared" si="127"/>
        <v>2.4183012913197452</v>
      </c>
      <c r="AE919" s="10" t="s">
        <v>886</v>
      </c>
      <c r="AF919" s="9" t="s">
        <v>362</v>
      </c>
      <c r="AG919" s="18">
        <v>42.75</v>
      </c>
      <c r="AH919" s="7">
        <f t="shared" si="128"/>
        <v>1</v>
      </c>
      <c r="AI919" s="7">
        <f t="shared" si="129"/>
        <v>1</v>
      </c>
      <c r="AJ919" s="7">
        <f t="shared" si="130"/>
        <v>0</v>
      </c>
      <c r="AK919" s="7">
        <f t="shared" si="131"/>
        <v>0</v>
      </c>
      <c r="AL919" s="7" t="s">
        <v>4157</v>
      </c>
      <c r="AM919" s="18">
        <f t="shared" si="132"/>
        <v>1.6309361190641913</v>
      </c>
      <c r="AN919" s="18">
        <v>42.75</v>
      </c>
      <c r="AO919" s="18">
        <v>-83.216667000000001</v>
      </c>
      <c r="AP919" s="9" t="s">
        <v>363</v>
      </c>
      <c r="AQ919" s="9" t="s">
        <v>355</v>
      </c>
      <c r="AR919" s="15">
        <v>1986</v>
      </c>
      <c r="AS919" s="19" t="s">
        <v>882</v>
      </c>
      <c r="AT919" s="20" t="s">
        <v>883</v>
      </c>
      <c r="AU919" s="40">
        <v>9096515</v>
      </c>
      <c r="AV919" s="35">
        <f t="shared" si="133"/>
        <v>6.9588750399961636</v>
      </c>
      <c r="AW919" s="37" t="s">
        <v>366</v>
      </c>
      <c r="AX919" s="34" t="s">
        <v>355</v>
      </c>
      <c r="AY919" s="40" t="s">
        <v>355</v>
      </c>
      <c r="AZ919" s="36">
        <v>55</v>
      </c>
      <c r="BA919" s="14">
        <f t="shared" si="134"/>
        <v>1.7403626894942439</v>
      </c>
      <c r="BB919" s="37" t="s">
        <v>388</v>
      </c>
      <c r="BC919" s="20">
        <v>2.3402561024410035E-2</v>
      </c>
      <c r="BD919" s="9">
        <v>28.400000000000002</v>
      </c>
      <c r="BE919" s="9" t="s">
        <v>368</v>
      </c>
      <c r="BF919" s="9">
        <v>0</v>
      </c>
    </row>
    <row r="920" spans="1:58">
      <c r="A920" s="9">
        <v>76</v>
      </c>
      <c r="B920" s="10" t="s">
        <v>76</v>
      </c>
      <c r="C920" s="10" t="s">
        <v>369</v>
      </c>
      <c r="D920" s="20" t="s">
        <v>370</v>
      </c>
      <c r="E920" s="20" t="s">
        <v>485</v>
      </c>
      <c r="F920" s="10" t="s">
        <v>369</v>
      </c>
      <c r="G920" s="20" t="s">
        <v>370</v>
      </c>
      <c r="H920" s="20" t="s">
        <v>485</v>
      </c>
      <c r="I920" s="10" t="s">
        <v>369</v>
      </c>
      <c r="J920" s="20" t="s">
        <v>398</v>
      </c>
      <c r="K920" s="20" t="s">
        <v>486</v>
      </c>
      <c r="L920" s="9" t="s">
        <v>380</v>
      </c>
      <c r="M920" s="9">
        <v>10</v>
      </c>
      <c r="N920" s="9" t="s">
        <v>355</v>
      </c>
      <c r="O920" s="9" t="s">
        <v>1195</v>
      </c>
      <c r="P920" s="12">
        <v>33.915219999999998</v>
      </c>
      <c r="Q920" s="12" t="s">
        <v>355</v>
      </c>
      <c r="R920" s="9" t="s">
        <v>356</v>
      </c>
      <c r="S920" s="13" t="s">
        <v>1189</v>
      </c>
      <c r="T920" s="13" t="s">
        <v>1190</v>
      </c>
      <c r="U920" s="14">
        <f t="shared" si="126"/>
        <v>2.0827853703164503</v>
      </c>
      <c r="V920" s="15">
        <v>20</v>
      </c>
      <c r="W920" s="12"/>
      <c r="X920" s="12">
        <v>0.7</v>
      </c>
      <c r="Y920" s="13" t="s">
        <v>358</v>
      </c>
      <c r="Z920" s="9" t="s">
        <v>359</v>
      </c>
      <c r="AA920" s="10" t="s">
        <v>1196</v>
      </c>
      <c r="AB920" s="9" t="s">
        <v>355</v>
      </c>
      <c r="AC920" s="15">
        <v>262</v>
      </c>
      <c r="AD920" s="14">
        <f t="shared" si="127"/>
        <v>2.4183012913197452</v>
      </c>
      <c r="AE920" s="10" t="s">
        <v>886</v>
      </c>
      <c r="AF920" s="9" t="s">
        <v>362</v>
      </c>
      <c r="AG920" s="18">
        <v>42.75</v>
      </c>
      <c r="AH920" s="7">
        <f t="shared" si="128"/>
        <v>1</v>
      </c>
      <c r="AI920" s="7">
        <f t="shared" si="129"/>
        <v>1</v>
      </c>
      <c r="AJ920" s="7">
        <f t="shared" si="130"/>
        <v>0</v>
      </c>
      <c r="AK920" s="7">
        <f t="shared" si="131"/>
        <v>0</v>
      </c>
      <c r="AL920" s="7" t="s">
        <v>4157</v>
      </c>
      <c r="AM920" s="18">
        <f t="shared" si="132"/>
        <v>1.6309361190641913</v>
      </c>
      <c r="AN920" s="18">
        <v>42.75</v>
      </c>
      <c r="AO920" s="18">
        <v>-83.216667000000001</v>
      </c>
      <c r="AP920" s="9" t="s">
        <v>363</v>
      </c>
      <c r="AQ920" s="9" t="s">
        <v>355</v>
      </c>
      <c r="AR920" s="15">
        <v>1986</v>
      </c>
      <c r="AS920" s="19" t="s">
        <v>882</v>
      </c>
      <c r="AT920" s="20" t="s">
        <v>883</v>
      </c>
      <c r="AU920" s="40">
        <v>9096515</v>
      </c>
      <c r="AV920" s="35">
        <f t="shared" si="133"/>
        <v>6.9588750399961636</v>
      </c>
      <c r="AW920" s="37" t="s">
        <v>366</v>
      </c>
      <c r="AX920" s="34" t="s">
        <v>355</v>
      </c>
      <c r="AY920" s="40" t="s">
        <v>355</v>
      </c>
      <c r="AZ920" s="36">
        <v>55</v>
      </c>
      <c r="BA920" s="14">
        <f t="shared" si="134"/>
        <v>1.7403626894942439</v>
      </c>
      <c r="BB920" s="37" t="s">
        <v>388</v>
      </c>
      <c r="BC920" s="20">
        <v>2.3402561024410035E-2</v>
      </c>
      <c r="BD920" s="9">
        <v>28.400000000000002</v>
      </c>
      <c r="BE920" s="9" t="s">
        <v>368</v>
      </c>
      <c r="BF920" s="9">
        <v>0</v>
      </c>
    </row>
    <row r="921" spans="1:58">
      <c r="A921" s="9">
        <v>68</v>
      </c>
      <c r="B921" s="10" t="s">
        <v>76</v>
      </c>
      <c r="C921" s="10" t="s">
        <v>369</v>
      </c>
      <c r="D921" s="20" t="s">
        <v>370</v>
      </c>
      <c r="E921" s="20" t="s">
        <v>485</v>
      </c>
      <c r="F921" s="10" t="s">
        <v>369</v>
      </c>
      <c r="G921" s="20" t="s">
        <v>370</v>
      </c>
      <c r="H921" s="20" t="s">
        <v>485</v>
      </c>
      <c r="I921" s="10" t="s">
        <v>369</v>
      </c>
      <c r="J921" s="20" t="s">
        <v>398</v>
      </c>
      <c r="K921" s="20" t="s">
        <v>486</v>
      </c>
      <c r="L921" s="9" t="s">
        <v>380</v>
      </c>
      <c r="M921" s="9">
        <v>10</v>
      </c>
      <c r="N921" s="9" t="s">
        <v>355</v>
      </c>
      <c r="O921" s="9" t="s">
        <v>1195</v>
      </c>
      <c r="P921" s="12">
        <v>27.36693</v>
      </c>
      <c r="Q921" s="12" t="s">
        <v>355</v>
      </c>
      <c r="R921" s="9" t="s">
        <v>356</v>
      </c>
      <c r="S921" s="13" t="s">
        <v>1189</v>
      </c>
      <c r="T921" s="13" t="s">
        <v>1190</v>
      </c>
      <c r="U921" s="14">
        <f t="shared" si="126"/>
        <v>2.0827853703164503</v>
      </c>
      <c r="V921" s="15">
        <v>15</v>
      </c>
      <c r="W921" s="12"/>
      <c r="X921" s="12">
        <v>0.7</v>
      </c>
      <c r="Y921" s="13" t="s">
        <v>358</v>
      </c>
      <c r="Z921" s="9" t="s">
        <v>359</v>
      </c>
      <c r="AA921" s="10" t="s">
        <v>1196</v>
      </c>
      <c r="AB921" s="9" t="s">
        <v>355</v>
      </c>
      <c r="AC921" s="15">
        <v>326</v>
      </c>
      <c r="AD921" s="14">
        <f t="shared" si="127"/>
        <v>2.5132176000679389</v>
      </c>
      <c r="AE921" s="10" t="s">
        <v>887</v>
      </c>
      <c r="AF921" s="9" t="s">
        <v>420</v>
      </c>
      <c r="AG921" s="18">
        <v>37.566667000000002</v>
      </c>
      <c r="AH921" s="7">
        <f t="shared" si="128"/>
        <v>1</v>
      </c>
      <c r="AI921" s="7">
        <f t="shared" si="129"/>
        <v>1</v>
      </c>
      <c r="AJ921" s="7">
        <f t="shared" si="130"/>
        <v>0</v>
      </c>
      <c r="AK921" s="7">
        <f t="shared" si="131"/>
        <v>0</v>
      </c>
      <c r="AL921" s="7" t="s">
        <v>4157</v>
      </c>
      <c r="AM921" s="18">
        <f t="shared" si="132"/>
        <v>1.5748026651799887</v>
      </c>
      <c r="AN921" s="18">
        <v>37.566667000000002</v>
      </c>
      <c r="AO921" s="18">
        <v>-84.3</v>
      </c>
      <c r="AP921" s="9" t="s">
        <v>363</v>
      </c>
      <c r="AQ921" s="9" t="s">
        <v>355</v>
      </c>
      <c r="AR921" s="15">
        <v>1986</v>
      </c>
      <c r="AS921" s="19" t="s">
        <v>882</v>
      </c>
      <c r="AT921" s="20" t="s">
        <v>883</v>
      </c>
      <c r="AU921" s="40">
        <v>9096515</v>
      </c>
      <c r="AV921" s="35">
        <f t="shared" si="133"/>
        <v>6.9588750399961636</v>
      </c>
      <c r="AW921" s="37" t="s">
        <v>366</v>
      </c>
      <c r="AX921" s="34" t="s">
        <v>355</v>
      </c>
      <c r="AY921" s="40" t="s">
        <v>355</v>
      </c>
      <c r="AZ921" s="36">
        <v>55</v>
      </c>
      <c r="BA921" s="14">
        <f t="shared" si="134"/>
        <v>1.7403626894942439</v>
      </c>
      <c r="BB921" s="37" t="s">
        <v>388</v>
      </c>
      <c r="BC921" s="20">
        <v>2.206562625050016E-2</v>
      </c>
      <c r="BD921" s="9">
        <v>30.200000000000003</v>
      </c>
      <c r="BE921" s="9" t="s">
        <v>368</v>
      </c>
      <c r="BF921" s="9">
        <v>0</v>
      </c>
    </row>
    <row r="922" spans="1:58">
      <c r="A922" s="9">
        <v>69</v>
      </c>
      <c r="B922" s="10" t="s">
        <v>76</v>
      </c>
      <c r="C922" s="10" t="s">
        <v>369</v>
      </c>
      <c r="D922" s="20" t="s">
        <v>370</v>
      </c>
      <c r="E922" s="20" t="s">
        <v>485</v>
      </c>
      <c r="F922" s="10" t="s">
        <v>369</v>
      </c>
      <c r="G922" s="20" t="s">
        <v>370</v>
      </c>
      <c r="H922" s="20" t="s">
        <v>485</v>
      </c>
      <c r="I922" s="10" t="s">
        <v>369</v>
      </c>
      <c r="J922" s="20" t="s">
        <v>398</v>
      </c>
      <c r="K922" s="20" t="s">
        <v>486</v>
      </c>
      <c r="L922" s="9" t="s">
        <v>380</v>
      </c>
      <c r="M922" s="9">
        <v>10</v>
      </c>
      <c r="N922" s="9" t="s">
        <v>355</v>
      </c>
      <c r="O922" s="9" t="s">
        <v>1195</v>
      </c>
      <c r="P922" s="12">
        <v>28.420120000000001</v>
      </c>
      <c r="Q922" s="12" t="s">
        <v>355</v>
      </c>
      <c r="R922" s="9" t="s">
        <v>356</v>
      </c>
      <c r="S922" s="13" t="s">
        <v>1189</v>
      </c>
      <c r="T922" s="13" t="s">
        <v>1190</v>
      </c>
      <c r="U922" s="14">
        <f t="shared" si="126"/>
        <v>2.0827853703164503</v>
      </c>
      <c r="V922" s="15">
        <v>15</v>
      </c>
      <c r="W922" s="12"/>
      <c r="X922" s="12">
        <v>0.7</v>
      </c>
      <c r="Y922" s="13" t="s">
        <v>358</v>
      </c>
      <c r="Z922" s="9" t="s">
        <v>359</v>
      </c>
      <c r="AA922" s="10" t="s">
        <v>1196</v>
      </c>
      <c r="AB922" s="9" t="s">
        <v>355</v>
      </c>
      <c r="AC922" s="15">
        <v>326</v>
      </c>
      <c r="AD922" s="14">
        <f t="shared" si="127"/>
        <v>2.5132176000679389</v>
      </c>
      <c r="AE922" s="10" t="s">
        <v>887</v>
      </c>
      <c r="AF922" s="9" t="s">
        <v>420</v>
      </c>
      <c r="AG922" s="18">
        <v>37.566667000000002</v>
      </c>
      <c r="AH922" s="7">
        <f t="shared" si="128"/>
        <v>1</v>
      </c>
      <c r="AI922" s="7">
        <f t="shared" si="129"/>
        <v>1</v>
      </c>
      <c r="AJ922" s="7">
        <f t="shared" si="130"/>
        <v>0</v>
      </c>
      <c r="AK922" s="7">
        <f t="shared" si="131"/>
        <v>0</v>
      </c>
      <c r="AL922" s="7" t="s">
        <v>4157</v>
      </c>
      <c r="AM922" s="18">
        <f t="shared" si="132"/>
        <v>1.5748026651799887</v>
      </c>
      <c r="AN922" s="18">
        <v>37.566667000000002</v>
      </c>
      <c r="AO922" s="18">
        <v>-84.3</v>
      </c>
      <c r="AP922" s="9" t="s">
        <v>363</v>
      </c>
      <c r="AQ922" s="9" t="s">
        <v>355</v>
      </c>
      <c r="AR922" s="15">
        <v>1986</v>
      </c>
      <c r="AS922" s="19" t="s">
        <v>882</v>
      </c>
      <c r="AT922" s="20" t="s">
        <v>883</v>
      </c>
      <c r="AU922" s="40">
        <v>9096515</v>
      </c>
      <c r="AV922" s="35">
        <f t="shared" si="133"/>
        <v>6.9588750399961636</v>
      </c>
      <c r="AW922" s="37" t="s">
        <v>366</v>
      </c>
      <c r="AX922" s="34" t="s">
        <v>355</v>
      </c>
      <c r="AY922" s="40" t="s">
        <v>355</v>
      </c>
      <c r="AZ922" s="36">
        <v>55</v>
      </c>
      <c r="BA922" s="14">
        <f t="shared" si="134"/>
        <v>1.7403626894942439</v>
      </c>
      <c r="BB922" s="37" t="s">
        <v>388</v>
      </c>
      <c r="BC922" s="20">
        <v>2.206562625050016E-2</v>
      </c>
      <c r="BD922" s="9">
        <v>30.200000000000003</v>
      </c>
      <c r="BE922" s="9" t="s">
        <v>368</v>
      </c>
      <c r="BF922" s="9">
        <v>0</v>
      </c>
    </row>
    <row r="923" spans="1:58">
      <c r="A923" s="9">
        <v>74</v>
      </c>
      <c r="B923" s="10" t="s">
        <v>76</v>
      </c>
      <c r="C923" s="10" t="s">
        <v>369</v>
      </c>
      <c r="D923" s="20" t="s">
        <v>370</v>
      </c>
      <c r="E923" s="20" t="s">
        <v>485</v>
      </c>
      <c r="F923" s="10" t="s">
        <v>369</v>
      </c>
      <c r="G923" s="20" t="s">
        <v>370</v>
      </c>
      <c r="H923" s="20" t="s">
        <v>485</v>
      </c>
      <c r="I923" s="10" t="s">
        <v>369</v>
      </c>
      <c r="J923" s="20" t="s">
        <v>398</v>
      </c>
      <c r="K923" s="20" t="s">
        <v>486</v>
      </c>
      <c r="L923" s="9" t="s">
        <v>380</v>
      </c>
      <c r="M923" s="9">
        <v>10</v>
      </c>
      <c r="N923" s="9" t="s">
        <v>355</v>
      </c>
      <c r="O923" s="9" t="s">
        <v>1195</v>
      </c>
      <c r="P923" s="12">
        <v>36.227679999999999</v>
      </c>
      <c r="Q923" s="12" t="s">
        <v>355</v>
      </c>
      <c r="R923" s="9" t="s">
        <v>356</v>
      </c>
      <c r="S923" s="13" t="s">
        <v>1189</v>
      </c>
      <c r="T923" s="13" t="s">
        <v>1190</v>
      </c>
      <c r="U923" s="14">
        <f t="shared" si="126"/>
        <v>2.0827853703164503</v>
      </c>
      <c r="V923" s="15">
        <v>20</v>
      </c>
      <c r="W923" s="12"/>
      <c r="X923" s="12">
        <v>0.7</v>
      </c>
      <c r="Y923" s="13" t="s">
        <v>358</v>
      </c>
      <c r="Z923" s="9" t="s">
        <v>359</v>
      </c>
      <c r="AA923" s="10" t="s">
        <v>1196</v>
      </c>
      <c r="AB923" s="9" t="s">
        <v>355</v>
      </c>
      <c r="AC923" s="15">
        <v>326</v>
      </c>
      <c r="AD923" s="14">
        <f t="shared" si="127"/>
        <v>2.5132176000679389</v>
      </c>
      <c r="AE923" s="10" t="s">
        <v>887</v>
      </c>
      <c r="AF923" s="9" t="s">
        <v>420</v>
      </c>
      <c r="AG923" s="18">
        <v>37.566667000000002</v>
      </c>
      <c r="AH923" s="7">
        <f t="shared" si="128"/>
        <v>1</v>
      </c>
      <c r="AI923" s="7">
        <f t="shared" si="129"/>
        <v>1</v>
      </c>
      <c r="AJ923" s="7">
        <f t="shared" si="130"/>
        <v>0</v>
      </c>
      <c r="AK923" s="7">
        <f t="shared" si="131"/>
        <v>0</v>
      </c>
      <c r="AL923" s="7" t="s">
        <v>4157</v>
      </c>
      <c r="AM923" s="18">
        <f t="shared" si="132"/>
        <v>1.5748026651799887</v>
      </c>
      <c r="AN923" s="18">
        <v>37.566667000000002</v>
      </c>
      <c r="AO923" s="18">
        <v>-84.3</v>
      </c>
      <c r="AP923" s="9" t="s">
        <v>363</v>
      </c>
      <c r="AQ923" s="9" t="s">
        <v>355</v>
      </c>
      <c r="AR923" s="15">
        <v>1986</v>
      </c>
      <c r="AS923" s="19" t="s">
        <v>882</v>
      </c>
      <c r="AT923" s="20" t="s">
        <v>883</v>
      </c>
      <c r="AU923" s="40">
        <v>9096515</v>
      </c>
      <c r="AV923" s="35">
        <f t="shared" si="133"/>
        <v>6.9588750399961636</v>
      </c>
      <c r="AW923" s="37" t="s">
        <v>366</v>
      </c>
      <c r="AX923" s="34" t="s">
        <v>355</v>
      </c>
      <c r="AY923" s="40" t="s">
        <v>355</v>
      </c>
      <c r="AZ923" s="36">
        <v>55</v>
      </c>
      <c r="BA923" s="14">
        <f t="shared" si="134"/>
        <v>1.7403626894942439</v>
      </c>
      <c r="BB923" s="37" t="s">
        <v>388</v>
      </c>
      <c r="BC923" s="20">
        <v>2.206562625050016E-2</v>
      </c>
      <c r="BD923" s="9">
        <v>30.200000000000003</v>
      </c>
      <c r="BE923" s="9" t="s">
        <v>368</v>
      </c>
      <c r="BF923" s="9">
        <v>0</v>
      </c>
    </row>
    <row r="924" spans="1:58">
      <c r="A924" s="9">
        <v>73</v>
      </c>
      <c r="B924" s="10" t="s">
        <v>76</v>
      </c>
      <c r="C924" s="10" t="s">
        <v>369</v>
      </c>
      <c r="D924" s="20" t="s">
        <v>370</v>
      </c>
      <c r="E924" s="20" t="s">
        <v>485</v>
      </c>
      <c r="F924" s="10" t="s">
        <v>369</v>
      </c>
      <c r="G924" s="20" t="s">
        <v>370</v>
      </c>
      <c r="H924" s="20" t="s">
        <v>485</v>
      </c>
      <c r="I924" s="10" t="s">
        <v>369</v>
      </c>
      <c r="J924" s="20" t="s">
        <v>398</v>
      </c>
      <c r="K924" s="20" t="s">
        <v>486</v>
      </c>
      <c r="L924" s="9" t="s">
        <v>380</v>
      </c>
      <c r="M924" s="9">
        <v>10</v>
      </c>
      <c r="N924" s="9" t="s">
        <v>355</v>
      </c>
      <c r="O924" s="9" t="s">
        <v>1195</v>
      </c>
      <c r="P924" s="12">
        <v>36.711399999999998</v>
      </c>
      <c r="Q924" s="12" t="s">
        <v>355</v>
      </c>
      <c r="R924" s="9" t="s">
        <v>356</v>
      </c>
      <c r="S924" s="13" t="s">
        <v>1189</v>
      </c>
      <c r="T924" s="13" t="s">
        <v>1190</v>
      </c>
      <c r="U924" s="14">
        <f t="shared" si="126"/>
        <v>2.0827853703164503</v>
      </c>
      <c r="V924" s="15">
        <v>20</v>
      </c>
      <c r="W924" s="12"/>
      <c r="X924" s="12">
        <v>0.7</v>
      </c>
      <c r="Y924" s="13" t="s">
        <v>358</v>
      </c>
      <c r="Z924" s="9" t="s">
        <v>359</v>
      </c>
      <c r="AA924" s="10" t="s">
        <v>1196</v>
      </c>
      <c r="AB924" s="9" t="s">
        <v>355</v>
      </c>
      <c r="AC924" s="15">
        <v>326</v>
      </c>
      <c r="AD924" s="14">
        <f t="shared" si="127"/>
        <v>2.5132176000679389</v>
      </c>
      <c r="AE924" s="10" t="s">
        <v>887</v>
      </c>
      <c r="AF924" s="9" t="s">
        <v>420</v>
      </c>
      <c r="AG924" s="18">
        <v>37.566667000000002</v>
      </c>
      <c r="AH924" s="7">
        <f t="shared" si="128"/>
        <v>1</v>
      </c>
      <c r="AI924" s="7">
        <f t="shared" si="129"/>
        <v>1</v>
      </c>
      <c r="AJ924" s="7">
        <f t="shared" si="130"/>
        <v>0</v>
      </c>
      <c r="AK924" s="7">
        <f t="shared" si="131"/>
        <v>0</v>
      </c>
      <c r="AL924" s="7" t="s">
        <v>4157</v>
      </c>
      <c r="AM924" s="18">
        <f t="shared" si="132"/>
        <v>1.5748026651799887</v>
      </c>
      <c r="AN924" s="18">
        <v>37.566667000000002</v>
      </c>
      <c r="AO924" s="18">
        <v>-84.3</v>
      </c>
      <c r="AP924" s="9" t="s">
        <v>363</v>
      </c>
      <c r="AQ924" s="9" t="s">
        <v>355</v>
      </c>
      <c r="AR924" s="15">
        <v>1986</v>
      </c>
      <c r="AS924" s="19" t="s">
        <v>882</v>
      </c>
      <c r="AT924" s="20" t="s">
        <v>883</v>
      </c>
      <c r="AU924" s="40">
        <v>9096515</v>
      </c>
      <c r="AV924" s="35">
        <f t="shared" si="133"/>
        <v>6.9588750399961636</v>
      </c>
      <c r="AW924" s="37" t="s">
        <v>366</v>
      </c>
      <c r="AX924" s="34" t="s">
        <v>355</v>
      </c>
      <c r="AY924" s="40" t="s">
        <v>355</v>
      </c>
      <c r="AZ924" s="36">
        <v>55</v>
      </c>
      <c r="BA924" s="14">
        <f t="shared" si="134"/>
        <v>1.7403626894942439</v>
      </c>
      <c r="BB924" s="37" t="s">
        <v>388</v>
      </c>
      <c r="BC924" s="20">
        <v>2.206562625050016E-2</v>
      </c>
      <c r="BD924" s="9">
        <v>30.200000000000003</v>
      </c>
      <c r="BE924" s="9" t="s">
        <v>368</v>
      </c>
      <c r="BF924" s="9">
        <v>0</v>
      </c>
    </row>
    <row r="925" spans="1:58">
      <c r="A925" s="9">
        <v>630</v>
      </c>
      <c r="B925" s="10" t="s">
        <v>76</v>
      </c>
      <c r="C925" s="10" t="s">
        <v>77</v>
      </c>
      <c r="D925" s="20" t="s">
        <v>503</v>
      </c>
      <c r="E925" s="20" t="s">
        <v>507</v>
      </c>
      <c r="F925" s="10" t="s">
        <v>77</v>
      </c>
      <c r="G925" s="20" t="s">
        <v>503</v>
      </c>
      <c r="H925" s="20" t="s">
        <v>507</v>
      </c>
      <c r="I925" s="10" t="s">
        <v>77</v>
      </c>
      <c r="J925" s="20" t="s">
        <v>503</v>
      </c>
      <c r="K925" s="20" t="s">
        <v>507</v>
      </c>
      <c r="L925" s="9" t="s">
        <v>430</v>
      </c>
      <c r="M925" s="9">
        <v>10</v>
      </c>
      <c r="N925" s="9" t="s">
        <v>381</v>
      </c>
      <c r="O925" s="9" t="s">
        <v>382</v>
      </c>
      <c r="P925" s="12">
        <v>38.4</v>
      </c>
      <c r="Q925" s="12" t="s">
        <v>355</v>
      </c>
      <c r="R925" s="9" t="s">
        <v>356</v>
      </c>
      <c r="S925" s="13" t="s">
        <v>1189</v>
      </c>
      <c r="T925" s="13" t="s">
        <v>1190</v>
      </c>
      <c r="U925" s="14">
        <f t="shared" si="126"/>
        <v>2.0827853703164503</v>
      </c>
      <c r="V925" s="15">
        <v>20</v>
      </c>
      <c r="W925" s="12"/>
      <c r="X925" s="12">
        <v>0.5</v>
      </c>
      <c r="Y925" s="13" t="s">
        <v>355</v>
      </c>
      <c r="Z925" s="9" t="s">
        <v>359</v>
      </c>
      <c r="AA925" s="10" t="s">
        <v>1191</v>
      </c>
      <c r="AB925" s="9" t="s">
        <v>355</v>
      </c>
      <c r="AC925" s="15">
        <v>1496</v>
      </c>
      <c r="AD925" s="14">
        <f t="shared" si="127"/>
        <v>3.1749315935284423</v>
      </c>
      <c r="AE925" s="10" t="s">
        <v>626</v>
      </c>
      <c r="AF925" s="9" t="s">
        <v>362</v>
      </c>
      <c r="AG925" s="18">
        <v>40.549999999999997</v>
      </c>
      <c r="AH925" s="7">
        <f t="shared" si="128"/>
        <v>1</v>
      </c>
      <c r="AI925" s="7">
        <f t="shared" si="129"/>
        <v>1</v>
      </c>
      <c r="AJ925" s="7">
        <f t="shared" si="130"/>
        <v>0</v>
      </c>
      <c r="AK925" s="7">
        <f t="shared" si="131"/>
        <v>0</v>
      </c>
      <c r="AL925" s="7" t="s">
        <v>4157</v>
      </c>
      <c r="AM925" s="18">
        <f t="shared" si="132"/>
        <v>1.6079908585471747</v>
      </c>
      <c r="AN925" s="18">
        <v>40.549999999999997</v>
      </c>
      <c r="AO925" s="18">
        <v>-105.016667</v>
      </c>
      <c r="AP925" s="9" t="s">
        <v>363</v>
      </c>
      <c r="AQ925" s="9" t="s">
        <v>1194</v>
      </c>
      <c r="AR925" s="15">
        <v>1978</v>
      </c>
      <c r="AS925" s="19" t="s">
        <v>1192</v>
      </c>
      <c r="AT925" s="10" t="s">
        <v>1193</v>
      </c>
      <c r="AU925" s="40">
        <v>3425336</v>
      </c>
      <c r="AV925" s="35">
        <f t="shared" si="133"/>
        <v>6.5347031789784316</v>
      </c>
      <c r="AW925" s="37" t="s">
        <v>366</v>
      </c>
      <c r="AX925" s="34" t="s">
        <v>355</v>
      </c>
      <c r="AY925" s="40" t="s">
        <v>355</v>
      </c>
      <c r="AZ925" s="36">
        <v>33</v>
      </c>
      <c r="BA925" s="14">
        <f t="shared" si="134"/>
        <v>1.5185139398778875</v>
      </c>
      <c r="BB925" s="37" t="s">
        <v>367</v>
      </c>
      <c r="BC925" s="20">
        <v>2.2623849539815964E-2</v>
      </c>
      <c r="BD925" s="9">
        <v>30.400000000000002</v>
      </c>
      <c r="BE925" s="9" t="s">
        <v>368</v>
      </c>
      <c r="BF925" s="9">
        <v>0</v>
      </c>
    </row>
    <row r="926" spans="1:58">
      <c r="A926" s="9">
        <v>629</v>
      </c>
      <c r="B926" s="10" t="s">
        <v>76</v>
      </c>
      <c r="C926" s="10" t="s">
        <v>77</v>
      </c>
      <c r="D926" s="20" t="s">
        <v>503</v>
      </c>
      <c r="E926" s="20" t="s">
        <v>507</v>
      </c>
      <c r="F926" s="10" t="s">
        <v>77</v>
      </c>
      <c r="G926" s="20" t="s">
        <v>503</v>
      </c>
      <c r="H926" s="20" t="s">
        <v>507</v>
      </c>
      <c r="I926" s="10" t="s">
        <v>77</v>
      </c>
      <c r="J926" s="20" t="s">
        <v>503</v>
      </c>
      <c r="K926" s="20" t="s">
        <v>507</v>
      </c>
      <c r="L926" s="9" t="s">
        <v>430</v>
      </c>
      <c r="M926" s="9">
        <v>10</v>
      </c>
      <c r="N926" s="9" t="s">
        <v>381</v>
      </c>
      <c r="O926" s="9" t="s">
        <v>382</v>
      </c>
      <c r="P926" s="12">
        <v>38.6</v>
      </c>
      <c r="Q926" s="12" t="s">
        <v>355</v>
      </c>
      <c r="R926" s="9" t="s">
        <v>356</v>
      </c>
      <c r="S926" s="13" t="s">
        <v>1189</v>
      </c>
      <c r="T926" s="13" t="s">
        <v>1190</v>
      </c>
      <c r="U926" s="14">
        <f t="shared" si="126"/>
        <v>2.0827853703164503</v>
      </c>
      <c r="V926" s="15">
        <v>20</v>
      </c>
      <c r="W926" s="12"/>
      <c r="X926" s="12">
        <v>0.5</v>
      </c>
      <c r="Y926" s="13" t="s">
        <v>355</v>
      </c>
      <c r="Z926" s="9" t="s">
        <v>359</v>
      </c>
      <c r="AA926" s="10" t="s">
        <v>1191</v>
      </c>
      <c r="AB926" s="9" t="s">
        <v>355</v>
      </c>
      <c r="AC926" s="15">
        <v>1520</v>
      </c>
      <c r="AD926" s="14">
        <f t="shared" si="127"/>
        <v>3.1818435879447726</v>
      </c>
      <c r="AE926" s="10" t="s">
        <v>626</v>
      </c>
      <c r="AF926" s="9" t="s">
        <v>362</v>
      </c>
      <c r="AG926" s="18">
        <v>40.6</v>
      </c>
      <c r="AH926" s="7">
        <f t="shared" si="128"/>
        <v>1</v>
      </c>
      <c r="AI926" s="7">
        <f t="shared" si="129"/>
        <v>1</v>
      </c>
      <c r="AJ926" s="7">
        <f t="shared" si="130"/>
        <v>0</v>
      </c>
      <c r="AK926" s="7">
        <f t="shared" si="131"/>
        <v>0</v>
      </c>
      <c r="AL926" s="7" t="s">
        <v>4157</v>
      </c>
      <c r="AM926" s="18">
        <f t="shared" si="132"/>
        <v>1.608526033577194</v>
      </c>
      <c r="AN926" s="18">
        <v>40.6</v>
      </c>
      <c r="AO926" s="18">
        <v>-105.016667</v>
      </c>
      <c r="AP926" s="9" t="s">
        <v>363</v>
      </c>
      <c r="AQ926" s="9" t="s">
        <v>443</v>
      </c>
      <c r="AR926" s="15">
        <v>1978</v>
      </c>
      <c r="AS926" s="19" t="s">
        <v>1192</v>
      </c>
      <c r="AT926" s="10" t="s">
        <v>1193</v>
      </c>
      <c r="AU926" s="40">
        <v>3425336</v>
      </c>
      <c r="AV926" s="35">
        <f t="shared" si="133"/>
        <v>6.5347031789784316</v>
      </c>
      <c r="AW926" s="37" t="s">
        <v>366</v>
      </c>
      <c r="AX926" s="34" t="s">
        <v>355</v>
      </c>
      <c r="AY926" s="40" t="s">
        <v>355</v>
      </c>
      <c r="AZ926" s="36">
        <v>33</v>
      </c>
      <c r="BA926" s="14">
        <f t="shared" si="134"/>
        <v>1.5185139398778875</v>
      </c>
      <c r="BB926" s="37" t="s">
        <v>367</v>
      </c>
      <c r="BC926" s="20">
        <v>2.2623849539815964E-2</v>
      </c>
      <c r="BD926" s="9">
        <v>30.200000000000003</v>
      </c>
      <c r="BE926" s="9" t="s">
        <v>368</v>
      </c>
      <c r="BF926" s="9">
        <v>0</v>
      </c>
    </row>
    <row r="927" spans="1:58">
      <c r="A927" s="9"/>
      <c r="B927" s="10"/>
      <c r="C927" s="10"/>
      <c r="D927" s="20"/>
      <c r="E927" s="20"/>
      <c r="F927" s="10"/>
      <c r="G927" s="20"/>
      <c r="H927" s="20"/>
      <c r="I927" s="10"/>
      <c r="J927" s="20"/>
      <c r="K927" s="20"/>
      <c r="L927" s="9"/>
      <c r="M927" s="9"/>
      <c r="N927" s="9"/>
      <c r="O927" s="9"/>
      <c r="P927" s="12"/>
      <c r="Q927" s="12"/>
      <c r="R927" s="9"/>
      <c r="S927" s="13"/>
      <c r="T927" s="13"/>
      <c r="U927" s="14"/>
      <c r="V927" s="15"/>
      <c r="W927" s="12"/>
      <c r="X927" s="12"/>
      <c r="Y927" s="13"/>
      <c r="Z927" s="9"/>
      <c r="AA927" s="10"/>
      <c r="AB927" s="9"/>
      <c r="AC927" s="15"/>
      <c r="AD927" s="14"/>
      <c r="AE927" s="10"/>
      <c r="AF927" s="9"/>
      <c r="AG927" s="18"/>
      <c r="AH927" s="18"/>
      <c r="AI927" s="18"/>
      <c r="AJ927" s="18"/>
      <c r="AK927" s="18"/>
      <c r="AL927" s="18"/>
      <c r="AM927" s="18"/>
      <c r="AN927" s="18"/>
      <c r="AO927" s="18"/>
      <c r="AP927" s="9"/>
      <c r="AQ927" s="9"/>
      <c r="AR927" s="15"/>
      <c r="AS927" s="19"/>
      <c r="AT927" s="10"/>
      <c r="AU927" s="40"/>
      <c r="AV927" s="35"/>
      <c r="AW927" s="37"/>
      <c r="AX927" s="34"/>
      <c r="AY927" s="40"/>
      <c r="AZ927" s="36"/>
      <c r="BA927" s="14"/>
      <c r="BB927" s="37"/>
      <c r="BC927" s="20"/>
      <c r="BD927" s="9"/>
      <c r="BE927" s="9"/>
      <c r="BF927" s="9"/>
    </row>
    <row r="928" spans="1:58">
      <c r="A928" s="9"/>
      <c r="B928" s="10"/>
      <c r="C928" s="10"/>
      <c r="D928" s="20"/>
      <c r="E928" s="20"/>
      <c r="F928" s="10"/>
      <c r="G928" s="20"/>
      <c r="H928" s="20"/>
      <c r="I928" s="10"/>
      <c r="J928" s="20"/>
      <c r="K928" s="20"/>
      <c r="L928" s="9"/>
      <c r="M928" s="9"/>
      <c r="N928" s="9"/>
      <c r="O928" s="9"/>
      <c r="P928" s="12"/>
      <c r="Q928" s="12"/>
      <c r="R928" s="9"/>
      <c r="S928" s="13"/>
      <c r="T928" s="14"/>
      <c r="U928" s="14"/>
      <c r="V928" s="15"/>
      <c r="W928" s="12"/>
      <c r="X928" s="12"/>
      <c r="Y928" s="13"/>
      <c r="Z928" s="9"/>
      <c r="AA928" s="10"/>
      <c r="AB928" s="9"/>
      <c r="AC928" s="15"/>
      <c r="AD928" s="14"/>
      <c r="AE928" s="10"/>
      <c r="AF928" s="9"/>
      <c r="AG928" s="18"/>
      <c r="AH928" s="18"/>
      <c r="AI928" s="18"/>
      <c r="AJ928" s="18"/>
      <c r="AK928" s="18"/>
      <c r="AL928" s="18"/>
      <c r="AM928" s="18"/>
      <c r="AN928" s="18"/>
      <c r="AO928" s="18"/>
      <c r="AP928" s="9"/>
      <c r="AQ928" s="9"/>
      <c r="AR928" s="15"/>
      <c r="AS928" s="19"/>
      <c r="AT928" s="10"/>
      <c r="AU928" s="40"/>
      <c r="AV928" s="35"/>
      <c r="AW928" s="37"/>
      <c r="AX928" s="34"/>
      <c r="AY928" s="40"/>
      <c r="AZ928" s="36"/>
      <c r="BA928" s="14"/>
      <c r="BB928" s="37"/>
      <c r="BC928" s="20"/>
      <c r="BD928" s="9"/>
      <c r="BE928" s="9"/>
      <c r="BF928" s="9"/>
    </row>
    <row r="929" spans="1:58">
      <c r="A929" s="17" t="s">
        <v>1452</v>
      </c>
      <c r="B929" s="10"/>
      <c r="C929" s="10"/>
      <c r="D929" s="20"/>
      <c r="E929" s="20"/>
      <c r="F929" s="10"/>
      <c r="G929" s="20"/>
      <c r="H929" s="20"/>
      <c r="I929" s="10"/>
      <c r="J929" s="20"/>
      <c r="K929" s="20"/>
      <c r="L929" s="9"/>
      <c r="M929" s="9"/>
      <c r="N929" s="9"/>
      <c r="O929" s="9"/>
      <c r="P929" s="12"/>
      <c r="Q929" s="12"/>
      <c r="R929" s="9"/>
      <c r="S929" s="13"/>
      <c r="T929" s="13"/>
      <c r="U929" s="14"/>
      <c r="V929" s="15"/>
      <c r="W929" s="12"/>
      <c r="X929" s="12"/>
      <c r="Y929" s="13"/>
      <c r="Z929" s="9"/>
      <c r="AA929" s="10"/>
      <c r="AB929" s="9"/>
      <c r="AC929" s="15"/>
      <c r="AD929" s="14"/>
      <c r="AE929" s="10"/>
      <c r="AF929" s="9"/>
      <c r="AG929" s="18"/>
      <c r="AH929" s="18"/>
      <c r="AI929" s="18"/>
      <c r="AJ929" s="18"/>
      <c r="AK929" s="18"/>
      <c r="AL929" s="18"/>
      <c r="AM929" s="18"/>
      <c r="AN929" s="18"/>
      <c r="AO929" s="18"/>
      <c r="AP929" s="9"/>
      <c r="AQ929" s="9"/>
      <c r="AR929" s="15"/>
      <c r="AS929" s="19"/>
      <c r="AT929" s="10"/>
      <c r="AU929" s="40"/>
      <c r="AV929" s="35"/>
      <c r="AW929" s="37"/>
      <c r="AX929" s="34"/>
      <c r="AY929" s="40"/>
      <c r="AZ929" s="36"/>
      <c r="BA929" s="14"/>
      <c r="BB929" s="37"/>
      <c r="BC929" s="20"/>
      <c r="BD929" s="9"/>
      <c r="BE929" s="9"/>
      <c r="BF929" s="9"/>
    </row>
    <row r="930" spans="1:58">
      <c r="A930" s="9">
        <v>174</v>
      </c>
      <c r="B930" s="10" t="s">
        <v>348</v>
      </c>
      <c r="C930" s="10" t="s">
        <v>377</v>
      </c>
      <c r="D930" s="20" t="s">
        <v>378</v>
      </c>
      <c r="E930" s="20" t="s">
        <v>696</v>
      </c>
      <c r="F930" s="10" t="s">
        <v>377</v>
      </c>
      <c r="G930" s="20" t="s">
        <v>378</v>
      </c>
      <c r="H930" s="20" t="s">
        <v>696</v>
      </c>
      <c r="I930" s="10" t="s">
        <v>377</v>
      </c>
      <c r="J930" s="20" t="s">
        <v>378</v>
      </c>
      <c r="K930" s="20" t="s">
        <v>696</v>
      </c>
      <c r="L930" s="9" t="s">
        <v>352</v>
      </c>
      <c r="M930" s="9">
        <v>6</v>
      </c>
      <c r="N930" s="9" t="s">
        <v>353</v>
      </c>
      <c r="O930" s="9" t="s">
        <v>354</v>
      </c>
      <c r="P930" s="12">
        <v>36.200000000000003</v>
      </c>
      <c r="Q930" s="12" t="s">
        <v>355</v>
      </c>
      <c r="R930" s="9" t="s">
        <v>1198</v>
      </c>
      <c r="S930" s="13" t="s">
        <v>355</v>
      </c>
      <c r="T930" s="13"/>
      <c r="U930" s="14"/>
      <c r="V930" s="38">
        <v>18</v>
      </c>
      <c r="W930" s="12">
        <v>10.584278900000001</v>
      </c>
      <c r="X930" s="12" t="s">
        <v>355</v>
      </c>
      <c r="Y930" s="13" t="s">
        <v>355</v>
      </c>
      <c r="Z930" s="9" t="s">
        <v>359</v>
      </c>
      <c r="AA930" s="10" t="s">
        <v>372</v>
      </c>
      <c r="AB930" s="9" t="s">
        <v>355</v>
      </c>
      <c r="AC930" s="38">
        <v>490</v>
      </c>
      <c r="AD930" s="14">
        <f t="shared" si="127"/>
        <v>2.6901960800285138</v>
      </c>
      <c r="AE930" s="10" t="s">
        <v>1199</v>
      </c>
      <c r="AF930" s="9" t="s">
        <v>362</v>
      </c>
      <c r="AG930" s="18">
        <v>47.164973000000003</v>
      </c>
      <c r="AH930" s="18"/>
      <c r="AI930" s="18"/>
      <c r="AJ930" s="18"/>
      <c r="AK930" s="18"/>
      <c r="AL930" s="18"/>
      <c r="AM930" s="18">
        <f t="shared" si="132"/>
        <v>1.6736195901591495</v>
      </c>
      <c r="AN930" s="65">
        <v>47.164973000000003</v>
      </c>
      <c r="AO930" s="65">
        <v>-95.196697999999998</v>
      </c>
      <c r="AP930" s="9" t="s">
        <v>363</v>
      </c>
      <c r="AQ930" s="9" t="s">
        <v>355</v>
      </c>
      <c r="AR930" s="15">
        <v>1963</v>
      </c>
      <c r="AS930" s="19" t="s">
        <v>709</v>
      </c>
      <c r="AT930" s="20" t="s">
        <v>710</v>
      </c>
      <c r="AU930" s="34">
        <v>470127</v>
      </c>
      <c r="AV930" s="35">
        <f t="shared" si="133"/>
        <v>5.6722151939967755</v>
      </c>
      <c r="AW930" s="36" t="s">
        <v>366</v>
      </c>
      <c r="AX930" s="34" t="s">
        <v>355</v>
      </c>
      <c r="AY930" s="34" t="s">
        <v>355</v>
      </c>
      <c r="AZ930" s="15">
        <v>154</v>
      </c>
      <c r="BA930" s="14">
        <f t="shared" si="134"/>
        <v>2.1875207208364631</v>
      </c>
      <c r="BB930" s="36" t="s">
        <v>388</v>
      </c>
      <c r="BC930" s="20">
        <v>3.2786714685874192E-2</v>
      </c>
      <c r="BD930" s="9">
        <v>26.1</v>
      </c>
      <c r="BE930" s="9" t="s">
        <v>368</v>
      </c>
      <c r="BF930" s="9">
        <v>0</v>
      </c>
    </row>
    <row r="931" spans="1:58">
      <c r="A931" s="9">
        <v>613</v>
      </c>
      <c r="B931" s="10" t="s">
        <v>348</v>
      </c>
      <c r="C931" s="10" t="s">
        <v>377</v>
      </c>
      <c r="D931" s="20" t="s">
        <v>378</v>
      </c>
      <c r="E931" s="20" t="s">
        <v>700</v>
      </c>
      <c r="F931" s="10" t="s">
        <v>377</v>
      </c>
      <c r="G931" s="20" t="s">
        <v>378</v>
      </c>
      <c r="H931" s="20" t="s">
        <v>700</v>
      </c>
      <c r="I931" s="10" t="s">
        <v>377</v>
      </c>
      <c r="J931" s="20" t="s">
        <v>378</v>
      </c>
      <c r="K931" s="20" t="s">
        <v>700</v>
      </c>
      <c r="L931" s="9" t="s">
        <v>352</v>
      </c>
      <c r="M931" s="9">
        <v>52</v>
      </c>
      <c r="N931" s="9" t="s">
        <v>381</v>
      </c>
      <c r="O931" s="9" t="s">
        <v>354</v>
      </c>
      <c r="P931" s="12">
        <v>35.4</v>
      </c>
      <c r="Q931" s="12" t="s">
        <v>355</v>
      </c>
      <c r="R931" s="9" t="s">
        <v>356</v>
      </c>
      <c r="S931" s="13" t="s">
        <v>355</v>
      </c>
      <c r="T931" s="13"/>
      <c r="U931" s="14"/>
      <c r="V931" s="15">
        <v>13</v>
      </c>
      <c r="W931" s="12">
        <v>5.9245783999999944</v>
      </c>
      <c r="X931" s="12">
        <v>0.7</v>
      </c>
      <c r="Y931" s="13" t="s">
        <v>384</v>
      </c>
      <c r="Z931" s="9" t="s">
        <v>909</v>
      </c>
      <c r="AA931" s="10" t="s">
        <v>1200</v>
      </c>
      <c r="AB931" s="9" t="s">
        <v>355</v>
      </c>
      <c r="AC931" s="15">
        <v>111</v>
      </c>
      <c r="AD931" s="14">
        <f t="shared" si="127"/>
        <v>2.0453229787866576</v>
      </c>
      <c r="AE931" s="10" t="s">
        <v>1201</v>
      </c>
      <c r="AF931" s="9" t="s">
        <v>420</v>
      </c>
      <c r="AG931" s="18">
        <v>36.022179999999999</v>
      </c>
      <c r="AH931" s="18"/>
      <c r="AI931" s="18"/>
      <c r="AJ931" s="18"/>
      <c r="AK931" s="18"/>
      <c r="AL931" s="18"/>
      <c r="AM931" s="18">
        <f t="shared" si="132"/>
        <v>1.5565699920293716</v>
      </c>
      <c r="AN931" s="18">
        <v>36.022179999999999</v>
      </c>
      <c r="AO931" s="18">
        <v>-78.903127999999995</v>
      </c>
      <c r="AP931" s="9" t="s">
        <v>363</v>
      </c>
      <c r="AQ931" s="9" t="s">
        <v>355</v>
      </c>
      <c r="AR931" s="15">
        <v>1973</v>
      </c>
      <c r="AS931" s="19" t="s">
        <v>1202</v>
      </c>
      <c r="AT931" s="20" t="s">
        <v>1203</v>
      </c>
      <c r="AU931" s="34">
        <v>2989256</v>
      </c>
      <c r="AV931" s="35">
        <f t="shared" si="133"/>
        <v>6.4755631096282826</v>
      </c>
      <c r="AW931" s="36" t="s">
        <v>366</v>
      </c>
      <c r="AX931" s="34" t="s">
        <v>355</v>
      </c>
      <c r="AY931" s="34" t="s">
        <v>355</v>
      </c>
      <c r="AZ931" s="15">
        <v>154</v>
      </c>
      <c r="BA931" s="14">
        <f t="shared" si="134"/>
        <v>2.1875207208364631</v>
      </c>
      <c r="BB931" s="36" t="s">
        <v>388</v>
      </c>
      <c r="BC931" s="20">
        <v>2.1759103641456647E-2</v>
      </c>
      <c r="BD931" s="9">
        <v>31.6</v>
      </c>
      <c r="BE931" s="9" t="s">
        <v>368</v>
      </c>
      <c r="BF931" s="9">
        <v>0</v>
      </c>
    </row>
    <row r="932" spans="1:58">
      <c r="A932" s="9">
        <v>614</v>
      </c>
      <c r="B932" s="10" t="s">
        <v>348</v>
      </c>
      <c r="C932" s="10" t="s">
        <v>377</v>
      </c>
      <c r="D932" s="20" t="s">
        <v>378</v>
      </c>
      <c r="E932" s="20" t="s">
        <v>700</v>
      </c>
      <c r="F932" s="10" t="s">
        <v>377</v>
      </c>
      <c r="G932" s="20" t="s">
        <v>378</v>
      </c>
      <c r="H932" s="20" t="s">
        <v>700</v>
      </c>
      <c r="I932" s="10" t="s">
        <v>377</v>
      </c>
      <c r="J932" s="20" t="s">
        <v>378</v>
      </c>
      <c r="K932" s="20" t="s">
        <v>700</v>
      </c>
      <c r="L932" s="9" t="s">
        <v>352</v>
      </c>
      <c r="M932" s="9">
        <v>31</v>
      </c>
      <c r="N932" s="9" t="s">
        <v>381</v>
      </c>
      <c r="O932" s="9" t="s">
        <v>354</v>
      </c>
      <c r="P932" s="12">
        <v>35.799999999999997</v>
      </c>
      <c r="Q932" s="12" t="s">
        <v>355</v>
      </c>
      <c r="R932" s="9" t="s">
        <v>356</v>
      </c>
      <c r="S932" s="13" t="s">
        <v>355</v>
      </c>
      <c r="T932" s="13"/>
      <c r="U932" s="14"/>
      <c r="V932" s="15">
        <v>13</v>
      </c>
      <c r="W932" s="12">
        <v>6.5777126999999957</v>
      </c>
      <c r="X932" s="12">
        <v>0.7</v>
      </c>
      <c r="Y932" s="13" t="s">
        <v>384</v>
      </c>
      <c r="Z932" s="9" t="s">
        <v>909</v>
      </c>
      <c r="AA932" s="10" t="s">
        <v>1200</v>
      </c>
      <c r="AB932" s="9" t="s">
        <v>355</v>
      </c>
      <c r="AC932" s="15">
        <v>193</v>
      </c>
      <c r="AD932" s="14">
        <f t="shared" si="127"/>
        <v>2.2855573090077739</v>
      </c>
      <c r="AE932" s="10" t="s">
        <v>1155</v>
      </c>
      <c r="AF932" s="9" t="s">
        <v>420</v>
      </c>
      <c r="AG932" s="18">
        <v>36.026302000000001</v>
      </c>
      <c r="AH932" s="18"/>
      <c r="AI932" s="18"/>
      <c r="AJ932" s="18"/>
      <c r="AK932" s="18"/>
      <c r="AL932" s="18"/>
      <c r="AM932" s="18">
        <f t="shared" si="132"/>
        <v>1.5566196852860972</v>
      </c>
      <c r="AN932" s="18">
        <v>36.026302000000001</v>
      </c>
      <c r="AO932" s="18">
        <v>-79.109690000000001</v>
      </c>
      <c r="AP932" s="9" t="s">
        <v>363</v>
      </c>
      <c r="AQ932" s="9" t="s">
        <v>355</v>
      </c>
      <c r="AR932" s="15">
        <v>1973</v>
      </c>
      <c r="AS932" s="19" t="s">
        <v>1202</v>
      </c>
      <c r="AT932" s="20" t="s">
        <v>1203</v>
      </c>
      <c r="AU932" s="34">
        <v>2989256</v>
      </c>
      <c r="AV932" s="35">
        <f t="shared" si="133"/>
        <v>6.4755631096282826</v>
      </c>
      <c r="AW932" s="36" t="s">
        <v>366</v>
      </c>
      <c r="AX932" s="34" t="s">
        <v>355</v>
      </c>
      <c r="AY932" s="34" t="s">
        <v>355</v>
      </c>
      <c r="AZ932" s="15">
        <v>154</v>
      </c>
      <c r="BA932" s="14">
        <f t="shared" si="134"/>
        <v>2.1875207208364631</v>
      </c>
      <c r="BB932" s="36" t="s">
        <v>388</v>
      </c>
      <c r="BC932" s="20">
        <v>2.0466586634653255E-2</v>
      </c>
      <c r="BD932" s="9">
        <v>31.3</v>
      </c>
      <c r="BE932" s="9" t="s">
        <v>368</v>
      </c>
      <c r="BF932" s="9">
        <v>0</v>
      </c>
    </row>
    <row r="933" spans="1:58">
      <c r="A933" s="9">
        <v>615</v>
      </c>
      <c r="B933" s="10" t="s">
        <v>348</v>
      </c>
      <c r="C933" s="10" t="s">
        <v>377</v>
      </c>
      <c r="D933" s="20" t="s">
        <v>378</v>
      </c>
      <c r="E933" s="20" t="s">
        <v>700</v>
      </c>
      <c r="F933" s="10" t="s">
        <v>377</v>
      </c>
      <c r="G933" s="20" t="s">
        <v>378</v>
      </c>
      <c r="H933" s="20" t="s">
        <v>700</v>
      </c>
      <c r="I933" s="10" t="s">
        <v>377</v>
      </c>
      <c r="J933" s="20" t="s">
        <v>378</v>
      </c>
      <c r="K933" s="20" t="s">
        <v>700</v>
      </c>
      <c r="L933" s="9" t="s">
        <v>352</v>
      </c>
      <c r="M933" s="9">
        <v>27</v>
      </c>
      <c r="N933" s="9" t="s">
        <v>381</v>
      </c>
      <c r="O933" s="9" t="s">
        <v>354</v>
      </c>
      <c r="P933" s="12">
        <v>35.5</v>
      </c>
      <c r="Q933" s="12" t="s">
        <v>355</v>
      </c>
      <c r="R933" s="9" t="s">
        <v>356</v>
      </c>
      <c r="S933" s="13" t="s">
        <v>355</v>
      </c>
      <c r="T933" s="13"/>
      <c r="U933" s="14"/>
      <c r="V933" s="15">
        <v>13</v>
      </c>
      <c r="W933" s="12">
        <v>7.543384200000002</v>
      </c>
      <c r="X933" s="12">
        <v>0.7</v>
      </c>
      <c r="Y933" s="13" t="s">
        <v>384</v>
      </c>
      <c r="Z933" s="9" t="s">
        <v>909</v>
      </c>
      <c r="AA933" s="10" t="s">
        <v>1200</v>
      </c>
      <c r="AB933" s="9" t="s">
        <v>355</v>
      </c>
      <c r="AC933" s="15">
        <v>422</v>
      </c>
      <c r="AD933" s="14">
        <f t="shared" si="127"/>
        <v>2.6253124509616739</v>
      </c>
      <c r="AE933" s="10" t="s">
        <v>697</v>
      </c>
      <c r="AF933" s="9" t="s">
        <v>362</v>
      </c>
      <c r="AG933" s="18">
        <v>40.202500000000001</v>
      </c>
      <c r="AH933" s="18"/>
      <c r="AI933" s="18"/>
      <c r="AJ933" s="18"/>
      <c r="AK933" s="18"/>
      <c r="AL933" s="18"/>
      <c r="AM933" s="18">
        <f t="shared" si="132"/>
        <v>1.604253060607995</v>
      </c>
      <c r="AN933" s="18">
        <v>40.202500000000001</v>
      </c>
      <c r="AO933" s="18">
        <v>-77.194999999999993</v>
      </c>
      <c r="AP933" s="9" t="s">
        <v>363</v>
      </c>
      <c r="AQ933" s="9" t="s">
        <v>355</v>
      </c>
      <c r="AR933" s="15">
        <v>1973</v>
      </c>
      <c r="AS933" s="19" t="s">
        <v>1202</v>
      </c>
      <c r="AT933" s="20" t="s">
        <v>1203</v>
      </c>
      <c r="AU933" s="34">
        <v>2989256</v>
      </c>
      <c r="AV933" s="35">
        <f t="shared" si="133"/>
        <v>6.4755631096282826</v>
      </c>
      <c r="AW933" s="36" t="s">
        <v>366</v>
      </c>
      <c r="AX933" s="34" t="s">
        <v>355</v>
      </c>
      <c r="AY933" s="34" t="s">
        <v>355</v>
      </c>
      <c r="AZ933" s="15">
        <v>154</v>
      </c>
      <c r="BA933" s="14">
        <f t="shared" si="134"/>
        <v>2.1875207208364631</v>
      </c>
      <c r="BB933" s="36" t="s">
        <v>388</v>
      </c>
      <c r="BC933" s="20">
        <v>3.5482192877152883E-3</v>
      </c>
      <c r="BD933" s="9">
        <v>29.8</v>
      </c>
      <c r="BE933" s="9" t="s">
        <v>368</v>
      </c>
      <c r="BF933" s="9">
        <v>0</v>
      </c>
    </row>
    <row r="934" spans="1:58">
      <c r="A934" s="9">
        <v>175</v>
      </c>
      <c r="B934" s="10" t="s">
        <v>348</v>
      </c>
      <c r="C934" s="10" t="s">
        <v>377</v>
      </c>
      <c r="D934" s="20" t="s">
        <v>378</v>
      </c>
      <c r="E934" s="20" t="s">
        <v>379</v>
      </c>
      <c r="F934" s="10" t="s">
        <v>377</v>
      </c>
      <c r="G934" s="20" t="s">
        <v>378</v>
      </c>
      <c r="H934" s="20" t="s">
        <v>379</v>
      </c>
      <c r="I934" s="10" t="s">
        <v>377</v>
      </c>
      <c r="J934" s="20" t="s">
        <v>378</v>
      </c>
      <c r="K934" s="20" t="s">
        <v>379</v>
      </c>
      <c r="L934" s="9" t="s">
        <v>352</v>
      </c>
      <c r="M934" s="9">
        <v>6</v>
      </c>
      <c r="N934" s="9" t="s">
        <v>353</v>
      </c>
      <c r="O934" s="9" t="s">
        <v>354</v>
      </c>
      <c r="P934" s="12">
        <v>36.700000000000003</v>
      </c>
      <c r="Q934" s="12" t="s">
        <v>355</v>
      </c>
      <c r="R934" s="9" t="s">
        <v>1198</v>
      </c>
      <c r="S934" s="13" t="s">
        <v>355</v>
      </c>
      <c r="T934" s="13"/>
      <c r="U934" s="14"/>
      <c r="V934" s="38">
        <v>21</v>
      </c>
      <c r="W934" s="12">
        <v>8.3374132000000039</v>
      </c>
      <c r="X934" s="12" t="s">
        <v>355</v>
      </c>
      <c r="Y934" s="13" t="s">
        <v>355</v>
      </c>
      <c r="Z934" s="9" t="s">
        <v>359</v>
      </c>
      <c r="AA934" s="10" t="s">
        <v>372</v>
      </c>
      <c r="AB934" s="9" t="s">
        <v>355</v>
      </c>
      <c r="AC934" s="38">
        <v>267</v>
      </c>
      <c r="AD934" s="14">
        <f t="shared" si="127"/>
        <v>2.4265112613645754</v>
      </c>
      <c r="AE934" s="10" t="s">
        <v>1204</v>
      </c>
      <c r="AF934" s="44" t="s">
        <v>362</v>
      </c>
      <c r="AG934" s="18">
        <v>44.996398999999997</v>
      </c>
      <c r="AH934" s="18"/>
      <c r="AI934" s="18"/>
      <c r="AJ934" s="18"/>
      <c r="AK934" s="18"/>
      <c r="AL934" s="18"/>
      <c r="AM934" s="18">
        <f t="shared" si="132"/>
        <v>1.6531777591752141</v>
      </c>
      <c r="AN934" s="66">
        <v>44.996398999999997</v>
      </c>
      <c r="AO934" s="66">
        <v>-93.061598000000004</v>
      </c>
      <c r="AP934" s="9" t="s">
        <v>363</v>
      </c>
      <c r="AQ934" s="9" t="s">
        <v>403</v>
      </c>
      <c r="AR934" s="15">
        <v>1963</v>
      </c>
      <c r="AS934" s="19" t="s">
        <v>709</v>
      </c>
      <c r="AT934" s="20" t="s">
        <v>710</v>
      </c>
      <c r="AU934" s="34">
        <v>4317635</v>
      </c>
      <c r="AV934" s="35">
        <f t="shared" si="133"/>
        <v>6.6352459255882987</v>
      </c>
      <c r="AW934" s="36" t="s">
        <v>366</v>
      </c>
      <c r="AX934" s="34">
        <v>0</v>
      </c>
      <c r="AY934" s="34">
        <v>3660</v>
      </c>
      <c r="AZ934" s="15">
        <v>265</v>
      </c>
      <c r="BA934" s="14">
        <f t="shared" si="134"/>
        <v>2.4232458739368079</v>
      </c>
      <c r="BB934" s="36" t="s">
        <v>388</v>
      </c>
      <c r="BC934" s="20">
        <v>3.4739495798319676E-2</v>
      </c>
      <c r="BD934" s="9">
        <v>28.8</v>
      </c>
      <c r="BE934" s="9" t="s">
        <v>368</v>
      </c>
      <c r="BF934" s="9">
        <v>0</v>
      </c>
    </row>
    <row r="935" spans="1:58">
      <c r="A935" s="9">
        <v>858</v>
      </c>
      <c r="B935" s="10" t="s">
        <v>76</v>
      </c>
      <c r="C935" s="10" t="s">
        <v>389</v>
      </c>
      <c r="D935" s="20" t="s">
        <v>390</v>
      </c>
      <c r="E935" s="20" t="s">
        <v>447</v>
      </c>
      <c r="F935" s="10" t="s">
        <v>389</v>
      </c>
      <c r="G935" s="20" t="s">
        <v>390</v>
      </c>
      <c r="H935" s="20" t="s">
        <v>447</v>
      </c>
      <c r="I935" s="10" t="s">
        <v>389</v>
      </c>
      <c r="J935" s="20" t="s">
        <v>392</v>
      </c>
      <c r="K935" s="20" t="s">
        <v>447</v>
      </c>
      <c r="L935" s="9" t="s">
        <v>380</v>
      </c>
      <c r="M935" s="9">
        <v>5</v>
      </c>
      <c r="N935" s="9" t="s">
        <v>353</v>
      </c>
      <c r="O935" s="9" t="s">
        <v>382</v>
      </c>
      <c r="P935" s="12">
        <v>36.908478000000002</v>
      </c>
      <c r="Q935" s="12" t="s">
        <v>355</v>
      </c>
      <c r="R935" s="9" t="s">
        <v>1198</v>
      </c>
      <c r="S935" s="13" t="s">
        <v>355</v>
      </c>
      <c r="T935" s="13"/>
      <c r="U935" s="14"/>
      <c r="V935" s="15">
        <v>20</v>
      </c>
      <c r="W935" s="12"/>
      <c r="X935" s="12">
        <v>1</v>
      </c>
      <c r="Y935" s="13" t="s">
        <v>355</v>
      </c>
      <c r="Z935" s="9" t="s">
        <v>359</v>
      </c>
      <c r="AA935" s="10" t="s">
        <v>869</v>
      </c>
      <c r="AB935" s="9" t="s">
        <v>355</v>
      </c>
      <c r="AC935" s="15">
        <v>12</v>
      </c>
      <c r="AD935" s="14">
        <f t="shared" si="127"/>
        <v>1.0791812460476249</v>
      </c>
      <c r="AE935" s="10" t="s">
        <v>1205</v>
      </c>
      <c r="AF935" s="9" t="s">
        <v>362</v>
      </c>
      <c r="AG935" s="18">
        <v>41.682090000000002</v>
      </c>
      <c r="AH935" s="18"/>
      <c r="AI935" s="18"/>
      <c r="AJ935" s="18"/>
      <c r="AK935" s="18"/>
      <c r="AL935" s="18"/>
      <c r="AM935" s="18">
        <f t="shared" si="132"/>
        <v>1.6199494869879825</v>
      </c>
      <c r="AN935" s="18">
        <v>41.682090000000002</v>
      </c>
      <c r="AO935" s="18">
        <v>-69.959766000000002</v>
      </c>
      <c r="AP935" s="9" t="s">
        <v>363</v>
      </c>
      <c r="AQ935" s="9" t="s">
        <v>1206</v>
      </c>
      <c r="AR935" s="15">
        <v>1980</v>
      </c>
      <c r="AS935" s="19" t="s">
        <v>1207</v>
      </c>
      <c r="AT935" s="20" t="s">
        <v>1208</v>
      </c>
      <c r="AU935" s="40">
        <v>3240610</v>
      </c>
      <c r="AV935" s="35">
        <f t="shared" si="133"/>
        <v>6.5106267678296579</v>
      </c>
      <c r="AW935" s="41" t="s">
        <v>366</v>
      </c>
      <c r="AX935" s="34" t="s">
        <v>355</v>
      </c>
      <c r="AY935" s="40" t="s">
        <v>355</v>
      </c>
      <c r="AZ935" s="36">
        <v>87</v>
      </c>
      <c r="BA935" s="14">
        <f t="shared" si="134"/>
        <v>1.9395192526186185</v>
      </c>
      <c r="BB935" s="37" t="s">
        <v>367</v>
      </c>
      <c r="BC935" s="20">
        <v>3.4154861944778264E-2</v>
      </c>
      <c r="BD935" s="9">
        <v>23.700000000000003</v>
      </c>
      <c r="BE935" s="9" t="s">
        <v>368</v>
      </c>
      <c r="BF935" s="9">
        <v>0</v>
      </c>
    </row>
    <row r="936" spans="1:58">
      <c r="A936" s="9">
        <v>857</v>
      </c>
      <c r="B936" s="10" t="s">
        <v>76</v>
      </c>
      <c r="C936" s="10" t="s">
        <v>389</v>
      </c>
      <c r="D936" s="20" t="s">
        <v>390</v>
      </c>
      <c r="E936" s="20" t="s">
        <v>447</v>
      </c>
      <c r="F936" s="10" t="s">
        <v>389</v>
      </c>
      <c r="G936" s="20" t="s">
        <v>390</v>
      </c>
      <c r="H936" s="20" t="s">
        <v>447</v>
      </c>
      <c r="I936" s="10" t="s">
        <v>389</v>
      </c>
      <c r="J936" s="20" t="s">
        <v>392</v>
      </c>
      <c r="K936" s="20" t="s">
        <v>447</v>
      </c>
      <c r="L936" s="9" t="s">
        <v>380</v>
      </c>
      <c r="M936" s="9">
        <v>5</v>
      </c>
      <c r="N936" s="9" t="s">
        <v>353</v>
      </c>
      <c r="O936" s="9" t="s">
        <v>382</v>
      </c>
      <c r="P936" s="12">
        <v>37.163870000000003</v>
      </c>
      <c r="Q936" s="12" t="s">
        <v>355</v>
      </c>
      <c r="R936" s="9" t="s">
        <v>1198</v>
      </c>
      <c r="S936" s="13" t="s">
        <v>355</v>
      </c>
      <c r="T936" s="13"/>
      <c r="U936" s="14"/>
      <c r="V936" s="15">
        <v>20</v>
      </c>
      <c r="W936" s="12"/>
      <c r="X936" s="12">
        <v>1</v>
      </c>
      <c r="Y936" s="13" t="s">
        <v>355</v>
      </c>
      <c r="Z936" s="9" t="s">
        <v>359</v>
      </c>
      <c r="AA936" s="10" t="s">
        <v>869</v>
      </c>
      <c r="AB936" s="9" t="s">
        <v>355</v>
      </c>
      <c r="AC936" s="15">
        <v>12</v>
      </c>
      <c r="AD936" s="14">
        <f t="shared" si="127"/>
        <v>1.0791812460476249</v>
      </c>
      <c r="AE936" s="10" t="s">
        <v>1205</v>
      </c>
      <c r="AF936" s="9" t="s">
        <v>362</v>
      </c>
      <c r="AG936" s="18">
        <v>41.682090000000002</v>
      </c>
      <c r="AH936" s="18"/>
      <c r="AI936" s="18"/>
      <c r="AJ936" s="18"/>
      <c r="AK936" s="18"/>
      <c r="AL936" s="18"/>
      <c r="AM936" s="18">
        <f t="shared" si="132"/>
        <v>1.6199494869879825</v>
      </c>
      <c r="AN936" s="18">
        <v>41.682090000000002</v>
      </c>
      <c r="AO936" s="18">
        <v>-69.959766000000002</v>
      </c>
      <c r="AP936" s="9" t="s">
        <v>363</v>
      </c>
      <c r="AQ936" s="9" t="s">
        <v>525</v>
      </c>
      <c r="AR936" s="15">
        <v>1980</v>
      </c>
      <c r="AS936" s="19" t="s">
        <v>1207</v>
      </c>
      <c r="AT936" s="20" t="s">
        <v>1208</v>
      </c>
      <c r="AU936" s="40">
        <v>3240610</v>
      </c>
      <c r="AV936" s="35">
        <f t="shared" si="133"/>
        <v>6.5106267678296579</v>
      </c>
      <c r="AW936" s="41" t="s">
        <v>366</v>
      </c>
      <c r="AX936" s="34" t="s">
        <v>355</v>
      </c>
      <c r="AY936" s="40" t="s">
        <v>355</v>
      </c>
      <c r="AZ936" s="36">
        <v>87</v>
      </c>
      <c r="BA936" s="14">
        <f t="shared" si="134"/>
        <v>1.9395192526186185</v>
      </c>
      <c r="BB936" s="37" t="s">
        <v>367</v>
      </c>
      <c r="BC936" s="20">
        <v>3.4154861944778264E-2</v>
      </c>
      <c r="BD936" s="9">
        <v>23.700000000000003</v>
      </c>
      <c r="BE936" s="9" t="s">
        <v>368</v>
      </c>
      <c r="BF936" s="9">
        <v>0</v>
      </c>
    </row>
    <row r="937" spans="1:58">
      <c r="A937" s="9">
        <v>856</v>
      </c>
      <c r="B937" s="10" t="s">
        <v>76</v>
      </c>
      <c r="C937" s="10" t="s">
        <v>389</v>
      </c>
      <c r="D937" s="20" t="s">
        <v>390</v>
      </c>
      <c r="E937" s="20" t="s">
        <v>447</v>
      </c>
      <c r="F937" s="10" t="s">
        <v>389</v>
      </c>
      <c r="G937" s="20" t="s">
        <v>390</v>
      </c>
      <c r="H937" s="20" t="s">
        <v>447</v>
      </c>
      <c r="I937" s="10" t="s">
        <v>389</v>
      </c>
      <c r="J937" s="20" t="s">
        <v>392</v>
      </c>
      <c r="K937" s="20" t="s">
        <v>447</v>
      </c>
      <c r="L937" s="9" t="s">
        <v>380</v>
      </c>
      <c r="M937" s="9">
        <v>11</v>
      </c>
      <c r="N937" s="9" t="s">
        <v>381</v>
      </c>
      <c r="O937" s="9" t="s">
        <v>382</v>
      </c>
      <c r="P937" s="12">
        <v>41.346809999999998</v>
      </c>
      <c r="Q937" s="12" t="s">
        <v>355</v>
      </c>
      <c r="R937" s="9" t="s">
        <v>1198</v>
      </c>
      <c r="S937" s="13" t="s">
        <v>355</v>
      </c>
      <c r="T937" s="13"/>
      <c r="U937" s="14"/>
      <c r="V937" s="15">
        <v>20</v>
      </c>
      <c r="W937" s="12"/>
      <c r="X937" s="12">
        <v>1</v>
      </c>
      <c r="Y937" s="13" t="s">
        <v>355</v>
      </c>
      <c r="Z937" s="9" t="s">
        <v>359</v>
      </c>
      <c r="AA937" s="10" t="s">
        <v>869</v>
      </c>
      <c r="AB937" s="9" t="s">
        <v>355</v>
      </c>
      <c r="AC937" s="15">
        <v>12</v>
      </c>
      <c r="AD937" s="14">
        <f t="shared" si="127"/>
        <v>1.0791812460476249</v>
      </c>
      <c r="AE937" s="10" t="s">
        <v>1205</v>
      </c>
      <c r="AF937" s="9" t="s">
        <v>362</v>
      </c>
      <c r="AG937" s="18">
        <v>41.682090000000002</v>
      </c>
      <c r="AH937" s="18"/>
      <c r="AI937" s="18"/>
      <c r="AJ937" s="18"/>
      <c r="AK937" s="18"/>
      <c r="AL937" s="18"/>
      <c r="AM937" s="18">
        <f t="shared" si="132"/>
        <v>1.6199494869879825</v>
      </c>
      <c r="AN937" s="18">
        <v>41.682090000000002</v>
      </c>
      <c r="AO937" s="18">
        <v>-69.959766000000002</v>
      </c>
      <c r="AP937" s="9" t="s">
        <v>363</v>
      </c>
      <c r="AQ937" s="9" t="s">
        <v>1209</v>
      </c>
      <c r="AR937" s="15">
        <v>1980</v>
      </c>
      <c r="AS937" s="19" t="s">
        <v>1207</v>
      </c>
      <c r="AT937" s="20" t="s">
        <v>1208</v>
      </c>
      <c r="AU937" s="40">
        <v>3240610</v>
      </c>
      <c r="AV937" s="35">
        <f t="shared" si="133"/>
        <v>6.5106267678296579</v>
      </c>
      <c r="AW937" s="41" t="s">
        <v>366</v>
      </c>
      <c r="AX937" s="34" t="s">
        <v>355</v>
      </c>
      <c r="AY937" s="40" t="s">
        <v>355</v>
      </c>
      <c r="AZ937" s="36">
        <v>87</v>
      </c>
      <c r="BA937" s="14">
        <f t="shared" si="134"/>
        <v>1.9395192526186185</v>
      </c>
      <c r="BB937" s="37" t="s">
        <v>367</v>
      </c>
      <c r="BC937" s="20">
        <v>3.4154861944778264E-2</v>
      </c>
      <c r="BD937" s="9">
        <v>23.700000000000003</v>
      </c>
      <c r="BE937" s="9" t="s">
        <v>368</v>
      </c>
      <c r="BF937" s="9">
        <v>0</v>
      </c>
    </row>
    <row r="938" spans="1:58">
      <c r="A938" s="9">
        <v>855</v>
      </c>
      <c r="B938" s="10" t="s">
        <v>76</v>
      </c>
      <c r="C938" s="10" t="s">
        <v>389</v>
      </c>
      <c r="D938" s="20" t="s">
        <v>390</v>
      </c>
      <c r="E938" s="20" t="s">
        <v>447</v>
      </c>
      <c r="F938" s="10" t="s">
        <v>389</v>
      </c>
      <c r="G938" s="20" t="s">
        <v>390</v>
      </c>
      <c r="H938" s="20" t="s">
        <v>447</v>
      </c>
      <c r="I938" s="10" t="s">
        <v>389</v>
      </c>
      <c r="J938" s="20" t="s">
        <v>392</v>
      </c>
      <c r="K938" s="20" t="s">
        <v>447</v>
      </c>
      <c r="L938" s="9" t="s">
        <v>380</v>
      </c>
      <c r="M938" s="9">
        <v>20</v>
      </c>
      <c r="N938" s="9" t="s">
        <v>381</v>
      </c>
      <c r="O938" s="9" t="s">
        <v>382</v>
      </c>
      <c r="P938" s="12">
        <v>42.549174999999998</v>
      </c>
      <c r="Q938" s="12" t="s">
        <v>355</v>
      </c>
      <c r="R938" s="9" t="s">
        <v>1198</v>
      </c>
      <c r="S938" s="13" t="s">
        <v>355</v>
      </c>
      <c r="T938" s="13"/>
      <c r="U938" s="14"/>
      <c r="V938" s="15">
        <v>20</v>
      </c>
      <c r="W938" s="12"/>
      <c r="X938" s="12">
        <v>1</v>
      </c>
      <c r="Y938" s="13" t="s">
        <v>355</v>
      </c>
      <c r="Z938" s="9" t="s">
        <v>359</v>
      </c>
      <c r="AA938" s="10" t="s">
        <v>869</v>
      </c>
      <c r="AB938" s="9" t="s">
        <v>355</v>
      </c>
      <c r="AC938" s="15">
        <v>12</v>
      </c>
      <c r="AD938" s="14">
        <f t="shared" si="127"/>
        <v>1.0791812460476249</v>
      </c>
      <c r="AE938" s="10" t="s">
        <v>1205</v>
      </c>
      <c r="AF938" s="9" t="s">
        <v>362</v>
      </c>
      <c r="AG938" s="18">
        <v>41.682090000000002</v>
      </c>
      <c r="AH938" s="18"/>
      <c r="AI938" s="18"/>
      <c r="AJ938" s="18"/>
      <c r="AK938" s="18"/>
      <c r="AL938" s="18"/>
      <c r="AM938" s="18">
        <f t="shared" si="132"/>
        <v>1.6199494869879825</v>
      </c>
      <c r="AN938" s="18">
        <v>41.682090000000002</v>
      </c>
      <c r="AO938" s="18">
        <v>-69.959766000000002</v>
      </c>
      <c r="AP938" s="9" t="s">
        <v>363</v>
      </c>
      <c r="AQ938" s="9" t="s">
        <v>1210</v>
      </c>
      <c r="AR938" s="15">
        <v>1980</v>
      </c>
      <c r="AS938" s="19" t="s">
        <v>1207</v>
      </c>
      <c r="AT938" s="20" t="s">
        <v>1208</v>
      </c>
      <c r="AU938" s="40">
        <v>3240610</v>
      </c>
      <c r="AV938" s="35">
        <f t="shared" si="133"/>
        <v>6.5106267678296579</v>
      </c>
      <c r="AW938" s="41" t="s">
        <v>366</v>
      </c>
      <c r="AX938" s="34" t="s">
        <v>355</v>
      </c>
      <c r="AY938" s="40" t="s">
        <v>355</v>
      </c>
      <c r="AZ938" s="36">
        <v>87</v>
      </c>
      <c r="BA938" s="14">
        <f t="shared" si="134"/>
        <v>1.9395192526186185</v>
      </c>
      <c r="BB938" s="37" t="s">
        <v>367</v>
      </c>
      <c r="BC938" s="20">
        <v>3.4154861944778264E-2</v>
      </c>
      <c r="BD938" s="9">
        <v>23.700000000000003</v>
      </c>
      <c r="BE938" s="9" t="s">
        <v>368</v>
      </c>
      <c r="BF938" s="9">
        <v>0</v>
      </c>
    </row>
    <row r="939" spans="1:58">
      <c r="A939" s="9">
        <v>861</v>
      </c>
      <c r="B939" s="10" t="s">
        <v>76</v>
      </c>
      <c r="C939" s="10" t="s">
        <v>389</v>
      </c>
      <c r="D939" s="20" t="s">
        <v>390</v>
      </c>
      <c r="E939" s="20" t="s">
        <v>447</v>
      </c>
      <c r="F939" s="10" t="s">
        <v>389</v>
      </c>
      <c r="G939" s="20" t="s">
        <v>390</v>
      </c>
      <c r="H939" s="20" t="s">
        <v>447</v>
      </c>
      <c r="I939" s="10" t="s">
        <v>389</v>
      </c>
      <c r="J939" s="20" t="s">
        <v>392</v>
      </c>
      <c r="K939" s="20" t="s">
        <v>447</v>
      </c>
      <c r="L939" s="9" t="s">
        <v>352</v>
      </c>
      <c r="M939" s="9">
        <v>3</v>
      </c>
      <c r="N939" s="9" t="s">
        <v>353</v>
      </c>
      <c r="O939" s="9" t="s">
        <v>354</v>
      </c>
      <c r="P939" s="12">
        <v>41.072899999999997</v>
      </c>
      <c r="Q939" s="12" t="s">
        <v>355</v>
      </c>
      <c r="R939" s="9" t="s">
        <v>1198</v>
      </c>
      <c r="S939" s="13" t="s">
        <v>355</v>
      </c>
      <c r="T939" s="13"/>
      <c r="U939" s="14"/>
      <c r="V939" s="15">
        <v>20</v>
      </c>
      <c r="W939" s="12">
        <v>17.169815299999996</v>
      </c>
      <c r="X939" s="12">
        <v>1</v>
      </c>
      <c r="Y939" s="13" t="s">
        <v>355</v>
      </c>
      <c r="Z939" s="9" t="s">
        <v>359</v>
      </c>
      <c r="AA939" s="10" t="s">
        <v>869</v>
      </c>
      <c r="AB939" s="9" t="s">
        <v>355</v>
      </c>
      <c r="AC939" s="15">
        <v>12</v>
      </c>
      <c r="AD939" s="14">
        <f t="shared" si="127"/>
        <v>1.0791812460476249</v>
      </c>
      <c r="AE939" s="10" t="s">
        <v>1205</v>
      </c>
      <c r="AF939" s="9" t="s">
        <v>362</v>
      </c>
      <c r="AG939" s="18">
        <v>41.682090000000002</v>
      </c>
      <c r="AH939" s="18"/>
      <c r="AI939" s="18"/>
      <c r="AJ939" s="18"/>
      <c r="AK939" s="18"/>
      <c r="AL939" s="18"/>
      <c r="AM939" s="18">
        <f t="shared" si="132"/>
        <v>1.6199494869879825</v>
      </c>
      <c r="AN939" s="18">
        <v>41.682090000000002</v>
      </c>
      <c r="AO939" s="18">
        <v>-69.959766000000002</v>
      </c>
      <c r="AP939" s="9" t="s">
        <v>363</v>
      </c>
      <c r="AQ939" s="9" t="s">
        <v>1211</v>
      </c>
      <c r="AR939" s="15">
        <v>1980</v>
      </c>
      <c r="AS939" s="19" t="s">
        <v>1207</v>
      </c>
      <c r="AT939" s="20" t="s">
        <v>1208</v>
      </c>
      <c r="AU939" s="40">
        <v>3240610</v>
      </c>
      <c r="AV939" s="35">
        <f t="shared" si="133"/>
        <v>6.5106267678296579</v>
      </c>
      <c r="AW939" s="41" t="s">
        <v>366</v>
      </c>
      <c r="AX939" s="34" t="s">
        <v>355</v>
      </c>
      <c r="AY939" s="40" t="s">
        <v>355</v>
      </c>
      <c r="AZ939" s="15">
        <v>87</v>
      </c>
      <c r="BA939" s="14">
        <f t="shared" si="134"/>
        <v>1.9395192526186185</v>
      </c>
      <c r="BB939" s="37" t="s">
        <v>367</v>
      </c>
      <c r="BC939" s="20">
        <v>3.4154861944778264E-2</v>
      </c>
      <c r="BD939" s="9">
        <v>23.700000000000003</v>
      </c>
      <c r="BE939" s="9" t="s">
        <v>368</v>
      </c>
      <c r="BF939" s="9">
        <v>0</v>
      </c>
    </row>
    <row r="940" spans="1:58">
      <c r="A940" s="9">
        <v>859</v>
      </c>
      <c r="B940" s="10" t="s">
        <v>76</v>
      </c>
      <c r="C940" s="10" t="s">
        <v>389</v>
      </c>
      <c r="D940" s="20" t="s">
        <v>390</v>
      </c>
      <c r="E940" s="20" t="s">
        <v>447</v>
      </c>
      <c r="F940" s="10" t="s">
        <v>389</v>
      </c>
      <c r="G940" s="20" t="s">
        <v>390</v>
      </c>
      <c r="H940" s="20" t="s">
        <v>447</v>
      </c>
      <c r="I940" s="10" t="s">
        <v>389</v>
      </c>
      <c r="J940" s="20" t="s">
        <v>392</v>
      </c>
      <c r="K940" s="20" t="s">
        <v>447</v>
      </c>
      <c r="L940" s="9" t="s">
        <v>430</v>
      </c>
      <c r="M940" s="9">
        <v>12</v>
      </c>
      <c r="N940" s="9" t="s">
        <v>381</v>
      </c>
      <c r="O940" s="9" t="s">
        <v>354</v>
      </c>
      <c r="P940" s="12">
        <v>37.628127999999997</v>
      </c>
      <c r="Q940" s="12" t="s">
        <v>355</v>
      </c>
      <c r="R940" s="9" t="s">
        <v>1198</v>
      </c>
      <c r="S940" s="13" t="s">
        <v>355</v>
      </c>
      <c r="T940" s="13"/>
      <c r="U940" s="14"/>
      <c r="V940" s="15">
        <v>20</v>
      </c>
      <c r="W940" s="12">
        <v>13.725043299999996</v>
      </c>
      <c r="X940" s="12">
        <v>1</v>
      </c>
      <c r="Y940" s="13" t="s">
        <v>355</v>
      </c>
      <c r="Z940" s="9" t="s">
        <v>359</v>
      </c>
      <c r="AA940" s="10" t="s">
        <v>869</v>
      </c>
      <c r="AB940" s="9" t="s">
        <v>355</v>
      </c>
      <c r="AC940" s="15">
        <v>12</v>
      </c>
      <c r="AD940" s="14">
        <f t="shared" si="127"/>
        <v>1.0791812460476249</v>
      </c>
      <c r="AE940" s="10" t="s">
        <v>1205</v>
      </c>
      <c r="AF940" s="9" t="s">
        <v>362</v>
      </c>
      <c r="AG940" s="18">
        <v>41.682090000000002</v>
      </c>
      <c r="AH940" s="18"/>
      <c r="AI940" s="18"/>
      <c r="AJ940" s="18"/>
      <c r="AK940" s="18"/>
      <c r="AL940" s="18"/>
      <c r="AM940" s="18">
        <f t="shared" si="132"/>
        <v>1.6199494869879825</v>
      </c>
      <c r="AN940" s="18">
        <v>41.682090000000002</v>
      </c>
      <c r="AO940" s="18">
        <v>-69.959766000000002</v>
      </c>
      <c r="AP940" s="9" t="s">
        <v>363</v>
      </c>
      <c r="AQ940" s="9" t="s">
        <v>1212</v>
      </c>
      <c r="AR940" s="15">
        <v>1980</v>
      </c>
      <c r="AS940" s="19" t="s">
        <v>1207</v>
      </c>
      <c r="AT940" s="20" t="s">
        <v>1208</v>
      </c>
      <c r="AU940" s="40">
        <v>3240610</v>
      </c>
      <c r="AV940" s="35">
        <f t="shared" si="133"/>
        <v>6.5106267678296579</v>
      </c>
      <c r="AW940" s="41" t="s">
        <v>366</v>
      </c>
      <c r="AX940" s="34" t="s">
        <v>355</v>
      </c>
      <c r="AY940" s="40" t="s">
        <v>355</v>
      </c>
      <c r="AZ940" s="15">
        <v>87</v>
      </c>
      <c r="BA940" s="14">
        <f t="shared" si="134"/>
        <v>1.9395192526186185</v>
      </c>
      <c r="BB940" s="37" t="s">
        <v>367</v>
      </c>
      <c r="BC940" s="20">
        <v>3.4154861944778264E-2</v>
      </c>
      <c r="BD940" s="9">
        <v>23.700000000000003</v>
      </c>
      <c r="BE940" s="9" t="s">
        <v>368</v>
      </c>
      <c r="BF940" s="9">
        <v>0</v>
      </c>
    </row>
    <row r="941" spans="1:58">
      <c r="A941" s="9">
        <v>860</v>
      </c>
      <c r="B941" s="10" t="s">
        <v>76</v>
      </c>
      <c r="C941" s="10" t="s">
        <v>389</v>
      </c>
      <c r="D941" s="20" t="s">
        <v>390</v>
      </c>
      <c r="E941" s="20" t="s">
        <v>447</v>
      </c>
      <c r="F941" s="10" t="s">
        <v>389</v>
      </c>
      <c r="G941" s="20" t="s">
        <v>390</v>
      </c>
      <c r="H941" s="20" t="s">
        <v>447</v>
      </c>
      <c r="I941" s="10" t="s">
        <v>389</v>
      </c>
      <c r="J941" s="20" t="s">
        <v>392</v>
      </c>
      <c r="K941" s="20" t="s">
        <v>447</v>
      </c>
      <c r="L941" s="9" t="s">
        <v>430</v>
      </c>
      <c r="M941" s="9">
        <v>4</v>
      </c>
      <c r="N941" s="9" t="s">
        <v>353</v>
      </c>
      <c r="O941" s="9" t="s">
        <v>354</v>
      </c>
      <c r="P941" s="12">
        <v>39.545498000000002</v>
      </c>
      <c r="Q941" s="12" t="s">
        <v>355</v>
      </c>
      <c r="R941" s="9" t="s">
        <v>1198</v>
      </c>
      <c r="S941" s="13" t="s">
        <v>355</v>
      </c>
      <c r="T941" s="13"/>
      <c r="U941" s="14"/>
      <c r="V941" s="15">
        <v>20</v>
      </c>
      <c r="W941" s="12">
        <v>15.642413300000001</v>
      </c>
      <c r="X941" s="12">
        <v>1</v>
      </c>
      <c r="Y941" s="13" t="s">
        <v>355</v>
      </c>
      <c r="Z941" s="9" t="s">
        <v>359</v>
      </c>
      <c r="AA941" s="10" t="s">
        <v>869</v>
      </c>
      <c r="AB941" s="9" t="s">
        <v>355</v>
      </c>
      <c r="AC941" s="15">
        <v>12</v>
      </c>
      <c r="AD941" s="14">
        <f t="shared" si="127"/>
        <v>1.0791812460476249</v>
      </c>
      <c r="AE941" s="10" t="s">
        <v>1205</v>
      </c>
      <c r="AF941" s="9" t="s">
        <v>362</v>
      </c>
      <c r="AG941" s="18">
        <v>41.682090000000002</v>
      </c>
      <c r="AH941" s="18"/>
      <c r="AI941" s="18"/>
      <c r="AJ941" s="18"/>
      <c r="AK941" s="18"/>
      <c r="AL941" s="18"/>
      <c r="AM941" s="18">
        <f t="shared" si="132"/>
        <v>1.6199494869879825</v>
      </c>
      <c r="AN941" s="18">
        <v>41.682090000000002</v>
      </c>
      <c r="AO941" s="18">
        <v>-69.959766000000002</v>
      </c>
      <c r="AP941" s="9" t="s">
        <v>363</v>
      </c>
      <c r="AQ941" s="9" t="s">
        <v>1213</v>
      </c>
      <c r="AR941" s="15">
        <v>1980</v>
      </c>
      <c r="AS941" s="19" t="s">
        <v>1207</v>
      </c>
      <c r="AT941" s="20" t="s">
        <v>1208</v>
      </c>
      <c r="AU941" s="40">
        <v>3240610</v>
      </c>
      <c r="AV941" s="35">
        <f t="shared" si="133"/>
        <v>6.5106267678296579</v>
      </c>
      <c r="AW941" s="41" t="s">
        <v>366</v>
      </c>
      <c r="AX941" s="34" t="s">
        <v>355</v>
      </c>
      <c r="AY941" s="40" t="s">
        <v>355</v>
      </c>
      <c r="AZ941" s="15">
        <v>87</v>
      </c>
      <c r="BA941" s="14">
        <f t="shared" si="134"/>
        <v>1.9395192526186185</v>
      </c>
      <c r="BB941" s="37" t="s">
        <v>367</v>
      </c>
      <c r="BC941" s="20">
        <v>3.4154861944778264E-2</v>
      </c>
      <c r="BD941" s="9">
        <v>23.700000000000003</v>
      </c>
      <c r="BE941" s="9" t="s">
        <v>368</v>
      </c>
      <c r="BF941" s="9">
        <v>0</v>
      </c>
    </row>
    <row r="942" spans="1:58">
      <c r="A942" s="9">
        <v>880</v>
      </c>
      <c r="B942" s="10" t="s">
        <v>76</v>
      </c>
      <c r="C942" s="10" t="s">
        <v>1214</v>
      </c>
      <c r="D942" s="20" t="s">
        <v>1215</v>
      </c>
      <c r="E942" s="20" t="s">
        <v>1216</v>
      </c>
      <c r="F942" s="10" t="s">
        <v>1214</v>
      </c>
      <c r="G942" s="20" t="s">
        <v>1215</v>
      </c>
      <c r="H942" s="20" t="s">
        <v>1216</v>
      </c>
      <c r="I942" s="10" t="s">
        <v>1214</v>
      </c>
      <c r="J942" s="20" t="s">
        <v>1215</v>
      </c>
      <c r="K942" s="20" t="s">
        <v>1216</v>
      </c>
      <c r="L942" s="9" t="s">
        <v>352</v>
      </c>
      <c r="M942" s="9">
        <v>30</v>
      </c>
      <c r="N942" s="9" t="s">
        <v>381</v>
      </c>
      <c r="O942" s="9" t="s">
        <v>354</v>
      </c>
      <c r="P942" s="12">
        <v>38.299999999999997</v>
      </c>
      <c r="Q942" s="12" t="s">
        <v>355</v>
      </c>
      <c r="R942" s="9" t="s">
        <v>1198</v>
      </c>
      <c r="S942" s="13" t="s">
        <v>355</v>
      </c>
      <c r="T942" s="13"/>
      <c r="U942" s="14"/>
      <c r="V942" s="15">
        <v>14</v>
      </c>
      <c r="W942" s="12">
        <v>14.996716899999996</v>
      </c>
      <c r="X942" s="12" t="s">
        <v>355</v>
      </c>
      <c r="Y942" s="13" t="s">
        <v>355</v>
      </c>
      <c r="Z942" s="9" t="s">
        <v>417</v>
      </c>
      <c r="AA942" s="10" t="s">
        <v>418</v>
      </c>
      <c r="AB942" s="9" t="s">
        <v>355</v>
      </c>
      <c r="AC942" s="15">
        <v>519</v>
      </c>
      <c r="AD942" s="14">
        <f t="shared" si="127"/>
        <v>2.7151673578484576</v>
      </c>
      <c r="AE942" s="10" t="s">
        <v>1217</v>
      </c>
      <c r="AF942" s="9" t="s">
        <v>362</v>
      </c>
      <c r="AG942" s="18">
        <v>46.038888999999998</v>
      </c>
      <c r="AH942" s="18"/>
      <c r="AI942" s="18"/>
      <c r="AJ942" s="18"/>
      <c r="AK942" s="18"/>
      <c r="AL942" s="18"/>
      <c r="AM942" s="18">
        <f t="shared" si="132"/>
        <v>1.6631248347885284</v>
      </c>
      <c r="AN942" s="18">
        <v>46.038888999999998</v>
      </c>
      <c r="AO942" s="18">
        <v>25.2225</v>
      </c>
      <c r="AP942" s="9" t="s">
        <v>363</v>
      </c>
      <c r="AQ942" s="9" t="s">
        <v>355</v>
      </c>
      <c r="AR942" s="15">
        <v>2005</v>
      </c>
      <c r="AS942" s="19" t="s">
        <v>1218</v>
      </c>
      <c r="AT942" s="20" t="s">
        <v>1219</v>
      </c>
      <c r="AU942" s="40">
        <v>1423630</v>
      </c>
      <c r="AV942" s="35">
        <f t="shared" si="133"/>
        <v>6.1533971312685729</v>
      </c>
      <c r="AW942" s="37" t="s">
        <v>338</v>
      </c>
      <c r="AX942" s="34">
        <v>100</v>
      </c>
      <c r="AY942" s="40">
        <v>2100</v>
      </c>
      <c r="AZ942" s="15">
        <v>55</v>
      </c>
      <c r="BA942" s="14">
        <f t="shared" si="134"/>
        <v>1.7403626894942439</v>
      </c>
      <c r="BB942" s="41" t="s">
        <v>343</v>
      </c>
      <c r="BC942" s="20">
        <v>2.3251300520207858E-2</v>
      </c>
      <c r="BD942" s="9">
        <v>24.1</v>
      </c>
      <c r="BE942" s="9" t="s">
        <v>368</v>
      </c>
      <c r="BF942" s="9">
        <v>0</v>
      </c>
    </row>
    <row r="943" spans="1:58">
      <c r="A943" s="9">
        <v>891</v>
      </c>
      <c r="B943" s="10" t="s">
        <v>76</v>
      </c>
      <c r="C943" s="10" t="s">
        <v>606</v>
      </c>
      <c r="D943" s="20" t="s">
        <v>715</v>
      </c>
      <c r="E943" s="20" t="s">
        <v>716</v>
      </c>
      <c r="F943" s="10" t="s">
        <v>606</v>
      </c>
      <c r="G943" s="20" t="s">
        <v>715</v>
      </c>
      <c r="H943" s="20" t="s">
        <v>716</v>
      </c>
      <c r="I943" s="10" t="s">
        <v>606</v>
      </c>
      <c r="J943" s="20" t="s">
        <v>715</v>
      </c>
      <c r="K943" s="20" t="s">
        <v>716</v>
      </c>
      <c r="L943" s="9" t="s">
        <v>380</v>
      </c>
      <c r="M943" s="9">
        <v>9</v>
      </c>
      <c r="N943" s="9" t="s">
        <v>353</v>
      </c>
      <c r="O943" s="9" t="s">
        <v>382</v>
      </c>
      <c r="P943" s="12">
        <v>43.2</v>
      </c>
      <c r="Q943" s="12" t="s">
        <v>355</v>
      </c>
      <c r="R943" s="9" t="s">
        <v>1198</v>
      </c>
      <c r="S943" s="13" t="s">
        <v>355</v>
      </c>
      <c r="T943" s="13"/>
      <c r="U943" s="14"/>
      <c r="V943" s="15">
        <v>35</v>
      </c>
      <c r="W943" s="12"/>
      <c r="X943" s="12">
        <v>0.25</v>
      </c>
      <c r="Y943" s="13" t="s">
        <v>358</v>
      </c>
      <c r="Z943" s="9" t="s">
        <v>359</v>
      </c>
      <c r="AA943" s="10" t="s">
        <v>372</v>
      </c>
      <c r="AB943" s="9" t="s">
        <v>355</v>
      </c>
      <c r="AC943" s="15">
        <v>70</v>
      </c>
      <c r="AD943" s="14">
        <f t="shared" si="127"/>
        <v>1.8450980400142569</v>
      </c>
      <c r="AE943" s="10" t="s">
        <v>1220</v>
      </c>
      <c r="AF943" s="9" t="s">
        <v>420</v>
      </c>
      <c r="AG943" s="18">
        <v>24.868055999999999</v>
      </c>
      <c r="AH943" s="18"/>
      <c r="AI943" s="18"/>
      <c r="AJ943" s="18"/>
      <c r="AK943" s="18"/>
      <c r="AL943" s="18"/>
      <c r="AM943" s="18">
        <f t="shared" si="132"/>
        <v>1.3956418366784089</v>
      </c>
      <c r="AN943" s="18">
        <v>24.868055999999999</v>
      </c>
      <c r="AO943" s="18">
        <v>121.544167</v>
      </c>
      <c r="AP943" s="9" t="s">
        <v>363</v>
      </c>
      <c r="AQ943" s="9" t="s">
        <v>1221</v>
      </c>
      <c r="AR943" s="15">
        <v>2005</v>
      </c>
      <c r="AS943" s="19" t="s">
        <v>1222</v>
      </c>
      <c r="AT943" s="20" t="s">
        <v>1223</v>
      </c>
      <c r="AU943" s="40">
        <v>27786</v>
      </c>
      <c r="AV943" s="35">
        <f t="shared" si="133"/>
        <v>4.4438260313775366</v>
      </c>
      <c r="AW943" s="37" t="s">
        <v>366</v>
      </c>
      <c r="AX943" s="40">
        <v>0</v>
      </c>
      <c r="AY943" s="40">
        <v>1800</v>
      </c>
      <c r="AZ943" s="36">
        <v>33</v>
      </c>
      <c r="BA943" s="14">
        <f t="shared" si="134"/>
        <v>1.5185139398778875</v>
      </c>
      <c r="BB943" s="37" t="s">
        <v>388</v>
      </c>
      <c r="BC943" s="20">
        <v>1.8594637855142031E-2</v>
      </c>
      <c r="BD943" s="9">
        <v>28.6</v>
      </c>
      <c r="BE943" s="9" t="s">
        <v>368</v>
      </c>
      <c r="BF943" s="9">
        <v>0</v>
      </c>
    </row>
    <row r="944" spans="1:58">
      <c r="A944" s="9">
        <v>893</v>
      </c>
      <c r="B944" s="10" t="s">
        <v>76</v>
      </c>
      <c r="C944" s="10" t="s">
        <v>606</v>
      </c>
      <c r="D944" s="20" t="s">
        <v>715</v>
      </c>
      <c r="E944" s="20" t="s">
        <v>716</v>
      </c>
      <c r="F944" s="10" t="s">
        <v>606</v>
      </c>
      <c r="G944" s="20" t="s">
        <v>715</v>
      </c>
      <c r="H944" s="20" t="s">
        <v>716</v>
      </c>
      <c r="I944" s="10" t="s">
        <v>606</v>
      </c>
      <c r="J944" s="20" t="s">
        <v>715</v>
      </c>
      <c r="K944" s="20" t="s">
        <v>716</v>
      </c>
      <c r="L944" s="9" t="s">
        <v>380</v>
      </c>
      <c r="M944" s="9">
        <v>9</v>
      </c>
      <c r="N944" s="9" t="s">
        <v>353</v>
      </c>
      <c r="O944" s="9" t="s">
        <v>382</v>
      </c>
      <c r="P944" s="12">
        <v>42.2</v>
      </c>
      <c r="Q944" s="12" t="s">
        <v>355</v>
      </c>
      <c r="R944" s="9" t="s">
        <v>1198</v>
      </c>
      <c r="S944" s="13" t="s">
        <v>355</v>
      </c>
      <c r="T944" s="13"/>
      <c r="U944" s="14"/>
      <c r="V944" s="15">
        <v>25</v>
      </c>
      <c r="W944" s="12"/>
      <c r="X944" s="12">
        <v>0.25</v>
      </c>
      <c r="Y944" s="13" t="s">
        <v>358</v>
      </c>
      <c r="Z944" s="9" t="s">
        <v>359</v>
      </c>
      <c r="AA944" s="10" t="s">
        <v>372</v>
      </c>
      <c r="AB944" s="9" t="s">
        <v>355</v>
      </c>
      <c r="AC944" s="15">
        <v>360</v>
      </c>
      <c r="AD944" s="14">
        <f t="shared" si="127"/>
        <v>2.5563025007672873</v>
      </c>
      <c r="AE944" s="10" t="s">
        <v>1224</v>
      </c>
      <c r="AF944" s="9" t="s">
        <v>420</v>
      </c>
      <c r="AG944" s="18">
        <v>24.062778000000002</v>
      </c>
      <c r="AH944" s="18"/>
      <c r="AI944" s="18"/>
      <c r="AJ944" s="18"/>
      <c r="AK944" s="18"/>
      <c r="AL944" s="18"/>
      <c r="AM944" s="18">
        <f t="shared" si="132"/>
        <v>1.381345764334905</v>
      </c>
      <c r="AN944" s="18">
        <v>24.062778000000002</v>
      </c>
      <c r="AO944" s="18">
        <v>120.811111</v>
      </c>
      <c r="AP944" s="9" t="s">
        <v>363</v>
      </c>
      <c r="AQ944" s="9" t="s">
        <v>1221</v>
      </c>
      <c r="AR944" s="15">
        <v>2005</v>
      </c>
      <c r="AS944" s="19" t="s">
        <v>1222</v>
      </c>
      <c r="AT944" s="20" t="s">
        <v>1223</v>
      </c>
      <c r="AU944" s="40">
        <v>27786</v>
      </c>
      <c r="AV944" s="35">
        <f t="shared" si="133"/>
        <v>4.4438260313775366</v>
      </c>
      <c r="AW944" s="37" t="s">
        <v>366</v>
      </c>
      <c r="AX944" s="40">
        <v>0</v>
      </c>
      <c r="AY944" s="40">
        <v>1800</v>
      </c>
      <c r="AZ944" s="36">
        <v>33</v>
      </c>
      <c r="BA944" s="14">
        <f t="shared" si="134"/>
        <v>1.5185139398778875</v>
      </c>
      <c r="BB944" s="37" t="s">
        <v>388</v>
      </c>
      <c r="BC944" s="20">
        <v>2.0854341736694627E-2</v>
      </c>
      <c r="BD944" s="9">
        <v>28.200000000000003</v>
      </c>
      <c r="BE944" s="9" t="s">
        <v>368</v>
      </c>
      <c r="BF944" s="9">
        <v>0</v>
      </c>
    </row>
    <row r="945" spans="1:58">
      <c r="A945" s="9">
        <v>894</v>
      </c>
      <c r="B945" s="10" t="s">
        <v>76</v>
      </c>
      <c r="C945" s="10" t="s">
        <v>606</v>
      </c>
      <c r="D945" s="20" t="s">
        <v>715</v>
      </c>
      <c r="E945" s="20" t="s">
        <v>716</v>
      </c>
      <c r="F945" s="10" t="s">
        <v>606</v>
      </c>
      <c r="G945" s="20" t="s">
        <v>715</v>
      </c>
      <c r="H945" s="20" t="s">
        <v>716</v>
      </c>
      <c r="I945" s="10" t="s">
        <v>606</v>
      </c>
      <c r="J945" s="20" t="s">
        <v>715</v>
      </c>
      <c r="K945" s="20" t="s">
        <v>716</v>
      </c>
      <c r="L945" s="9" t="s">
        <v>380</v>
      </c>
      <c r="M945" s="9">
        <v>18</v>
      </c>
      <c r="N945" s="9" t="s">
        <v>381</v>
      </c>
      <c r="O945" s="9" t="s">
        <v>382</v>
      </c>
      <c r="P945" s="12">
        <v>41.2</v>
      </c>
      <c r="Q945" s="12" t="s">
        <v>355</v>
      </c>
      <c r="R945" s="9" t="s">
        <v>1198</v>
      </c>
      <c r="S945" s="13" t="s">
        <v>355</v>
      </c>
      <c r="T945" s="13"/>
      <c r="U945" s="14"/>
      <c r="V945" s="15">
        <v>25</v>
      </c>
      <c r="W945" s="12"/>
      <c r="X945" s="12">
        <v>0.25</v>
      </c>
      <c r="Y945" s="13" t="s">
        <v>358</v>
      </c>
      <c r="Z945" s="9" t="s">
        <v>359</v>
      </c>
      <c r="AA945" s="10" t="s">
        <v>372</v>
      </c>
      <c r="AB945" s="9" t="s">
        <v>355</v>
      </c>
      <c r="AC945" s="15">
        <v>500</v>
      </c>
      <c r="AD945" s="14">
        <f t="shared" si="127"/>
        <v>2.6989700043360187</v>
      </c>
      <c r="AE945" s="10" t="s">
        <v>717</v>
      </c>
      <c r="AF945" s="9" t="s">
        <v>408</v>
      </c>
      <c r="AG945" s="18">
        <v>23.434722000000001</v>
      </c>
      <c r="AH945" s="18"/>
      <c r="AI945" s="18"/>
      <c r="AJ945" s="18"/>
      <c r="AK945" s="18"/>
      <c r="AL945" s="18"/>
      <c r="AM945" s="18">
        <f t="shared" si="132"/>
        <v>1.3698598059645251</v>
      </c>
      <c r="AN945" s="18">
        <v>23.434722000000001</v>
      </c>
      <c r="AO945" s="18">
        <v>120.63555599999999</v>
      </c>
      <c r="AP945" s="9" t="s">
        <v>363</v>
      </c>
      <c r="AQ945" s="9" t="s">
        <v>1221</v>
      </c>
      <c r="AR945" s="15">
        <v>2005</v>
      </c>
      <c r="AS945" s="19" t="s">
        <v>1222</v>
      </c>
      <c r="AT945" s="20" t="s">
        <v>1223</v>
      </c>
      <c r="AU945" s="40">
        <v>27786</v>
      </c>
      <c r="AV945" s="35">
        <f t="shared" si="133"/>
        <v>4.4438260313775366</v>
      </c>
      <c r="AW945" s="37" t="s">
        <v>366</v>
      </c>
      <c r="AX945" s="40">
        <v>0</v>
      </c>
      <c r="AY945" s="40">
        <v>1800</v>
      </c>
      <c r="AZ945" s="36">
        <v>33</v>
      </c>
      <c r="BA945" s="14">
        <f t="shared" si="134"/>
        <v>1.5185139398778875</v>
      </c>
      <c r="BB945" s="37" t="s">
        <v>388</v>
      </c>
      <c r="BC945" s="20">
        <v>2.0763505402161229E-2</v>
      </c>
      <c r="BD945" s="9">
        <v>26.700000000000003</v>
      </c>
      <c r="BE945" s="9" t="s">
        <v>368</v>
      </c>
      <c r="BF945" s="9">
        <v>0</v>
      </c>
    </row>
    <row r="946" spans="1:58">
      <c r="A946" s="9">
        <v>892</v>
      </c>
      <c r="B946" s="10" t="s">
        <v>76</v>
      </c>
      <c r="C946" s="10" t="s">
        <v>606</v>
      </c>
      <c r="D946" s="20" t="s">
        <v>715</v>
      </c>
      <c r="E946" s="20" t="s">
        <v>716</v>
      </c>
      <c r="F946" s="10" t="s">
        <v>606</v>
      </c>
      <c r="G946" s="20" t="s">
        <v>715</v>
      </c>
      <c r="H946" s="20" t="s">
        <v>716</v>
      </c>
      <c r="I946" s="10" t="s">
        <v>606</v>
      </c>
      <c r="J946" s="20" t="s">
        <v>715</v>
      </c>
      <c r="K946" s="20" t="s">
        <v>716</v>
      </c>
      <c r="L946" s="9" t="s">
        <v>380</v>
      </c>
      <c r="M946" s="9">
        <v>14</v>
      </c>
      <c r="N946" s="9" t="s">
        <v>381</v>
      </c>
      <c r="O946" s="9" t="s">
        <v>382</v>
      </c>
      <c r="P946" s="12">
        <v>43.2</v>
      </c>
      <c r="Q946" s="12" t="s">
        <v>355</v>
      </c>
      <c r="R946" s="9" t="s">
        <v>1198</v>
      </c>
      <c r="S946" s="13" t="s">
        <v>355</v>
      </c>
      <c r="T946" s="13"/>
      <c r="U946" s="14"/>
      <c r="V946" s="15">
        <v>35</v>
      </c>
      <c r="W946" s="12"/>
      <c r="X946" s="12">
        <v>0.25</v>
      </c>
      <c r="Y946" s="13" t="s">
        <v>358</v>
      </c>
      <c r="Z946" s="9" t="s">
        <v>359</v>
      </c>
      <c r="AA946" s="10" t="s">
        <v>372</v>
      </c>
      <c r="AB946" s="9" t="s">
        <v>355</v>
      </c>
      <c r="AC946" s="15">
        <v>980</v>
      </c>
      <c r="AD946" s="14">
        <f t="shared" si="127"/>
        <v>2.9912260756924947</v>
      </c>
      <c r="AE946" s="10" t="s">
        <v>1225</v>
      </c>
      <c r="AF946" s="9" t="s">
        <v>420</v>
      </c>
      <c r="AG946" s="18">
        <v>24.026667</v>
      </c>
      <c r="AH946" s="18"/>
      <c r="AI946" s="18"/>
      <c r="AJ946" s="18"/>
      <c r="AK946" s="18"/>
      <c r="AL946" s="18"/>
      <c r="AM946" s="18">
        <f t="shared" si="132"/>
        <v>1.3806935292765172</v>
      </c>
      <c r="AN946" s="18">
        <v>24.026667</v>
      </c>
      <c r="AO946" s="18">
        <v>121.186667</v>
      </c>
      <c r="AP946" s="9" t="s">
        <v>363</v>
      </c>
      <c r="AQ946" s="9" t="s">
        <v>1221</v>
      </c>
      <c r="AR946" s="15">
        <v>2005</v>
      </c>
      <c r="AS946" s="19" t="s">
        <v>1222</v>
      </c>
      <c r="AT946" s="20" t="s">
        <v>1223</v>
      </c>
      <c r="AU946" s="40">
        <v>27786</v>
      </c>
      <c r="AV946" s="35">
        <f t="shared" si="133"/>
        <v>4.4438260313775366</v>
      </c>
      <c r="AW946" s="37" t="s">
        <v>366</v>
      </c>
      <c r="AX946" s="40">
        <v>0</v>
      </c>
      <c r="AY946" s="40">
        <v>1800</v>
      </c>
      <c r="AZ946" s="36">
        <v>33</v>
      </c>
      <c r="BA946" s="14">
        <f t="shared" si="134"/>
        <v>1.5185139398778875</v>
      </c>
      <c r="BB946" s="37" t="s">
        <v>388</v>
      </c>
      <c r="BC946" s="20">
        <v>2.0428171268507191E-2</v>
      </c>
      <c r="BD946" s="9">
        <v>23.1</v>
      </c>
      <c r="BE946" s="9" t="s">
        <v>368</v>
      </c>
      <c r="BF946" s="9">
        <v>0</v>
      </c>
    </row>
    <row r="947" spans="1:58">
      <c r="A947" s="9">
        <v>93</v>
      </c>
      <c r="B947" s="10" t="s">
        <v>348</v>
      </c>
      <c r="C947" s="10" t="s">
        <v>349</v>
      </c>
      <c r="D947" s="20" t="s">
        <v>350</v>
      </c>
      <c r="E947" s="20" t="s">
        <v>351</v>
      </c>
      <c r="F947" s="10" t="s">
        <v>349</v>
      </c>
      <c r="G947" s="20" t="s">
        <v>350</v>
      </c>
      <c r="H947" s="20" t="s">
        <v>351</v>
      </c>
      <c r="I947" s="10" t="s">
        <v>349</v>
      </c>
      <c r="J947" s="20" t="s">
        <v>350</v>
      </c>
      <c r="K947" s="20" t="s">
        <v>351</v>
      </c>
      <c r="L947" s="9" t="s">
        <v>352</v>
      </c>
      <c r="M947" s="9">
        <v>9</v>
      </c>
      <c r="N947" s="9" t="s">
        <v>353</v>
      </c>
      <c r="O947" s="9" t="s">
        <v>354</v>
      </c>
      <c r="P947" s="12">
        <v>31.5</v>
      </c>
      <c r="Q947" s="12" t="s">
        <v>355</v>
      </c>
      <c r="R947" s="9" t="s">
        <v>1198</v>
      </c>
      <c r="S947" s="13" t="s">
        <v>355</v>
      </c>
      <c r="T947" s="13"/>
      <c r="U947" s="14"/>
      <c r="V947" s="15">
        <v>5</v>
      </c>
      <c r="W947" s="12">
        <v>10.108956499999998</v>
      </c>
      <c r="X947" s="12" t="s">
        <v>355</v>
      </c>
      <c r="Y947" s="13" t="s">
        <v>355</v>
      </c>
      <c r="Z947" s="9" t="s">
        <v>359</v>
      </c>
      <c r="AA947" s="10" t="s">
        <v>675</v>
      </c>
      <c r="AB947" s="9" t="s">
        <v>355</v>
      </c>
      <c r="AC947" s="15">
        <v>1433</v>
      </c>
      <c r="AD947" s="14">
        <f t="shared" si="127"/>
        <v>3.1562461903973444</v>
      </c>
      <c r="AE947" s="10" t="s">
        <v>1226</v>
      </c>
      <c r="AF947" s="9" t="s">
        <v>420</v>
      </c>
      <c r="AG947" s="18">
        <v>36.638728999999998</v>
      </c>
      <c r="AH947" s="18"/>
      <c r="AI947" s="18"/>
      <c r="AJ947" s="18"/>
      <c r="AK947" s="18"/>
      <c r="AL947" s="18"/>
      <c r="AM947" s="18">
        <f t="shared" si="132"/>
        <v>1.5639403995520178</v>
      </c>
      <c r="AN947" s="18">
        <v>36.638728999999998</v>
      </c>
      <c r="AO947" s="18">
        <v>-81.605391999999995</v>
      </c>
      <c r="AP947" s="9" t="s">
        <v>363</v>
      </c>
      <c r="AQ947" s="9" t="s">
        <v>355</v>
      </c>
      <c r="AR947" s="15">
        <v>1957</v>
      </c>
      <c r="AS947" s="19" t="s">
        <v>677</v>
      </c>
      <c r="AT947" s="20" t="s">
        <v>678</v>
      </c>
      <c r="AU947" s="34">
        <v>1524467</v>
      </c>
      <c r="AV947" s="35">
        <f t="shared" si="133"/>
        <v>6.1831180276695727</v>
      </c>
      <c r="AW947" s="36" t="s">
        <v>366</v>
      </c>
      <c r="AX947" s="34" t="s">
        <v>355</v>
      </c>
      <c r="AY947" s="34" t="s">
        <v>355</v>
      </c>
      <c r="AZ947" s="15">
        <v>78</v>
      </c>
      <c r="BA947" s="14">
        <f t="shared" si="134"/>
        <v>1.8920946026904804</v>
      </c>
      <c r="BB947" s="36" t="s">
        <v>367</v>
      </c>
      <c r="BC947" s="20">
        <v>1.0883553421368789E-2</v>
      </c>
      <c r="BD947" s="9">
        <v>23.5</v>
      </c>
      <c r="BE947" s="9" t="s">
        <v>368</v>
      </c>
      <c r="BF947" s="9">
        <v>0</v>
      </c>
    </row>
    <row r="948" spans="1:58">
      <c r="A948" s="9">
        <v>92</v>
      </c>
      <c r="B948" s="10" t="s">
        <v>348</v>
      </c>
      <c r="C948" s="10" t="s">
        <v>349</v>
      </c>
      <c r="D948" s="20" t="s">
        <v>350</v>
      </c>
      <c r="E948" s="20" t="s">
        <v>351</v>
      </c>
      <c r="F948" s="10" t="s">
        <v>349</v>
      </c>
      <c r="G948" s="20" t="s">
        <v>350</v>
      </c>
      <c r="H948" s="20" t="s">
        <v>351</v>
      </c>
      <c r="I948" s="10" t="s">
        <v>349</v>
      </c>
      <c r="J948" s="20" t="s">
        <v>350</v>
      </c>
      <c r="K948" s="20" t="s">
        <v>351</v>
      </c>
      <c r="L948" s="9" t="s">
        <v>352</v>
      </c>
      <c r="M948" s="9">
        <v>8</v>
      </c>
      <c r="N948" s="9" t="s">
        <v>353</v>
      </c>
      <c r="O948" s="9" t="s">
        <v>354</v>
      </c>
      <c r="P948" s="12">
        <v>33.5</v>
      </c>
      <c r="Q948" s="12" t="s">
        <v>355</v>
      </c>
      <c r="R948" s="9" t="s">
        <v>1198</v>
      </c>
      <c r="S948" s="13" t="s">
        <v>355</v>
      </c>
      <c r="T948" s="13"/>
      <c r="U948" s="14"/>
      <c r="V948" s="15">
        <v>22</v>
      </c>
      <c r="W948" s="12">
        <v>9.4532335000000032</v>
      </c>
      <c r="X948" s="12" t="s">
        <v>355</v>
      </c>
      <c r="Y948" s="13" t="s">
        <v>355</v>
      </c>
      <c r="Z948" s="9" t="s">
        <v>359</v>
      </c>
      <c r="AA948" s="10" t="s">
        <v>675</v>
      </c>
      <c r="AB948" s="9" t="s">
        <v>355</v>
      </c>
      <c r="AC948" s="15">
        <v>1433</v>
      </c>
      <c r="AD948" s="14">
        <f t="shared" si="127"/>
        <v>3.1562461903973444</v>
      </c>
      <c r="AE948" s="10" t="s">
        <v>1226</v>
      </c>
      <c r="AF948" s="9" t="s">
        <v>420</v>
      </c>
      <c r="AG948" s="18">
        <v>36.638728999999998</v>
      </c>
      <c r="AH948" s="18"/>
      <c r="AI948" s="18"/>
      <c r="AJ948" s="18"/>
      <c r="AK948" s="18"/>
      <c r="AL948" s="18"/>
      <c r="AM948" s="18">
        <f t="shared" si="132"/>
        <v>1.5639403995520178</v>
      </c>
      <c r="AN948" s="18">
        <v>36.638728999999998</v>
      </c>
      <c r="AO948" s="18">
        <v>-81.605391999999995</v>
      </c>
      <c r="AP948" s="9" t="s">
        <v>363</v>
      </c>
      <c r="AQ948" s="9" t="s">
        <v>355</v>
      </c>
      <c r="AR948" s="15">
        <v>1957</v>
      </c>
      <c r="AS948" s="19" t="s">
        <v>677</v>
      </c>
      <c r="AT948" s="20" t="s">
        <v>678</v>
      </c>
      <c r="AU948" s="34">
        <v>1524467</v>
      </c>
      <c r="AV948" s="35">
        <f t="shared" si="133"/>
        <v>6.1831180276695727</v>
      </c>
      <c r="AW948" s="36" t="s">
        <v>366</v>
      </c>
      <c r="AX948" s="34" t="s">
        <v>355</v>
      </c>
      <c r="AY948" s="34" t="s">
        <v>355</v>
      </c>
      <c r="AZ948" s="15">
        <v>78</v>
      </c>
      <c r="BA948" s="14">
        <f t="shared" si="134"/>
        <v>1.8920946026904804</v>
      </c>
      <c r="BB948" s="36" t="s">
        <v>367</v>
      </c>
      <c r="BC948" s="20">
        <v>1.0883553421368789E-2</v>
      </c>
      <c r="BD948" s="9">
        <v>23.5</v>
      </c>
      <c r="BE948" s="9" t="s">
        <v>368</v>
      </c>
      <c r="BF948" s="9">
        <v>0</v>
      </c>
    </row>
    <row r="949" spans="1:58">
      <c r="A949" s="9">
        <v>91</v>
      </c>
      <c r="B949" s="10" t="s">
        <v>348</v>
      </c>
      <c r="C949" s="10" t="s">
        <v>349</v>
      </c>
      <c r="D949" s="20" t="s">
        <v>350</v>
      </c>
      <c r="E949" s="20" t="s">
        <v>679</v>
      </c>
      <c r="F949" s="10" t="s">
        <v>349</v>
      </c>
      <c r="G949" s="20" t="s">
        <v>350</v>
      </c>
      <c r="H949" s="20" t="s">
        <v>679</v>
      </c>
      <c r="I949" s="10" t="s">
        <v>349</v>
      </c>
      <c r="J949" s="20" t="s">
        <v>350</v>
      </c>
      <c r="K949" s="20" t="s">
        <v>680</v>
      </c>
      <c r="L949" s="9" t="s">
        <v>352</v>
      </c>
      <c r="M949" s="9">
        <v>4</v>
      </c>
      <c r="N949" s="9" t="s">
        <v>353</v>
      </c>
      <c r="O949" s="9" t="s">
        <v>354</v>
      </c>
      <c r="P949" s="12">
        <v>31.1</v>
      </c>
      <c r="Q949" s="12" t="s">
        <v>355</v>
      </c>
      <c r="R949" s="9" t="s">
        <v>1198</v>
      </c>
      <c r="S949" s="13" t="s">
        <v>355</v>
      </c>
      <c r="T949" s="13"/>
      <c r="U949" s="14"/>
      <c r="V949" s="15">
        <v>5</v>
      </c>
      <c r="W949" s="12">
        <v>8.5276631000000016</v>
      </c>
      <c r="X949" s="12" t="s">
        <v>355</v>
      </c>
      <c r="Y949" s="13" t="s">
        <v>355</v>
      </c>
      <c r="Z949" s="9" t="s">
        <v>359</v>
      </c>
      <c r="AA949" s="10" t="s">
        <v>675</v>
      </c>
      <c r="AB949" s="9" t="s">
        <v>355</v>
      </c>
      <c r="AC949" s="15">
        <v>1158</v>
      </c>
      <c r="AD949" s="14">
        <f t="shared" si="127"/>
        <v>3.0637085593914173</v>
      </c>
      <c r="AE949" s="10" t="s">
        <v>676</v>
      </c>
      <c r="AF949" s="9" t="s">
        <v>420</v>
      </c>
      <c r="AG949" s="18">
        <v>37.375135999999998</v>
      </c>
      <c r="AH949" s="18"/>
      <c r="AI949" s="18"/>
      <c r="AJ949" s="18"/>
      <c r="AK949" s="18"/>
      <c r="AL949" s="18"/>
      <c r="AM949" s="18">
        <f t="shared" si="132"/>
        <v>1.5725827816386286</v>
      </c>
      <c r="AN949" s="18">
        <v>37.375135999999998</v>
      </c>
      <c r="AO949" s="18">
        <v>-80.522746999999995</v>
      </c>
      <c r="AP949" s="9" t="s">
        <v>363</v>
      </c>
      <c r="AQ949" s="9" t="s">
        <v>355</v>
      </c>
      <c r="AR949" s="15">
        <v>1957</v>
      </c>
      <c r="AS949" s="19" t="s">
        <v>677</v>
      </c>
      <c r="AT949" s="20" t="s">
        <v>678</v>
      </c>
      <c r="AU949" s="34">
        <v>84401</v>
      </c>
      <c r="AV949" s="35">
        <f t="shared" si="133"/>
        <v>4.9263475922643885</v>
      </c>
      <c r="AW949" s="36" t="s">
        <v>366</v>
      </c>
      <c r="AX949" s="34" t="s">
        <v>355</v>
      </c>
      <c r="AY949" s="34">
        <v>1646</v>
      </c>
      <c r="AZ949" s="15">
        <v>78</v>
      </c>
      <c r="BA949" s="14">
        <f t="shared" si="134"/>
        <v>1.8920946026904804</v>
      </c>
      <c r="BB949" s="36" t="s">
        <v>367</v>
      </c>
      <c r="BC949" s="20">
        <v>1.7852340936374687E-2</v>
      </c>
      <c r="BD949" s="9">
        <v>24.900000000000002</v>
      </c>
      <c r="BE949" s="9" t="s">
        <v>368</v>
      </c>
      <c r="BF949" s="9">
        <v>0</v>
      </c>
    </row>
    <row r="950" spans="1:58">
      <c r="A950" s="9">
        <v>90</v>
      </c>
      <c r="B950" s="10" t="s">
        <v>348</v>
      </c>
      <c r="C950" s="10" t="s">
        <v>349</v>
      </c>
      <c r="D950" s="20" t="s">
        <v>350</v>
      </c>
      <c r="E950" s="20" t="s">
        <v>679</v>
      </c>
      <c r="F950" s="10" t="s">
        <v>349</v>
      </c>
      <c r="G950" s="20" t="s">
        <v>350</v>
      </c>
      <c r="H950" s="20" t="s">
        <v>679</v>
      </c>
      <c r="I950" s="10" t="s">
        <v>349</v>
      </c>
      <c r="J950" s="20" t="s">
        <v>350</v>
      </c>
      <c r="K950" s="20" t="s">
        <v>680</v>
      </c>
      <c r="L950" s="9" t="s">
        <v>352</v>
      </c>
      <c r="M950" s="9">
        <v>19</v>
      </c>
      <c r="N950" s="9" t="s">
        <v>381</v>
      </c>
      <c r="O950" s="9" t="s">
        <v>354</v>
      </c>
      <c r="P950" s="12">
        <v>31.9</v>
      </c>
      <c r="Q950" s="12" t="s">
        <v>355</v>
      </c>
      <c r="R950" s="9" t="s">
        <v>1198</v>
      </c>
      <c r="S950" s="13" t="s">
        <v>355</v>
      </c>
      <c r="T950" s="13"/>
      <c r="U950" s="14"/>
      <c r="V950" s="15">
        <v>22</v>
      </c>
      <c r="W950" s="12">
        <v>6.6719400999999969</v>
      </c>
      <c r="X950" s="12" t="s">
        <v>355</v>
      </c>
      <c r="Y950" s="13" t="s">
        <v>355</v>
      </c>
      <c r="Z950" s="9" t="s">
        <v>359</v>
      </c>
      <c r="AA950" s="10" t="s">
        <v>675</v>
      </c>
      <c r="AB950" s="9" t="s">
        <v>355</v>
      </c>
      <c r="AC950" s="15">
        <v>1158</v>
      </c>
      <c r="AD950" s="14">
        <f t="shared" si="127"/>
        <v>3.0637085593914173</v>
      </c>
      <c r="AE950" s="10" t="s">
        <v>676</v>
      </c>
      <c r="AF950" s="9" t="s">
        <v>420</v>
      </c>
      <c r="AG950" s="18">
        <v>37.375135999999998</v>
      </c>
      <c r="AH950" s="18"/>
      <c r="AI950" s="18"/>
      <c r="AJ950" s="18"/>
      <c r="AK950" s="18"/>
      <c r="AL950" s="18"/>
      <c r="AM950" s="18">
        <f t="shared" si="132"/>
        <v>1.5725827816386286</v>
      </c>
      <c r="AN950" s="18">
        <v>37.375135999999998</v>
      </c>
      <c r="AO950" s="18">
        <v>-80.522746999999995</v>
      </c>
      <c r="AP950" s="9" t="s">
        <v>363</v>
      </c>
      <c r="AQ950" s="9" t="s">
        <v>355</v>
      </c>
      <c r="AR950" s="15">
        <v>1957</v>
      </c>
      <c r="AS950" s="19" t="s">
        <v>677</v>
      </c>
      <c r="AT950" s="20" t="s">
        <v>678</v>
      </c>
      <c r="AU950" s="34">
        <v>84401</v>
      </c>
      <c r="AV950" s="35">
        <f t="shared" si="133"/>
        <v>4.9263475922643885</v>
      </c>
      <c r="AW950" s="36" t="s">
        <v>366</v>
      </c>
      <c r="AX950" s="34" t="s">
        <v>355</v>
      </c>
      <c r="AY950" s="34">
        <v>1646</v>
      </c>
      <c r="AZ950" s="15">
        <v>78</v>
      </c>
      <c r="BA950" s="14">
        <f t="shared" si="134"/>
        <v>1.8920946026904804</v>
      </c>
      <c r="BB950" s="36" t="s">
        <v>367</v>
      </c>
      <c r="BC950" s="20">
        <v>1.7852340936374687E-2</v>
      </c>
      <c r="BD950" s="9">
        <v>24.900000000000002</v>
      </c>
      <c r="BE950" s="9" t="s">
        <v>368</v>
      </c>
      <c r="BF950" s="9">
        <v>0</v>
      </c>
    </row>
    <row r="951" spans="1:58">
      <c r="A951" s="9">
        <v>6</v>
      </c>
      <c r="B951" s="10" t="s">
        <v>76</v>
      </c>
      <c r="C951" s="10" t="s">
        <v>426</v>
      </c>
      <c r="D951" s="20" t="s">
        <v>463</v>
      </c>
      <c r="E951" s="20" t="s">
        <v>1227</v>
      </c>
      <c r="F951" s="10" t="s">
        <v>426</v>
      </c>
      <c r="G951" s="20" t="s">
        <v>463</v>
      </c>
      <c r="H951" s="20" t="s">
        <v>1227</v>
      </c>
      <c r="I951" s="10" t="s">
        <v>465</v>
      </c>
      <c r="J951" s="20" t="s">
        <v>463</v>
      </c>
      <c r="K951" s="20" t="s">
        <v>1227</v>
      </c>
      <c r="L951" s="9" t="s">
        <v>352</v>
      </c>
      <c r="M951" s="9">
        <v>9</v>
      </c>
      <c r="N951" s="9" t="s">
        <v>353</v>
      </c>
      <c r="O951" s="9" t="s">
        <v>354</v>
      </c>
      <c r="P951" s="12">
        <v>37</v>
      </c>
      <c r="Q951" s="12" t="s">
        <v>355</v>
      </c>
      <c r="R951" s="50" t="s">
        <v>1198</v>
      </c>
      <c r="S951" s="13" t="s">
        <v>355</v>
      </c>
      <c r="T951" s="13"/>
      <c r="U951" s="14"/>
      <c r="V951" s="15">
        <v>25.5</v>
      </c>
      <c r="W951" s="12">
        <v>5.8249752000000008</v>
      </c>
      <c r="X951" s="12">
        <v>0.5</v>
      </c>
      <c r="Y951" s="13" t="s">
        <v>355</v>
      </c>
      <c r="Z951" s="9" t="s">
        <v>359</v>
      </c>
      <c r="AA951" s="10" t="s">
        <v>1228</v>
      </c>
      <c r="AB951" s="9" t="s">
        <v>355</v>
      </c>
      <c r="AC951" s="15">
        <v>15</v>
      </c>
      <c r="AD951" s="14">
        <f t="shared" si="127"/>
        <v>1.1760912590556813</v>
      </c>
      <c r="AE951" s="10" t="s">
        <v>1229</v>
      </c>
      <c r="AF951" s="9" t="s">
        <v>408</v>
      </c>
      <c r="AG951" s="18">
        <v>18.402806999999999</v>
      </c>
      <c r="AH951" s="18"/>
      <c r="AI951" s="18"/>
      <c r="AJ951" s="18"/>
      <c r="AK951" s="18"/>
      <c r="AL951" s="18"/>
      <c r="AM951" s="18">
        <f t="shared" si="132"/>
        <v>1.2648840714678709</v>
      </c>
      <c r="AN951" s="18">
        <v>18.402806999999999</v>
      </c>
      <c r="AO951" s="18">
        <v>-66.050137000000007</v>
      </c>
      <c r="AP951" s="9" t="s">
        <v>363</v>
      </c>
      <c r="AQ951" s="9" t="s">
        <v>355</v>
      </c>
      <c r="AR951" s="15">
        <v>1988</v>
      </c>
      <c r="AS951" s="19" t="s">
        <v>1230</v>
      </c>
      <c r="AT951" s="20" t="s">
        <v>1231</v>
      </c>
      <c r="AU951" s="40">
        <v>10168</v>
      </c>
      <c r="AV951" s="35">
        <f t="shared" si="133"/>
        <v>4.0072355375459514</v>
      </c>
      <c r="AW951" s="37" t="s">
        <v>338</v>
      </c>
      <c r="AX951" s="34" t="s">
        <v>355</v>
      </c>
      <c r="AY951" s="40">
        <v>1128</v>
      </c>
      <c r="AZ951" s="15">
        <v>55</v>
      </c>
      <c r="BA951" s="14">
        <f t="shared" si="134"/>
        <v>1.7403626894942439</v>
      </c>
      <c r="BB951" s="37" t="s">
        <v>367</v>
      </c>
      <c r="BC951" s="20">
        <v>2.5714285714284572E-3</v>
      </c>
      <c r="BD951" s="9">
        <v>31.3</v>
      </c>
      <c r="BE951" s="9" t="s">
        <v>368</v>
      </c>
      <c r="BF951" s="9">
        <v>0</v>
      </c>
    </row>
    <row r="952" spans="1:58">
      <c r="A952" s="9">
        <v>5</v>
      </c>
      <c r="B952" s="10" t="s">
        <v>76</v>
      </c>
      <c r="C952" s="10" t="s">
        <v>426</v>
      </c>
      <c r="D952" s="20" t="s">
        <v>463</v>
      </c>
      <c r="E952" s="20" t="s">
        <v>1227</v>
      </c>
      <c r="F952" s="10" t="s">
        <v>426</v>
      </c>
      <c r="G952" s="20" t="s">
        <v>463</v>
      </c>
      <c r="H952" s="20" t="s">
        <v>1227</v>
      </c>
      <c r="I952" s="10" t="s">
        <v>465</v>
      </c>
      <c r="J952" s="20" t="s">
        <v>463</v>
      </c>
      <c r="K952" s="20" t="s">
        <v>1227</v>
      </c>
      <c r="L952" s="9" t="s">
        <v>352</v>
      </c>
      <c r="M952" s="9">
        <v>10</v>
      </c>
      <c r="N952" s="9" t="s">
        <v>381</v>
      </c>
      <c r="O952" s="9" t="s">
        <v>354</v>
      </c>
      <c r="P952" s="12">
        <v>37.200000000000003</v>
      </c>
      <c r="Q952" s="12" t="s">
        <v>355</v>
      </c>
      <c r="R952" s="50" t="s">
        <v>1198</v>
      </c>
      <c r="S952" s="13" t="s">
        <v>355</v>
      </c>
      <c r="T952" s="13"/>
      <c r="U952" s="14"/>
      <c r="V952" s="15">
        <v>25.5</v>
      </c>
      <c r="W952" s="12">
        <v>6.0249752000000036</v>
      </c>
      <c r="X952" s="12">
        <v>0.5</v>
      </c>
      <c r="Y952" s="13" t="s">
        <v>355</v>
      </c>
      <c r="Z952" s="9" t="s">
        <v>359</v>
      </c>
      <c r="AA952" s="10" t="s">
        <v>1228</v>
      </c>
      <c r="AB952" s="9" t="s">
        <v>355</v>
      </c>
      <c r="AC952" s="15">
        <v>15</v>
      </c>
      <c r="AD952" s="14">
        <f t="shared" si="127"/>
        <v>1.1760912590556813</v>
      </c>
      <c r="AE952" s="10" t="s">
        <v>1229</v>
      </c>
      <c r="AF952" s="9" t="s">
        <v>408</v>
      </c>
      <c r="AG952" s="18">
        <v>18.402806999999999</v>
      </c>
      <c r="AH952" s="18"/>
      <c r="AI952" s="18"/>
      <c r="AJ952" s="18"/>
      <c r="AK952" s="18"/>
      <c r="AL952" s="18"/>
      <c r="AM952" s="18">
        <f t="shared" si="132"/>
        <v>1.2648840714678709</v>
      </c>
      <c r="AN952" s="18">
        <v>18.402806999999999</v>
      </c>
      <c r="AO952" s="18">
        <v>-66.050137000000007</v>
      </c>
      <c r="AP952" s="9" t="s">
        <v>363</v>
      </c>
      <c r="AQ952" s="9" t="s">
        <v>355</v>
      </c>
      <c r="AR952" s="15">
        <v>1988</v>
      </c>
      <c r="AS952" s="19" t="s">
        <v>1230</v>
      </c>
      <c r="AT952" s="20" t="s">
        <v>1231</v>
      </c>
      <c r="AU952" s="40">
        <v>10168</v>
      </c>
      <c r="AV952" s="35">
        <f t="shared" si="133"/>
        <v>4.0072355375459514</v>
      </c>
      <c r="AW952" s="37" t="s">
        <v>338</v>
      </c>
      <c r="AX952" s="34" t="s">
        <v>355</v>
      </c>
      <c r="AY952" s="40">
        <v>1128</v>
      </c>
      <c r="AZ952" s="15">
        <v>55</v>
      </c>
      <c r="BA952" s="14">
        <f t="shared" si="134"/>
        <v>1.7403626894942439</v>
      </c>
      <c r="BB952" s="37" t="s">
        <v>367</v>
      </c>
      <c r="BC952" s="20">
        <v>2.5714285714284572E-3</v>
      </c>
      <c r="BD952" s="9">
        <v>31.3</v>
      </c>
      <c r="BE952" s="9" t="s">
        <v>368</v>
      </c>
      <c r="BF952" s="9">
        <v>0</v>
      </c>
    </row>
    <row r="953" spans="1:58">
      <c r="A953" s="9">
        <v>4</v>
      </c>
      <c r="B953" s="10" t="s">
        <v>76</v>
      </c>
      <c r="C953" s="10" t="s">
        <v>426</v>
      </c>
      <c r="D953" s="20" t="s">
        <v>463</v>
      </c>
      <c r="E953" s="20" t="s">
        <v>1227</v>
      </c>
      <c r="F953" s="10" t="s">
        <v>426</v>
      </c>
      <c r="G953" s="20" t="s">
        <v>463</v>
      </c>
      <c r="H953" s="20" t="s">
        <v>1227</v>
      </c>
      <c r="I953" s="10" t="s">
        <v>465</v>
      </c>
      <c r="J953" s="20" t="s">
        <v>463</v>
      </c>
      <c r="K953" s="20" t="s">
        <v>1227</v>
      </c>
      <c r="L953" s="9" t="s">
        <v>352</v>
      </c>
      <c r="M953" s="9">
        <v>12</v>
      </c>
      <c r="N953" s="9" t="s">
        <v>381</v>
      </c>
      <c r="O953" s="9" t="s">
        <v>354</v>
      </c>
      <c r="P953" s="12">
        <v>36.799999999999997</v>
      </c>
      <c r="Q953" s="12" t="s">
        <v>355</v>
      </c>
      <c r="R953" s="50" t="s">
        <v>1198</v>
      </c>
      <c r="S953" s="13" t="s">
        <v>355</v>
      </c>
      <c r="T953" s="13"/>
      <c r="U953" s="14"/>
      <c r="V953" s="15">
        <v>21</v>
      </c>
      <c r="W953" s="12">
        <v>9.787462799999993</v>
      </c>
      <c r="X953" s="12">
        <v>0.5</v>
      </c>
      <c r="Y953" s="13" t="s">
        <v>355</v>
      </c>
      <c r="Z953" s="9" t="s">
        <v>359</v>
      </c>
      <c r="AA953" s="10" t="s">
        <v>1228</v>
      </c>
      <c r="AB953" s="9" t="s">
        <v>355</v>
      </c>
      <c r="AC953" s="15">
        <v>700</v>
      </c>
      <c r="AD953" s="14">
        <f t="shared" si="127"/>
        <v>2.8450980400142569</v>
      </c>
      <c r="AE953" s="10" t="s">
        <v>1232</v>
      </c>
      <c r="AF953" s="9" t="s">
        <v>408</v>
      </c>
      <c r="AG953" s="18">
        <v>18.295134999999998</v>
      </c>
      <c r="AH953" s="18"/>
      <c r="AI953" s="18"/>
      <c r="AJ953" s="18"/>
      <c r="AK953" s="18"/>
      <c r="AL953" s="18"/>
      <c r="AM953" s="18">
        <f t="shared" si="132"/>
        <v>1.2623356184981518</v>
      </c>
      <c r="AN953" s="18">
        <v>18.295134999999998</v>
      </c>
      <c r="AO953" s="18">
        <v>-65.800032999999999</v>
      </c>
      <c r="AP953" s="9" t="s">
        <v>363</v>
      </c>
      <c r="AQ953" s="9" t="s">
        <v>355</v>
      </c>
      <c r="AR953" s="15">
        <v>1988</v>
      </c>
      <c r="AS953" s="19" t="s">
        <v>1230</v>
      </c>
      <c r="AT953" s="20" t="s">
        <v>1231</v>
      </c>
      <c r="AU953" s="40">
        <v>10168</v>
      </c>
      <c r="AV953" s="35">
        <f t="shared" si="133"/>
        <v>4.0072355375459514</v>
      </c>
      <c r="AW953" s="37" t="s">
        <v>338</v>
      </c>
      <c r="AX953" s="34" t="s">
        <v>355</v>
      </c>
      <c r="AY953" s="40">
        <v>1128</v>
      </c>
      <c r="AZ953" s="15">
        <v>55</v>
      </c>
      <c r="BA953" s="14">
        <f t="shared" si="134"/>
        <v>1.7403626894942439</v>
      </c>
      <c r="BB953" s="37" t="s">
        <v>367</v>
      </c>
      <c r="BC953" s="20">
        <v>7.8931572629052822E-3</v>
      </c>
      <c r="BD953" s="9">
        <v>27.200000000000003</v>
      </c>
      <c r="BE953" s="9" t="s">
        <v>368</v>
      </c>
      <c r="BF953" s="9">
        <v>0</v>
      </c>
    </row>
    <row r="954" spans="1:58">
      <c r="A954" s="9">
        <v>3</v>
      </c>
      <c r="B954" s="10" t="s">
        <v>76</v>
      </c>
      <c r="C954" s="10" t="s">
        <v>426</v>
      </c>
      <c r="D954" s="20" t="s">
        <v>463</v>
      </c>
      <c r="E954" s="20" t="s">
        <v>1227</v>
      </c>
      <c r="F954" s="10" t="s">
        <v>426</v>
      </c>
      <c r="G954" s="20" t="s">
        <v>463</v>
      </c>
      <c r="H954" s="20" t="s">
        <v>1227</v>
      </c>
      <c r="I954" s="10" t="s">
        <v>465</v>
      </c>
      <c r="J954" s="20" t="s">
        <v>463</v>
      </c>
      <c r="K954" s="20" t="s">
        <v>1227</v>
      </c>
      <c r="L954" s="9" t="s">
        <v>352</v>
      </c>
      <c r="M954" s="9">
        <v>12</v>
      </c>
      <c r="N954" s="9" t="s">
        <v>381</v>
      </c>
      <c r="O954" s="9" t="s">
        <v>354</v>
      </c>
      <c r="P954" s="12">
        <v>37.1</v>
      </c>
      <c r="Q954" s="12" t="s">
        <v>355</v>
      </c>
      <c r="R954" s="50" t="s">
        <v>1198</v>
      </c>
      <c r="S954" s="13" t="s">
        <v>355</v>
      </c>
      <c r="T954" s="13"/>
      <c r="U954" s="14"/>
      <c r="V954" s="15">
        <v>19.5</v>
      </c>
      <c r="W954" s="12">
        <v>10.321791300000001</v>
      </c>
      <c r="X954" s="12">
        <v>0.5</v>
      </c>
      <c r="Y954" s="13" t="s">
        <v>355</v>
      </c>
      <c r="Z954" s="9" t="s">
        <v>359</v>
      </c>
      <c r="AA954" s="10" t="s">
        <v>1228</v>
      </c>
      <c r="AB954" s="9" t="s">
        <v>355</v>
      </c>
      <c r="AC954" s="15">
        <v>700</v>
      </c>
      <c r="AD954" s="14">
        <f t="shared" si="127"/>
        <v>2.8450980400142569</v>
      </c>
      <c r="AE954" s="10" t="s">
        <v>1232</v>
      </c>
      <c r="AF954" s="9" t="s">
        <v>408</v>
      </c>
      <c r="AG954" s="18">
        <v>18.295134999999998</v>
      </c>
      <c r="AH954" s="18"/>
      <c r="AI954" s="18"/>
      <c r="AJ954" s="18"/>
      <c r="AK954" s="18"/>
      <c r="AL954" s="18"/>
      <c r="AM954" s="18">
        <f t="shared" si="132"/>
        <v>1.2623356184981518</v>
      </c>
      <c r="AN954" s="18">
        <v>18.295134999999998</v>
      </c>
      <c r="AO954" s="18">
        <v>-65.800032999999999</v>
      </c>
      <c r="AP954" s="9" t="s">
        <v>363</v>
      </c>
      <c r="AQ954" s="9" t="s">
        <v>355</v>
      </c>
      <c r="AR954" s="15">
        <v>1988</v>
      </c>
      <c r="AS954" s="19" t="s">
        <v>1230</v>
      </c>
      <c r="AT954" s="20" t="s">
        <v>1231</v>
      </c>
      <c r="AU954" s="40">
        <v>10168</v>
      </c>
      <c r="AV954" s="35">
        <f t="shared" si="133"/>
        <v>4.0072355375459514</v>
      </c>
      <c r="AW954" s="37" t="s">
        <v>338</v>
      </c>
      <c r="AX954" s="34" t="s">
        <v>355</v>
      </c>
      <c r="AY954" s="40">
        <v>1128</v>
      </c>
      <c r="AZ954" s="15">
        <v>55</v>
      </c>
      <c r="BA954" s="14">
        <f t="shared" si="134"/>
        <v>1.7403626894942439</v>
      </c>
      <c r="BB954" s="37" t="s">
        <v>367</v>
      </c>
      <c r="BC954" s="20">
        <v>7.8931572629052822E-3</v>
      </c>
      <c r="BD954" s="9">
        <v>27.200000000000003</v>
      </c>
      <c r="BE954" s="9" t="s">
        <v>368</v>
      </c>
      <c r="BF954" s="9">
        <v>0</v>
      </c>
    </row>
    <row r="955" spans="1:58">
      <c r="A955" s="9">
        <v>101</v>
      </c>
      <c r="B955" s="10" t="s">
        <v>76</v>
      </c>
      <c r="C955" s="10" t="s">
        <v>426</v>
      </c>
      <c r="D955" s="20" t="s">
        <v>463</v>
      </c>
      <c r="E955" s="20" t="s">
        <v>733</v>
      </c>
      <c r="F955" s="10" t="s">
        <v>426</v>
      </c>
      <c r="G955" s="20" t="s">
        <v>463</v>
      </c>
      <c r="H955" s="20" t="s">
        <v>733</v>
      </c>
      <c r="I955" s="10" t="s">
        <v>465</v>
      </c>
      <c r="J955" s="20" t="s">
        <v>463</v>
      </c>
      <c r="K955" s="20" t="s">
        <v>733</v>
      </c>
      <c r="L955" s="9" t="s">
        <v>352</v>
      </c>
      <c r="M955" s="9">
        <v>18</v>
      </c>
      <c r="N955" s="9" t="s">
        <v>381</v>
      </c>
      <c r="O955" s="9" t="s">
        <v>354</v>
      </c>
      <c r="P955" s="12">
        <v>37</v>
      </c>
      <c r="Q955" s="12" t="s">
        <v>355</v>
      </c>
      <c r="R955" s="50" t="s">
        <v>1198</v>
      </c>
      <c r="S955" s="13" t="s">
        <v>355</v>
      </c>
      <c r="T955" s="13"/>
      <c r="U955" s="14"/>
      <c r="V955" s="15">
        <v>25.5</v>
      </c>
      <c r="W955" s="12">
        <v>5.8249752000000008</v>
      </c>
      <c r="X955" s="12">
        <v>1.75</v>
      </c>
      <c r="Y955" s="13" t="s">
        <v>355</v>
      </c>
      <c r="Z955" s="9" t="s">
        <v>417</v>
      </c>
      <c r="AA955" s="10" t="s">
        <v>734</v>
      </c>
      <c r="AB955" s="9" t="s">
        <v>355</v>
      </c>
      <c r="AC955" s="15">
        <v>15</v>
      </c>
      <c r="AD955" s="14">
        <f t="shared" si="127"/>
        <v>1.1760912590556813</v>
      </c>
      <c r="AE955" s="10" t="s">
        <v>735</v>
      </c>
      <c r="AF955" s="9" t="s">
        <v>408</v>
      </c>
      <c r="AG955" s="18">
        <v>18.402806999999999</v>
      </c>
      <c r="AH955" s="18"/>
      <c r="AI955" s="18"/>
      <c r="AJ955" s="18"/>
      <c r="AK955" s="18"/>
      <c r="AL955" s="18"/>
      <c r="AM955" s="18">
        <f t="shared" si="132"/>
        <v>1.2648840714678709</v>
      </c>
      <c r="AN955" s="18">
        <v>18.402806999999999</v>
      </c>
      <c r="AO955" s="18">
        <v>-66.050137000000007</v>
      </c>
      <c r="AP955" s="9" t="s">
        <v>363</v>
      </c>
      <c r="AQ955" s="9" t="s">
        <v>355</v>
      </c>
      <c r="AR955" s="15">
        <v>1965</v>
      </c>
      <c r="AS955" s="19" t="s">
        <v>736</v>
      </c>
      <c r="AT955" s="20" t="s">
        <v>737</v>
      </c>
      <c r="AU955" s="40">
        <v>2117</v>
      </c>
      <c r="AV955" s="35">
        <f t="shared" si="133"/>
        <v>3.325720858019412</v>
      </c>
      <c r="AW955" s="37" t="s">
        <v>366</v>
      </c>
      <c r="AX955" s="40">
        <v>273</v>
      </c>
      <c r="AY955" s="40">
        <v>1182</v>
      </c>
      <c r="AZ955" s="15">
        <v>33</v>
      </c>
      <c r="BA955" s="14">
        <f t="shared" si="134"/>
        <v>1.5185139398778875</v>
      </c>
      <c r="BB955" s="37" t="s">
        <v>367</v>
      </c>
      <c r="BC955" s="20">
        <v>2.5714285714284572E-3</v>
      </c>
      <c r="BD955" s="9">
        <v>31.3</v>
      </c>
      <c r="BE955" s="9" t="s">
        <v>459</v>
      </c>
      <c r="BF955" s="9">
        <v>1</v>
      </c>
    </row>
    <row r="956" spans="1:58">
      <c r="A956" s="9">
        <v>2</v>
      </c>
      <c r="B956" s="10" t="s">
        <v>76</v>
      </c>
      <c r="C956" s="10" t="s">
        <v>426</v>
      </c>
      <c r="D956" s="20" t="s">
        <v>463</v>
      </c>
      <c r="E956" s="20" t="s">
        <v>733</v>
      </c>
      <c r="F956" s="10" t="s">
        <v>426</v>
      </c>
      <c r="G956" s="20" t="s">
        <v>463</v>
      </c>
      <c r="H956" s="20" t="s">
        <v>733</v>
      </c>
      <c r="I956" s="10" t="s">
        <v>465</v>
      </c>
      <c r="J956" s="20" t="s">
        <v>463</v>
      </c>
      <c r="K956" s="20" t="s">
        <v>733</v>
      </c>
      <c r="L956" s="9" t="s">
        <v>352</v>
      </c>
      <c r="M956" s="9">
        <v>14</v>
      </c>
      <c r="N956" s="9" t="s">
        <v>381</v>
      </c>
      <c r="O956" s="9" t="s">
        <v>354</v>
      </c>
      <c r="P956" s="12">
        <v>36.200000000000003</v>
      </c>
      <c r="Q956" s="12" t="s">
        <v>355</v>
      </c>
      <c r="R956" s="50" t="s">
        <v>1198</v>
      </c>
      <c r="S956" s="13" t="s">
        <v>355</v>
      </c>
      <c r="T956" s="13"/>
      <c r="U956" s="14"/>
      <c r="V956" s="15">
        <v>21</v>
      </c>
      <c r="W956" s="12">
        <v>9.1874627999999987</v>
      </c>
      <c r="X956" s="12">
        <v>0.5</v>
      </c>
      <c r="Y956" s="13" t="s">
        <v>355</v>
      </c>
      <c r="Z956" s="9" t="s">
        <v>359</v>
      </c>
      <c r="AA956" s="10" t="s">
        <v>1228</v>
      </c>
      <c r="AB956" s="9" t="s">
        <v>355</v>
      </c>
      <c r="AC956" s="15">
        <v>500</v>
      </c>
      <c r="AD956" s="14">
        <f t="shared" si="127"/>
        <v>2.6989700043360187</v>
      </c>
      <c r="AE956" s="10" t="s">
        <v>1232</v>
      </c>
      <c r="AF956" s="9" t="s">
        <v>408</v>
      </c>
      <c r="AG956" s="18">
        <v>18.295134999999998</v>
      </c>
      <c r="AH956" s="18"/>
      <c r="AI956" s="18"/>
      <c r="AJ956" s="18"/>
      <c r="AK956" s="18"/>
      <c r="AL956" s="18"/>
      <c r="AM956" s="18">
        <f t="shared" si="132"/>
        <v>1.2623356184981518</v>
      </c>
      <c r="AN956" s="18">
        <v>18.295134999999998</v>
      </c>
      <c r="AO956" s="18">
        <v>-65.800032999999999</v>
      </c>
      <c r="AP956" s="9" t="s">
        <v>363</v>
      </c>
      <c r="AQ956" s="9" t="s">
        <v>355</v>
      </c>
      <c r="AR956" s="15">
        <v>1988</v>
      </c>
      <c r="AS956" s="19" t="s">
        <v>1230</v>
      </c>
      <c r="AT956" s="20" t="s">
        <v>1231</v>
      </c>
      <c r="AU956" s="40">
        <v>2117</v>
      </c>
      <c r="AV956" s="35">
        <f t="shared" si="133"/>
        <v>3.325720858019412</v>
      </c>
      <c r="AW956" s="37" t="s">
        <v>366</v>
      </c>
      <c r="AX956" s="40">
        <v>273</v>
      </c>
      <c r="AY956" s="40">
        <v>1182</v>
      </c>
      <c r="AZ956" s="15">
        <v>33</v>
      </c>
      <c r="BA956" s="14">
        <f t="shared" si="134"/>
        <v>1.5185139398778875</v>
      </c>
      <c r="BB956" s="37" t="s">
        <v>367</v>
      </c>
      <c r="BC956" s="20">
        <v>7.8931572629052822E-3</v>
      </c>
      <c r="BD956" s="9">
        <v>27.200000000000003</v>
      </c>
      <c r="BE956" s="9" t="s">
        <v>459</v>
      </c>
      <c r="BF956" s="9">
        <v>1</v>
      </c>
    </row>
    <row r="957" spans="1:58">
      <c r="A957" s="9">
        <v>1</v>
      </c>
      <c r="B957" s="10" t="s">
        <v>76</v>
      </c>
      <c r="C957" s="10" t="s">
        <v>426</v>
      </c>
      <c r="D957" s="20" t="s">
        <v>463</v>
      </c>
      <c r="E957" s="20" t="s">
        <v>733</v>
      </c>
      <c r="F957" s="10" t="s">
        <v>426</v>
      </c>
      <c r="G957" s="20" t="s">
        <v>463</v>
      </c>
      <c r="H957" s="20" t="s">
        <v>733</v>
      </c>
      <c r="I957" s="10" t="s">
        <v>465</v>
      </c>
      <c r="J957" s="20" t="s">
        <v>463</v>
      </c>
      <c r="K957" s="20" t="s">
        <v>733</v>
      </c>
      <c r="L957" s="9" t="s">
        <v>352</v>
      </c>
      <c r="M957" s="9">
        <v>13</v>
      </c>
      <c r="N957" s="9" t="s">
        <v>381</v>
      </c>
      <c r="O957" s="9" t="s">
        <v>354</v>
      </c>
      <c r="P957" s="12">
        <v>36.299999999999997</v>
      </c>
      <c r="Q957" s="12" t="s">
        <v>355</v>
      </c>
      <c r="R957" s="50" t="s">
        <v>1198</v>
      </c>
      <c r="S957" s="13" t="s">
        <v>355</v>
      </c>
      <c r="T957" s="13"/>
      <c r="U957" s="14"/>
      <c r="V957" s="15">
        <v>19.5</v>
      </c>
      <c r="W957" s="12">
        <v>9.5217912999999967</v>
      </c>
      <c r="X957" s="12">
        <v>0.5</v>
      </c>
      <c r="Y957" s="13" t="s">
        <v>355</v>
      </c>
      <c r="Z957" s="9" t="s">
        <v>359</v>
      </c>
      <c r="AA957" s="10" t="s">
        <v>1228</v>
      </c>
      <c r="AB957" s="9" t="s">
        <v>355</v>
      </c>
      <c r="AC957" s="15">
        <v>500</v>
      </c>
      <c r="AD957" s="14">
        <f t="shared" si="127"/>
        <v>2.6989700043360187</v>
      </c>
      <c r="AE957" s="10" t="s">
        <v>1232</v>
      </c>
      <c r="AF957" s="9" t="s">
        <v>408</v>
      </c>
      <c r="AG957" s="18">
        <v>18.295134999999998</v>
      </c>
      <c r="AH957" s="18"/>
      <c r="AI957" s="18"/>
      <c r="AJ957" s="18"/>
      <c r="AK957" s="18"/>
      <c r="AL957" s="18"/>
      <c r="AM957" s="18">
        <f t="shared" si="132"/>
        <v>1.2623356184981518</v>
      </c>
      <c r="AN957" s="18">
        <v>18.295134999999998</v>
      </c>
      <c r="AO957" s="18">
        <v>-65.800032999999999</v>
      </c>
      <c r="AP957" s="9" t="s">
        <v>363</v>
      </c>
      <c r="AQ957" s="9" t="s">
        <v>355</v>
      </c>
      <c r="AR957" s="15">
        <v>1988</v>
      </c>
      <c r="AS957" s="19" t="s">
        <v>1230</v>
      </c>
      <c r="AT957" s="20" t="s">
        <v>1231</v>
      </c>
      <c r="AU957" s="40">
        <v>2117</v>
      </c>
      <c r="AV957" s="35">
        <f t="shared" si="133"/>
        <v>3.325720858019412</v>
      </c>
      <c r="AW957" s="37" t="s">
        <v>366</v>
      </c>
      <c r="AX957" s="40">
        <v>273</v>
      </c>
      <c r="AY957" s="40">
        <v>1182</v>
      </c>
      <c r="AZ957" s="15">
        <v>33</v>
      </c>
      <c r="BA957" s="14">
        <f t="shared" si="134"/>
        <v>1.5185139398778875</v>
      </c>
      <c r="BB957" s="37" t="s">
        <v>367</v>
      </c>
      <c r="BC957" s="20">
        <v>7.8931572629052822E-3</v>
      </c>
      <c r="BD957" s="9">
        <v>27.200000000000003</v>
      </c>
      <c r="BE957" s="9" t="s">
        <v>459</v>
      </c>
      <c r="BF957" s="9">
        <v>1</v>
      </c>
    </row>
    <row r="958" spans="1:58">
      <c r="A958" s="9">
        <v>94</v>
      </c>
      <c r="B958" s="10" t="s">
        <v>348</v>
      </c>
      <c r="C958" s="10" t="s">
        <v>349</v>
      </c>
      <c r="D958" s="20" t="s">
        <v>393</v>
      </c>
      <c r="E958" s="20" t="s">
        <v>394</v>
      </c>
      <c r="F958" s="10" t="s">
        <v>349</v>
      </c>
      <c r="G958" s="20" t="s">
        <v>393</v>
      </c>
      <c r="H958" s="20" t="s">
        <v>394</v>
      </c>
      <c r="I958" s="10" t="s">
        <v>349</v>
      </c>
      <c r="J958" s="20" t="s">
        <v>393</v>
      </c>
      <c r="K958" s="20" t="s">
        <v>394</v>
      </c>
      <c r="L958" s="9" t="s">
        <v>352</v>
      </c>
      <c r="M958" s="9">
        <v>2</v>
      </c>
      <c r="N958" s="9" t="s">
        <v>353</v>
      </c>
      <c r="O958" s="9" t="s">
        <v>354</v>
      </c>
      <c r="P958" s="12">
        <v>34.5</v>
      </c>
      <c r="Q958" s="12" t="s">
        <v>355</v>
      </c>
      <c r="R958" s="9" t="s">
        <v>1198</v>
      </c>
      <c r="S958" s="13" t="s">
        <v>355</v>
      </c>
      <c r="T958" s="13"/>
      <c r="U958" s="14"/>
      <c r="V958" s="15">
        <v>22</v>
      </c>
      <c r="W958" s="12">
        <v>9.2719400999999984</v>
      </c>
      <c r="X958" s="12" t="s">
        <v>355</v>
      </c>
      <c r="Y958" s="13" t="s">
        <v>355</v>
      </c>
      <c r="Z958" s="9" t="s">
        <v>359</v>
      </c>
      <c r="AA958" s="10" t="s">
        <v>675</v>
      </c>
      <c r="AB958" s="9" t="s">
        <v>355</v>
      </c>
      <c r="AC958" s="15">
        <v>1158</v>
      </c>
      <c r="AD958" s="14">
        <f t="shared" si="127"/>
        <v>3.0637085593914173</v>
      </c>
      <c r="AE958" s="10" t="s">
        <v>676</v>
      </c>
      <c r="AF958" s="9" t="s">
        <v>420</v>
      </c>
      <c r="AG958" s="18">
        <v>37.375135999999998</v>
      </c>
      <c r="AH958" s="18"/>
      <c r="AI958" s="18"/>
      <c r="AJ958" s="18"/>
      <c r="AK958" s="18"/>
      <c r="AL958" s="18"/>
      <c r="AM958" s="18">
        <f t="shared" si="132"/>
        <v>1.5725827816386286</v>
      </c>
      <c r="AN958" s="18">
        <v>37.375135999999998</v>
      </c>
      <c r="AO958" s="18">
        <v>-80.522746999999995</v>
      </c>
      <c r="AP958" s="9" t="s">
        <v>363</v>
      </c>
      <c r="AQ958" s="9" t="s">
        <v>355</v>
      </c>
      <c r="AR958" s="15">
        <v>1957</v>
      </c>
      <c r="AS958" s="19" t="s">
        <v>677</v>
      </c>
      <c r="AT958" s="20" t="s">
        <v>678</v>
      </c>
      <c r="AU958" s="34">
        <v>1195927</v>
      </c>
      <c r="AV958" s="35">
        <f t="shared" si="133"/>
        <v>6.0777046709025946</v>
      </c>
      <c r="AW958" s="36" t="s">
        <v>366</v>
      </c>
      <c r="AX958" s="34" t="s">
        <v>355</v>
      </c>
      <c r="AY958" s="34" t="s">
        <v>355</v>
      </c>
      <c r="AZ958" s="15">
        <v>78</v>
      </c>
      <c r="BA958" s="14">
        <f t="shared" si="134"/>
        <v>1.8920946026904804</v>
      </c>
      <c r="BB958" s="36" t="s">
        <v>367</v>
      </c>
      <c r="BC958" s="20">
        <v>1.7852340936374687E-2</v>
      </c>
      <c r="BD958" s="9">
        <v>24.900000000000002</v>
      </c>
      <c r="BE958" s="9" t="s">
        <v>368</v>
      </c>
      <c r="BF958" s="9">
        <v>0</v>
      </c>
    </row>
    <row r="959" spans="1:58">
      <c r="A959" s="9">
        <v>411</v>
      </c>
      <c r="B959" s="10" t="s">
        <v>348</v>
      </c>
      <c r="C959" s="10" t="s">
        <v>349</v>
      </c>
      <c r="D959" s="20" t="s">
        <v>393</v>
      </c>
      <c r="E959" s="20" t="s">
        <v>1233</v>
      </c>
      <c r="F959" s="10" t="s">
        <v>349</v>
      </c>
      <c r="G959" s="20" t="s">
        <v>393</v>
      </c>
      <c r="H959" s="20" t="s">
        <v>1233</v>
      </c>
      <c r="I959" s="10" t="s">
        <v>349</v>
      </c>
      <c r="J959" s="20" t="s">
        <v>393</v>
      </c>
      <c r="K959" s="20" t="s">
        <v>1233</v>
      </c>
      <c r="L959" s="9" t="s">
        <v>352</v>
      </c>
      <c r="M959" s="9">
        <v>10</v>
      </c>
      <c r="N959" s="9" t="s">
        <v>381</v>
      </c>
      <c r="O959" s="9" t="s">
        <v>354</v>
      </c>
      <c r="P959" s="12">
        <v>37.200000000000003</v>
      </c>
      <c r="Q959" s="12">
        <v>35.799999999999997</v>
      </c>
      <c r="R959" s="9" t="s">
        <v>1198</v>
      </c>
      <c r="S959" s="13" t="s">
        <v>355</v>
      </c>
      <c r="T959" s="13"/>
      <c r="U959" s="14"/>
      <c r="V959" s="15">
        <v>22</v>
      </c>
      <c r="W959" s="12">
        <v>3.1966176999999973</v>
      </c>
      <c r="X959" s="12">
        <v>1</v>
      </c>
      <c r="Y959" s="13" t="s">
        <v>355</v>
      </c>
      <c r="Z959" s="9" t="s">
        <v>359</v>
      </c>
      <c r="AA959" s="10" t="s">
        <v>418</v>
      </c>
      <c r="AB959" s="9" t="s">
        <v>359</v>
      </c>
      <c r="AC959" s="15">
        <v>200</v>
      </c>
      <c r="AD959" s="14">
        <f t="shared" si="127"/>
        <v>2.3010299956639813</v>
      </c>
      <c r="AE959" s="10" t="s">
        <v>1234</v>
      </c>
      <c r="AF959" s="9" t="s">
        <v>420</v>
      </c>
      <c r="AG959" s="18">
        <v>29.891328000000001</v>
      </c>
      <c r="AH959" s="18"/>
      <c r="AI959" s="18"/>
      <c r="AJ959" s="18"/>
      <c r="AK959" s="18"/>
      <c r="AL959" s="18"/>
      <c r="AM959" s="18">
        <f t="shared" si="132"/>
        <v>1.4755452101299507</v>
      </c>
      <c r="AN959" s="18">
        <v>29.891328000000001</v>
      </c>
      <c r="AO959" s="18">
        <v>-97.931877999999998</v>
      </c>
      <c r="AP959" s="9" t="s">
        <v>363</v>
      </c>
      <c r="AQ959" s="9" t="s">
        <v>355</v>
      </c>
      <c r="AR959" s="15">
        <v>1995</v>
      </c>
      <c r="AS959" s="19" t="s">
        <v>1235</v>
      </c>
      <c r="AT959" s="20" t="s">
        <v>1236</v>
      </c>
      <c r="AU959" s="34">
        <v>50</v>
      </c>
      <c r="AV959" s="35">
        <f t="shared" si="133"/>
        <v>1.6989700043360187</v>
      </c>
      <c r="AW959" s="36" t="s">
        <v>366</v>
      </c>
      <c r="AX959" s="34" t="s">
        <v>355</v>
      </c>
      <c r="AY959" s="34" t="s">
        <v>355</v>
      </c>
      <c r="AZ959" s="15">
        <v>40</v>
      </c>
      <c r="BA959" s="14">
        <f t="shared" si="134"/>
        <v>1.6020599913279623</v>
      </c>
      <c r="BB959" s="36" t="s">
        <v>367</v>
      </c>
      <c r="BC959" s="20">
        <v>3.2066426570628248E-2</v>
      </c>
      <c r="BD959" s="9">
        <v>35.300000000000004</v>
      </c>
      <c r="BE959" s="9" t="s">
        <v>459</v>
      </c>
      <c r="BF959" s="9">
        <v>1</v>
      </c>
    </row>
    <row r="960" spans="1:58">
      <c r="A960" s="9">
        <v>410</v>
      </c>
      <c r="B960" s="10" t="s">
        <v>348</v>
      </c>
      <c r="C960" s="10" t="s">
        <v>349</v>
      </c>
      <c r="D960" s="20" t="s">
        <v>393</v>
      </c>
      <c r="E960" s="20" t="s">
        <v>1233</v>
      </c>
      <c r="F960" s="10" t="s">
        <v>349</v>
      </c>
      <c r="G960" s="20" t="s">
        <v>393</v>
      </c>
      <c r="H960" s="20" t="s">
        <v>1233</v>
      </c>
      <c r="I960" s="10" t="s">
        <v>349</v>
      </c>
      <c r="J960" s="20" t="s">
        <v>393</v>
      </c>
      <c r="K960" s="20" t="s">
        <v>1233</v>
      </c>
      <c r="L960" s="9" t="s">
        <v>430</v>
      </c>
      <c r="M960" s="9">
        <v>10</v>
      </c>
      <c r="N960" s="9" t="s">
        <v>381</v>
      </c>
      <c r="O960" s="9" t="s">
        <v>354</v>
      </c>
      <c r="P960" s="12">
        <v>35.799999999999997</v>
      </c>
      <c r="Q960" s="12">
        <v>34.299999999999997</v>
      </c>
      <c r="R960" s="9" t="s">
        <v>1198</v>
      </c>
      <c r="S960" s="13" t="s">
        <v>355</v>
      </c>
      <c r="T960" s="13"/>
      <c r="U960" s="14"/>
      <c r="V960" s="15">
        <v>22</v>
      </c>
      <c r="W960" s="12">
        <v>1.7966176999999917</v>
      </c>
      <c r="X960" s="12">
        <v>1</v>
      </c>
      <c r="Y960" s="13" t="s">
        <v>355</v>
      </c>
      <c r="Z960" s="9" t="s">
        <v>359</v>
      </c>
      <c r="AA960" s="10" t="s">
        <v>418</v>
      </c>
      <c r="AB960" s="9" t="s">
        <v>359</v>
      </c>
      <c r="AC960" s="15">
        <v>200</v>
      </c>
      <c r="AD960" s="14">
        <f t="shared" si="127"/>
        <v>2.3010299956639813</v>
      </c>
      <c r="AE960" s="10" t="s">
        <v>1234</v>
      </c>
      <c r="AF960" s="9" t="s">
        <v>420</v>
      </c>
      <c r="AG960" s="18">
        <v>29.891328000000001</v>
      </c>
      <c r="AH960" s="18"/>
      <c r="AI960" s="18"/>
      <c r="AJ960" s="18"/>
      <c r="AK960" s="18"/>
      <c r="AL960" s="18"/>
      <c r="AM960" s="18">
        <f t="shared" si="132"/>
        <v>1.4755452101299507</v>
      </c>
      <c r="AN960" s="18">
        <v>29.891328000000001</v>
      </c>
      <c r="AO960" s="18">
        <v>-97.931877999999998</v>
      </c>
      <c r="AP960" s="9" t="s">
        <v>363</v>
      </c>
      <c r="AQ960" s="9" t="s">
        <v>355</v>
      </c>
      <c r="AR960" s="15">
        <v>1995</v>
      </c>
      <c r="AS960" s="19" t="s">
        <v>1235</v>
      </c>
      <c r="AT960" s="20" t="s">
        <v>1236</v>
      </c>
      <c r="AU960" s="34">
        <v>50</v>
      </c>
      <c r="AV960" s="35">
        <f t="shared" si="133"/>
        <v>1.6989700043360187</v>
      </c>
      <c r="AW960" s="36" t="s">
        <v>366</v>
      </c>
      <c r="AX960" s="34" t="s">
        <v>355</v>
      </c>
      <c r="AY960" s="34" t="s">
        <v>355</v>
      </c>
      <c r="AZ960" s="15">
        <v>40</v>
      </c>
      <c r="BA960" s="14">
        <f t="shared" si="134"/>
        <v>1.6020599913279623</v>
      </c>
      <c r="BB960" s="36" t="s">
        <v>367</v>
      </c>
      <c r="BC960" s="20">
        <v>3.2066426570628248E-2</v>
      </c>
      <c r="BD960" s="9">
        <v>35.300000000000004</v>
      </c>
      <c r="BE960" s="9" t="s">
        <v>459</v>
      </c>
      <c r="BF960" s="9">
        <v>1</v>
      </c>
    </row>
    <row r="961" spans="1:58">
      <c r="A961" s="9">
        <v>622</v>
      </c>
      <c r="B961" s="10" t="s">
        <v>76</v>
      </c>
      <c r="C961" s="10" t="s">
        <v>1237</v>
      </c>
      <c r="D961" s="20" t="s">
        <v>1238</v>
      </c>
      <c r="E961" s="20" t="s">
        <v>1239</v>
      </c>
      <c r="F961" s="10" t="s">
        <v>1237</v>
      </c>
      <c r="G961" s="20" t="s">
        <v>1238</v>
      </c>
      <c r="H961" s="20" t="s">
        <v>1239</v>
      </c>
      <c r="I961" s="10" t="s">
        <v>1237</v>
      </c>
      <c r="J961" s="20" t="s">
        <v>1238</v>
      </c>
      <c r="K961" s="20" t="s">
        <v>1239</v>
      </c>
      <c r="L961" s="9" t="s">
        <v>352</v>
      </c>
      <c r="M961" s="9">
        <v>5</v>
      </c>
      <c r="N961" s="9" t="s">
        <v>353</v>
      </c>
      <c r="O961" s="9" t="s">
        <v>354</v>
      </c>
      <c r="P961" s="12">
        <v>40.520000000000003</v>
      </c>
      <c r="Q961" s="12" t="s">
        <v>355</v>
      </c>
      <c r="R961" s="9" t="s">
        <v>356</v>
      </c>
      <c r="S961" s="13" t="s">
        <v>355</v>
      </c>
      <c r="T961" s="13"/>
      <c r="U961" s="14"/>
      <c r="V961" s="15">
        <v>30</v>
      </c>
      <c r="W961" s="12">
        <v>6.6169153000000023</v>
      </c>
      <c r="X961" s="12" t="s">
        <v>355</v>
      </c>
      <c r="Y961" s="13" t="s">
        <v>355</v>
      </c>
      <c r="Z961" s="9" t="s">
        <v>1240</v>
      </c>
      <c r="AA961" s="10" t="s">
        <v>1241</v>
      </c>
      <c r="AB961" s="9" t="s">
        <v>355</v>
      </c>
      <c r="AC961" s="43">
        <v>372</v>
      </c>
      <c r="AD961" s="14">
        <f t="shared" si="127"/>
        <v>2.5705429398818973</v>
      </c>
      <c r="AE961" s="10" t="s">
        <v>1242</v>
      </c>
      <c r="AF961" s="44" t="s">
        <v>408</v>
      </c>
      <c r="AG961" s="18">
        <v>16.019649000000001</v>
      </c>
      <c r="AH961" s="18"/>
      <c r="AI961" s="18"/>
      <c r="AJ961" s="18"/>
      <c r="AK961" s="18"/>
      <c r="AL961" s="18"/>
      <c r="AM961" s="18">
        <f t="shared" si="132"/>
        <v>1.2046529962030796</v>
      </c>
      <c r="AN961" s="45">
        <v>-16.019649000000001</v>
      </c>
      <c r="AO961" s="45">
        <v>37.705078</v>
      </c>
      <c r="AP961" s="9" t="s">
        <v>402</v>
      </c>
      <c r="AQ961" s="9" t="s">
        <v>403</v>
      </c>
      <c r="AR961" s="15">
        <v>1988</v>
      </c>
      <c r="AS961" s="19" t="s">
        <v>1243</v>
      </c>
      <c r="AT961" s="46" t="s">
        <v>1244</v>
      </c>
      <c r="AU961" s="40">
        <v>1138933</v>
      </c>
      <c r="AV961" s="35">
        <f t="shared" si="133"/>
        <v>6.0564981765934665</v>
      </c>
      <c r="AW961" s="37" t="s">
        <v>366</v>
      </c>
      <c r="AX961" s="34" t="s">
        <v>355</v>
      </c>
      <c r="AY961" s="40">
        <v>1000</v>
      </c>
      <c r="AZ961" s="15">
        <v>33</v>
      </c>
      <c r="BA961" s="14">
        <f t="shared" si="134"/>
        <v>1.5185139398778875</v>
      </c>
      <c r="BB961" s="37" t="s">
        <v>388</v>
      </c>
      <c r="BC961" s="20">
        <v>1.7560624249699789E-2</v>
      </c>
      <c r="BD961" s="9">
        <v>33.700000000000003</v>
      </c>
      <c r="BE961" s="9" t="s">
        <v>368</v>
      </c>
      <c r="BF961" s="9">
        <v>0</v>
      </c>
    </row>
    <row r="962" spans="1:58">
      <c r="A962" s="9">
        <v>616</v>
      </c>
      <c r="B962" s="10" t="s">
        <v>76</v>
      </c>
      <c r="C962" s="10" t="s">
        <v>1237</v>
      </c>
      <c r="D962" s="20" t="s">
        <v>1238</v>
      </c>
      <c r="E962" s="20" t="s">
        <v>1245</v>
      </c>
      <c r="F962" s="10" t="s">
        <v>1237</v>
      </c>
      <c r="G962" s="20" t="s">
        <v>1238</v>
      </c>
      <c r="H962" s="20" t="s">
        <v>1245</v>
      </c>
      <c r="I962" s="10" t="s">
        <v>1237</v>
      </c>
      <c r="J962" s="20" t="s">
        <v>1238</v>
      </c>
      <c r="K962" s="20" t="s">
        <v>1245</v>
      </c>
      <c r="L962" s="9" t="s">
        <v>352</v>
      </c>
      <c r="M962" s="9">
        <v>9</v>
      </c>
      <c r="N962" s="9" t="s">
        <v>353</v>
      </c>
      <c r="O962" s="9" t="s">
        <v>354</v>
      </c>
      <c r="P962" s="12">
        <v>42.3</v>
      </c>
      <c r="Q962" s="12" t="s">
        <v>355</v>
      </c>
      <c r="R962" s="9" t="s">
        <v>356</v>
      </c>
      <c r="S962" s="13" t="s">
        <v>355</v>
      </c>
      <c r="T962" s="13"/>
      <c r="U962" s="14"/>
      <c r="V962" s="15">
        <v>27</v>
      </c>
      <c r="W962" s="12">
        <v>7.7686569999999975</v>
      </c>
      <c r="X962" s="12" t="s">
        <v>355</v>
      </c>
      <c r="Y962" s="13" t="s">
        <v>355</v>
      </c>
      <c r="Z962" s="9" t="s">
        <v>1240</v>
      </c>
      <c r="AA962" s="10" t="s">
        <v>1241</v>
      </c>
      <c r="AB962" s="9" t="s">
        <v>355</v>
      </c>
      <c r="AC962" s="15">
        <v>235</v>
      </c>
      <c r="AD962" s="14">
        <f t="shared" si="127"/>
        <v>2.3710678622717363</v>
      </c>
      <c r="AE962" s="10" t="s">
        <v>1246</v>
      </c>
      <c r="AF962" s="9" t="s">
        <v>408</v>
      </c>
      <c r="AG962" s="18">
        <v>7.5399890000000003</v>
      </c>
      <c r="AH962" s="18"/>
      <c r="AI962" s="18"/>
      <c r="AJ962" s="18"/>
      <c r="AK962" s="18"/>
      <c r="AL962" s="18"/>
      <c r="AM962" s="18">
        <f t="shared" si="132"/>
        <v>0.87737071228319774</v>
      </c>
      <c r="AN962" s="18">
        <v>7.5399890000000003</v>
      </c>
      <c r="AO962" s="18">
        <v>-5.5470800000000002</v>
      </c>
      <c r="AP962" s="9" t="s">
        <v>363</v>
      </c>
      <c r="AQ962" s="9" t="s">
        <v>355</v>
      </c>
      <c r="AR962" s="15">
        <v>1988</v>
      </c>
      <c r="AS962" s="19" t="s">
        <v>1243</v>
      </c>
      <c r="AT962" s="46" t="s">
        <v>1244</v>
      </c>
      <c r="AU962" s="40">
        <v>1953493</v>
      </c>
      <c r="AV962" s="35">
        <f t="shared" si="133"/>
        <v>6.2908118593453848</v>
      </c>
      <c r="AW962" s="37" t="s">
        <v>366</v>
      </c>
      <c r="AX962" s="34" t="s">
        <v>355</v>
      </c>
      <c r="AY962" s="40">
        <v>2400</v>
      </c>
      <c r="AZ962" s="15">
        <v>33</v>
      </c>
      <c r="BA962" s="14">
        <f t="shared" si="134"/>
        <v>1.5185139398778875</v>
      </c>
      <c r="BB962" s="37" t="s">
        <v>388</v>
      </c>
      <c r="BC962" s="20">
        <v>1.2967186874750338E-2</v>
      </c>
      <c r="BD962" s="9">
        <v>35</v>
      </c>
      <c r="BE962" s="9" t="s">
        <v>368</v>
      </c>
      <c r="BF962" s="9">
        <v>0</v>
      </c>
    </row>
    <row r="963" spans="1:58">
      <c r="A963" s="9">
        <v>617</v>
      </c>
      <c r="B963" s="10" t="s">
        <v>76</v>
      </c>
      <c r="C963" s="10" t="s">
        <v>1237</v>
      </c>
      <c r="D963" s="20" t="s">
        <v>1238</v>
      </c>
      <c r="E963" s="20" t="s">
        <v>1245</v>
      </c>
      <c r="F963" s="10" t="s">
        <v>1237</v>
      </c>
      <c r="G963" s="20" t="s">
        <v>1238</v>
      </c>
      <c r="H963" s="20" t="s">
        <v>1245</v>
      </c>
      <c r="I963" s="10" t="s">
        <v>1237</v>
      </c>
      <c r="J963" s="20" t="s">
        <v>1238</v>
      </c>
      <c r="K963" s="20" t="s">
        <v>1245</v>
      </c>
      <c r="L963" s="9" t="s">
        <v>352</v>
      </c>
      <c r="M963" s="9">
        <v>7</v>
      </c>
      <c r="N963" s="9" t="s">
        <v>353</v>
      </c>
      <c r="O963" s="9" t="s">
        <v>354</v>
      </c>
      <c r="P963" s="12">
        <v>43.9</v>
      </c>
      <c r="Q963" s="12" t="s">
        <v>355</v>
      </c>
      <c r="R963" s="9" t="s">
        <v>356</v>
      </c>
      <c r="S963" s="13" t="s">
        <v>355</v>
      </c>
      <c r="T963" s="13"/>
      <c r="U963" s="14"/>
      <c r="V963" s="15">
        <v>35</v>
      </c>
      <c r="W963" s="12">
        <v>8.118904999999998</v>
      </c>
      <c r="X963" s="12" t="s">
        <v>355</v>
      </c>
      <c r="Y963" s="13" t="s">
        <v>355</v>
      </c>
      <c r="Z963" s="9" t="s">
        <v>1240</v>
      </c>
      <c r="AA963" s="10" t="s">
        <v>1241</v>
      </c>
      <c r="AB963" s="9" t="s">
        <v>355</v>
      </c>
      <c r="AC963" s="15">
        <v>235</v>
      </c>
      <c r="AD963" s="14">
        <f t="shared" si="127"/>
        <v>2.3710678622717363</v>
      </c>
      <c r="AE963" s="10" t="s">
        <v>1246</v>
      </c>
      <c r="AF963" s="9" t="s">
        <v>408</v>
      </c>
      <c r="AG963" s="18">
        <v>7.5399890000000003</v>
      </c>
      <c r="AH963" s="18"/>
      <c r="AI963" s="18"/>
      <c r="AJ963" s="18"/>
      <c r="AK963" s="18"/>
      <c r="AL963" s="18"/>
      <c r="AM963" s="18">
        <f t="shared" si="132"/>
        <v>0.87737071228319774</v>
      </c>
      <c r="AN963" s="18">
        <v>7.5399890000000003</v>
      </c>
      <c r="AO963" s="18">
        <v>-5.5470800000000002</v>
      </c>
      <c r="AP963" s="9" t="s">
        <v>363</v>
      </c>
      <c r="AQ963" s="9" t="s">
        <v>355</v>
      </c>
      <c r="AR963" s="15">
        <v>1988</v>
      </c>
      <c r="AS963" s="19" t="s">
        <v>1243</v>
      </c>
      <c r="AT963" s="46" t="s">
        <v>1244</v>
      </c>
      <c r="AU963" s="40">
        <v>1953493</v>
      </c>
      <c r="AV963" s="35">
        <f t="shared" si="133"/>
        <v>6.2908118593453848</v>
      </c>
      <c r="AW963" s="37" t="s">
        <v>366</v>
      </c>
      <c r="AX963" s="34" t="s">
        <v>355</v>
      </c>
      <c r="AY963" s="40">
        <v>2400</v>
      </c>
      <c r="AZ963" s="15">
        <v>33</v>
      </c>
      <c r="BA963" s="14">
        <f t="shared" si="134"/>
        <v>1.5185139398778875</v>
      </c>
      <c r="BB963" s="37" t="s">
        <v>388</v>
      </c>
      <c r="BC963" s="20">
        <v>1.2967186874750338E-2</v>
      </c>
      <c r="BD963" s="9">
        <v>35</v>
      </c>
      <c r="BE963" s="9" t="s">
        <v>368</v>
      </c>
      <c r="BF963" s="9">
        <v>0</v>
      </c>
    </row>
    <row r="964" spans="1:58">
      <c r="A964" s="9">
        <v>618</v>
      </c>
      <c r="B964" s="10" t="s">
        <v>76</v>
      </c>
      <c r="C964" s="10" t="s">
        <v>1237</v>
      </c>
      <c r="D964" s="20" t="s">
        <v>1238</v>
      </c>
      <c r="E964" s="20" t="s">
        <v>1245</v>
      </c>
      <c r="F964" s="10" t="s">
        <v>1237</v>
      </c>
      <c r="G964" s="20" t="s">
        <v>1238</v>
      </c>
      <c r="H964" s="20" t="s">
        <v>1245</v>
      </c>
      <c r="I964" s="10" t="s">
        <v>1237</v>
      </c>
      <c r="J964" s="20" t="s">
        <v>1238</v>
      </c>
      <c r="K964" s="20" t="s">
        <v>1245</v>
      </c>
      <c r="L964" s="9" t="s">
        <v>352</v>
      </c>
      <c r="M964" s="9">
        <v>9</v>
      </c>
      <c r="N964" s="9" t="s">
        <v>353</v>
      </c>
      <c r="O964" s="9" t="s">
        <v>354</v>
      </c>
      <c r="P964" s="12">
        <v>40.46</v>
      </c>
      <c r="Q964" s="12" t="s">
        <v>355</v>
      </c>
      <c r="R964" s="9" t="s">
        <v>356</v>
      </c>
      <c r="S964" s="13" t="s">
        <v>355</v>
      </c>
      <c r="T964" s="13"/>
      <c r="U964" s="14"/>
      <c r="V964" s="15">
        <v>25</v>
      </c>
      <c r="W964" s="12">
        <v>6.2410950000000014</v>
      </c>
      <c r="X964" s="12" t="s">
        <v>355</v>
      </c>
      <c r="Y964" s="13" t="s">
        <v>355</v>
      </c>
      <c r="Z964" s="9" t="s">
        <v>1240</v>
      </c>
      <c r="AA964" s="10" t="s">
        <v>1241</v>
      </c>
      <c r="AB964" s="9" t="s">
        <v>355</v>
      </c>
      <c r="AC964" s="43">
        <v>722</v>
      </c>
      <c r="AD964" s="14">
        <f t="shared" si="127"/>
        <v>2.858537197569639</v>
      </c>
      <c r="AE964" s="10" t="s">
        <v>1242</v>
      </c>
      <c r="AF964" s="44" t="s">
        <v>408</v>
      </c>
      <c r="AG964" s="18">
        <v>4.7816485000000002</v>
      </c>
      <c r="AH964" s="18"/>
      <c r="AI964" s="18"/>
      <c r="AJ964" s="18"/>
      <c r="AK964" s="18"/>
      <c r="AL964" s="18"/>
      <c r="AM964" s="18">
        <f t="shared" si="132"/>
        <v>0.67957764787321395</v>
      </c>
      <c r="AN964" s="45">
        <v>4.7816485000000002</v>
      </c>
      <c r="AO964" s="45">
        <v>30.382690499999999</v>
      </c>
      <c r="AP964" s="9" t="s">
        <v>402</v>
      </c>
      <c r="AQ964" s="9" t="s">
        <v>403</v>
      </c>
      <c r="AR964" s="15">
        <v>1988</v>
      </c>
      <c r="AS964" s="19" t="s">
        <v>1243</v>
      </c>
      <c r="AT964" s="46" t="s">
        <v>1244</v>
      </c>
      <c r="AU964" s="40">
        <v>1953493</v>
      </c>
      <c r="AV964" s="35">
        <f t="shared" si="133"/>
        <v>6.2908118593453848</v>
      </c>
      <c r="AW964" s="37" t="s">
        <v>366</v>
      </c>
      <c r="AX964" s="34" t="s">
        <v>355</v>
      </c>
      <c r="AY964" s="40">
        <v>2400</v>
      </c>
      <c r="AZ964" s="15">
        <v>33</v>
      </c>
      <c r="BA964" s="14">
        <f t="shared" si="134"/>
        <v>1.5185139398778875</v>
      </c>
      <c r="BB964" s="37" t="s">
        <v>388</v>
      </c>
      <c r="BC964" s="20">
        <v>4.3529811924769228E-2</v>
      </c>
      <c r="BD964" s="9">
        <v>35</v>
      </c>
      <c r="BE964" s="9" t="s">
        <v>368</v>
      </c>
      <c r="BF964" s="9">
        <v>0</v>
      </c>
    </row>
    <row r="965" spans="1:58">
      <c r="A965" s="9">
        <v>619</v>
      </c>
      <c r="B965" s="10" t="s">
        <v>76</v>
      </c>
      <c r="C965" s="10" t="s">
        <v>1237</v>
      </c>
      <c r="D965" s="20" t="s">
        <v>1238</v>
      </c>
      <c r="E965" s="20" t="s">
        <v>1245</v>
      </c>
      <c r="F965" s="10" t="s">
        <v>1237</v>
      </c>
      <c r="G965" s="20" t="s">
        <v>1238</v>
      </c>
      <c r="H965" s="20" t="s">
        <v>1245</v>
      </c>
      <c r="I965" s="10" t="s">
        <v>1237</v>
      </c>
      <c r="J965" s="20" t="s">
        <v>1238</v>
      </c>
      <c r="K965" s="20" t="s">
        <v>1245</v>
      </c>
      <c r="L965" s="9" t="s">
        <v>352</v>
      </c>
      <c r="M965" s="9">
        <v>4</v>
      </c>
      <c r="N965" s="9" t="s">
        <v>353</v>
      </c>
      <c r="O965" s="9" t="s">
        <v>354</v>
      </c>
      <c r="P965" s="12">
        <v>41.95</v>
      </c>
      <c r="Q965" s="12" t="s">
        <v>355</v>
      </c>
      <c r="R965" s="9" t="s">
        <v>356</v>
      </c>
      <c r="S965" s="13" t="s">
        <v>355</v>
      </c>
      <c r="T965" s="13"/>
      <c r="U965" s="14"/>
      <c r="V965" s="15">
        <v>30</v>
      </c>
      <c r="W965" s="12">
        <v>6.9500000000000028</v>
      </c>
      <c r="X965" s="12" t="s">
        <v>355</v>
      </c>
      <c r="Y965" s="13" t="s">
        <v>355</v>
      </c>
      <c r="Z965" s="9" t="s">
        <v>1240</v>
      </c>
      <c r="AA965" s="10" t="s">
        <v>1241</v>
      </c>
      <c r="AB965" s="9" t="s">
        <v>355</v>
      </c>
      <c r="AC965" s="43">
        <v>722</v>
      </c>
      <c r="AD965" s="14">
        <f t="shared" si="127"/>
        <v>2.858537197569639</v>
      </c>
      <c r="AE965" s="10" t="s">
        <v>1242</v>
      </c>
      <c r="AF965" s="44" t="s">
        <v>408</v>
      </c>
      <c r="AG965" s="18">
        <v>4.7816485000000002</v>
      </c>
      <c r="AH965" s="18"/>
      <c r="AI965" s="18"/>
      <c r="AJ965" s="18"/>
      <c r="AK965" s="18"/>
      <c r="AL965" s="18"/>
      <c r="AM965" s="18">
        <f t="shared" si="132"/>
        <v>0.67957764787321395</v>
      </c>
      <c r="AN965" s="45">
        <v>4.7816485000000002</v>
      </c>
      <c r="AO965" s="45">
        <v>30.382690499999999</v>
      </c>
      <c r="AP965" s="9" t="s">
        <v>402</v>
      </c>
      <c r="AQ965" s="9" t="s">
        <v>403</v>
      </c>
      <c r="AR965" s="15">
        <v>1988</v>
      </c>
      <c r="AS965" s="19" t="s">
        <v>1243</v>
      </c>
      <c r="AT965" s="46" t="s">
        <v>1244</v>
      </c>
      <c r="AU965" s="40">
        <v>1953493</v>
      </c>
      <c r="AV965" s="35">
        <f t="shared" si="133"/>
        <v>6.2908118593453848</v>
      </c>
      <c r="AW965" s="37" t="s">
        <v>366</v>
      </c>
      <c r="AX965" s="34" t="s">
        <v>355</v>
      </c>
      <c r="AY965" s="40">
        <v>2400</v>
      </c>
      <c r="AZ965" s="15">
        <v>33</v>
      </c>
      <c r="BA965" s="14">
        <f t="shared" si="134"/>
        <v>1.5185139398778875</v>
      </c>
      <c r="BB965" s="37" t="s">
        <v>388</v>
      </c>
      <c r="BC965" s="20">
        <v>4.3529811924769228E-2</v>
      </c>
      <c r="BD965" s="9">
        <v>35</v>
      </c>
      <c r="BE965" s="9" t="s">
        <v>368</v>
      </c>
      <c r="BF965" s="9">
        <v>0</v>
      </c>
    </row>
    <row r="966" spans="1:58">
      <c r="A966" s="9">
        <v>620</v>
      </c>
      <c r="B966" s="10" t="s">
        <v>76</v>
      </c>
      <c r="C966" s="10" t="s">
        <v>1237</v>
      </c>
      <c r="D966" s="20" t="s">
        <v>1238</v>
      </c>
      <c r="E966" s="20" t="s">
        <v>1245</v>
      </c>
      <c r="F966" s="10" t="s">
        <v>1237</v>
      </c>
      <c r="G966" s="20" t="s">
        <v>1238</v>
      </c>
      <c r="H966" s="20" t="s">
        <v>1245</v>
      </c>
      <c r="I966" s="10" t="s">
        <v>1237</v>
      </c>
      <c r="J966" s="20" t="s">
        <v>1238</v>
      </c>
      <c r="K966" s="20" t="s">
        <v>1245</v>
      </c>
      <c r="L966" s="9" t="s">
        <v>352</v>
      </c>
      <c r="M966" s="9">
        <v>8</v>
      </c>
      <c r="N966" s="9" t="s">
        <v>353</v>
      </c>
      <c r="O966" s="9" t="s">
        <v>354</v>
      </c>
      <c r="P966" s="12">
        <v>42.34</v>
      </c>
      <c r="Q966" s="12" t="s">
        <v>355</v>
      </c>
      <c r="R966" s="9" t="s">
        <v>356</v>
      </c>
      <c r="S966" s="13" t="s">
        <v>355</v>
      </c>
      <c r="T966" s="13"/>
      <c r="U966" s="14"/>
      <c r="V966" s="15">
        <v>35</v>
      </c>
      <c r="W966" s="12">
        <v>6.5589050000000029</v>
      </c>
      <c r="X966" s="12" t="s">
        <v>355</v>
      </c>
      <c r="Y966" s="13" t="s">
        <v>355</v>
      </c>
      <c r="Z966" s="9" t="s">
        <v>1240</v>
      </c>
      <c r="AA966" s="10" t="s">
        <v>1241</v>
      </c>
      <c r="AB966" s="9" t="s">
        <v>355</v>
      </c>
      <c r="AC966" s="43">
        <v>722</v>
      </c>
      <c r="AD966" s="14">
        <f t="shared" si="127"/>
        <v>2.858537197569639</v>
      </c>
      <c r="AE966" s="10" t="s">
        <v>1242</v>
      </c>
      <c r="AF966" s="44" t="s">
        <v>408</v>
      </c>
      <c r="AG966" s="18">
        <v>4.7816485000000002</v>
      </c>
      <c r="AH966" s="18"/>
      <c r="AI966" s="18"/>
      <c r="AJ966" s="18"/>
      <c r="AK966" s="18"/>
      <c r="AL966" s="18"/>
      <c r="AM966" s="18">
        <f t="shared" si="132"/>
        <v>0.67957764787321395</v>
      </c>
      <c r="AN966" s="45">
        <v>4.7816485000000002</v>
      </c>
      <c r="AO966" s="45">
        <v>30.382690499999999</v>
      </c>
      <c r="AP966" s="9" t="s">
        <v>402</v>
      </c>
      <c r="AQ966" s="9" t="s">
        <v>403</v>
      </c>
      <c r="AR966" s="15">
        <v>1988</v>
      </c>
      <c r="AS966" s="19" t="s">
        <v>1243</v>
      </c>
      <c r="AT966" s="46" t="s">
        <v>1244</v>
      </c>
      <c r="AU966" s="40">
        <v>1953493</v>
      </c>
      <c r="AV966" s="35">
        <f t="shared" si="133"/>
        <v>6.2908118593453848</v>
      </c>
      <c r="AW966" s="37" t="s">
        <v>366</v>
      </c>
      <c r="AX966" s="34" t="s">
        <v>355</v>
      </c>
      <c r="AY966" s="40">
        <v>2400</v>
      </c>
      <c r="AZ966" s="15">
        <v>33</v>
      </c>
      <c r="BA966" s="14">
        <f t="shared" si="134"/>
        <v>1.5185139398778875</v>
      </c>
      <c r="BB966" s="37" t="s">
        <v>388</v>
      </c>
      <c r="BC966" s="20">
        <v>4.3529811924769228E-2</v>
      </c>
      <c r="BD966" s="9">
        <v>35</v>
      </c>
      <c r="BE966" s="9" t="s">
        <v>368</v>
      </c>
      <c r="BF966" s="9">
        <v>0</v>
      </c>
    </row>
    <row r="967" spans="1:58">
      <c r="A967" s="9">
        <v>621</v>
      </c>
      <c r="B967" s="10" t="s">
        <v>76</v>
      </c>
      <c r="C967" s="10" t="s">
        <v>1237</v>
      </c>
      <c r="D967" s="20" t="s">
        <v>1238</v>
      </c>
      <c r="E967" s="20" t="s">
        <v>1245</v>
      </c>
      <c r="F967" s="10" t="s">
        <v>1237</v>
      </c>
      <c r="G967" s="20" t="s">
        <v>1238</v>
      </c>
      <c r="H967" s="20" t="s">
        <v>1245</v>
      </c>
      <c r="I967" s="10" t="s">
        <v>1237</v>
      </c>
      <c r="J967" s="20" t="s">
        <v>1238</v>
      </c>
      <c r="K967" s="20" t="s">
        <v>1245</v>
      </c>
      <c r="L967" s="9" t="s">
        <v>352</v>
      </c>
      <c r="M967" s="9">
        <v>9</v>
      </c>
      <c r="N967" s="9" t="s">
        <v>353</v>
      </c>
      <c r="O967" s="9" t="s">
        <v>354</v>
      </c>
      <c r="P967" s="12">
        <v>42.89</v>
      </c>
      <c r="Q967" s="12" t="s">
        <v>355</v>
      </c>
      <c r="R967" s="9" t="s">
        <v>356</v>
      </c>
      <c r="S967" s="13" t="s">
        <v>355</v>
      </c>
      <c r="T967" s="13"/>
      <c r="U967" s="14"/>
      <c r="V967" s="15">
        <v>40</v>
      </c>
      <c r="W967" s="12">
        <v>6.3278099999999995</v>
      </c>
      <c r="X967" s="12" t="s">
        <v>355</v>
      </c>
      <c r="Y967" s="13" t="s">
        <v>355</v>
      </c>
      <c r="Z967" s="9" t="s">
        <v>1240</v>
      </c>
      <c r="AA967" s="10" t="s">
        <v>1241</v>
      </c>
      <c r="AB967" s="9" t="s">
        <v>355</v>
      </c>
      <c r="AC967" s="43">
        <v>722</v>
      </c>
      <c r="AD967" s="14">
        <f t="shared" si="127"/>
        <v>2.858537197569639</v>
      </c>
      <c r="AE967" s="10" t="s">
        <v>1242</v>
      </c>
      <c r="AF967" s="44" t="s">
        <v>408</v>
      </c>
      <c r="AG967" s="18">
        <v>4.7816485000000002</v>
      </c>
      <c r="AH967" s="18"/>
      <c r="AI967" s="18"/>
      <c r="AJ967" s="18"/>
      <c r="AK967" s="18"/>
      <c r="AL967" s="18"/>
      <c r="AM967" s="18">
        <f t="shared" si="132"/>
        <v>0.67957764787321395</v>
      </c>
      <c r="AN967" s="45">
        <v>4.7816485000000002</v>
      </c>
      <c r="AO967" s="45">
        <v>30.382690499999999</v>
      </c>
      <c r="AP967" s="9" t="s">
        <v>402</v>
      </c>
      <c r="AQ967" s="9" t="s">
        <v>403</v>
      </c>
      <c r="AR967" s="15">
        <v>1988</v>
      </c>
      <c r="AS967" s="19" t="s">
        <v>1243</v>
      </c>
      <c r="AT967" s="46" t="s">
        <v>1244</v>
      </c>
      <c r="AU967" s="40">
        <v>1953493</v>
      </c>
      <c r="AV967" s="35">
        <f t="shared" si="133"/>
        <v>6.2908118593453848</v>
      </c>
      <c r="AW967" s="37" t="s">
        <v>366</v>
      </c>
      <c r="AX967" s="34" t="s">
        <v>355</v>
      </c>
      <c r="AY967" s="40">
        <v>2400</v>
      </c>
      <c r="AZ967" s="15">
        <v>33</v>
      </c>
      <c r="BA967" s="14">
        <f t="shared" si="134"/>
        <v>1.5185139398778875</v>
      </c>
      <c r="BB967" s="37" t="s">
        <v>388</v>
      </c>
      <c r="BC967" s="20">
        <v>4.3529811924769228E-2</v>
      </c>
      <c r="BD967" s="9">
        <v>35</v>
      </c>
      <c r="BE967" s="9" t="s">
        <v>368</v>
      </c>
      <c r="BF967" s="9">
        <v>0</v>
      </c>
    </row>
    <row r="968" spans="1:58">
      <c r="A968" s="9">
        <v>181</v>
      </c>
      <c r="B968" s="10" t="s">
        <v>76</v>
      </c>
      <c r="C968" s="10" t="s">
        <v>369</v>
      </c>
      <c r="D968" s="20" t="s">
        <v>370</v>
      </c>
      <c r="E968" s="20" t="s">
        <v>371</v>
      </c>
      <c r="F968" s="10" t="s">
        <v>369</v>
      </c>
      <c r="G968" s="20" t="s">
        <v>370</v>
      </c>
      <c r="H968" s="20" t="s">
        <v>371</v>
      </c>
      <c r="I968" s="10" t="s">
        <v>369</v>
      </c>
      <c r="J968" s="20" t="s">
        <v>398</v>
      </c>
      <c r="K968" s="20" t="s">
        <v>371</v>
      </c>
      <c r="L968" s="9" t="s">
        <v>352</v>
      </c>
      <c r="M968" s="9">
        <v>10</v>
      </c>
      <c r="N968" s="9" t="s">
        <v>355</v>
      </c>
      <c r="O968" s="9" t="s">
        <v>558</v>
      </c>
      <c r="P968" s="12">
        <v>36.299999999999997</v>
      </c>
      <c r="Q968" s="12" t="s">
        <v>355</v>
      </c>
      <c r="R968" s="9" t="s">
        <v>1198</v>
      </c>
      <c r="S968" s="13" t="s">
        <v>355</v>
      </c>
      <c r="T968" s="13"/>
      <c r="U968" s="14"/>
      <c r="V968" s="38">
        <v>21</v>
      </c>
      <c r="W968" s="12">
        <v>7.9374131999999982</v>
      </c>
      <c r="X968" s="12" t="s">
        <v>355</v>
      </c>
      <c r="Y968" s="13" t="s">
        <v>355</v>
      </c>
      <c r="Z968" s="9" t="s">
        <v>359</v>
      </c>
      <c r="AA968" s="10" t="s">
        <v>372</v>
      </c>
      <c r="AB968" s="9" t="s">
        <v>355</v>
      </c>
      <c r="AC968" s="38">
        <v>267</v>
      </c>
      <c r="AD968" s="14">
        <f t="shared" ref="AD968:AD1031" si="135">LOG(AC968)</f>
        <v>2.4265112613645754</v>
      </c>
      <c r="AE968" s="10" t="s">
        <v>1204</v>
      </c>
      <c r="AF968" s="9" t="s">
        <v>362</v>
      </c>
      <c r="AG968" s="18">
        <v>44.996398999999997</v>
      </c>
      <c r="AH968" s="18"/>
      <c r="AI968" s="18"/>
      <c r="AJ968" s="18"/>
      <c r="AK968" s="18"/>
      <c r="AL968" s="18"/>
      <c r="AM968" s="18">
        <f t="shared" ref="AM968:AM1031" si="136">LOG(AG968)</f>
        <v>1.6531777591752141</v>
      </c>
      <c r="AN968" s="66">
        <v>44.996398999999997</v>
      </c>
      <c r="AO968" s="66">
        <v>-93.061598000000004</v>
      </c>
      <c r="AP968" s="9" t="s">
        <v>363</v>
      </c>
      <c r="AQ968" s="9" t="s">
        <v>355</v>
      </c>
      <c r="AR968" s="15">
        <v>1963</v>
      </c>
      <c r="AS968" s="19" t="s">
        <v>709</v>
      </c>
      <c r="AT968" s="20" t="s">
        <v>710</v>
      </c>
      <c r="AU968" s="40">
        <v>3826484</v>
      </c>
      <c r="AV968" s="35">
        <f t="shared" ref="AV968:AV1031" si="137">LOG(AU968)</f>
        <v>6.5827999017171539</v>
      </c>
      <c r="AW968" s="37" t="s">
        <v>338</v>
      </c>
      <c r="AX968" s="34" t="s">
        <v>355</v>
      </c>
      <c r="AY968" s="40" t="s">
        <v>355</v>
      </c>
      <c r="AZ968" s="15">
        <v>87</v>
      </c>
      <c r="BA968" s="14">
        <f t="shared" ref="BA968:BA1031" si="138">LOG(AZ968)</f>
        <v>1.9395192526186185</v>
      </c>
      <c r="BB968" s="41" t="s">
        <v>343</v>
      </c>
      <c r="BC968" s="20">
        <v>3.4739495798319676E-2</v>
      </c>
      <c r="BD968" s="9">
        <v>28.8</v>
      </c>
      <c r="BE968" s="9" t="s">
        <v>368</v>
      </c>
      <c r="BF968" s="9">
        <v>0</v>
      </c>
    </row>
    <row r="969" spans="1:58">
      <c r="A969" s="9">
        <v>853</v>
      </c>
      <c r="B969" s="10" t="s">
        <v>76</v>
      </c>
      <c r="C969" s="10" t="s">
        <v>369</v>
      </c>
      <c r="D969" s="20" t="s">
        <v>370</v>
      </c>
      <c r="E969" s="20" t="s">
        <v>400</v>
      </c>
      <c r="F969" s="10" t="s">
        <v>369</v>
      </c>
      <c r="G969" s="20" t="s">
        <v>370</v>
      </c>
      <c r="H969" s="20" t="s">
        <v>400</v>
      </c>
      <c r="I969" s="10" t="s">
        <v>369</v>
      </c>
      <c r="J969" s="20" t="s">
        <v>398</v>
      </c>
      <c r="K969" s="20" t="s">
        <v>400</v>
      </c>
      <c r="L969" s="9" t="s">
        <v>352</v>
      </c>
      <c r="M969" s="9">
        <v>13</v>
      </c>
      <c r="N969" s="9" t="s">
        <v>381</v>
      </c>
      <c r="O969" s="9" t="s">
        <v>354</v>
      </c>
      <c r="P969" s="12">
        <v>35.9</v>
      </c>
      <c r="Q969" s="12" t="s">
        <v>355</v>
      </c>
      <c r="R969" s="9" t="s">
        <v>356</v>
      </c>
      <c r="S969" s="13" t="s">
        <v>355</v>
      </c>
      <c r="T969" s="13"/>
      <c r="U969" s="14"/>
      <c r="V969" s="15">
        <v>20</v>
      </c>
      <c r="W969" s="12">
        <v>8.2842788999999968</v>
      </c>
      <c r="X969" s="12" t="s">
        <v>355</v>
      </c>
      <c r="Y969" s="13" t="s">
        <v>384</v>
      </c>
      <c r="Z969" s="9" t="s">
        <v>359</v>
      </c>
      <c r="AA969" s="10" t="s">
        <v>372</v>
      </c>
      <c r="AB969" s="9" t="s">
        <v>355</v>
      </c>
      <c r="AC969" s="43">
        <v>349</v>
      </c>
      <c r="AD969" s="14">
        <f t="shared" si="135"/>
        <v>2.5428254269591797</v>
      </c>
      <c r="AE969" s="10" t="s">
        <v>402</v>
      </c>
      <c r="AF969" s="44" t="s">
        <v>362</v>
      </c>
      <c r="AG969" s="18">
        <v>43.680533500000003</v>
      </c>
      <c r="AH969" s="18"/>
      <c r="AI969" s="18"/>
      <c r="AJ969" s="18"/>
      <c r="AK969" s="18"/>
      <c r="AL969" s="18"/>
      <c r="AM969" s="18">
        <f t="shared" si="136"/>
        <v>1.6402879340623209</v>
      </c>
      <c r="AN969" s="45">
        <v>43.680533500000003</v>
      </c>
      <c r="AO969" s="45">
        <v>-90.082397</v>
      </c>
      <c r="AP969" s="9" t="s">
        <v>402</v>
      </c>
      <c r="AQ969" s="9" t="s">
        <v>403</v>
      </c>
      <c r="AR969" s="15">
        <v>1970</v>
      </c>
      <c r="AS969" s="19" t="s">
        <v>1012</v>
      </c>
      <c r="AT969" s="20" t="s">
        <v>1013</v>
      </c>
      <c r="AU969" s="40">
        <v>6011807</v>
      </c>
      <c r="AV969" s="35">
        <f t="shared" si="137"/>
        <v>6.77900502976909</v>
      </c>
      <c r="AW969" s="37" t="s">
        <v>366</v>
      </c>
      <c r="AX969" s="40">
        <v>100</v>
      </c>
      <c r="AY969" s="40">
        <v>600</v>
      </c>
      <c r="AZ969" s="15">
        <v>113</v>
      </c>
      <c r="BA969" s="14">
        <f t="shared" si="138"/>
        <v>2.0530784434834195</v>
      </c>
      <c r="BB969" s="37" t="s">
        <v>367</v>
      </c>
      <c r="BC969" s="20">
        <v>1.9469787915165869E-2</v>
      </c>
      <c r="BD969" s="9">
        <v>28.1</v>
      </c>
      <c r="BE969" s="9" t="s">
        <v>368</v>
      </c>
      <c r="BF969" s="9">
        <v>0</v>
      </c>
    </row>
    <row r="970" spans="1:58">
      <c r="A970" s="9">
        <v>879</v>
      </c>
      <c r="B970" s="10" t="s">
        <v>76</v>
      </c>
      <c r="C970" s="10" t="s">
        <v>369</v>
      </c>
      <c r="D970" s="20" t="s">
        <v>370</v>
      </c>
      <c r="E970" s="20" t="s">
        <v>485</v>
      </c>
      <c r="F970" s="10" t="s">
        <v>369</v>
      </c>
      <c r="G970" s="20" t="s">
        <v>370</v>
      </c>
      <c r="H970" s="20" t="s">
        <v>485</v>
      </c>
      <c r="I970" s="10" t="s">
        <v>369</v>
      </c>
      <c r="J970" s="20" t="s">
        <v>398</v>
      </c>
      <c r="K970" s="20" t="s">
        <v>486</v>
      </c>
      <c r="L970" s="9" t="s">
        <v>380</v>
      </c>
      <c r="M970" s="9">
        <v>10</v>
      </c>
      <c r="N970" s="9" t="s">
        <v>381</v>
      </c>
      <c r="O970" s="9" t="s">
        <v>382</v>
      </c>
      <c r="P970" s="12">
        <v>37.173220000000001</v>
      </c>
      <c r="Q970" s="12" t="s">
        <v>355</v>
      </c>
      <c r="R970" s="9" t="s">
        <v>356</v>
      </c>
      <c r="S970" s="13" t="s">
        <v>355</v>
      </c>
      <c r="T970" s="13"/>
      <c r="U970" s="14"/>
      <c r="V970" s="15">
        <v>20</v>
      </c>
      <c r="W970" s="12"/>
      <c r="X970" s="12">
        <v>0.5</v>
      </c>
      <c r="Y970" s="13" t="s">
        <v>355</v>
      </c>
      <c r="Z970" s="9" t="s">
        <v>359</v>
      </c>
      <c r="AA970" s="10" t="s">
        <v>372</v>
      </c>
      <c r="AB970" s="9" t="s">
        <v>355</v>
      </c>
      <c r="AC970" s="15">
        <v>202</v>
      </c>
      <c r="AD970" s="14">
        <f t="shared" si="135"/>
        <v>2.3053513694466239</v>
      </c>
      <c r="AE970" s="10" t="s">
        <v>1247</v>
      </c>
      <c r="AF970" s="9" t="s">
        <v>362</v>
      </c>
      <c r="AG970" s="18">
        <v>41.902042000000002</v>
      </c>
      <c r="AH970" s="18"/>
      <c r="AI970" s="18"/>
      <c r="AJ970" s="18"/>
      <c r="AK970" s="18"/>
      <c r="AL970" s="18"/>
      <c r="AM970" s="18">
        <f t="shared" si="136"/>
        <v>1.6222351878284169</v>
      </c>
      <c r="AN970" s="18">
        <v>41.902042000000002</v>
      </c>
      <c r="AO970" s="18">
        <v>-72.079797999999997</v>
      </c>
      <c r="AP970" s="9" t="s">
        <v>363</v>
      </c>
      <c r="AQ970" s="9" t="s">
        <v>1248</v>
      </c>
      <c r="AR970" s="15">
        <v>2000</v>
      </c>
      <c r="AS970" s="19" t="s">
        <v>1249</v>
      </c>
      <c r="AT970" s="20" t="s">
        <v>1250</v>
      </c>
      <c r="AU970" s="67">
        <v>9096515</v>
      </c>
      <c r="AV970" s="35">
        <f t="shared" si="137"/>
        <v>6.9588750399961636</v>
      </c>
      <c r="AW970" s="68" t="s">
        <v>366</v>
      </c>
      <c r="AX970" s="15" t="s">
        <v>355</v>
      </c>
      <c r="AY970" s="67" t="s">
        <v>355</v>
      </c>
      <c r="AZ970" s="9">
        <v>55</v>
      </c>
      <c r="BA970" s="14">
        <f t="shared" si="138"/>
        <v>1.7403626894942439</v>
      </c>
      <c r="BB970" s="68" t="s">
        <v>388</v>
      </c>
      <c r="BC970" s="20">
        <v>3.3238895558223416E-2</v>
      </c>
      <c r="BD970" s="9">
        <v>27.200000000000003</v>
      </c>
      <c r="BE970" s="9" t="s">
        <v>368</v>
      </c>
      <c r="BF970" s="9">
        <v>0</v>
      </c>
    </row>
    <row r="971" spans="1:58">
      <c r="A971" s="9">
        <v>878</v>
      </c>
      <c r="B971" s="10" t="s">
        <v>76</v>
      </c>
      <c r="C971" s="10" t="s">
        <v>369</v>
      </c>
      <c r="D971" s="20" t="s">
        <v>370</v>
      </c>
      <c r="E971" s="20" t="s">
        <v>485</v>
      </c>
      <c r="F971" s="10" t="s">
        <v>369</v>
      </c>
      <c r="G971" s="20" t="s">
        <v>370</v>
      </c>
      <c r="H971" s="20" t="s">
        <v>485</v>
      </c>
      <c r="I971" s="10" t="s">
        <v>369</v>
      </c>
      <c r="J971" s="20" t="s">
        <v>398</v>
      </c>
      <c r="K971" s="20" t="s">
        <v>486</v>
      </c>
      <c r="L971" s="9" t="s">
        <v>380</v>
      </c>
      <c r="M971" s="9">
        <v>10</v>
      </c>
      <c r="N971" s="9" t="s">
        <v>381</v>
      </c>
      <c r="O971" s="9" t="s">
        <v>382</v>
      </c>
      <c r="P971" s="12">
        <v>37.545577999999999</v>
      </c>
      <c r="Q971" s="12" t="s">
        <v>355</v>
      </c>
      <c r="R971" s="9" t="s">
        <v>356</v>
      </c>
      <c r="S971" s="13" t="s">
        <v>355</v>
      </c>
      <c r="T971" s="13"/>
      <c r="U971" s="14"/>
      <c r="V971" s="15">
        <v>20</v>
      </c>
      <c r="W971" s="12"/>
      <c r="X971" s="12">
        <v>0.5</v>
      </c>
      <c r="Y971" s="13" t="s">
        <v>355</v>
      </c>
      <c r="Z971" s="9" t="s">
        <v>359</v>
      </c>
      <c r="AA971" s="10" t="s">
        <v>372</v>
      </c>
      <c r="AB971" s="9" t="s">
        <v>355</v>
      </c>
      <c r="AC971" s="15">
        <v>202</v>
      </c>
      <c r="AD971" s="14">
        <f t="shared" si="135"/>
        <v>2.3053513694466239</v>
      </c>
      <c r="AE971" s="10" t="s">
        <v>1247</v>
      </c>
      <c r="AF971" s="9" t="s">
        <v>362</v>
      </c>
      <c r="AG971" s="18">
        <v>41.902042000000002</v>
      </c>
      <c r="AH971" s="18"/>
      <c r="AI971" s="18"/>
      <c r="AJ971" s="18"/>
      <c r="AK971" s="18"/>
      <c r="AL971" s="18"/>
      <c r="AM971" s="18">
        <f t="shared" si="136"/>
        <v>1.6222351878284169</v>
      </c>
      <c r="AN971" s="18">
        <v>41.902042000000002</v>
      </c>
      <c r="AO971" s="18">
        <v>-72.079797999999997</v>
      </c>
      <c r="AP971" s="9" t="s">
        <v>363</v>
      </c>
      <c r="AQ971" s="9" t="s">
        <v>1251</v>
      </c>
      <c r="AR971" s="15">
        <v>2000</v>
      </c>
      <c r="AS971" s="19" t="s">
        <v>1249</v>
      </c>
      <c r="AT971" s="20" t="s">
        <v>1250</v>
      </c>
      <c r="AU971" s="67">
        <v>9096515</v>
      </c>
      <c r="AV971" s="35">
        <f t="shared" si="137"/>
        <v>6.9588750399961636</v>
      </c>
      <c r="AW971" s="68" t="s">
        <v>366</v>
      </c>
      <c r="AX971" s="15" t="s">
        <v>355</v>
      </c>
      <c r="AY971" s="67" t="s">
        <v>355</v>
      </c>
      <c r="AZ971" s="9">
        <v>55</v>
      </c>
      <c r="BA971" s="14">
        <f t="shared" si="138"/>
        <v>1.7403626894942439</v>
      </c>
      <c r="BB971" s="68" t="s">
        <v>388</v>
      </c>
      <c r="BC971" s="20">
        <v>3.3238895558223416E-2</v>
      </c>
      <c r="BD971" s="9">
        <v>27.200000000000003</v>
      </c>
      <c r="BE971" s="9" t="s">
        <v>368</v>
      </c>
      <c r="BF971" s="9">
        <v>0</v>
      </c>
    </row>
    <row r="972" spans="1:58">
      <c r="A972" s="9">
        <v>182</v>
      </c>
      <c r="B972" s="10" t="s">
        <v>76</v>
      </c>
      <c r="C972" s="10" t="s">
        <v>369</v>
      </c>
      <c r="D972" s="20" t="s">
        <v>370</v>
      </c>
      <c r="E972" s="20" t="s">
        <v>485</v>
      </c>
      <c r="F972" s="10" t="s">
        <v>369</v>
      </c>
      <c r="G972" s="20" t="s">
        <v>370</v>
      </c>
      <c r="H972" s="20" t="s">
        <v>485</v>
      </c>
      <c r="I972" s="10" t="s">
        <v>369</v>
      </c>
      <c r="J972" s="20" t="s">
        <v>398</v>
      </c>
      <c r="K972" s="20" t="s">
        <v>486</v>
      </c>
      <c r="L972" s="9" t="s">
        <v>352</v>
      </c>
      <c r="M972" s="9">
        <v>8</v>
      </c>
      <c r="N972" s="9" t="s">
        <v>353</v>
      </c>
      <c r="O972" s="9" t="s">
        <v>354</v>
      </c>
      <c r="P972" s="12">
        <v>34.799999999999997</v>
      </c>
      <c r="Q972" s="12" t="s">
        <v>355</v>
      </c>
      <c r="R972" s="9" t="s">
        <v>1198</v>
      </c>
      <c r="S972" s="13" t="s">
        <v>355</v>
      </c>
      <c r="T972" s="13"/>
      <c r="U972" s="14"/>
      <c r="V972" s="38">
        <v>18</v>
      </c>
      <c r="W972" s="12">
        <v>9.1842788999999954</v>
      </c>
      <c r="X972" s="12" t="s">
        <v>355</v>
      </c>
      <c r="Y972" s="13" t="s">
        <v>355</v>
      </c>
      <c r="Z972" s="9" t="s">
        <v>359</v>
      </c>
      <c r="AA972" s="10" t="s">
        <v>372</v>
      </c>
      <c r="AB972" s="9" t="s">
        <v>355</v>
      </c>
      <c r="AC972" s="38">
        <v>490</v>
      </c>
      <c r="AD972" s="14">
        <f t="shared" si="135"/>
        <v>2.6901960800285138</v>
      </c>
      <c r="AE972" s="10" t="s">
        <v>1199</v>
      </c>
      <c r="AF972" s="44" t="s">
        <v>362</v>
      </c>
      <c r="AG972" s="18">
        <v>47.164973000000003</v>
      </c>
      <c r="AH972" s="18"/>
      <c r="AI972" s="18"/>
      <c r="AJ972" s="18"/>
      <c r="AK972" s="18"/>
      <c r="AL972" s="18"/>
      <c r="AM972" s="18">
        <f t="shared" si="136"/>
        <v>1.6736195901591495</v>
      </c>
      <c r="AN972" s="65">
        <v>47.164973000000003</v>
      </c>
      <c r="AO972" s="65">
        <v>-95.196697999999998</v>
      </c>
      <c r="AP972" s="9" t="s">
        <v>363</v>
      </c>
      <c r="AQ972" s="9" t="s">
        <v>403</v>
      </c>
      <c r="AR972" s="15">
        <v>1963</v>
      </c>
      <c r="AS972" s="19" t="s">
        <v>709</v>
      </c>
      <c r="AT972" s="20" t="s">
        <v>710</v>
      </c>
      <c r="AU972" s="40">
        <v>9096515</v>
      </c>
      <c r="AV972" s="35">
        <f t="shared" si="137"/>
        <v>6.9588750399961636</v>
      </c>
      <c r="AW972" s="37" t="s">
        <v>366</v>
      </c>
      <c r="AX972" s="34" t="s">
        <v>355</v>
      </c>
      <c r="AY972" s="40" t="s">
        <v>355</v>
      </c>
      <c r="AZ972" s="15">
        <v>55</v>
      </c>
      <c r="BA972" s="14">
        <f t="shared" si="138"/>
        <v>1.7403626894942439</v>
      </c>
      <c r="BB972" s="37" t="s">
        <v>388</v>
      </c>
      <c r="BC972" s="20">
        <v>3.2786714685874192E-2</v>
      </c>
      <c r="BD972" s="9">
        <v>26.1</v>
      </c>
      <c r="BE972" s="9" t="s">
        <v>368</v>
      </c>
      <c r="BF972" s="9">
        <v>0</v>
      </c>
    </row>
    <row r="973" spans="1:58">
      <c r="A973" s="9">
        <v>1037</v>
      </c>
      <c r="B973" s="20" t="s">
        <v>76</v>
      </c>
      <c r="C973" s="20" t="s">
        <v>77</v>
      </c>
      <c r="D973" s="20" t="s">
        <v>763</v>
      </c>
      <c r="E973" s="20" t="s">
        <v>769</v>
      </c>
      <c r="F973" s="20" t="s">
        <v>77</v>
      </c>
      <c r="G973" s="20" t="s">
        <v>763</v>
      </c>
      <c r="H973" s="20" t="s">
        <v>769</v>
      </c>
      <c r="I973" s="20" t="s">
        <v>77</v>
      </c>
      <c r="J973" s="20" t="s">
        <v>766</v>
      </c>
      <c r="K973" s="20" t="s">
        <v>769</v>
      </c>
      <c r="L973" s="9" t="s">
        <v>352</v>
      </c>
      <c r="M973" s="69">
        <v>5</v>
      </c>
      <c r="N973" s="9" t="s">
        <v>353</v>
      </c>
      <c r="O973" s="9" t="s">
        <v>354</v>
      </c>
      <c r="P973" s="12">
        <v>39.200000000000003</v>
      </c>
      <c r="Q973" s="9" t="s">
        <v>355</v>
      </c>
      <c r="R973" s="9" t="s">
        <v>355</v>
      </c>
      <c r="S973" s="9" t="s">
        <v>355</v>
      </c>
      <c r="T973" s="9"/>
      <c r="U973" s="14"/>
      <c r="V973" s="15">
        <v>25</v>
      </c>
      <c r="W973" s="12">
        <v>5.9936322000000004</v>
      </c>
      <c r="X973" s="9">
        <v>0.5</v>
      </c>
      <c r="Y973" s="13" t="s">
        <v>355</v>
      </c>
      <c r="Z973" s="9" t="s">
        <v>359</v>
      </c>
      <c r="AA973" s="10" t="s">
        <v>372</v>
      </c>
      <c r="AB973" s="9" t="s">
        <v>355</v>
      </c>
      <c r="AC973" s="43">
        <v>10</v>
      </c>
      <c r="AD973" s="14">
        <f t="shared" si="135"/>
        <v>1</v>
      </c>
      <c r="AE973" s="10" t="s">
        <v>355</v>
      </c>
      <c r="AF973" s="9" t="s">
        <v>408</v>
      </c>
      <c r="AG973" s="18">
        <v>12.372178999999999</v>
      </c>
      <c r="AH973" s="18"/>
      <c r="AI973" s="18"/>
      <c r="AJ973" s="18"/>
      <c r="AK973" s="18"/>
      <c r="AL973" s="18"/>
      <c r="AM973" s="18">
        <f t="shared" si="136"/>
        <v>1.0924461947250872</v>
      </c>
      <c r="AN973" s="9">
        <v>-12.372178999999999</v>
      </c>
      <c r="AO973" s="9">
        <v>130.86886699999999</v>
      </c>
      <c r="AP973" s="9" t="s">
        <v>363</v>
      </c>
      <c r="AQ973" s="9" t="s">
        <v>403</v>
      </c>
      <c r="AR973" s="9">
        <v>2008</v>
      </c>
      <c r="AS973" s="10" t="s">
        <v>1252</v>
      </c>
      <c r="AT973" s="20" t="s">
        <v>1253</v>
      </c>
      <c r="AU973" s="39">
        <v>1148522</v>
      </c>
      <c r="AV973" s="35">
        <f t="shared" si="137"/>
        <v>6.0601393185446213</v>
      </c>
      <c r="AW973" s="37" t="s">
        <v>366</v>
      </c>
      <c r="AX973" s="34" t="s">
        <v>355</v>
      </c>
      <c r="AY973" s="40">
        <v>500</v>
      </c>
      <c r="AZ973" s="15">
        <v>75</v>
      </c>
      <c r="BA973" s="14">
        <f t="shared" si="138"/>
        <v>1.8750612633917001</v>
      </c>
      <c r="BB973" s="37" t="s">
        <v>367</v>
      </c>
      <c r="BC973" s="20">
        <v>6.4721888755508118E-3</v>
      </c>
      <c r="BD973" s="9">
        <v>33.800000000000004</v>
      </c>
      <c r="BE973" s="9" t="s">
        <v>368</v>
      </c>
      <c r="BF973" s="9">
        <v>0</v>
      </c>
    </row>
    <row r="974" spans="1:58">
      <c r="A974" s="9">
        <v>1038</v>
      </c>
      <c r="B974" s="20" t="s">
        <v>76</v>
      </c>
      <c r="C974" s="20" t="s">
        <v>77</v>
      </c>
      <c r="D974" s="20" t="s">
        <v>766</v>
      </c>
      <c r="E974" s="20" t="s">
        <v>544</v>
      </c>
      <c r="F974" s="20" t="s">
        <v>77</v>
      </c>
      <c r="G974" s="20" t="s">
        <v>766</v>
      </c>
      <c r="H974" s="20" t="s">
        <v>544</v>
      </c>
      <c r="I974" s="20" t="s">
        <v>77</v>
      </c>
      <c r="J974" s="20" t="s">
        <v>766</v>
      </c>
      <c r="K974" s="20" t="s">
        <v>544</v>
      </c>
      <c r="L974" s="9" t="s">
        <v>352</v>
      </c>
      <c r="M974" s="69">
        <v>8</v>
      </c>
      <c r="N974" s="9" t="s">
        <v>353</v>
      </c>
      <c r="O974" s="9" t="s">
        <v>354</v>
      </c>
      <c r="P974" s="12">
        <v>41.3</v>
      </c>
      <c r="Q974" s="9" t="s">
        <v>355</v>
      </c>
      <c r="R974" s="9" t="s">
        <v>355</v>
      </c>
      <c r="S974" s="9" t="s">
        <v>355</v>
      </c>
      <c r="T974" s="9"/>
      <c r="U974" s="14"/>
      <c r="V974" s="15">
        <v>25</v>
      </c>
      <c r="W974" s="12">
        <v>8.0936321999999947</v>
      </c>
      <c r="X974" s="9">
        <v>0.5</v>
      </c>
      <c r="Y974" s="13" t="s">
        <v>355</v>
      </c>
      <c r="Z974" s="9" t="s">
        <v>359</v>
      </c>
      <c r="AA974" s="10" t="s">
        <v>372</v>
      </c>
      <c r="AB974" s="9" t="s">
        <v>355</v>
      </c>
      <c r="AC974" s="43">
        <v>10</v>
      </c>
      <c r="AD974" s="14">
        <f t="shared" si="135"/>
        <v>1</v>
      </c>
      <c r="AE974" s="10" t="s">
        <v>355</v>
      </c>
      <c r="AF974" s="9" t="s">
        <v>408</v>
      </c>
      <c r="AG974" s="18">
        <v>12.372178999999999</v>
      </c>
      <c r="AH974" s="18"/>
      <c r="AI974" s="18"/>
      <c r="AJ974" s="18"/>
      <c r="AK974" s="18"/>
      <c r="AL974" s="18"/>
      <c r="AM974" s="18">
        <f t="shared" si="136"/>
        <v>1.0924461947250872</v>
      </c>
      <c r="AN974" s="9">
        <v>-12.372178999999999</v>
      </c>
      <c r="AO974" s="9">
        <v>130.86886699999999</v>
      </c>
      <c r="AP974" s="9" t="s">
        <v>363</v>
      </c>
      <c r="AQ974" s="9" t="s">
        <v>403</v>
      </c>
      <c r="AR974" s="15">
        <v>2008</v>
      </c>
      <c r="AS974" s="10" t="s">
        <v>1252</v>
      </c>
      <c r="AT974" s="20" t="s">
        <v>1253</v>
      </c>
      <c r="AU974" s="39">
        <v>935470</v>
      </c>
      <c r="AV974" s="35">
        <f t="shared" si="137"/>
        <v>5.9710298644780719</v>
      </c>
      <c r="AW974" s="37" t="s">
        <v>366</v>
      </c>
      <c r="AX974" s="34" t="s">
        <v>355</v>
      </c>
      <c r="AY974" s="40" t="s">
        <v>355</v>
      </c>
      <c r="AZ974" s="15">
        <v>33</v>
      </c>
      <c r="BA974" s="14">
        <f t="shared" si="138"/>
        <v>1.5185139398778875</v>
      </c>
      <c r="BB974" s="37" t="s">
        <v>388</v>
      </c>
      <c r="BC974" s="20">
        <v>6.4721888755508118E-3</v>
      </c>
      <c r="BD974" s="9">
        <v>33.800000000000004</v>
      </c>
      <c r="BE974" s="9" t="s">
        <v>368</v>
      </c>
      <c r="BF974" s="9">
        <v>0</v>
      </c>
    </row>
    <row r="975" spans="1:58">
      <c r="A975" s="9">
        <v>1039</v>
      </c>
      <c r="B975" s="20" t="s">
        <v>76</v>
      </c>
      <c r="C975" s="20" t="s">
        <v>77</v>
      </c>
      <c r="D975" s="20" t="s">
        <v>766</v>
      </c>
      <c r="E975" s="20" t="s">
        <v>770</v>
      </c>
      <c r="F975" s="20" t="s">
        <v>77</v>
      </c>
      <c r="G975" s="20" t="s">
        <v>766</v>
      </c>
      <c r="H975" s="20" t="s">
        <v>770</v>
      </c>
      <c r="I975" s="20" t="s">
        <v>77</v>
      </c>
      <c r="J975" s="20" t="s">
        <v>766</v>
      </c>
      <c r="K975" s="20" t="s">
        <v>770</v>
      </c>
      <c r="L975" s="9" t="s">
        <v>352</v>
      </c>
      <c r="M975" s="69">
        <v>8</v>
      </c>
      <c r="N975" s="9" t="s">
        <v>353</v>
      </c>
      <c r="O975" s="9" t="s">
        <v>354</v>
      </c>
      <c r="P975" s="12">
        <v>37.5</v>
      </c>
      <c r="Q975" s="9" t="s">
        <v>355</v>
      </c>
      <c r="R975" s="9" t="s">
        <v>355</v>
      </c>
      <c r="S975" s="9" t="s">
        <v>355</v>
      </c>
      <c r="T975" s="9"/>
      <c r="U975" s="14"/>
      <c r="V975" s="15">
        <v>25</v>
      </c>
      <c r="W975" s="12">
        <v>4.2936321999999976</v>
      </c>
      <c r="X975" s="9">
        <v>0.5</v>
      </c>
      <c r="Y975" s="13" t="s">
        <v>355</v>
      </c>
      <c r="Z975" s="9" t="s">
        <v>359</v>
      </c>
      <c r="AA975" s="10" t="s">
        <v>372</v>
      </c>
      <c r="AB975" s="9" t="s">
        <v>355</v>
      </c>
      <c r="AC975" s="43">
        <v>10</v>
      </c>
      <c r="AD975" s="14">
        <f t="shared" si="135"/>
        <v>1</v>
      </c>
      <c r="AE975" s="10" t="s">
        <v>355</v>
      </c>
      <c r="AF975" s="9" t="s">
        <v>408</v>
      </c>
      <c r="AG975" s="18">
        <v>12.372178999999999</v>
      </c>
      <c r="AH975" s="18"/>
      <c r="AI975" s="18"/>
      <c r="AJ975" s="18"/>
      <c r="AK975" s="18"/>
      <c r="AL975" s="18"/>
      <c r="AM975" s="18">
        <f t="shared" si="136"/>
        <v>1.0924461947250872</v>
      </c>
      <c r="AN975" s="9">
        <v>-12.372178999999999</v>
      </c>
      <c r="AO975" s="9">
        <v>130.86886699999999</v>
      </c>
      <c r="AP975" s="9" t="s">
        <v>363</v>
      </c>
      <c r="AQ975" s="9" t="s">
        <v>403</v>
      </c>
      <c r="AR975" s="9">
        <v>2008</v>
      </c>
      <c r="AS975" s="10" t="s">
        <v>1252</v>
      </c>
      <c r="AT975" s="20" t="s">
        <v>1253</v>
      </c>
      <c r="AU975" s="39">
        <v>4108503</v>
      </c>
      <c r="AV975" s="35">
        <f t="shared" si="137"/>
        <v>6.6136836084285351</v>
      </c>
      <c r="AW975" s="37" t="s">
        <v>366</v>
      </c>
      <c r="AX975" s="34" t="s">
        <v>355</v>
      </c>
      <c r="AY975" s="40">
        <v>200</v>
      </c>
      <c r="AZ975" s="15">
        <v>146</v>
      </c>
      <c r="BA975" s="14">
        <f t="shared" si="138"/>
        <v>2.1643528557844371</v>
      </c>
      <c r="BB975" s="37" t="s">
        <v>388</v>
      </c>
      <c r="BC975" s="20">
        <v>6.4721888755508118E-3</v>
      </c>
      <c r="BD975" s="9">
        <v>33.800000000000004</v>
      </c>
      <c r="BE975" s="9" t="s">
        <v>368</v>
      </c>
      <c r="BF975" s="9">
        <v>0</v>
      </c>
    </row>
    <row r="976" spans="1:58">
      <c r="A976" s="9">
        <v>1040</v>
      </c>
      <c r="B976" s="20" t="s">
        <v>76</v>
      </c>
      <c r="C976" s="20" t="s">
        <v>77</v>
      </c>
      <c r="D976" s="20" t="s">
        <v>766</v>
      </c>
      <c r="E976" s="20" t="s">
        <v>1254</v>
      </c>
      <c r="F976" s="20" t="s">
        <v>77</v>
      </c>
      <c r="G976" s="20" t="s">
        <v>766</v>
      </c>
      <c r="H976" s="20" t="s">
        <v>1254</v>
      </c>
      <c r="I976" s="20" t="s">
        <v>77</v>
      </c>
      <c r="J976" s="20" t="s">
        <v>766</v>
      </c>
      <c r="K976" s="20" t="s">
        <v>1254</v>
      </c>
      <c r="L976" s="9" t="s">
        <v>352</v>
      </c>
      <c r="M976" s="69">
        <v>8</v>
      </c>
      <c r="N976" s="9" t="s">
        <v>353</v>
      </c>
      <c r="O976" s="9" t="s">
        <v>354</v>
      </c>
      <c r="P976" s="12">
        <v>36.700000000000003</v>
      </c>
      <c r="Q976" s="9" t="s">
        <v>355</v>
      </c>
      <c r="R976" s="9" t="s">
        <v>355</v>
      </c>
      <c r="S976" s="9" t="s">
        <v>355</v>
      </c>
      <c r="T976" s="9"/>
      <c r="U976" s="14"/>
      <c r="V976" s="15">
        <v>25</v>
      </c>
      <c r="W976" s="12">
        <v>3.4936322000000004</v>
      </c>
      <c r="X976" s="9">
        <v>0.5</v>
      </c>
      <c r="Y976" s="13" t="s">
        <v>355</v>
      </c>
      <c r="Z976" s="9" t="s">
        <v>359</v>
      </c>
      <c r="AA976" s="10" t="s">
        <v>372</v>
      </c>
      <c r="AB976" s="9" t="s">
        <v>355</v>
      </c>
      <c r="AC976" s="43">
        <v>10</v>
      </c>
      <c r="AD976" s="14">
        <f t="shared" si="135"/>
        <v>1</v>
      </c>
      <c r="AE976" s="10" t="s">
        <v>355</v>
      </c>
      <c r="AF976" s="9" t="s">
        <v>408</v>
      </c>
      <c r="AG976" s="18">
        <v>12.372178999999999</v>
      </c>
      <c r="AH976" s="18"/>
      <c r="AI976" s="18"/>
      <c r="AJ976" s="18"/>
      <c r="AK976" s="18"/>
      <c r="AL976" s="18"/>
      <c r="AM976" s="18">
        <f t="shared" si="136"/>
        <v>1.0924461947250872</v>
      </c>
      <c r="AN976" s="9">
        <v>-12.372178999999999</v>
      </c>
      <c r="AO976" s="9">
        <v>130.86886699999999</v>
      </c>
      <c r="AP976" s="9" t="s">
        <v>363</v>
      </c>
      <c r="AQ976" s="9" t="s">
        <v>403</v>
      </c>
      <c r="AR976" s="15">
        <v>2008</v>
      </c>
      <c r="AS976" s="10" t="s">
        <v>1252</v>
      </c>
      <c r="AT976" s="20" t="s">
        <v>1253</v>
      </c>
      <c r="AU976" s="39">
        <v>643920</v>
      </c>
      <c r="AV976" s="35">
        <f t="shared" si="137"/>
        <v>5.8088319143835454</v>
      </c>
      <c r="AW976" s="37" t="s">
        <v>366</v>
      </c>
      <c r="AX976" s="34" t="s">
        <v>355</v>
      </c>
      <c r="AY976" s="40" t="s">
        <v>355</v>
      </c>
      <c r="AZ976" s="15">
        <v>33</v>
      </c>
      <c r="BA976" s="14">
        <f t="shared" si="138"/>
        <v>1.5185139398778875</v>
      </c>
      <c r="BB976" s="37" t="s">
        <v>388</v>
      </c>
      <c r="BC976" s="20">
        <v>6.4721888755508118E-3</v>
      </c>
      <c r="BD976" s="9">
        <v>33.800000000000004</v>
      </c>
      <c r="BE976" s="9" t="s">
        <v>368</v>
      </c>
      <c r="BF976" s="9">
        <v>0</v>
      </c>
    </row>
    <row r="977" spans="1:58">
      <c r="A977" s="9">
        <v>1041</v>
      </c>
      <c r="B977" s="20" t="s">
        <v>76</v>
      </c>
      <c r="C977" s="20" t="s">
        <v>77</v>
      </c>
      <c r="D977" s="20" t="s">
        <v>766</v>
      </c>
      <c r="E977" s="20" t="s">
        <v>1255</v>
      </c>
      <c r="F977" s="20" t="s">
        <v>77</v>
      </c>
      <c r="G977" s="20" t="s">
        <v>766</v>
      </c>
      <c r="H977" s="20" t="s">
        <v>1255</v>
      </c>
      <c r="I977" s="20" t="s">
        <v>77</v>
      </c>
      <c r="J977" s="20" t="s">
        <v>766</v>
      </c>
      <c r="K977" s="20" t="s">
        <v>1255</v>
      </c>
      <c r="L977" s="9" t="s">
        <v>352</v>
      </c>
      <c r="M977" s="69">
        <v>6</v>
      </c>
      <c r="N977" s="9" t="s">
        <v>353</v>
      </c>
      <c r="O977" s="9" t="s">
        <v>354</v>
      </c>
      <c r="P977" s="12">
        <v>38.200000000000003</v>
      </c>
      <c r="Q977" s="9" t="s">
        <v>355</v>
      </c>
      <c r="R977" s="9" t="s">
        <v>355</v>
      </c>
      <c r="S977" s="9" t="s">
        <v>355</v>
      </c>
      <c r="T977" s="9"/>
      <c r="U977" s="14"/>
      <c r="V977" s="15">
        <v>25</v>
      </c>
      <c r="W977" s="12">
        <v>4.9936322000000004</v>
      </c>
      <c r="X977" s="9">
        <v>0.5</v>
      </c>
      <c r="Y977" s="13" t="s">
        <v>355</v>
      </c>
      <c r="Z977" s="9" t="s">
        <v>359</v>
      </c>
      <c r="AA977" s="10" t="s">
        <v>372</v>
      </c>
      <c r="AB977" s="9" t="s">
        <v>355</v>
      </c>
      <c r="AC977" s="43">
        <v>10</v>
      </c>
      <c r="AD977" s="14">
        <f t="shared" si="135"/>
        <v>1</v>
      </c>
      <c r="AE977" s="10" t="s">
        <v>355</v>
      </c>
      <c r="AF977" s="9" t="s">
        <v>408</v>
      </c>
      <c r="AG977" s="18">
        <v>12.372178999999999</v>
      </c>
      <c r="AH977" s="18"/>
      <c r="AI977" s="18"/>
      <c r="AJ977" s="18"/>
      <c r="AK977" s="18"/>
      <c r="AL977" s="18"/>
      <c r="AM977" s="18">
        <f t="shared" si="136"/>
        <v>1.0924461947250872</v>
      </c>
      <c r="AN977" s="9">
        <v>-12.372178999999999</v>
      </c>
      <c r="AO977" s="9">
        <v>130.86886699999999</v>
      </c>
      <c r="AP977" s="9" t="s">
        <v>363</v>
      </c>
      <c r="AQ977" s="9" t="s">
        <v>403</v>
      </c>
      <c r="AR977" s="9">
        <v>2008</v>
      </c>
      <c r="AS977" s="10" t="s">
        <v>1252</v>
      </c>
      <c r="AT977" s="20" t="s">
        <v>1253</v>
      </c>
      <c r="AU977" s="39">
        <v>310207</v>
      </c>
      <c r="AV977" s="35">
        <f t="shared" si="137"/>
        <v>5.4916515936938097</v>
      </c>
      <c r="AW977" s="37" t="s">
        <v>366</v>
      </c>
      <c r="AX977" s="34" t="s">
        <v>355</v>
      </c>
      <c r="AY977" s="40" t="s">
        <v>355</v>
      </c>
      <c r="AZ977" s="15">
        <v>75</v>
      </c>
      <c r="BA977" s="14">
        <f t="shared" si="138"/>
        <v>1.8750612633917001</v>
      </c>
      <c r="BB977" s="37" t="s">
        <v>388</v>
      </c>
      <c r="BC977" s="20">
        <v>6.4721888755508118E-3</v>
      </c>
      <c r="BD977" s="9">
        <v>33.800000000000004</v>
      </c>
      <c r="BE977" s="9" t="s">
        <v>368</v>
      </c>
      <c r="BF977" s="9">
        <v>0</v>
      </c>
    </row>
    <row r="978" spans="1:58">
      <c r="A978" s="9">
        <v>1042</v>
      </c>
      <c r="B978" s="20" t="s">
        <v>76</v>
      </c>
      <c r="C978" s="20" t="s">
        <v>77</v>
      </c>
      <c r="D978" s="20" t="s">
        <v>766</v>
      </c>
      <c r="E978" s="20" t="s">
        <v>1256</v>
      </c>
      <c r="F978" s="20" t="s">
        <v>77</v>
      </c>
      <c r="G978" s="20" t="s">
        <v>766</v>
      </c>
      <c r="H978" s="20" t="s">
        <v>1256</v>
      </c>
      <c r="I978" s="20" t="s">
        <v>77</v>
      </c>
      <c r="J978" s="20" t="s">
        <v>766</v>
      </c>
      <c r="K978" s="20" t="s">
        <v>1256</v>
      </c>
      <c r="L978" s="9" t="s">
        <v>352</v>
      </c>
      <c r="M978" s="69">
        <v>10</v>
      </c>
      <c r="N978" s="9" t="s">
        <v>381</v>
      </c>
      <c r="O978" s="9" t="s">
        <v>354</v>
      </c>
      <c r="P978" s="12">
        <v>35.4</v>
      </c>
      <c r="Q978" s="9" t="s">
        <v>355</v>
      </c>
      <c r="R978" s="9" t="s">
        <v>355</v>
      </c>
      <c r="S978" s="9" t="s">
        <v>355</v>
      </c>
      <c r="T978" s="9"/>
      <c r="U978" s="14"/>
      <c r="V978" s="15">
        <v>25</v>
      </c>
      <c r="W978" s="12">
        <v>2.1936321999999961</v>
      </c>
      <c r="X978" s="9">
        <v>0.5</v>
      </c>
      <c r="Y978" s="13" t="s">
        <v>355</v>
      </c>
      <c r="Z978" s="9" t="s">
        <v>359</v>
      </c>
      <c r="AA978" s="10" t="s">
        <v>372</v>
      </c>
      <c r="AB978" s="9" t="s">
        <v>355</v>
      </c>
      <c r="AC978" s="43">
        <v>10</v>
      </c>
      <c r="AD978" s="14">
        <f t="shared" si="135"/>
        <v>1</v>
      </c>
      <c r="AE978" s="10" t="s">
        <v>355</v>
      </c>
      <c r="AF978" s="9" t="s">
        <v>408</v>
      </c>
      <c r="AG978" s="18">
        <v>12.372178999999999</v>
      </c>
      <c r="AH978" s="18"/>
      <c r="AI978" s="18"/>
      <c r="AJ978" s="18"/>
      <c r="AK978" s="18"/>
      <c r="AL978" s="18"/>
      <c r="AM978" s="18">
        <f t="shared" si="136"/>
        <v>1.0924461947250872</v>
      </c>
      <c r="AN978" s="9">
        <v>-12.372178999999999</v>
      </c>
      <c r="AO978" s="9">
        <v>130.86886699999999</v>
      </c>
      <c r="AP978" s="9" t="s">
        <v>363</v>
      </c>
      <c r="AQ978" s="9" t="s">
        <v>403</v>
      </c>
      <c r="AR978" s="15">
        <v>2008</v>
      </c>
      <c r="AS978" s="10" t="s">
        <v>1252</v>
      </c>
      <c r="AT978" s="20" t="s">
        <v>1253</v>
      </c>
      <c r="AU978" s="39">
        <v>1755932</v>
      </c>
      <c r="AV978" s="35">
        <f t="shared" si="137"/>
        <v>6.2445076934626869</v>
      </c>
      <c r="AW978" s="37" t="s">
        <v>366</v>
      </c>
      <c r="AX978" s="34" t="s">
        <v>355</v>
      </c>
      <c r="AY978" s="40" t="s">
        <v>355</v>
      </c>
      <c r="AZ978" s="15">
        <v>33</v>
      </c>
      <c r="BA978" s="14">
        <f t="shared" si="138"/>
        <v>1.5185139398778875</v>
      </c>
      <c r="BB978" s="37" t="s">
        <v>388</v>
      </c>
      <c r="BC978" s="20">
        <v>6.4721888755508118E-3</v>
      </c>
      <c r="BD978" s="9">
        <v>33.800000000000004</v>
      </c>
      <c r="BE978" s="9" t="s">
        <v>368</v>
      </c>
      <c r="BF978" s="9">
        <v>0</v>
      </c>
    </row>
    <row r="979" spans="1:58">
      <c r="A979" s="9">
        <v>1043</v>
      </c>
      <c r="B979" s="20" t="s">
        <v>76</v>
      </c>
      <c r="C979" s="20" t="s">
        <v>77</v>
      </c>
      <c r="D979" s="20" t="s">
        <v>766</v>
      </c>
      <c r="E979" s="20" t="s">
        <v>802</v>
      </c>
      <c r="F979" s="20" t="s">
        <v>77</v>
      </c>
      <c r="G979" s="20" t="s">
        <v>766</v>
      </c>
      <c r="H979" s="20" t="s">
        <v>802</v>
      </c>
      <c r="I979" s="20" t="s">
        <v>77</v>
      </c>
      <c r="J979" s="20" t="s">
        <v>766</v>
      </c>
      <c r="K979" s="20" t="s">
        <v>802</v>
      </c>
      <c r="L979" s="9" t="s">
        <v>352</v>
      </c>
      <c r="M979" s="69">
        <v>7</v>
      </c>
      <c r="N979" s="9" t="s">
        <v>353</v>
      </c>
      <c r="O979" s="9" t="s">
        <v>354</v>
      </c>
      <c r="P979" s="12">
        <v>38.6</v>
      </c>
      <c r="Q979" s="9" t="s">
        <v>355</v>
      </c>
      <c r="R979" s="9" t="s">
        <v>355</v>
      </c>
      <c r="S979" s="9" t="s">
        <v>355</v>
      </c>
      <c r="T979" s="9"/>
      <c r="U979" s="14"/>
      <c r="V979" s="15">
        <v>25</v>
      </c>
      <c r="W979" s="12">
        <v>5.393632199999999</v>
      </c>
      <c r="X979" s="9">
        <v>0.5</v>
      </c>
      <c r="Y979" s="13" t="s">
        <v>355</v>
      </c>
      <c r="Z979" s="9" t="s">
        <v>359</v>
      </c>
      <c r="AA979" s="10" t="s">
        <v>372</v>
      </c>
      <c r="AB979" s="9" t="s">
        <v>355</v>
      </c>
      <c r="AC979" s="43">
        <v>10</v>
      </c>
      <c r="AD979" s="14">
        <f t="shared" si="135"/>
        <v>1</v>
      </c>
      <c r="AE979" s="10" t="s">
        <v>355</v>
      </c>
      <c r="AF979" s="9" t="s">
        <v>408</v>
      </c>
      <c r="AG979" s="18">
        <v>12.372178999999999</v>
      </c>
      <c r="AH979" s="18"/>
      <c r="AI979" s="18"/>
      <c r="AJ979" s="18"/>
      <c r="AK979" s="18"/>
      <c r="AL979" s="18"/>
      <c r="AM979" s="18">
        <f t="shared" si="136"/>
        <v>1.0924461947250872</v>
      </c>
      <c r="AN979" s="9">
        <v>-12.372178999999999</v>
      </c>
      <c r="AO979" s="9">
        <v>130.86886699999999</v>
      </c>
      <c r="AP979" s="9" t="s">
        <v>363</v>
      </c>
      <c r="AQ979" s="9" t="s">
        <v>403</v>
      </c>
      <c r="AR979" s="9">
        <v>2008</v>
      </c>
      <c r="AS979" s="10" t="s">
        <v>1252</v>
      </c>
      <c r="AT979" s="20" t="s">
        <v>1253</v>
      </c>
      <c r="AU979" s="39">
        <v>1125068</v>
      </c>
      <c r="AV979" s="35">
        <f t="shared" si="137"/>
        <v>6.0511787723427428</v>
      </c>
      <c r="AW979" s="37" t="s">
        <v>366</v>
      </c>
      <c r="AX979" s="34" t="s">
        <v>355</v>
      </c>
      <c r="AY979" s="40">
        <v>50</v>
      </c>
      <c r="AZ979" s="15">
        <v>55</v>
      </c>
      <c r="BA979" s="14">
        <f t="shared" si="138"/>
        <v>1.7403626894942439</v>
      </c>
      <c r="BB979" s="37" t="s">
        <v>388</v>
      </c>
      <c r="BC979" s="20">
        <v>6.4721888755508118E-3</v>
      </c>
      <c r="BD979" s="9">
        <v>33.800000000000004</v>
      </c>
      <c r="BE979" s="9" t="s">
        <v>368</v>
      </c>
      <c r="BF979" s="9">
        <v>0</v>
      </c>
    </row>
    <row r="980" spans="1:58">
      <c r="A980" s="9">
        <v>1044</v>
      </c>
      <c r="B980" s="20" t="s">
        <v>76</v>
      </c>
      <c r="C980" s="20" t="s">
        <v>77</v>
      </c>
      <c r="D980" s="20" t="s">
        <v>766</v>
      </c>
      <c r="E980" s="20" t="s">
        <v>1032</v>
      </c>
      <c r="F980" s="20" t="s">
        <v>77</v>
      </c>
      <c r="G980" s="20" t="s">
        <v>766</v>
      </c>
      <c r="H980" s="20" t="s">
        <v>1032</v>
      </c>
      <c r="I980" s="20" t="s">
        <v>77</v>
      </c>
      <c r="J980" s="20" t="s">
        <v>766</v>
      </c>
      <c r="K980" s="20" t="s">
        <v>1032</v>
      </c>
      <c r="L980" s="9" t="s">
        <v>352</v>
      </c>
      <c r="M980" s="69">
        <v>9</v>
      </c>
      <c r="N980" s="9" t="s">
        <v>353</v>
      </c>
      <c r="O980" s="9" t="s">
        <v>354</v>
      </c>
      <c r="P980" s="12">
        <v>39.1</v>
      </c>
      <c r="Q980" s="9" t="s">
        <v>355</v>
      </c>
      <c r="R980" s="9" t="s">
        <v>355</v>
      </c>
      <c r="S980" s="9" t="s">
        <v>355</v>
      </c>
      <c r="T980" s="9"/>
      <c r="U980" s="14"/>
      <c r="V980" s="15">
        <v>25</v>
      </c>
      <c r="W980" s="12">
        <v>5.893632199999999</v>
      </c>
      <c r="X980" s="9">
        <v>0.5</v>
      </c>
      <c r="Y980" s="13" t="s">
        <v>355</v>
      </c>
      <c r="Z980" s="9" t="s">
        <v>359</v>
      </c>
      <c r="AA980" s="10" t="s">
        <v>372</v>
      </c>
      <c r="AB980" s="9" t="s">
        <v>355</v>
      </c>
      <c r="AC980" s="43">
        <v>10</v>
      </c>
      <c r="AD980" s="14">
        <f t="shared" si="135"/>
        <v>1</v>
      </c>
      <c r="AE980" s="10" t="s">
        <v>355</v>
      </c>
      <c r="AF980" s="9" t="s">
        <v>408</v>
      </c>
      <c r="AG980" s="18">
        <v>12.372178999999999</v>
      </c>
      <c r="AH980" s="18"/>
      <c r="AI980" s="18"/>
      <c r="AJ980" s="18"/>
      <c r="AK980" s="18"/>
      <c r="AL980" s="18"/>
      <c r="AM980" s="18">
        <f t="shared" si="136"/>
        <v>1.0924461947250872</v>
      </c>
      <c r="AN980" s="9">
        <v>-12.372178999999999</v>
      </c>
      <c r="AO980" s="9">
        <v>130.86886699999999</v>
      </c>
      <c r="AP980" s="9" t="s">
        <v>363</v>
      </c>
      <c r="AQ980" s="9" t="s">
        <v>403</v>
      </c>
      <c r="AR980" s="15">
        <v>2008</v>
      </c>
      <c r="AS980" s="10" t="s">
        <v>1252</v>
      </c>
      <c r="AT980" s="20" t="s">
        <v>1253</v>
      </c>
      <c r="AU980" s="39">
        <v>1302850</v>
      </c>
      <c r="AV980" s="35">
        <f t="shared" si="137"/>
        <v>6.1148944173071831</v>
      </c>
      <c r="AW980" s="37" t="s">
        <v>366</v>
      </c>
      <c r="AX980" s="40">
        <v>50</v>
      </c>
      <c r="AY980" s="40">
        <v>1000</v>
      </c>
      <c r="AZ980" s="15">
        <v>33</v>
      </c>
      <c r="BA980" s="14">
        <f t="shared" si="138"/>
        <v>1.5185139398778875</v>
      </c>
      <c r="BB980" s="37" t="s">
        <v>388</v>
      </c>
      <c r="BC980" s="20">
        <v>6.4721888755508118E-3</v>
      </c>
      <c r="BD980" s="9">
        <v>33.800000000000004</v>
      </c>
      <c r="BE980" s="9" t="s">
        <v>368</v>
      </c>
      <c r="BF980" s="9">
        <v>0</v>
      </c>
    </row>
    <row r="981" spans="1:58">
      <c r="A981" s="9">
        <v>1045</v>
      </c>
      <c r="B981" s="20" t="s">
        <v>76</v>
      </c>
      <c r="C981" s="20" t="s">
        <v>77</v>
      </c>
      <c r="D981" s="20" t="s">
        <v>766</v>
      </c>
      <c r="E981" s="20" t="s">
        <v>807</v>
      </c>
      <c r="F981" s="20" t="s">
        <v>77</v>
      </c>
      <c r="G981" s="20" t="s">
        <v>766</v>
      </c>
      <c r="H981" s="20" t="s">
        <v>807</v>
      </c>
      <c r="I981" s="20" t="s">
        <v>77</v>
      </c>
      <c r="J981" s="20" t="s">
        <v>766</v>
      </c>
      <c r="K981" s="20" t="s">
        <v>807</v>
      </c>
      <c r="L981" s="9" t="s">
        <v>352</v>
      </c>
      <c r="M981" s="69">
        <v>7</v>
      </c>
      <c r="N981" s="9" t="s">
        <v>353</v>
      </c>
      <c r="O981" s="9" t="s">
        <v>354</v>
      </c>
      <c r="P981" s="12">
        <v>40.799999999999997</v>
      </c>
      <c r="Q981" s="9" t="s">
        <v>355</v>
      </c>
      <c r="R981" s="9" t="s">
        <v>355</v>
      </c>
      <c r="S981" s="9" t="s">
        <v>355</v>
      </c>
      <c r="T981" s="9"/>
      <c r="U981" s="14"/>
      <c r="V981" s="15">
        <v>25</v>
      </c>
      <c r="W981" s="12">
        <v>7.5936321999999947</v>
      </c>
      <c r="X981" s="9">
        <v>0.5</v>
      </c>
      <c r="Y981" s="13" t="s">
        <v>355</v>
      </c>
      <c r="Z981" s="9" t="s">
        <v>359</v>
      </c>
      <c r="AA981" s="10" t="s">
        <v>372</v>
      </c>
      <c r="AB981" s="9" t="s">
        <v>355</v>
      </c>
      <c r="AC981" s="43">
        <v>10</v>
      </c>
      <c r="AD981" s="14">
        <f t="shared" si="135"/>
        <v>1</v>
      </c>
      <c r="AE981" s="10" t="s">
        <v>355</v>
      </c>
      <c r="AF981" s="9" t="s">
        <v>408</v>
      </c>
      <c r="AG981" s="18">
        <v>12.372178999999999</v>
      </c>
      <c r="AH981" s="18"/>
      <c r="AI981" s="18"/>
      <c r="AJ981" s="18"/>
      <c r="AK981" s="18"/>
      <c r="AL981" s="18"/>
      <c r="AM981" s="18">
        <f t="shared" si="136"/>
        <v>1.0924461947250872</v>
      </c>
      <c r="AN981" s="9">
        <v>-12.372178999999999</v>
      </c>
      <c r="AO981" s="9">
        <v>130.86886699999999</v>
      </c>
      <c r="AP981" s="9" t="s">
        <v>363</v>
      </c>
      <c r="AQ981" s="9" t="s">
        <v>403</v>
      </c>
      <c r="AR981" s="9">
        <v>2008</v>
      </c>
      <c r="AS981" s="10" t="s">
        <v>1252</v>
      </c>
      <c r="AT981" s="20" t="s">
        <v>1253</v>
      </c>
      <c r="AU981" s="39">
        <v>4776229</v>
      </c>
      <c r="AV981" s="35">
        <f t="shared" si="137"/>
        <v>6.6790851412059302</v>
      </c>
      <c r="AW981" s="37" t="s">
        <v>366</v>
      </c>
      <c r="AX981" s="40">
        <v>50</v>
      </c>
      <c r="AY981" s="40">
        <v>1000</v>
      </c>
      <c r="AZ981" s="15">
        <v>33</v>
      </c>
      <c r="BA981" s="14">
        <f t="shared" si="138"/>
        <v>1.5185139398778875</v>
      </c>
      <c r="BB981" s="37" t="s">
        <v>388</v>
      </c>
      <c r="BC981" s="20">
        <v>6.4721888755508118E-3</v>
      </c>
      <c r="BD981" s="9">
        <v>33.800000000000004</v>
      </c>
      <c r="BE981" s="9" t="s">
        <v>368</v>
      </c>
      <c r="BF981" s="9">
        <v>0</v>
      </c>
    </row>
    <row r="982" spans="1:58">
      <c r="A982" s="9">
        <v>1046</v>
      </c>
      <c r="B982" s="20" t="s">
        <v>76</v>
      </c>
      <c r="C982" s="20" t="s">
        <v>77</v>
      </c>
      <c r="D982" s="20" t="s">
        <v>766</v>
      </c>
      <c r="E982" s="20" t="s">
        <v>1257</v>
      </c>
      <c r="F982" s="20" t="s">
        <v>77</v>
      </c>
      <c r="G982" s="20" t="s">
        <v>766</v>
      </c>
      <c r="H982" s="20" t="s">
        <v>1257</v>
      </c>
      <c r="I982" s="20" t="s">
        <v>77</v>
      </c>
      <c r="J982" s="20" t="s">
        <v>766</v>
      </c>
      <c r="K982" s="20" t="s">
        <v>1257</v>
      </c>
      <c r="L982" s="9" t="s">
        <v>352</v>
      </c>
      <c r="M982" s="69">
        <v>8</v>
      </c>
      <c r="N982" s="9" t="s">
        <v>353</v>
      </c>
      <c r="O982" s="9" t="s">
        <v>354</v>
      </c>
      <c r="P982" s="12">
        <v>37.799999999999997</v>
      </c>
      <c r="Q982" s="9" t="s">
        <v>355</v>
      </c>
      <c r="R982" s="9" t="s">
        <v>355</v>
      </c>
      <c r="S982" s="9" t="s">
        <v>355</v>
      </c>
      <c r="T982" s="9"/>
      <c r="U982" s="14"/>
      <c r="V982" s="15">
        <v>25</v>
      </c>
      <c r="W982" s="12">
        <v>4.5936321999999947</v>
      </c>
      <c r="X982" s="9">
        <v>0.5</v>
      </c>
      <c r="Y982" s="13" t="s">
        <v>355</v>
      </c>
      <c r="Z982" s="9" t="s">
        <v>359</v>
      </c>
      <c r="AA982" s="10" t="s">
        <v>372</v>
      </c>
      <c r="AB982" s="9" t="s">
        <v>355</v>
      </c>
      <c r="AC982" s="43">
        <v>10</v>
      </c>
      <c r="AD982" s="14">
        <f t="shared" si="135"/>
        <v>1</v>
      </c>
      <c r="AE982" s="10" t="s">
        <v>355</v>
      </c>
      <c r="AF982" s="9" t="s">
        <v>408</v>
      </c>
      <c r="AG982" s="18">
        <v>12.372178999999999</v>
      </c>
      <c r="AH982" s="18"/>
      <c r="AI982" s="18"/>
      <c r="AJ982" s="18"/>
      <c r="AK982" s="18"/>
      <c r="AL982" s="18"/>
      <c r="AM982" s="18">
        <f t="shared" si="136"/>
        <v>1.0924461947250872</v>
      </c>
      <c r="AN982" s="9">
        <v>-12.372178999999999</v>
      </c>
      <c r="AO982" s="9">
        <v>130.86886699999999</v>
      </c>
      <c r="AP982" s="9" t="s">
        <v>363</v>
      </c>
      <c r="AQ982" s="9" t="s">
        <v>403</v>
      </c>
      <c r="AR982" s="15">
        <v>2008</v>
      </c>
      <c r="AS982" s="10" t="s">
        <v>1252</v>
      </c>
      <c r="AT982" s="20" t="s">
        <v>1253</v>
      </c>
      <c r="AU982" s="39">
        <v>573801</v>
      </c>
      <c r="AV982" s="35">
        <f t="shared" si="137"/>
        <v>5.7587613007836351</v>
      </c>
      <c r="AW982" s="37" t="s">
        <v>366</v>
      </c>
      <c r="AX982" s="34" t="s">
        <v>355</v>
      </c>
      <c r="AY982" s="40" t="s">
        <v>355</v>
      </c>
      <c r="AZ982" s="15">
        <v>33</v>
      </c>
      <c r="BA982" s="14">
        <f t="shared" si="138"/>
        <v>1.5185139398778875</v>
      </c>
      <c r="BB982" s="37" t="s">
        <v>388</v>
      </c>
      <c r="BC982" s="20">
        <v>6.4721888755508118E-3</v>
      </c>
      <c r="BD982" s="9">
        <v>33.800000000000004</v>
      </c>
      <c r="BE982" s="9" t="s">
        <v>368</v>
      </c>
      <c r="BF982" s="9">
        <v>0</v>
      </c>
    </row>
    <row r="983" spans="1:58">
      <c r="A983" s="9">
        <v>1047</v>
      </c>
      <c r="B983" s="20" t="s">
        <v>76</v>
      </c>
      <c r="C983" s="20" t="s">
        <v>77</v>
      </c>
      <c r="D983" s="20" t="s">
        <v>766</v>
      </c>
      <c r="E983" s="20" t="s">
        <v>1258</v>
      </c>
      <c r="F983" s="20" t="s">
        <v>77</v>
      </c>
      <c r="G983" s="20" t="s">
        <v>766</v>
      </c>
      <c r="H983" s="20" t="s">
        <v>1258</v>
      </c>
      <c r="I983" s="20" t="s">
        <v>77</v>
      </c>
      <c r="J983" s="20" t="s">
        <v>766</v>
      </c>
      <c r="K983" s="20" t="s">
        <v>1259</v>
      </c>
      <c r="L983" s="9" t="s">
        <v>352</v>
      </c>
      <c r="M983" s="69">
        <v>9</v>
      </c>
      <c r="N983" s="9" t="s">
        <v>353</v>
      </c>
      <c r="O983" s="9" t="s">
        <v>354</v>
      </c>
      <c r="P983" s="12">
        <v>36.299999999999997</v>
      </c>
      <c r="Q983" s="9" t="s">
        <v>355</v>
      </c>
      <c r="R983" s="9" t="s">
        <v>355</v>
      </c>
      <c r="S983" s="9" t="s">
        <v>355</v>
      </c>
      <c r="T983" s="9"/>
      <c r="U983" s="14"/>
      <c r="V983" s="15">
        <v>25</v>
      </c>
      <c r="W983" s="12">
        <v>3.0936321999999947</v>
      </c>
      <c r="X983" s="9">
        <v>0.5</v>
      </c>
      <c r="Y983" s="13" t="s">
        <v>355</v>
      </c>
      <c r="Z983" s="9" t="s">
        <v>359</v>
      </c>
      <c r="AA983" s="10" t="s">
        <v>372</v>
      </c>
      <c r="AB983" s="9" t="s">
        <v>355</v>
      </c>
      <c r="AC983" s="43">
        <v>10</v>
      </c>
      <c r="AD983" s="14">
        <f t="shared" si="135"/>
        <v>1</v>
      </c>
      <c r="AE983" s="10" t="s">
        <v>355</v>
      </c>
      <c r="AF983" s="9" t="s">
        <v>408</v>
      </c>
      <c r="AG983" s="18">
        <v>12.372178999999999</v>
      </c>
      <c r="AH983" s="18"/>
      <c r="AI983" s="18"/>
      <c r="AJ983" s="18"/>
      <c r="AK983" s="18"/>
      <c r="AL983" s="18"/>
      <c r="AM983" s="18">
        <f t="shared" si="136"/>
        <v>1.0924461947250872</v>
      </c>
      <c r="AN983" s="9">
        <v>-12.372178999999999</v>
      </c>
      <c r="AO983" s="9">
        <v>130.86886699999999</v>
      </c>
      <c r="AP983" s="9" t="s">
        <v>363</v>
      </c>
      <c r="AQ983" s="9" t="s">
        <v>403</v>
      </c>
      <c r="AR983" s="9">
        <v>2008</v>
      </c>
      <c r="AS983" s="10" t="s">
        <v>1252</v>
      </c>
      <c r="AT983" s="20" t="s">
        <v>1253</v>
      </c>
      <c r="AU983" s="39">
        <v>618489</v>
      </c>
      <c r="AV983" s="35">
        <f t="shared" si="137"/>
        <v>5.7913319799848919</v>
      </c>
      <c r="AW983" s="37" t="s">
        <v>366</v>
      </c>
      <c r="AX983" s="34" t="s">
        <v>355</v>
      </c>
      <c r="AY983" s="40">
        <v>500</v>
      </c>
      <c r="AZ983" s="15">
        <v>55</v>
      </c>
      <c r="BA983" s="14">
        <f t="shared" si="138"/>
        <v>1.7403626894942439</v>
      </c>
      <c r="BB983" s="37" t="s">
        <v>388</v>
      </c>
      <c r="BC983" s="20">
        <v>6.4721888755508118E-3</v>
      </c>
      <c r="BD983" s="9">
        <v>33.800000000000004</v>
      </c>
      <c r="BE983" s="9" t="s">
        <v>368</v>
      </c>
      <c r="BF983" s="9">
        <v>0</v>
      </c>
    </row>
    <row r="984" spans="1:58">
      <c r="A984" s="9">
        <v>877</v>
      </c>
      <c r="B984" s="10" t="s">
        <v>348</v>
      </c>
      <c r="C984" s="10" t="s">
        <v>622</v>
      </c>
      <c r="D984" s="20" t="s">
        <v>683</v>
      </c>
      <c r="E984" s="20" t="s">
        <v>682</v>
      </c>
      <c r="F984" s="10" t="s">
        <v>622</v>
      </c>
      <c r="G984" s="20" t="s">
        <v>683</v>
      </c>
      <c r="H984" s="20" t="s">
        <v>682</v>
      </c>
      <c r="I984" s="10" t="s">
        <v>622</v>
      </c>
      <c r="J984" s="20" t="s">
        <v>683</v>
      </c>
      <c r="K984" s="20" t="s">
        <v>682</v>
      </c>
      <c r="L984" s="9" t="s">
        <v>352</v>
      </c>
      <c r="M984" s="9">
        <v>10</v>
      </c>
      <c r="N984" s="9" t="s">
        <v>381</v>
      </c>
      <c r="O984" s="9" t="s">
        <v>354</v>
      </c>
      <c r="P984" s="12">
        <v>39.5</v>
      </c>
      <c r="Q984" s="12">
        <v>36.4</v>
      </c>
      <c r="R984" s="9" t="s">
        <v>356</v>
      </c>
      <c r="S984" s="13" t="s">
        <v>355</v>
      </c>
      <c r="T984" s="13"/>
      <c r="U984" s="14"/>
      <c r="V984" s="15">
        <v>24</v>
      </c>
      <c r="W984" s="12">
        <v>13.537611599999995</v>
      </c>
      <c r="X984" s="12">
        <v>1</v>
      </c>
      <c r="Y984" s="13" t="s">
        <v>854</v>
      </c>
      <c r="Z984" s="9" t="s">
        <v>417</v>
      </c>
      <c r="AA984" s="10" t="s">
        <v>418</v>
      </c>
      <c r="AB984" s="9" t="s">
        <v>359</v>
      </c>
      <c r="AC984" s="15">
        <v>521</v>
      </c>
      <c r="AD984" s="14">
        <f t="shared" si="135"/>
        <v>2.7168377232995247</v>
      </c>
      <c r="AE984" s="10" t="s">
        <v>1260</v>
      </c>
      <c r="AF984" s="9" t="s">
        <v>362</v>
      </c>
      <c r="AG984" s="18">
        <v>42.69</v>
      </c>
      <c r="AH984" s="18"/>
      <c r="AI984" s="18"/>
      <c r="AJ984" s="18"/>
      <c r="AK984" s="18"/>
      <c r="AL984" s="18"/>
      <c r="AM984" s="18">
        <f t="shared" si="136"/>
        <v>1.6303261548039467</v>
      </c>
      <c r="AN984" s="18">
        <v>42.69</v>
      </c>
      <c r="AO984" s="18">
        <v>-73.290000000000006</v>
      </c>
      <c r="AP984" s="9" t="s">
        <v>363</v>
      </c>
      <c r="AQ984" s="9" t="s">
        <v>355</v>
      </c>
      <c r="AR984" s="15">
        <v>2008</v>
      </c>
      <c r="AS984" s="19" t="s">
        <v>1261</v>
      </c>
      <c r="AT984" s="20" t="s">
        <v>1262</v>
      </c>
      <c r="AU984" s="34">
        <v>3437299</v>
      </c>
      <c r="AV984" s="35">
        <f t="shared" si="137"/>
        <v>6.5362173117130542</v>
      </c>
      <c r="AW984" s="36" t="s">
        <v>366</v>
      </c>
      <c r="AX984" s="34" t="s">
        <v>355</v>
      </c>
      <c r="AY984" s="34" t="s">
        <v>355</v>
      </c>
      <c r="AZ984" s="15">
        <v>78</v>
      </c>
      <c r="BA984" s="14">
        <f t="shared" si="138"/>
        <v>1.8920946026904804</v>
      </c>
      <c r="BB984" s="36" t="s">
        <v>388</v>
      </c>
      <c r="BC984" s="20">
        <v>2.2845538215286652E-2</v>
      </c>
      <c r="BD984" s="9">
        <v>25.400000000000002</v>
      </c>
      <c r="BE984" s="9" t="s">
        <v>368</v>
      </c>
      <c r="BF984" s="9">
        <v>0</v>
      </c>
    </row>
    <row r="985" spans="1:58">
      <c r="A985" s="9">
        <v>96</v>
      </c>
      <c r="B985" s="10" t="s">
        <v>348</v>
      </c>
      <c r="C985" s="10" t="s">
        <v>622</v>
      </c>
      <c r="D985" s="20" t="s">
        <v>681</v>
      </c>
      <c r="E985" s="20" t="s">
        <v>682</v>
      </c>
      <c r="F985" s="10" t="s">
        <v>622</v>
      </c>
      <c r="G985" s="20" t="s">
        <v>683</v>
      </c>
      <c r="H985" s="20" t="s">
        <v>682</v>
      </c>
      <c r="I985" s="10" t="s">
        <v>622</v>
      </c>
      <c r="J985" s="20" t="s">
        <v>683</v>
      </c>
      <c r="K985" s="20" t="s">
        <v>682</v>
      </c>
      <c r="L985" s="9" t="s">
        <v>352</v>
      </c>
      <c r="M985" s="9">
        <v>10</v>
      </c>
      <c r="N985" s="9" t="s">
        <v>381</v>
      </c>
      <c r="O985" s="9" t="s">
        <v>354</v>
      </c>
      <c r="P985" s="12">
        <v>37.299999999999997</v>
      </c>
      <c r="Q985" s="12" t="s">
        <v>355</v>
      </c>
      <c r="R985" s="9" t="s">
        <v>1198</v>
      </c>
      <c r="S985" s="13" t="s">
        <v>355</v>
      </c>
      <c r="T985" s="13"/>
      <c r="U985" s="14"/>
      <c r="V985" s="15">
        <v>25</v>
      </c>
      <c r="W985" s="12">
        <v>11.603283099999995</v>
      </c>
      <c r="X985" s="12" t="s">
        <v>355</v>
      </c>
      <c r="Y985" s="13" t="s">
        <v>355</v>
      </c>
      <c r="Z985" s="9" t="s">
        <v>359</v>
      </c>
      <c r="AA985" s="10" t="s">
        <v>675</v>
      </c>
      <c r="AB985" s="9" t="s">
        <v>355</v>
      </c>
      <c r="AC985" s="15">
        <v>1158</v>
      </c>
      <c r="AD985" s="14">
        <f t="shared" si="135"/>
        <v>3.0637085593914173</v>
      </c>
      <c r="AE985" s="10" t="s">
        <v>676</v>
      </c>
      <c r="AF985" s="9" t="s">
        <v>420</v>
      </c>
      <c r="AG985" s="18">
        <v>37.375135999999998</v>
      </c>
      <c r="AH985" s="18"/>
      <c r="AI985" s="18"/>
      <c r="AJ985" s="18"/>
      <c r="AK985" s="18"/>
      <c r="AL985" s="18"/>
      <c r="AM985" s="18">
        <f t="shared" si="136"/>
        <v>1.5725827816386286</v>
      </c>
      <c r="AN985" s="18">
        <v>37.375135999999998</v>
      </c>
      <c r="AO985" s="18">
        <v>-80.522746999999995</v>
      </c>
      <c r="AP985" s="9" t="s">
        <v>363</v>
      </c>
      <c r="AQ985" s="9" t="s">
        <v>355</v>
      </c>
      <c r="AR985" s="15">
        <v>1957</v>
      </c>
      <c r="AS985" s="19" t="s">
        <v>677</v>
      </c>
      <c r="AT985" s="20" t="s">
        <v>678</v>
      </c>
      <c r="AU985" s="34">
        <v>3437299</v>
      </c>
      <c r="AV985" s="35">
        <f t="shared" si="137"/>
        <v>6.5362173117130542</v>
      </c>
      <c r="AW985" s="36" t="s">
        <v>366</v>
      </c>
      <c r="AX985" s="34" t="s">
        <v>355</v>
      </c>
      <c r="AY985" s="34" t="s">
        <v>355</v>
      </c>
      <c r="AZ985" s="15">
        <v>78</v>
      </c>
      <c r="BA985" s="14">
        <f t="shared" si="138"/>
        <v>1.8920946026904804</v>
      </c>
      <c r="BB985" s="36" t="s">
        <v>388</v>
      </c>
      <c r="BC985" s="20">
        <v>1.7852340936374687E-2</v>
      </c>
      <c r="BD985" s="9">
        <v>24.900000000000002</v>
      </c>
      <c r="BE985" s="9" t="s">
        <v>368</v>
      </c>
      <c r="BF985" s="9">
        <v>0</v>
      </c>
    </row>
    <row r="986" spans="1:58">
      <c r="A986" s="9">
        <v>97</v>
      </c>
      <c r="B986" s="10" t="s">
        <v>348</v>
      </c>
      <c r="C986" s="10" t="s">
        <v>622</v>
      </c>
      <c r="D986" s="20" t="s">
        <v>681</v>
      </c>
      <c r="E986" s="20" t="s">
        <v>682</v>
      </c>
      <c r="F986" s="10" t="s">
        <v>622</v>
      </c>
      <c r="G986" s="20" t="s">
        <v>683</v>
      </c>
      <c r="H986" s="20" t="s">
        <v>682</v>
      </c>
      <c r="I986" s="10" t="s">
        <v>622</v>
      </c>
      <c r="J986" s="20" t="s">
        <v>683</v>
      </c>
      <c r="K986" s="20" t="s">
        <v>682</v>
      </c>
      <c r="L986" s="9" t="s">
        <v>352</v>
      </c>
      <c r="M986" s="9">
        <v>5</v>
      </c>
      <c r="N986" s="9" t="s">
        <v>353</v>
      </c>
      <c r="O986" s="9" t="s">
        <v>354</v>
      </c>
      <c r="P986" s="12">
        <v>38.1</v>
      </c>
      <c r="Q986" s="12" t="s">
        <v>355</v>
      </c>
      <c r="R986" s="9" t="s">
        <v>1198</v>
      </c>
      <c r="S986" s="13" t="s">
        <v>355</v>
      </c>
      <c r="T986" s="13"/>
      <c r="U986" s="14"/>
      <c r="V986" s="15">
        <v>32</v>
      </c>
      <c r="W986" s="12">
        <v>11.309750099999999</v>
      </c>
      <c r="X986" s="12" t="s">
        <v>355</v>
      </c>
      <c r="Y986" s="13" t="s">
        <v>355</v>
      </c>
      <c r="Z986" s="9" t="s">
        <v>359</v>
      </c>
      <c r="AA986" s="10" t="s">
        <v>675</v>
      </c>
      <c r="AB986" s="9" t="s">
        <v>355</v>
      </c>
      <c r="AC986" s="15">
        <v>1158</v>
      </c>
      <c r="AD986" s="14">
        <f t="shared" si="135"/>
        <v>3.0637085593914173</v>
      </c>
      <c r="AE986" s="10" t="s">
        <v>676</v>
      </c>
      <c r="AF986" s="9" t="s">
        <v>420</v>
      </c>
      <c r="AG986" s="18">
        <v>37.375135999999998</v>
      </c>
      <c r="AH986" s="18"/>
      <c r="AI986" s="18"/>
      <c r="AJ986" s="18"/>
      <c r="AK986" s="18"/>
      <c r="AL986" s="18"/>
      <c r="AM986" s="18">
        <f t="shared" si="136"/>
        <v>1.5725827816386286</v>
      </c>
      <c r="AN986" s="18">
        <v>37.375135999999998</v>
      </c>
      <c r="AO986" s="18">
        <v>-80.522746999999995</v>
      </c>
      <c r="AP986" s="9" t="s">
        <v>363</v>
      </c>
      <c r="AQ986" s="9" t="s">
        <v>355</v>
      </c>
      <c r="AR986" s="15">
        <v>1957</v>
      </c>
      <c r="AS986" s="19" t="s">
        <v>677</v>
      </c>
      <c r="AT986" s="20" t="s">
        <v>678</v>
      </c>
      <c r="AU986" s="34">
        <v>3437299</v>
      </c>
      <c r="AV986" s="35">
        <f t="shared" si="137"/>
        <v>6.5362173117130542</v>
      </c>
      <c r="AW986" s="36" t="s">
        <v>366</v>
      </c>
      <c r="AX986" s="34" t="s">
        <v>355</v>
      </c>
      <c r="AY986" s="34" t="s">
        <v>355</v>
      </c>
      <c r="AZ986" s="15">
        <v>78</v>
      </c>
      <c r="BA986" s="14">
        <f t="shared" si="138"/>
        <v>1.8920946026904804</v>
      </c>
      <c r="BB986" s="36" t="s">
        <v>388</v>
      </c>
      <c r="BC986" s="20">
        <v>1.7852340936374687E-2</v>
      </c>
      <c r="BD986" s="9">
        <v>24.900000000000002</v>
      </c>
      <c r="BE986" s="9" t="s">
        <v>368</v>
      </c>
      <c r="BF986" s="9">
        <v>0</v>
      </c>
    </row>
    <row r="987" spans="1:58">
      <c r="A987" s="9">
        <v>812</v>
      </c>
      <c r="B987" s="10" t="s">
        <v>348</v>
      </c>
      <c r="C987" s="10" t="s">
        <v>622</v>
      </c>
      <c r="D987" s="20" t="s">
        <v>683</v>
      </c>
      <c r="E987" s="20" t="s">
        <v>682</v>
      </c>
      <c r="F987" s="10" t="s">
        <v>622</v>
      </c>
      <c r="G987" s="20" t="s">
        <v>683</v>
      </c>
      <c r="H987" s="20" t="s">
        <v>682</v>
      </c>
      <c r="I987" s="10" t="s">
        <v>622</v>
      </c>
      <c r="J987" s="20" t="s">
        <v>683</v>
      </c>
      <c r="K987" s="20" t="s">
        <v>682</v>
      </c>
      <c r="L987" s="9" t="s">
        <v>430</v>
      </c>
      <c r="M987" s="9">
        <v>10</v>
      </c>
      <c r="N987" s="9" t="s">
        <v>381</v>
      </c>
      <c r="O987" s="9" t="s">
        <v>354</v>
      </c>
      <c r="P987" s="12">
        <v>37.068966000000003</v>
      </c>
      <c r="Q987" s="12">
        <v>39.25714</v>
      </c>
      <c r="R987" s="9" t="s">
        <v>1198</v>
      </c>
      <c r="S987" s="13" t="s">
        <v>355</v>
      </c>
      <c r="T987" s="13"/>
      <c r="U987" s="14"/>
      <c r="V987" s="15">
        <v>22</v>
      </c>
      <c r="W987" s="12">
        <v>11.672149900000001</v>
      </c>
      <c r="X987" s="12">
        <v>1</v>
      </c>
      <c r="Y987" s="13" t="s">
        <v>355</v>
      </c>
      <c r="Z987" s="9" t="s">
        <v>359</v>
      </c>
      <c r="AA987" s="10" t="s">
        <v>1263</v>
      </c>
      <c r="AB987" s="9" t="s">
        <v>1264</v>
      </c>
      <c r="AC987" s="15">
        <v>561</v>
      </c>
      <c r="AD987" s="14">
        <f t="shared" si="135"/>
        <v>2.7489628612561616</v>
      </c>
      <c r="AE987" s="10" t="s">
        <v>1265</v>
      </c>
      <c r="AF987" s="9" t="s">
        <v>362</v>
      </c>
      <c r="AG987" s="18">
        <v>43.3</v>
      </c>
      <c r="AH987" s="18"/>
      <c r="AI987" s="18"/>
      <c r="AJ987" s="18"/>
      <c r="AK987" s="18"/>
      <c r="AL987" s="18"/>
      <c r="AM987" s="18">
        <f t="shared" si="136"/>
        <v>1.6364878963533653</v>
      </c>
      <c r="AN987" s="18">
        <v>43.3</v>
      </c>
      <c r="AO987" s="18">
        <v>-72.783332999999999</v>
      </c>
      <c r="AP987" s="9" t="s">
        <v>363</v>
      </c>
      <c r="AQ987" s="9" t="s">
        <v>1266</v>
      </c>
      <c r="AR987" s="15">
        <v>1974</v>
      </c>
      <c r="AS987" s="19" t="s">
        <v>1267</v>
      </c>
      <c r="AT987" s="20" t="s">
        <v>1268</v>
      </c>
      <c r="AU987" s="34">
        <v>3437299</v>
      </c>
      <c r="AV987" s="35">
        <f t="shared" si="137"/>
        <v>6.5362173117130542</v>
      </c>
      <c r="AW987" s="36" t="s">
        <v>366</v>
      </c>
      <c r="AX987" s="34" t="s">
        <v>355</v>
      </c>
      <c r="AY987" s="34" t="s">
        <v>355</v>
      </c>
      <c r="AZ987" s="15">
        <v>78</v>
      </c>
      <c r="BA987" s="14">
        <f t="shared" si="138"/>
        <v>1.8920946026904804</v>
      </c>
      <c r="BB987" s="36" t="s">
        <v>388</v>
      </c>
      <c r="BC987" s="20">
        <v>2.2473389355742206E-2</v>
      </c>
      <c r="BD987" s="9">
        <v>25.1</v>
      </c>
      <c r="BE987" s="9" t="s">
        <v>368</v>
      </c>
      <c r="BF987" s="9">
        <v>0</v>
      </c>
    </row>
    <row r="988" spans="1:58">
      <c r="A988" s="9">
        <v>808</v>
      </c>
      <c r="B988" s="10" t="s">
        <v>348</v>
      </c>
      <c r="C988" s="10" t="s">
        <v>622</v>
      </c>
      <c r="D988" s="20" t="s">
        <v>683</v>
      </c>
      <c r="E988" s="20" t="s">
        <v>682</v>
      </c>
      <c r="F988" s="10" t="s">
        <v>622</v>
      </c>
      <c r="G988" s="20" t="s">
        <v>683</v>
      </c>
      <c r="H988" s="20" t="s">
        <v>682</v>
      </c>
      <c r="I988" s="10" t="s">
        <v>622</v>
      </c>
      <c r="J988" s="20" t="s">
        <v>683</v>
      </c>
      <c r="K988" s="20" t="s">
        <v>682</v>
      </c>
      <c r="L988" s="9" t="s">
        <v>430</v>
      </c>
      <c r="M988" s="9">
        <v>10</v>
      </c>
      <c r="N988" s="9" t="s">
        <v>381</v>
      </c>
      <c r="O988" s="9" t="s">
        <v>354</v>
      </c>
      <c r="P988" s="12">
        <v>37.241379999999999</v>
      </c>
      <c r="Q988" s="12">
        <v>38.857143000000001</v>
      </c>
      <c r="R988" s="9" t="s">
        <v>1198</v>
      </c>
      <c r="S988" s="13" t="s">
        <v>355</v>
      </c>
      <c r="T988" s="13"/>
      <c r="U988" s="14"/>
      <c r="V988" s="15">
        <v>22</v>
      </c>
      <c r="W988" s="12">
        <v>11.844563899999997</v>
      </c>
      <c r="X988" s="12">
        <v>1</v>
      </c>
      <c r="Y988" s="13" t="s">
        <v>355</v>
      </c>
      <c r="Z988" s="9" t="s">
        <v>359</v>
      </c>
      <c r="AA988" s="10" t="s">
        <v>1263</v>
      </c>
      <c r="AB988" s="9" t="s">
        <v>1264</v>
      </c>
      <c r="AC988" s="15">
        <v>561</v>
      </c>
      <c r="AD988" s="14">
        <f t="shared" si="135"/>
        <v>2.7489628612561616</v>
      </c>
      <c r="AE988" s="10" t="s">
        <v>1265</v>
      </c>
      <c r="AF988" s="9" t="s">
        <v>362</v>
      </c>
      <c r="AG988" s="18">
        <v>43.3</v>
      </c>
      <c r="AH988" s="18"/>
      <c r="AI988" s="18"/>
      <c r="AJ988" s="18"/>
      <c r="AK988" s="18"/>
      <c r="AL988" s="18"/>
      <c r="AM988" s="18">
        <f t="shared" si="136"/>
        <v>1.6364878963533653</v>
      </c>
      <c r="AN988" s="18">
        <v>43.3</v>
      </c>
      <c r="AO988" s="18">
        <v>-72.783332999999999</v>
      </c>
      <c r="AP988" s="9" t="s">
        <v>363</v>
      </c>
      <c r="AQ988" s="9" t="s">
        <v>1269</v>
      </c>
      <c r="AR988" s="15">
        <v>1974</v>
      </c>
      <c r="AS988" s="19" t="s">
        <v>1267</v>
      </c>
      <c r="AT988" s="20" t="s">
        <v>1268</v>
      </c>
      <c r="AU988" s="34">
        <v>3437299</v>
      </c>
      <c r="AV988" s="35">
        <f t="shared" si="137"/>
        <v>6.5362173117130542</v>
      </c>
      <c r="AW988" s="36" t="s">
        <v>366</v>
      </c>
      <c r="AX988" s="34" t="s">
        <v>355</v>
      </c>
      <c r="AY988" s="34" t="s">
        <v>355</v>
      </c>
      <c r="AZ988" s="15">
        <v>78</v>
      </c>
      <c r="BA988" s="14">
        <f t="shared" si="138"/>
        <v>1.8920946026904804</v>
      </c>
      <c r="BB988" s="36" t="s">
        <v>388</v>
      </c>
      <c r="BC988" s="20">
        <v>2.2473389355742206E-2</v>
      </c>
      <c r="BD988" s="9">
        <v>25.1</v>
      </c>
      <c r="BE988" s="9" t="s">
        <v>368</v>
      </c>
      <c r="BF988" s="9">
        <v>0</v>
      </c>
    </row>
    <row r="989" spans="1:58">
      <c r="A989" s="9">
        <v>810</v>
      </c>
      <c r="B989" s="10" t="s">
        <v>348</v>
      </c>
      <c r="C989" s="10" t="s">
        <v>622</v>
      </c>
      <c r="D989" s="20" t="s">
        <v>683</v>
      </c>
      <c r="E989" s="20" t="s">
        <v>682</v>
      </c>
      <c r="F989" s="10" t="s">
        <v>622</v>
      </c>
      <c r="G989" s="20" t="s">
        <v>683</v>
      </c>
      <c r="H989" s="20" t="s">
        <v>682</v>
      </c>
      <c r="I989" s="10" t="s">
        <v>622</v>
      </c>
      <c r="J989" s="20" t="s">
        <v>683</v>
      </c>
      <c r="K989" s="20" t="s">
        <v>682</v>
      </c>
      <c r="L989" s="9" t="s">
        <v>430</v>
      </c>
      <c r="M989" s="9">
        <v>13</v>
      </c>
      <c r="N989" s="9" t="s">
        <v>381</v>
      </c>
      <c r="O989" s="9" t="s">
        <v>354</v>
      </c>
      <c r="P989" s="12">
        <v>37.643676999999997</v>
      </c>
      <c r="Q989" s="12">
        <v>39.142856999999999</v>
      </c>
      <c r="R989" s="9" t="s">
        <v>1198</v>
      </c>
      <c r="S989" s="13" t="s">
        <v>355</v>
      </c>
      <c r="T989" s="13"/>
      <c r="U989" s="14"/>
      <c r="V989" s="15">
        <v>22</v>
      </c>
      <c r="W989" s="12">
        <v>12.246860899999994</v>
      </c>
      <c r="X989" s="12">
        <v>1</v>
      </c>
      <c r="Y989" s="13" t="s">
        <v>355</v>
      </c>
      <c r="Z989" s="9" t="s">
        <v>359</v>
      </c>
      <c r="AA989" s="10" t="s">
        <v>1263</v>
      </c>
      <c r="AB989" s="9" t="s">
        <v>1264</v>
      </c>
      <c r="AC989" s="15">
        <v>561</v>
      </c>
      <c r="AD989" s="14">
        <f t="shared" si="135"/>
        <v>2.7489628612561616</v>
      </c>
      <c r="AE989" s="10" t="s">
        <v>1265</v>
      </c>
      <c r="AF989" s="9" t="s">
        <v>362</v>
      </c>
      <c r="AG989" s="18">
        <v>43.3</v>
      </c>
      <c r="AH989" s="18"/>
      <c r="AI989" s="18"/>
      <c r="AJ989" s="18"/>
      <c r="AK989" s="18"/>
      <c r="AL989" s="18"/>
      <c r="AM989" s="18">
        <f t="shared" si="136"/>
        <v>1.6364878963533653</v>
      </c>
      <c r="AN989" s="18">
        <v>43.3</v>
      </c>
      <c r="AO989" s="18">
        <v>-72.783332999999999</v>
      </c>
      <c r="AP989" s="9" t="s">
        <v>363</v>
      </c>
      <c r="AQ989" s="9" t="s">
        <v>1270</v>
      </c>
      <c r="AR989" s="15">
        <v>1974</v>
      </c>
      <c r="AS989" s="19" t="s">
        <v>1267</v>
      </c>
      <c r="AT989" s="20" t="s">
        <v>1268</v>
      </c>
      <c r="AU989" s="34">
        <v>3437299</v>
      </c>
      <c r="AV989" s="35">
        <f t="shared" si="137"/>
        <v>6.5362173117130542</v>
      </c>
      <c r="AW989" s="36" t="s">
        <v>366</v>
      </c>
      <c r="AX989" s="34" t="s">
        <v>355</v>
      </c>
      <c r="AY989" s="34" t="s">
        <v>355</v>
      </c>
      <c r="AZ989" s="15">
        <v>78</v>
      </c>
      <c r="BA989" s="14">
        <f t="shared" si="138"/>
        <v>1.8920946026904804</v>
      </c>
      <c r="BB989" s="36" t="s">
        <v>388</v>
      </c>
      <c r="BC989" s="20">
        <v>2.2473389355742206E-2</v>
      </c>
      <c r="BD989" s="9">
        <v>25.1</v>
      </c>
      <c r="BE989" s="9" t="s">
        <v>368</v>
      </c>
      <c r="BF989" s="9">
        <v>0</v>
      </c>
    </row>
    <row r="990" spans="1:58">
      <c r="A990" s="9">
        <v>807</v>
      </c>
      <c r="B990" s="10" t="s">
        <v>348</v>
      </c>
      <c r="C990" s="10" t="s">
        <v>622</v>
      </c>
      <c r="D990" s="20" t="s">
        <v>683</v>
      </c>
      <c r="E990" s="20" t="s">
        <v>682</v>
      </c>
      <c r="F990" s="10" t="s">
        <v>622</v>
      </c>
      <c r="G990" s="20" t="s">
        <v>683</v>
      </c>
      <c r="H990" s="20" t="s">
        <v>682</v>
      </c>
      <c r="I990" s="10" t="s">
        <v>622</v>
      </c>
      <c r="J990" s="20" t="s">
        <v>683</v>
      </c>
      <c r="K990" s="20" t="s">
        <v>682</v>
      </c>
      <c r="L990" s="9" t="s">
        <v>430</v>
      </c>
      <c r="M990" s="9">
        <v>12</v>
      </c>
      <c r="N990" s="9" t="s">
        <v>381</v>
      </c>
      <c r="O990" s="9" t="s">
        <v>354</v>
      </c>
      <c r="P990" s="12">
        <v>37.701149999999998</v>
      </c>
      <c r="Q990" s="12">
        <v>38.685715000000002</v>
      </c>
      <c r="R990" s="9" t="s">
        <v>1198</v>
      </c>
      <c r="S990" s="13" t="s">
        <v>355</v>
      </c>
      <c r="T990" s="13"/>
      <c r="U990" s="14"/>
      <c r="V990" s="15">
        <v>22</v>
      </c>
      <c r="W990" s="12">
        <v>12.304333899999996</v>
      </c>
      <c r="X990" s="12">
        <v>1</v>
      </c>
      <c r="Y990" s="13" t="s">
        <v>355</v>
      </c>
      <c r="Z990" s="9" t="s">
        <v>359</v>
      </c>
      <c r="AA990" s="10" t="s">
        <v>1263</v>
      </c>
      <c r="AB990" s="9" t="s">
        <v>1264</v>
      </c>
      <c r="AC990" s="15">
        <v>561</v>
      </c>
      <c r="AD990" s="14">
        <f t="shared" si="135"/>
        <v>2.7489628612561616</v>
      </c>
      <c r="AE990" s="10" t="s">
        <v>1265</v>
      </c>
      <c r="AF990" s="9" t="s">
        <v>362</v>
      </c>
      <c r="AG990" s="18">
        <v>43.3</v>
      </c>
      <c r="AH990" s="18"/>
      <c r="AI990" s="18"/>
      <c r="AJ990" s="18"/>
      <c r="AK990" s="18"/>
      <c r="AL990" s="18"/>
      <c r="AM990" s="18">
        <f t="shared" si="136"/>
        <v>1.6364878963533653</v>
      </c>
      <c r="AN990" s="18">
        <v>43.3</v>
      </c>
      <c r="AO990" s="18">
        <v>-72.783332999999999</v>
      </c>
      <c r="AP990" s="9" t="s">
        <v>363</v>
      </c>
      <c r="AQ990" s="9" t="s">
        <v>1271</v>
      </c>
      <c r="AR990" s="15">
        <v>1974</v>
      </c>
      <c r="AS990" s="19" t="s">
        <v>1267</v>
      </c>
      <c r="AT990" s="20" t="s">
        <v>1268</v>
      </c>
      <c r="AU990" s="34">
        <v>3437299</v>
      </c>
      <c r="AV990" s="35">
        <f t="shared" si="137"/>
        <v>6.5362173117130542</v>
      </c>
      <c r="AW990" s="36" t="s">
        <v>366</v>
      </c>
      <c r="AX990" s="34" t="s">
        <v>355</v>
      </c>
      <c r="AY990" s="34" t="s">
        <v>355</v>
      </c>
      <c r="AZ990" s="15">
        <v>78</v>
      </c>
      <c r="BA990" s="14">
        <f t="shared" si="138"/>
        <v>1.8920946026904804</v>
      </c>
      <c r="BB990" s="36" t="s">
        <v>388</v>
      </c>
      <c r="BC990" s="20">
        <v>2.2473389355742206E-2</v>
      </c>
      <c r="BD990" s="9">
        <v>25.1</v>
      </c>
      <c r="BE990" s="9" t="s">
        <v>368</v>
      </c>
      <c r="BF990" s="9">
        <v>0</v>
      </c>
    </row>
    <row r="991" spans="1:58">
      <c r="A991" s="9">
        <v>809</v>
      </c>
      <c r="B991" s="10" t="s">
        <v>348</v>
      </c>
      <c r="C991" s="10" t="s">
        <v>622</v>
      </c>
      <c r="D991" s="20" t="s">
        <v>683</v>
      </c>
      <c r="E991" s="20" t="s">
        <v>682</v>
      </c>
      <c r="F991" s="10" t="s">
        <v>622</v>
      </c>
      <c r="G991" s="20" t="s">
        <v>683</v>
      </c>
      <c r="H991" s="20" t="s">
        <v>682</v>
      </c>
      <c r="I991" s="10" t="s">
        <v>622</v>
      </c>
      <c r="J991" s="20" t="s">
        <v>683</v>
      </c>
      <c r="K991" s="20" t="s">
        <v>682</v>
      </c>
      <c r="L991" s="9" t="s">
        <v>430</v>
      </c>
      <c r="M991" s="9">
        <v>10</v>
      </c>
      <c r="N991" s="9" t="s">
        <v>381</v>
      </c>
      <c r="O991" s="9" t="s">
        <v>354</v>
      </c>
      <c r="P991" s="12">
        <v>38.04598</v>
      </c>
      <c r="Q991" s="12">
        <v>39.142856999999999</v>
      </c>
      <c r="R991" s="9" t="s">
        <v>1198</v>
      </c>
      <c r="S991" s="13" t="s">
        <v>355</v>
      </c>
      <c r="T991" s="13"/>
      <c r="U991" s="14"/>
      <c r="V991" s="15">
        <v>22</v>
      </c>
      <c r="W991" s="12">
        <v>12.649163899999998</v>
      </c>
      <c r="X991" s="12">
        <v>1</v>
      </c>
      <c r="Y991" s="13" t="s">
        <v>355</v>
      </c>
      <c r="Z991" s="9" t="s">
        <v>359</v>
      </c>
      <c r="AA991" s="10" t="s">
        <v>1263</v>
      </c>
      <c r="AB991" s="9" t="s">
        <v>1264</v>
      </c>
      <c r="AC991" s="15">
        <v>561</v>
      </c>
      <c r="AD991" s="14">
        <f t="shared" si="135"/>
        <v>2.7489628612561616</v>
      </c>
      <c r="AE991" s="10" t="s">
        <v>1265</v>
      </c>
      <c r="AF991" s="9" t="s">
        <v>362</v>
      </c>
      <c r="AG991" s="18">
        <v>43.3</v>
      </c>
      <c r="AH991" s="18"/>
      <c r="AI991" s="18"/>
      <c r="AJ991" s="18"/>
      <c r="AK991" s="18"/>
      <c r="AL991" s="18"/>
      <c r="AM991" s="18">
        <f t="shared" si="136"/>
        <v>1.6364878963533653</v>
      </c>
      <c r="AN991" s="18">
        <v>43.3</v>
      </c>
      <c r="AO991" s="18">
        <v>-72.783332999999999</v>
      </c>
      <c r="AP991" s="9" t="s">
        <v>363</v>
      </c>
      <c r="AQ991" s="9" t="s">
        <v>1272</v>
      </c>
      <c r="AR991" s="15">
        <v>1974</v>
      </c>
      <c r="AS991" s="19" t="s">
        <v>1267</v>
      </c>
      <c r="AT991" s="20" t="s">
        <v>1268</v>
      </c>
      <c r="AU991" s="34">
        <v>3437299</v>
      </c>
      <c r="AV991" s="35">
        <f t="shared" si="137"/>
        <v>6.5362173117130542</v>
      </c>
      <c r="AW991" s="36" t="s">
        <v>366</v>
      </c>
      <c r="AX991" s="34" t="s">
        <v>355</v>
      </c>
      <c r="AY991" s="34" t="s">
        <v>355</v>
      </c>
      <c r="AZ991" s="15">
        <v>78</v>
      </c>
      <c r="BA991" s="14">
        <f t="shared" si="138"/>
        <v>1.8920946026904804</v>
      </c>
      <c r="BB991" s="36" t="s">
        <v>388</v>
      </c>
      <c r="BC991" s="20">
        <v>2.2473389355742206E-2</v>
      </c>
      <c r="BD991" s="9">
        <v>25.1</v>
      </c>
      <c r="BE991" s="9" t="s">
        <v>368</v>
      </c>
      <c r="BF991" s="9">
        <v>0</v>
      </c>
    </row>
    <row r="992" spans="1:58">
      <c r="A992" s="9">
        <v>815</v>
      </c>
      <c r="B992" s="10" t="s">
        <v>348</v>
      </c>
      <c r="C992" s="10" t="s">
        <v>622</v>
      </c>
      <c r="D992" s="20" t="s">
        <v>683</v>
      </c>
      <c r="E992" s="20" t="s">
        <v>682</v>
      </c>
      <c r="F992" s="10" t="s">
        <v>622</v>
      </c>
      <c r="G992" s="20" t="s">
        <v>683</v>
      </c>
      <c r="H992" s="20" t="s">
        <v>682</v>
      </c>
      <c r="I992" s="10" t="s">
        <v>622</v>
      </c>
      <c r="J992" s="20" t="s">
        <v>683</v>
      </c>
      <c r="K992" s="20" t="s">
        <v>682</v>
      </c>
      <c r="L992" s="9" t="s">
        <v>430</v>
      </c>
      <c r="M992" s="9">
        <v>9</v>
      </c>
      <c r="N992" s="9" t="s">
        <v>353</v>
      </c>
      <c r="O992" s="9" t="s">
        <v>354</v>
      </c>
      <c r="P992" s="12">
        <v>38.218389999999999</v>
      </c>
      <c r="Q992" s="12">
        <v>39.314284999999998</v>
      </c>
      <c r="R992" s="9" t="s">
        <v>1198</v>
      </c>
      <c r="S992" s="13" t="s">
        <v>355</v>
      </c>
      <c r="T992" s="13"/>
      <c r="U992" s="14"/>
      <c r="V992" s="15">
        <v>22</v>
      </c>
      <c r="W992" s="12">
        <v>12.821573899999997</v>
      </c>
      <c r="X992" s="12">
        <v>1</v>
      </c>
      <c r="Y992" s="13" t="s">
        <v>355</v>
      </c>
      <c r="Z992" s="9" t="s">
        <v>359</v>
      </c>
      <c r="AA992" s="10" t="s">
        <v>1263</v>
      </c>
      <c r="AB992" s="9" t="s">
        <v>1264</v>
      </c>
      <c r="AC992" s="15">
        <v>561</v>
      </c>
      <c r="AD992" s="14">
        <f t="shared" si="135"/>
        <v>2.7489628612561616</v>
      </c>
      <c r="AE992" s="10" t="s">
        <v>1265</v>
      </c>
      <c r="AF992" s="9" t="s">
        <v>362</v>
      </c>
      <c r="AG992" s="18">
        <v>43.3</v>
      </c>
      <c r="AH992" s="18"/>
      <c r="AI992" s="18"/>
      <c r="AJ992" s="18"/>
      <c r="AK992" s="18"/>
      <c r="AL992" s="18"/>
      <c r="AM992" s="18">
        <f t="shared" si="136"/>
        <v>1.6364878963533653</v>
      </c>
      <c r="AN992" s="18">
        <v>43.3</v>
      </c>
      <c r="AO992" s="18">
        <v>-72.783332999999999</v>
      </c>
      <c r="AP992" s="9" t="s">
        <v>363</v>
      </c>
      <c r="AQ992" s="9" t="s">
        <v>1273</v>
      </c>
      <c r="AR992" s="15">
        <v>1974</v>
      </c>
      <c r="AS992" s="19" t="s">
        <v>1267</v>
      </c>
      <c r="AT992" s="20" t="s">
        <v>1268</v>
      </c>
      <c r="AU992" s="34">
        <v>3437299</v>
      </c>
      <c r="AV992" s="35">
        <f t="shared" si="137"/>
        <v>6.5362173117130542</v>
      </c>
      <c r="AW992" s="36" t="s">
        <v>366</v>
      </c>
      <c r="AX992" s="34" t="s">
        <v>355</v>
      </c>
      <c r="AY992" s="34" t="s">
        <v>355</v>
      </c>
      <c r="AZ992" s="15">
        <v>78</v>
      </c>
      <c r="BA992" s="14">
        <f t="shared" si="138"/>
        <v>1.8920946026904804</v>
      </c>
      <c r="BB992" s="36" t="s">
        <v>388</v>
      </c>
      <c r="BC992" s="20">
        <v>2.2473389355742206E-2</v>
      </c>
      <c r="BD992" s="9">
        <v>25.1</v>
      </c>
      <c r="BE992" s="9" t="s">
        <v>368</v>
      </c>
      <c r="BF992" s="9">
        <v>0</v>
      </c>
    </row>
    <row r="993" spans="1:58">
      <c r="A993" s="9">
        <v>814</v>
      </c>
      <c r="B993" s="10" t="s">
        <v>348</v>
      </c>
      <c r="C993" s="10" t="s">
        <v>622</v>
      </c>
      <c r="D993" s="20" t="s">
        <v>683</v>
      </c>
      <c r="E993" s="20" t="s">
        <v>682</v>
      </c>
      <c r="F993" s="10" t="s">
        <v>622</v>
      </c>
      <c r="G993" s="20" t="s">
        <v>683</v>
      </c>
      <c r="H993" s="20" t="s">
        <v>682</v>
      </c>
      <c r="I993" s="10" t="s">
        <v>622</v>
      </c>
      <c r="J993" s="20" t="s">
        <v>683</v>
      </c>
      <c r="K993" s="20" t="s">
        <v>682</v>
      </c>
      <c r="L993" s="9" t="s">
        <v>430</v>
      </c>
      <c r="M993" s="9">
        <v>7</v>
      </c>
      <c r="N993" s="9" t="s">
        <v>353</v>
      </c>
      <c r="O993" s="9" t="s">
        <v>354</v>
      </c>
      <c r="P993" s="12">
        <v>38.275863999999999</v>
      </c>
      <c r="Q993" s="12">
        <v>40.342857000000002</v>
      </c>
      <c r="R993" s="9" t="s">
        <v>1198</v>
      </c>
      <c r="S993" s="13" t="s">
        <v>355</v>
      </c>
      <c r="T993" s="13"/>
      <c r="U993" s="14"/>
      <c r="V993" s="15">
        <v>22</v>
      </c>
      <c r="W993" s="12">
        <v>12.879047899999996</v>
      </c>
      <c r="X993" s="12">
        <v>1</v>
      </c>
      <c r="Y993" s="13" t="s">
        <v>355</v>
      </c>
      <c r="Z993" s="9" t="s">
        <v>359</v>
      </c>
      <c r="AA993" s="10" t="s">
        <v>1263</v>
      </c>
      <c r="AB993" s="9" t="s">
        <v>1264</v>
      </c>
      <c r="AC993" s="15">
        <v>561</v>
      </c>
      <c r="AD993" s="14">
        <f t="shared" si="135"/>
        <v>2.7489628612561616</v>
      </c>
      <c r="AE993" s="10" t="s">
        <v>1265</v>
      </c>
      <c r="AF993" s="9" t="s">
        <v>362</v>
      </c>
      <c r="AG993" s="18">
        <v>43.3</v>
      </c>
      <c r="AH993" s="18"/>
      <c r="AI993" s="18"/>
      <c r="AJ993" s="18"/>
      <c r="AK993" s="18"/>
      <c r="AL993" s="18"/>
      <c r="AM993" s="18">
        <f t="shared" si="136"/>
        <v>1.6364878963533653</v>
      </c>
      <c r="AN993" s="18">
        <v>43.3</v>
      </c>
      <c r="AO993" s="18">
        <v>-72.783332999999999</v>
      </c>
      <c r="AP993" s="9" t="s">
        <v>363</v>
      </c>
      <c r="AQ993" s="9" t="s">
        <v>1274</v>
      </c>
      <c r="AR993" s="15">
        <v>1974</v>
      </c>
      <c r="AS993" s="19" t="s">
        <v>1267</v>
      </c>
      <c r="AT993" s="20" t="s">
        <v>1268</v>
      </c>
      <c r="AU993" s="34">
        <v>3437299</v>
      </c>
      <c r="AV993" s="35">
        <f t="shared" si="137"/>
        <v>6.5362173117130542</v>
      </c>
      <c r="AW993" s="36" t="s">
        <v>366</v>
      </c>
      <c r="AX993" s="34" t="s">
        <v>355</v>
      </c>
      <c r="AY993" s="34" t="s">
        <v>355</v>
      </c>
      <c r="AZ993" s="15">
        <v>78</v>
      </c>
      <c r="BA993" s="14">
        <f t="shared" si="138"/>
        <v>1.8920946026904804</v>
      </c>
      <c r="BB993" s="36" t="s">
        <v>388</v>
      </c>
      <c r="BC993" s="20">
        <v>2.2473389355742206E-2</v>
      </c>
      <c r="BD993" s="9">
        <v>25.1</v>
      </c>
      <c r="BE993" s="9" t="s">
        <v>368</v>
      </c>
      <c r="BF993" s="9">
        <v>0</v>
      </c>
    </row>
    <row r="994" spans="1:58">
      <c r="A994" s="9">
        <v>806</v>
      </c>
      <c r="B994" s="10" t="s">
        <v>348</v>
      </c>
      <c r="C994" s="10" t="s">
        <v>622</v>
      </c>
      <c r="D994" s="20" t="s">
        <v>683</v>
      </c>
      <c r="E994" s="20" t="s">
        <v>682</v>
      </c>
      <c r="F994" s="10" t="s">
        <v>622</v>
      </c>
      <c r="G994" s="20" t="s">
        <v>683</v>
      </c>
      <c r="H994" s="20" t="s">
        <v>682</v>
      </c>
      <c r="I994" s="10" t="s">
        <v>622</v>
      </c>
      <c r="J994" s="20" t="s">
        <v>683</v>
      </c>
      <c r="K994" s="20" t="s">
        <v>682</v>
      </c>
      <c r="L994" s="9" t="s">
        <v>430</v>
      </c>
      <c r="M994" s="9">
        <v>9</v>
      </c>
      <c r="N994" s="9" t="s">
        <v>353</v>
      </c>
      <c r="O994" s="9" t="s">
        <v>354</v>
      </c>
      <c r="P994" s="12">
        <v>38.908047000000003</v>
      </c>
      <c r="Q994" s="12">
        <v>39.428570000000001</v>
      </c>
      <c r="R994" s="9" t="s">
        <v>1198</v>
      </c>
      <c r="S994" s="13" t="s">
        <v>355</v>
      </c>
      <c r="T994" s="13"/>
      <c r="U994" s="14"/>
      <c r="V994" s="15">
        <v>22</v>
      </c>
      <c r="W994" s="12">
        <v>13.511230900000001</v>
      </c>
      <c r="X994" s="12">
        <v>1</v>
      </c>
      <c r="Y994" s="13" t="s">
        <v>355</v>
      </c>
      <c r="Z994" s="9" t="s">
        <v>359</v>
      </c>
      <c r="AA994" s="10" t="s">
        <v>1263</v>
      </c>
      <c r="AB994" s="9" t="s">
        <v>1264</v>
      </c>
      <c r="AC994" s="15">
        <v>561</v>
      </c>
      <c r="AD994" s="14">
        <f t="shared" si="135"/>
        <v>2.7489628612561616</v>
      </c>
      <c r="AE994" s="10" t="s">
        <v>1265</v>
      </c>
      <c r="AF994" s="9" t="s">
        <v>362</v>
      </c>
      <c r="AG994" s="18">
        <v>43.3</v>
      </c>
      <c r="AH994" s="18"/>
      <c r="AI994" s="18"/>
      <c r="AJ994" s="18"/>
      <c r="AK994" s="18"/>
      <c r="AL994" s="18"/>
      <c r="AM994" s="18">
        <f t="shared" si="136"/>
        <v>1.6364878963533653</v>
      </c>
      <c r="AN994" s="18">
        <v>43.3</v>
      </c>
      <c r="AO994" s="18">
        <v>-72.783332999999999</v>
      </c>
      <c r="AP994" s="9" t="s">
        <v>363</v>
      </c>
      <c r="AQ994" s="9" t="s">
        <v>1275</v>
      </c>
      <c r="AR994" s="15">
        <v>1974</v>
      </c>
      <c r="AS994" s="19" t="s">
        <v>1267</v>
      </c>
      <c r="AT994" s="20" t="s">
        <v>1268</v>
      </c>
      <c r="AU994" s="34">
        <v>3437299</v>
      </c>
      <c r="AV994" s="35">
        <f t="shared" si="137"/>
        <v>6.5362173117130542</v>
      </c>
      <c r="AW994" s="36" t="s">
        <v>366</v>
      </c>
      <c r="AX994" s="34" t="s">
        <v>355</v>
      </c>
      <c r="AY994" s="34" t="s">
        <v>355</v>
      </c>
      <c r="AZ994" s="15">
        <v>78</v>
      </c>
      <c r="BA994" s="14">
        <f t="shared" si="138"/>
        <v>1.8920946026904804</v>
      </c>
      <c r="BB994" s="36" t="s">
        <v>388</v>
      </c>
      <c r="BC994" s="20">
        <v>2.2473389355742206E-2</v>
      </c>
      <c r="BD994" s="9">
        <v>25.1</v>
      </c>
      <c r="BE994" s="9" t="s">
        <v>368</v>
      </c>
      <c r="BF994" s="9">
        <v>0</v>
      </c>
    </row>
    <row r="995" spans="1:58">
      <c r="A995" s="9">
        <v>805</v>
      </c>
      <c r="B995" s="10" t="s">
        <v>348</v>
      </c>
      <c r="C995" s="10" t="s">
        <v>622</v>
      </c>
      <c r="D995" s="20" t="s">
        <v>683</v>
      </c>
      <c r="E995" s="20" t="s">
        <v>682</v>
      </c>
      <c r="F995" s="10" t="s">
        <v>622</v>
      </c>
      <c r="G995" s="20" t="s">
        <v>683</v>
      </c>
      <c r="H995" s="20" t="s">
        <v>682</v>
      </c>
      <c r="I995" s="10" t="s">
        <v>622</v>
      </c>
      <c r="J995" s="20" t="s">
        <v>683</v>
      </c>
      <c r="K995" s="20" t="s">
        <v>682</v>
      </c>
      <c r="L995" s="9" t="s">
        <v>430</v>
      </c>
      <c r="M995" s="9">
        <v>9</v>
      </c>
      <c r="N995" s="9" t="s">
        <v>353</v>
      </c>
      <c r="O995" s="9" t="s">
        <v>354</v>
      </c>
      <c r="P995" s="12">
        <v>39.137929999999997</v>
      </c>
      <c r="Q995" s="12">
        <v>39.657142999999998</v>
      </c>
      <c r="R995" s="9" t="s">
        <v>1198</v>
      </c>
      <c r="S995" s="13" t="s">
        <v>355</v>
      </c>
      <c r="T995" s="13"/>
      <c r="U995" s="14"/>
      <c r="V995" s="15">
        <v>22</v>
      </c>
      <c r="W995" s="12">
        <v>13.741113899999995</v>
      </c>
      <c r="X995" s="12">
        <v>1</v>
      </c>
      <c r="Y995" s="13" t="s">
        <v>355</v>
      </c>
      <c r="Z995" s="9" t="s">
        <v>359</v>
      </c>
      <c r="AA995" s="10" t="s">
        <v>1263</v>
      </c>
      <c r="AB995" s="9" t="s">
        <v>1264</v>
      </c>
      <c r="AC995" s="15">
        <v>561</v>
      </c>
      <c r="AD995" s="14">
        <f t="shared" si="135"/>
        <v>2.7489628612561616</v>
      </c>
      <c r="AE995" s="10" t="s">
        <v>1265</v>
      </c>
      <c r="AF995" s="9" t="s">
        <v>362</v>
      </c>
      <c r="AG995" s="18">
        <v>43.3</v>
      </c>
      <c r="AH995" s="18"/>
      <c r="AI995" s="18"/>
      <c r="AJ995" s="18"/>
      <c r="AK995" s="18"/>
      <c r="AL995" s="18"/>
      <c r="AM995" s="18">
        <f t="shared" si="136"/>
        <v>1.6364878963533653</v>
      </c>
      <c r="AN995" s="18">
        <v>43.3</v>
      </c>
      <c r="AO995" s="18">
        <v>-72.783332999999999</v>
      </c>
      <c r="AP995" s="9" t="s">
        <v>363</v>
      </c>
      <c r="AQ995" s="9" t="s">
        <v>1276</v>
      </c>
      <c r="AR995" s="15">
        <v>1974</v>
      </c>
      <c r="AS995" s="19" t="s">
        <v>1267</v>
      </c>
      <c r="AT995" s="20" t="s">
        <v>1268</v>
      </c>
      <c r="AU995" s="34">
        <v>3437299</v>
      </c>
      <c r="AV995" s="35">
        <f t="shared" si="137"/>
        <v>6.5362173117130542</v>
      </c>
      <c r="AW995" s="36" t="s">
        <v>366</v>
      </c>
      <c r="AX995" s="34" t="s">
        <v>355</v>
      </c>
      <c r="AY995" s="34" t="s">
        <v>355</v>
      </c>
      <c r="AZ995" s="15">
        <v>78</v>
      </c>
      <c r="BA995" s="14">
        <f t="shared" si="138"/>
        <v>1.8920946026904804</v>
      </c>
      <c r="BB995" s="36" t="s">
        <v>388</v>
      </c>
      <c r="BC995" s="20">
        <v>2.2473389355742206E-2</v>
      </c>
      <c r="BD995" s="9">
        <v>25.1</v>
      </c>
      <c r="BE995" s="9" t="s">
        <v>368</v>
      </c>
      <c r="BF995" s="9">
        <v>0</v>
      </c>
    </row>
    <row r="996" spans="1:58">
      <c r="A996" s="9">
        <v>811</v>
      </c>
      <c r="B996" s="10" t="s">
        <v>348</v>
      </c>
      <c r="C996" s="10" t="s">
        <v>622</v>
      </c>
      <c r="D996" s="20" t="s">
        <v>683</v>
      </c>
      <c r="E996" s="20" t="s">
        <v>682</v>
      </c>
      <c r="F996" s="10" t="s">
        <v>622</v>
      </c>
      <c r="G996" s="20" t="s">
        <v>683</v>
      </c>
      <c r="H996" s="20" t="s">
        <v>682</v>
      </c>
      <c r="I996" s="10" t="s">
        <v>622</v>
      </c>
      <c r="J996" s="20" t="s">
        <v>683</v>
      </c>
      <c r="K996" s="20" t="s">
        <v>682</v>
      </c>
      <c r="L996" s="9" t="s">
        <v>430</v>
      </c>
      <c r="M996" s="9">
        <v>12</v>
      </c>
      <c r="N996" s="9" t="s">
        <v>381</v>
      </c>
      <c r="O996" s="9" t="s">
        <v>354</v>
      </c>
      <c r="P996" s="12">
        <v>39.252872000000004</v>
      </c>
      <c r="Q996" s="12">
        <v>40.228572999999997</v>
      </c>
      <c r="R996" s="9" t="s">
        <v>1198</v>
      </c>
      <c r="S996" s="13" t="s">
        <v>355</v>
      </c>
      <c r="T996" s="13"/>
      <c r="U996" s="14"/>
      <c r="V996" s="15">
        <v>22</v>
      </c>
      <c r="W996" s="12">
        <v>13.856055900000001</v>
      </c>
      <c r="X996" s="12">
        <v>1</v>
      </c>
      <c r="Y996" s="13" t="s">
        <v>355</v>
      </c>
      <c r="Z996" s="9" t="s">
        <v>359</v>
      </c>
      <c r="AA996" s="10" t="s">
        <v>1263</v>
      </c>
      <c r="AB996" s="9" t="s">
        <v>1264</v>
      </c>
      <c r="AC996" s="15">
        <v>561</v>
      </c>
      <c r="AD996" s="14">
        <f t="shared" si="135"/>
        <v>2.7489628612561616</v>
      </c>
      <c r="AE996" s="10" t="s">
        <v>1265</v>
      </c>
      <c r="AF996" s="9" t="s">
        <v>362</v>
      </c>
      <c r="AG996" s="18">
        <v>43.3</v>
      </c>
      <c r="AH996" s="18"/>
      <c r="AI996" s="18"/>
      <c r="AJ996" s="18"/>
      <c r="AK996" s="18"/>
      <c r="AL996" s="18"/>
      <c r="AM996" s="18">
        <f t="shared" si="136"/>
        <v>1.6364878963533653</v>
      </c>
      <c r="AN996" s="18">
        <v>43.3</v>
      </c>
      <c r="AO996" s="18">
        <v>-72.783332999999999</v>
      </c>
      <c r="AP996" s="9" t="s">
        <v>363</v>
      </c>
      <c r="AQ996" s="9" t="s">
        <v>1277</v>
      </c>
      <c r="AR996" s="15">
        <v>1974</v>
      </c>
      <c r="AS996" s="19" t="s">
        <v>1267</v>
      </c>
      <c r="AT996" s="20" t="s">
        <v>1268</v>
      </c>
      <c r="AU996" s="34">
        <v>3437299</v>
      </c>
      <c r="AV996" s="35">
        <f t="shared" si="137"/>
        <v>6.5362173117130542</v>
      </c>
      <c r="AW996" s="36" t="s">
        <v>366</v>
      </c>
      <c r="AX996" s="34" t="s">
        <v>355</v>
      </c>
      <c r="AY996" s="34" t="s">
        <v>355</v>
      </c>
      <c r="AZ996" s="15">
        <v>78</v>
      </c>
      <c r="BA996" s="14">
        <f t="shared" si="138"/>
        <v>1.8920946026904804</v>
      </c>
      <c r="BB996" s="36" t="s">
        <v>388</v>
      </c>
      <c r="BC996" s="20">
        <v>2.2473389355742206E-2</v>
      </c>
      <c r="BD996" s="9">
        <v>25.1</v>
      </c>
      <c r="BE996" s="9" t="s">
        <v>368</v>
      </c>
      <c r="BF996" s="9">
        <v>0</v>
      </c>
    </row>
    <row r="997" spans="1:58">
      <c r="A997" s="9">
        <v>813</v>
      </c>
      <c r="B997" s="10" t="s">
        <v>348</v>
      </c>
      <c r="C997" s="10" t="s">
        <v>622</v>
      </c>
      <c r="D997" s="20" t="s">
        <v>683</v>
      </c>
      <c r="E997" s="20" t="s">
        <v>682</v>
      </c>
      <c r="F997" s="10" t="s">
        <v>622</v>
      </c>
      <c r="G997" s="20" t="s">
        <v>683</v>
      </c>
      <c r="H997" s="20" t="s">
        <v>682</v>
      </c>
      <c r="I997" s="10" t="s">
        <v>622</v>
      </c>
      <c r="J997" s="20" t="s">
        <v>683</v>
      </c>
      <c r="K997" s="20" t="s">
        <v>682</v>
      </c>
      <c r="L997" s="9" t="s">
        <v>430</v>
      </c>
      <c r="M997" s="9">
        <v>10</v>
      </c>
      <c r="N997" s="9" t="s">
        <v>381</v>
      </c>
      <c r="O997" s="9" t="s">
        <v>354</v>
      </c>
      <c r="P997" s="12">
        <v>39.482757999999997</v>
      </c>
      <c r="Q997" s="12">
        <v>40.457140000000003</v>
      </c>
      <c r="R997" s="9" t="s">
        <v>1198</v>
      </c>
      <c r="S997" s="13" t="s">
        <v>355</v>
      </c>
      <c r="T997" s="13"/>
      <c r="U997" s="14"/>
      <c r="V997" s="15">
        <v>22</v>
      </c>
      <c r="W997" s="12">
        <v>14.085941899999995</v>
      </c>
      <c r="X997" s="12">
        <v>1</v>
      </c>
      <c r="Y997" s="13" t="s">
        <v>355</v>
      </c>
      <c r="Z997" s="9" t="s">
        <v>359</v>
      </c>
      <c r="AA997" s="10" t="s">
        <v>1263</v>
      </c>
      <c r="AB997" s="9" t="s">
        <v>1264</v>
      </c>
      <c r="AC997" s="15">
        <v>561</v>
      </c>
      <c r="AD997" s="14">
        <f t="shared" si="135"/>
        <v>2.7489628612561616</v>
      </c>
      <c r="AE997" s="10" t="s">
        <v>1265</v>
      </c>
      <c r="AF997" s="9" t="s">
        <v>362</v>
      </c>
      <c r="AG997" s="18">
        <v>43.3</v>
      </c>
      <c r="AH997" s="18"/>
      <c r="AI997" s="18"/>
      <c r="AJ997" s="18"/>
      <c r="AK997" s="18"/>
      <c r="AL997" s="18"/>
      <c r="AM997" s="18">
        <f t="shared" si="136"/>
        <v>1.6364878963533653</v>
      </c>
      <c r="AN997" s="18">
        <v>43.3</v>
      </c>
      <c r="AO997" s="18">
        <v>-72.783332999999999</v>
      </c>
      <c r="AP997" s="9" t="s">
        <v>363</v>
      </c>
      <c r="AQ997" s="9" t="s">
        <v>1278</v>
      </c>
      <c r="AR997" s="15">
        <v>1974</v>
      </c>
      <c r="AS997" s="19" t="s">
        <v>1267</v>
      </c>
      <c r="AT997" s="20" t="s">
        <v>1268</v>
      </c>
      <c r="AU997" s="34">
        <v>3437299</v>
      </c>
      <c r="AV997" s="35">
        <f t="shared" si="137"/>
        <v>6.5362173117130542</v>
      </c>
      <c r="AW997" s="36" t="s">
        <v>366</v>
      </c>
      <c r="AX997" s="34" t="s">
        <v>355</v>
      </c>
      <c r="AY997" s="34" t="s">
        <v>355</v>
      </c>
      <c r="AZ997" s="15">
        <v>78</v>
      </c>
      <c r="BA997" s="14">
        <f t="shared" si="138"/>
        <v>1.8920946026904804</v>
      </c>
      <c r="BB997" s="36" t="s">
        <v>388</v>
      </c>
      <c r="BC997" s="20">
        <v>2.2473389355742206E-2</v>
      </c>
      <c r="BD997" s="9">
        <v>25.1</v>
      </c>
      <c r="BE997" s="9" t="s">
        <v>368</v>
      </c>
      <c r="BF997" s="9">
        <v>0</v>
      </c>
    </row>
    <row r="998" spans="1:58">
      <c r="A998" s="9">
        <v>834</v>
      </c>
      <c r="B998" s="10" t="s">
        <v>76</v>
      </c>
      <c r="C998" s="10" t="s">
        <v>1279</v>
      </c>
      <c r="D998" s="20" t="s">
        <v>1081</v>
      </c>
      <c r="E998" s="20" t="s">
        <v>1082</v>
      </c>
      <c r="F998" s="20" t="s">
        <v>426</v>
      </c>
      <c r="G998" s="20" t="s">
        <v>1081</v>
      </c>
      <c r="H998" s="20" t="s">
        <v>1082</v>
      </c>
      <c r="I998" s="45" t="s">
        <v>1080</v>
      </c>
      <c r="J998" s="20" t="s">
        <v>1081</v>
      </c>
      <c r="K998" s="20" t="s">
        <v>1082</v>
      </c>
      <c r="L998" s="9" t="s">
        <v>352</v>
      </c>
      <c r="M998" s="9">
        <v>9</v>
      </c>
      <c r="N998" s="9" t="s">
        <v>353</v>
      </c>
      <c r="O998" s="9" t="s">
        <v>354</v>
      </c>
      <c r="P998" s="12">
        <v>34.1</v>
      </c>
      <c r="Q998" s="12" t="s">
        <v>355</v>
      </c>
      <c r="R998" s="9" t="s">
        <v>1198</v>
      </c>
      <c r="S998" s="13" t="s">
        <v>355</v>
      </c>
      <c r="T998" s="13"/>
      <c r="U998" s="14"/>
      <c r="V998" s="15">
        <v>18</v>
      </c>
      <c r="W998" s="12">
        <v>2.8309461999999996</v>
      </c>
      <c r="X998" s="12">
        <v>1</v>
      </c>
      <c r="Y998" s="13" t="s">
        <v>355</v>
      </c>
      <c r="Z998" s="9" t="s">
        <v>359</v>
      </c>
      <c r="AA998" s="10" t="s">
        <v>372</v>
      </c>
      <c r="AB998" s="9" t="s">
        <v>355</v>
      </c>
      <c r="AC998" s="15">
        <v>849</v>
      </c>
      <c r="AD998" s="14">
        <f t="shared" si="135"/>
        <v>2.9289076902439528</v>
      </c>
      <c r="AE998" s="10" t="s">
        <v>431</v>
      </c>
      <c r="AF998" s="9" t="s">
        <v>420</v>
      </c>
      <c r="AG998" s="18">
        <v>31.700790000000001</v>
      </c>
      <c r="AH998" s="18"/>
      <c r="AI998" s="18"/>
      <c r="AJ998" s="18"/>
      <c r="AK998" s="18"/>
      <c r="AL998" s="18"/>
      <c r="AM998" s="18">
        <f t="shared" si="136"/>
        <v>1.5010700851945857</v>
      </c>
      <c r="AN998" s="18">
        <v>-31.700790000000001</v>
      </c>
      <c r="AO998" s="18">
        <v>-68.095060000000004</v>
      </c>
      <c r="AP998" s="9" t="s">
        <v>363</v>
      </c>
      <c r="AQ998" s="9" t="s">
        <v>1280</v>
      </c>
      <c r="AR998" s="15">
        <v>2013</v>
      </c>
      <c r="AS998" s="19" t="s">
        <v>1281</v>
      </c>
      <c r="AT998" s="20" t="s">
        <v>1282</v>
      </c>
      <c r="AU998" s="40">
        <v>675632</v>
      </c>
      <c r="AV998" s="35">
        <f t="shared" si="137"/>
        <v>5.8297102109023804</v>
      </c>
      <c r="AW998" s="37" t="s">
        <v>366</v>
      </c>
      <c r="AX998" s="40">
        <v>50</v>
      </c>
      <c r="AY998" s="40">
        <v>1500</v>
      </c>
      <c r="AZ998" s="15">
        <v>49</v>
      </c>
      <c r="BA998" s="14">
        <f t="shared" si="138"/>
        <v>1.6901960800285136</v>
      </c>
      <c r="BB998" s="37" t="s">
        <v>367</v>
      </c>
      <c r="BC998" s="20">
        <v>5.107643057222359E-3</v>
      </c>
      <c r="BD998" s="9">
        <v>32.800000000000004</v>
      </c>
      <c r="BE998" s="9" t="s">
        <v>368</v>
      </c>
      <c r="BF998" s="9">
        <v>0</v>
      </c>
    </row>
    <row r="999" spans="1:58">
      <c r="A999" s="9">
        <v>833</v>
      </c>
      <c r="B999" s="10" t="s">
        <v>76</v>
      </c>
      <c r="C999" s="10" t="s">
        <v>1279</v>
      </c>
      <c r="D999" s="20" t="s">
        <v>1081</v>
      </c>
      <c r="E999" s="20" t="s">
        <v>1082</v>
      </c>
      <c r="F999" s="20" t="s">
        <v>426</v>
      </c>
      <c r="G999" s="20" t="s">
        <v>1081</v>
      </c>
      <c r="H999" s="20" t="s">
        <v>1082</v>
      </c>
      <c r="I999" s="45" t="s">
        <v>1080</v>
      </c>
      <c r="J999" s="20" t="s">
        <v>1081</v>
      </c>
      <c r="K999" s="20" t="s">
        <v>1082</v>
      </c>
      <c r="L999" s="9" t="s">
        <v>352</v>
      </c>
      <c r="M999" s="9">
        <v>16</v>
      </c>
      <c r="N999" s="9" t="s">
        <v>381</v>
      </c>
      <c r="O999" s="9" t="s">
        <v>354</v>
      </c>
      <c r="P999" s="12">
        <v>36.1</v>
      </c>
      <c r="Q999" s="12" t="s">
        <v>355</v>
      </c>
      <c r="R999" s="9" t="s">
        <v>1198</v>
      </c>
      <c r="S999" s="13" t="s">
        <v>355</v>
      </c>
      <c r="T999" s="13"/>
      <c r="U999" s="14"/>
      <c r="V999" s="15">
        <v>18</v>
      </c>
      <c r="W999" s="12">
        <v>4.8309461999999996</v>
      </c>
      <c r="X999" s="12">
        <v>1</v>
      </c>
      <c r="Y999" s="13" t="s">
        <v>355</v>
      </c>
      <c r="Z999" s="9" t="s">
        <v>359</v>
      </c>
      <c r="AA999" s="10" t="s">
        <v>372</v>
      </c>
      <c r="AB999" s="9" t="s">
        <v>355</v>
      </c>
      <c r="AC999" s="15">
        <v>849</v>
      </c>
      <c r="AD999" s="14">
        <f t="shared" si="135"/>
        <v>2.9289076902439528</v>
      </c>
      <c r="AE999" s="10" t="s">
        <v>431</v>
      </c>
      <c r="AF999" s="9" t="s">
        <v>420</v>
      </c>
      <c r="AG999" s="18">
        <v>31.700790000000001</v>
      </c>
      <c r="AH999" s="18"/>
      <c r="AI999" s="18"/>
      <c r="AJ999" s="18"/>
      <c r="AK999" s="18"/>
      <c r="AL999" s="18"/>
      <c r="AM999" s="18">
        <f t="shared" si="136"/>
        <v>1.5010700851945857</v>
      </c>
      <c r="AN999" s="18">
        <v>-31.700790000000001</v>
      </c>
      <c r="AO999" s="18">
        <v>-68.095060000000004</v>
      </c>
      <c r="AP999" s="9" t="s">
        <v>363</v>
      </c>
      <c r="AQ999" s="9" t="s">
        <v>1283</v>
      </c>
      <c r="AR999" s="15">
        <v>2013</v>
      </c>
      <c r="AS999" s="19" t="s">
        <v>1281</v>
      </c>
      <c r="AT999" s="20" t="s">
        <v>1282</v>
      </c>
      <c r="AU999" s="40">
        <v>675632</v>
      </c>
      <c r="AV999" s="35">
        <f t="shared" si="137"/>
        <v>5.8297102109023804</v>
      </c>
      <c r="AW999" s="37" t="s">
        <v>366</v>
      </c>
      <c r="AX999" s="40">
        <v>50</v>
      </c>
      <c r="AY999" s="40">
        <v>1500</v>
      </c>
      <c r="AZ999" s="15">
        <v>49</v>
      </c>
      <c r="BA999" s="14">
        <f t="shared" si="138"/>
        <v>1.6901960800285136</v>
      </c>
      <c r="BB999" s="37" t="s">
        <v>367</v>
      </c>
      <c r="BC999" s="20">
        <v>5.107643057222359E-3</v>
      </c>
      <c r="BD999" s="9">
        <v>32.800000000000004</v>
      </c>
      <c r="BE999" s="9" t="s">
        <v>368</v>
      </c>
      <c r="BF999" s="9">
        <v>0</v>
      </c>
    </row>
    <row r="1000" spans="1:58">
      <c r="A1000" s="9">
        <v>691</v>
      </c>
      <c r="B1000" s="10" t="s">
        <v>76</v>
      </c>
      <c r="C1000" s="10" t="s">
        <v>721</v>
      </c>
      <c r="D1000" s="20" t="s">
        <v>1284</v>
      </c>
      <c r="E1000" s="20" t="s">
        <v>1285</v>
      </c>
      <c r="F1000" s="20" t="s">
        <v>101</v>
      </c>
      <c r="G1000" s="20" t="s">
        <v>752</v>
      </c>
      <c r="H1000" s="20" t="s">
        <v>950</v>
      </c>
      <c r="I1000" s="20" t="s">
        <v>101</v>
      </c>
      <c r="J1000" s="20" t="s">
        <v>1284</v>
      </c>
      <c r="K1000" s="20" t="s">
        <v>1285</v>
      </c>
      <c r="L1000" s="9" t="s">
        <v>380</v>
      </c>
      <c r="M1000" s="9">
        <v>8</v>
      </c>
      <c r="N1000" s="9" t="s">
        <v>353</v>
      </c>
      <c r="O1000" s="9" t="s">
        <v>382</v>
      </c>
      <c r="P1000" s="12">
        <v>41.400585</v>
      </c>
      <c r="Q1000" s="12" t="s">
        <v>355</v>
      </c>
      <c r="R1000" s="9" t="s">
        <v>356</v>
      </c>
      <c r="S1000" s="13" t="s">
        <v>355</v>
      </c>
      <c r="T1000" s="13"/>
      <c r="U1000" s="14"/>
      <c r="V1000" s="15">
        <v>24</v>
      </c>
      <c r="W1000" s="12"/>
      <c r="X1000" s="12">
        <v>0.5</v>
      </c>
      <c r="Y1000" s="13" t="s">
        <v>355</v>
      </c>
      <c r="Z1000" s="9" t="s">
        <v>359</v>
      </c>
      <c r="AA1000" s="10" t="s">
        <v>1286</v>
      </c>
      <c r="AB1000" s="9" t="s">
        <v>355</v>
      </c>
      <c r="AC1000" s="15">
        <v>342</v>
      </c>
      <c r="AD1000" s="14">
        <f t="shared" si="135"/>
        <v>2.5340261060561349</v>
      </c>
      <c r="AE1000" s="10" t="s">
        <v>1287</v>
      </c>
      <c r="AF1000" s="9" t="s">
        <v>420</v>
      </c>
      <c r="AG1000" s="18">
        <v>27.183285999999999</v>
      </c>
      <c r="AH1000" s="18"/>
      <c r="AI1000" s="18"/>
      <c r="AJ1000" s="18"/>
      <c r="AK1000" s="18"/>
      <c r="AL1000" s="18"/>
      <c r="AM1000" s="18">
        <f t="shared" si="136"/>
        <v>1.4343019544350488</v>
      </c>
      <c r="AN1000" s="18">
        <v>-27.183285999999999</v>
      </c>
      <c r="AO1000" s="18">
        <v>151.26374799999999</v>
      </c>
      <c r="AP1000" s="9" t="s">
        <v>363</v>
      </c>
      <c r="AQ1000" s="9" t="s">
        <v>1288</v>
      </c>
      <c r="AR1000" s="15">
        <v>2014</v>
      </c>
      <c r="AS1000" s="19" t="s">
        <v>1289</v>
      </c>
      <c r="AT1000" s="20" t="s">
        <v>1290</v>
      </c>
      <c r="AU1000" s="40">
        <v>2243864</v>
      </c>
      <c r="AV1000" s="35">
        <f t="shared" si="137"/>
        <v>6.3509965309087981</v>
      </c>
      <c r="AW1000" s="37" t="s">
        <v>366</v>
      </c>
      <c r="AX1000" s="34" t="s">
        <v>355</v>
      </c>
      <c r="AY1000" s="40" t="s">
        <v>355</v>
      </c>
      <c r="AZ1000" s="36">
        <v>55</v>
      </c>
      <c r="BA1000" s="14">
        <f t="shared" si="138"/>
        <v>1.7403626894942439</v>
      </c>
      <c r="BB1000" s="37" t="s">
        <v>388</v>
      </c>
      <c r="BC1000" s="20">
        <v>1.7613445378151162E-2</v>
      </c>
      <c r="BD1000" s="9">
        <v>31.6</v>
      </c>
      <c r="BE1000" s="9" t="s">
        <v>368</v>
      </c>
      <c r="BF1000" s="9">
        <v>0</v>
      </c>
    </row>
    <row r="1001" spans="1:58">
      <c r="A1001" s="9">
        <v>690</v>
      </c>
      <c r="B1001" s="10" t="s">
        <v>76</v>
      </c>
      <c r="C1001" s="10" t="s">
        <v>721</v>
      </c>
      <c r="D1001" s="20" t="s">
        <v>1284</v>
      </c>
      <c r="E1001" s="20" t="s">
        <v>1285</v>
      </c>
      <c r="F1001" s="20" t="s">
        <v>101</v>
      </c>
      <c r="G1001" s="20" t="s">
        <v>752</v>
      </c>
      <c r="H1001" s="20" t="s">
        <v>950</v>
      </c>
      <c r="I1001" s="20" t="s">
        <v>101</v>
      </c>
      <c r="J1001" s="20" t="s">
        <v>1284</v>
      </c>
      <c r="K1001" s="20" t="s">
        <v>1285</v>
      </c>
      <c r="L1001" s="9" t="s">
        <v>380</v>
      </c>
      <c r="M1001" s="9">
        <v>8</v>
      </c>
      <c r="N1001" s="9" t="s">
        <v>353</v>
      </c>
      <c r="O1001" s="9" t="s">
        <v>382</v>
      </c>
      <c r="P1001" s="12">
        <v>42.170810000000003</v>
      </c>
      <c r="Q1001" s="12" t="s">
        <v>355</v>
      </c>
      <c r="R1001" s="9" t="s">
        <v>356</v>
      </c>
      <c r="S1001" s="13" t="s">
        <v>355</v>
      </c>
      <c r="T1001" s="13"/>
      <c r="U1001" s="14"/>
      <c r="V1001" s="15">
        <v>24</v>
      </c>
      <c r="W1001" s="12"/>
      <c r="X1001" s="12">
        <v>0.5</v>
      </c>
      <c r="Y1001" s="13" t="s">
        <v>355</v>
      </c>
      <c r="Z1001" s="9" t="s">
        <v>359</v>
      </c>
      <c r="AA1001" s="10" t="s">
        <v>1286</v>
      </c>
      <c r="AB1001" s="9" t="s">
        <v>355</v>
      </c>
      <c r="AC1001" s="15">
        <v>342</v>
      </c>
      <c r="AD1001" s="14">
        <f t="shared" si="135"/>
        <v>2.5340261060561349</v>
      </c>
      <c r="AE1001" s="10" t="s">
        <v>1287</v>
      </c>
      <c r="AF1001" s="9" t="s">
        <v>420</v>
      </c>
      <c r="AG1001" s="18">
        <v>27.183285999999999</v>
      </c>
      <c r="AH1001" s="18"/>
      <c r="AI1001" s="18"/>
      <c r="AJ1001" s="18"/>
      <c r="AK1001" s="18"/>
      <c r="AL1001" s="18"/>
      <c r="AM1001" s="18">
        <f t="shared" si="136"/>
        <v>1.4343019544350488</v>
      </c>
      <c r="AN1001" s="18">
        <v>-27.183285999999999</v>
      </c>
      <c r="AO1001" s="18">
        <v>151.26374799999999</v>
      </c>
      <c r="AP1001" s="9" t="s">
        <v>363</v>
      </c>
      <c r="AQ1001" s="9" t="s">
        <v>1291</v>
      </c>
      <c r="AR1001" s="15">
        <v>2014</v>
      </c>
      <c r="AS1001" s="19" t="s">
        <v>1289</v>
      </c>
      <c r="AT1001" s="20" t="s">
        <v>1290</v>
      </c>
      <c r="AU1001" s="40">
        <v>2243864</v>
      </c>
      <c r="AV1001" s="35">
        <f t="shared" si="137"/>
        <v>6.3509965309087981</v>
      </c>
      <c r="AW1001" s="37" t="s">
        <v>366</v>
      </c>
      <c r="AX1001" s="34" t="s">
        <v>355</v>
      </c>
      <c r="AY1001" s="40" t="s">
        <v>355</v>
      </c>
      <c r="AZ1001" s="36">
        <v>55</v>
      </c>
      <c r="BA1001" s="14">
        <f t="shared" si="138"/>
        <v>1.7403626894942439</v>
      </c>
      <c r="BB1001" s="37" t="s">
        <v>388</v>
      </c>
      <c r="BC1001" s="20">
        <v>1.7613445378151162E-2</v>
      </c>
      <c r="BD1001" s="9">
        <v>31.6</v>
      </c>
      <c r="BE1001" s="9" t="s">
        <v>368</v>
      </c>
      <c r="BF1001" s="9">
        <v>0</v>
      </c>
    </row>
    <row r="1002" spans="1:58">
      <c r="A1002" s="9">
        <v>692</v>
      </c>
      <c r="B1002" s="10" t="s">
        <v>76</v>
      </c>
      <c r="C1002" s="10" t="s">
        <v>721</v>
      </c>
      <c r="D1002" s="20" t="s">
        <v>1284</v>
      </c>
      <c r="E1002" s="20" t="s">
        <v>1285</v>
      </c>
      <c r="F1002" s="20" t="s">
        <v>101</v>
      </c>
      <c r="G1002" s="20" t="s">
        <v>752</v>
      </c>
      <c r="H1002" s="20" t="s">
        <v>950</v>
      </c>
      <c r="I1002" s="20" t="s">
        <v>101</v>
      </c>
      <c r="J1002" s="20" t="s">
        <v>1284</v>
      </c>
      <c r="K1002" s="20" t="s">
        <v>1285</v>
      </c>
      <c r="L1002" s="9" t="s">
        <v>380</v>
      </c>
      <c r="M1002" s="9">
        <v>8</v>
      </c>
      <c r="N1002" s="9" t="s">
        <v>353</v>
      </c>
      <c r="O1002" s="9" t="s">
        <v>382</v>
      </c>
      <c r="P1002" s="12">
        <v>42.340347000000001</v>
      </c>
      <c r="Q1002" s="12" t="s">
        <v>355</v>
      </c>
      <c r="R1002" s="9" t="s">
        <v>1198</v>
      </c>
      <c r="S1002" s="13" t="s">
        <v>355</v>
      </c>
      <c r="T1002" s="13"/>
      <c r="U1002" s="14"/>
      <c r="V1002" s="15">
        <v>24</v>
      </c>
      <c r="W1002" s="12"/>
      <c r="X1002" s="12">
        <v>0.5</v>
      </c>
      <c r="Y1002" s="13" t="s">
        <v>355</v>
      </c>
      <c r="Z1002" s="9" t="s">
        <v>359</v>
      </c>
      <c r="AA1002" s="10" t="s">
        <v>1286</v>
      </c>
      <c r="AB1002" s="9" t="s">
        <v>355</v>
      </c>
      <c r="AC1002" s="15">
        <v>342</v>
      </c>
      <c r="AD1002" s="14">
        <f t="shared" si="135"/>
        <v>2.5340261060561349</v>
      </c>
      <c r="AE1002" s="10" t="s">
        <v>1287</v>
      </c>
      <c r="AF1002" s="9" t="s">
        <v>420</v>
      </c>
      <c r="AG1002" s="18">
        <v>27.183285999999999</v>
      </c>
      <c r="AH1002" s="18"/>
      <c r="AI1002" s="18"/>
      <c r="AJ1002" s="18"/>
      <c r="AK1002" s="18"/>
      <c r="AL1002" s="18"/>
      <c r="AM1002" s="18">
        <f t="shared" si="136"/>
        <v>1.4343019544350488</v>
      </c>
      <c r="AN1002" s="18">
        <v>-27.183285999999999</v>
      </c>
      <c r="AO1002" s="18">
        <v>151.26374799999999</v>
      </c>
      <c r="AP1002" s="9" t="s">
        <v>363</v>
      </c>
      <c r="AQ1002" s="9" t="s">
        <v>1292</v>
      </c>
      <c r="AR1002" s="15">
        <v>2014</v>
      </c>
      <c r="AS1002" s="19" t="s">
        <v>1289</v>
      </c>
      <c r="AT1002" s="20" t="s">
        <v>1290</v>
      </c>
      <c r="AU1002" s="40">
        <v>2243864</v>
      </c>
      <c r="AV1002" s="35">
        <f t="shared" si="137"/>
        <v>6.3509965309087981</v>
      </c>
      <c r="AW1002" s="37" t="s">
        <v>366</v>
      </c>
      <c r="AX1002" s="34" t="s">
        <v>355</v>
      </c>
      <c r="AY1002" s="40" t="s">
        <v>355</v>
      </c>
      <c r="AZ1002" s="36">
        <v>55</v>
      </c>
      <c r="BA1002" s="14">
        <f t="shared" si="138"/>
        <v>1.7403626894942439</v>
      </c>
      <c r="BB1002" s="37" t="s">
        <v>388</v>
      </c>
      <c r="BC1002" s="20">
        <v>1.7613445378151162E-2</v>
      </c>
      <c r="BD1002" s="9">
        <v>31.6</v>
      </c>
      <c r="BE1002" s="9" t="s">
        <v>368</v>
      </c>
      <c r="BF1002" s="9">
        <v>0</v>
      </c>
    </row>
    <row r="1003" spans="1:58">
      <c r="A1003" s="9">
        <v>693</v>
      </c>
      <c r="B1003" s="10" t="s">
        <v>76</v>
      </c>
      <c r="C1003" s="10" t="s">
        <v>721</v>
      </c>
      <c r="D1003" s="20" t="s">
        <v>1284</v>
      </c>
      <c r="E1003" s="20" t="s">
        <v>1285</v>
      </c>
      <c r="F1003" s="20" t="s">
        <v>101</v>
      </c>
      <c r="G1003" s="20" t="s">
        <v>752</v>
      </c>
      <c r="H1003" s="20" t="s">
        <v>950</v>
      </c>
      <c r="I1003" s="20" t="s">
        <v>101</v>
      </c>
      <c r="J1003" s="20" t="s">
        <v>1284</v>
      </c>
      <c r="K1003" s="20" t="s">
        <v>1285</v>
      </c>
      <c r="L1003" s="9" t="s">
        <v>380</v>
      </c>
      <c r="M1003" s="9">
        <v>8</v>
      </c>
      <c r="N1003" s="9" t="s">
        <v>353</v>
      </c>
      <c r="O1003" s="9" t="s">
        <v>382</v>
      </c>
      <c r="P1003" s="12">
        <v>43.010784000000001</v>
      </c>
      <c r="Q1003" s="12" t="s">
        <v>355</v>
      </c>
      <c r="R1003" s="9" t="s">
        <v>1198</v>
      </c>
      <c r="S1003" s="13" t="s">
        <v>355</v>
      </c>
      <c r="T1003" s="13"/>
      <c r="U1003" s="14"/>
      <c r="V1003" s="15">
        <v>24</v>
      </c>
      <c r="W1003" s="12"/>
      <c r="X1003" s="12">
        <v>0.5</v>
      </c>
      <c r="Y1003" s="13" t="s">
        <v>355</v>
      </c>
      <c r="Z1003" s="9" t="s">
        <v>359</v>
      </c>
      <c r="AA1003" s="10" t="s">
        <v>1286</v>
      </c>
      <c r="AB1003" s="9" t="s">
        <v>355</v>
      </c>
      <c r="AC1003" s="15">
        <v>342</v>
      </c>
      <c r="AD1003" s="14">
        <f t="shared" si="135"/>
        <v>2.5340261060561349</v>
      </c>
      <c r="AE1003" s="10" t="s">
        <v>1287</v>
      </c>
      <c r="AF1003" s="9" t="s">
        <v>420</v>
      </c>
      <c r="AG1003" s="18">
        <v>27.183285999999999</v>
      </c>
      <c r="AH1003" s="18"/>
      <c r="AI1003" s="18"/>
      <c r="AJ1003" s="18"/>
      <c r="AK1003" s="18"/>
      <c r="AL1003" s="18"/>
      <c r="AM1003" s="18">
        <f t="shared" si="136"/>
        <v>1.4343019544350488</v>
      </c>
      <c r="AN1003" s="18">
        <v>-27.183285999999999</v>
      </c>
      <c r="AO1003" s="18">
        <v>151.26374799999999</v>
      </c>
      <c r="AP1003" s="9" t="s">
        <v>363</v>
      </c>
      <c r="AQ1003" s="9" t="s">
        <v>1293</v>
      </c>
      <c r="AR1003" s="15">
        <v>2014</v>
      </c>
      <c r="AS1003" s="19" t="s">
        <v>1289</v>
      </c>
      <c r="AT1003" s="20" t="s">
        <v>1290</v>
      </c>
      <c r="AU1003" s="40">
        <v>2243864</v>
      </c>
      <c r="AV1003" s="35">
        <f t="shared" si="137"/>
        <v>6.3509965309087981</v>
      </c>
      <c r="AW1003" s="37" t="s">
        <v>366</v>
      </c>
      <c r="AX1003" s="34" t="s">
        <v>355</v>
      </c>
      <c r="AY1003" s="40" t="s">
        <v>355</v>
      </c>
      <c r="AZ1003" s="36">
        <v>55</v>
      </c>
      <c r="BA1003" s="14">
        <f t="shared" si="138"/>
        <v>1.7403626894942439</v>
      </c>
      <c r="BB1003" s="37" t="s">
        <v>388</v>
      </c>
      <c r="BC1003" s="20">
        <v>1.7613445378151162E-2</v>
      </c>
      <c r="BD1003" s="9">
        <v>31.6</v>
      </c>
      <c r="BE1003" s="9" t="s">
        <v>368</v>
      </c>
      <c r="BF1003" s="9">
        <v>0</v>
      </c>
    </row>
    <row r="1004" spans="1:58">
      <c r="A1004" s="9">
        <v>180</v>
      </c>
      <c r="B1004" s="10" t="s">
        <v>76</v>
      </c>
      <c r="C1004" s="10" t="s">
        <v>77</v>
      </c>
      <c r="D1004" s="20" t="s">
        <v>501</v>
      </c>
      <c r="E1004" s="20" t="s">
        <v>643</v>
      </c>
      <c r="F1004" s="10" t="s">
        <v>77</v>
      </c>
      <c r="G1004" s="20" t="s">
        <v>503</v>
      </c>
      <c r="H1004" s="20" t="s">
        <v>643</v>
      </c>
      <c r="I1004" s="10" t="s">
        <v>77</v>
      </c>
      <c r="J1004" s="20" t="s">
        <v>503</v>
      </c>
      <c r="K1004" s="20" t="s">
        <v>643</v>
      </c>
      <c r="L1004" s="9" t="s">
        <v>352</v>
      </c>
      <c r="M1004" s="9">
        <v>6</v>
      </c>
      <c r="N1004" s="9" t="s">
        <v>353</v>
      </c>
      <c r="O1004" s="9" t="s">
        <v>354</v>
      </c>
      <c r="P1004" s="12">
        <v>36.200000000000003</v>
      </c>
      <c r="Q1004" s="12" t="s">
        <v>355</v>
      </c>
      <c r="R1004" s="9" t="s">
        <v>1198</v>
      </c>
      <c r="S1004" s="13" t="s">
        <v>355</v>
      </c>
      <c r="T1004" s="13"/>
      <c r="U1004" s="14"/>
      <c r="V1004" s="38">
        <v>18</v>
      </c>
      <c r="W1004" s="12">
        <v>10.584278900000001</v>
      </c>
      <c r="X1004" s="12" t="s">
        <v>355</v>
      </c>
      <c r="Y1004" s="13" t="s">
        <v>355</v>
      </c>
      <c r="Z1004" s="9" t="s">
        <v>359</v>
      </c>
      <c r="AA1004" s="10" t="s">
        <v>372</v>
      </c>
      <c r="AB1004" s="9" t="s">
        <v>355</v>
      </c>
      <c r="AC1004" s="38">
        <v>490</v>
      </c>
      <c r="AD1004" s="14">
        <f t="shared" si="135"/>
        <v>2.6901960800285138</v>
      </c>
      <c r="AE1004" s="10" t="s">
        <v>1199</v>
      </c>
      <c r="AF1004" s="44" t="s">
        <v>362</v>
      </c>
      <c r="AG1004" s="18">
        <v>47.164973000000003</v>
      </c>
      <c r="AH1004" s="18"/>
      <c r="AI1004" s="18"/>
      <c r="AJ1004" s="18"/>
      <c r="AK1004" s="18"/>
      <c r="AL1004" s="18"/>
      <c r="AM1004" s="18">
        <f t="shared" si="136"/>
        <v>1.6736195901591495</v>
      </c>
      <c r="AN1004" s="65">
        <v>47.164973000000003</v>
      </c>
      <c r="AO1004" s="65">
        <v>-95.196697999999998</v>
      </c>
      <c r="AP1004" s="9" t="s">
        <v>363</v>
      </c>
      <c r="AQ1004" s="9" t="s">
        <v>403</v>
      </c>
      <c r="AR1004" s="15">
        <v>1963</v>
      </c>
      <c r="AS1004" s="19" t="s">
        <v>709</v>
      </c>
      <c r="AT1004" s="20" t="s">
        <v>710</v>
      </c>
      <c r="AU1004" s="40">
        <v>4033541</v>
      </c>
      <c r="AV1004" s="35">
        <f t="shared" si="137"/>
        <v>6.6056864758031582</v>
      </c>
      <c r="AW1004" s="37" t="s">
        <v>366</v>
      </c>
      <c r="AX1004" s="34" t="s">
        <v>355</v>
      </c>
      <c r="AY1004" s="40" t="s">
        <v>355</v>
      </c>
      <c r="AZ1004" s="15">
        <v>33</v>
      </c>
      <c r="BA1004" s="14">
        <f t="shared" si="138"/>
        <v>1.5185139398778875</v>
      </c>
      <c r="BB1004" s="37" t="s">
        <v>367</v>
      </c>
      <c r="BC1004" s="20">
        <v>3.2786714685874192E-2</v>
      </c>
      <c r="BD1004" s="9">
        <v>26.1</v>
      </c>
      <c r="BE1004" s="9" t="s">
        <v>368</v>
      </c>
      <c r="BF1004" s="9">
        <v>0</v>
      </c>
    </row>
    <row r="1005" spans="1:58">
      <c r="A1005" s="9">
        <v>95</v>
      </c>
      <c r="B1005" s="10" t="s">
        <v>348</v>
      </c>
      <c r="C1005" s="10" t="s">
        <v>349</v>
      </c>
      <c r="D1005" s="20" t="s">
        <v>1175</v>
      </c>
      <c r="E1005" s="20" t="s">
        <v>1294</v>
      </c>
      <c r="F1005" s="10" t="s">
        <v>349</v>
      </c>
      <c r="G1005" s="20" t="s">
        <v>1175</v>
      </c>
      <c r="H1005" s="20" t="s">
        <v>1294</v>
      </c>
      <c r="I1005" s="10" t="s">
        <v>349</v>
      </c>
      <c r="J1005" s="20" t="s">
        <v>1175</v>
      </c>
      <c r="K1005" s="20" t="s">
        <v>1294</v>
      </c>
      <c r="L1005" s="9" t="s">
        <v>352</v>
      </c>
      <c r="M1005" s="9">
        <v>2</v>
      </c>
      <c r="N1005" s="9" t="s">
        <v>353</v>
      </c>
      <c r="O1005" s="9" t="s">
        <v>354</v>
      </c>
      <c r="P1005" s="12">
        <v>35.299999999999997</v>
      </c>
      <c r="Q1005" s="12" t="s">
        <v>355</v>
      </c>
      <c r="R1005" s="9" t="s">
        <v>1198</v>
      </c>
      <c r="S1005" s="13" t="s">
        <v>355</v>
      </c>
      <c r="T1005" s="13"/>
      <c r="U1005" s="14"/>
      <c r="V1005" s="15">
        <v>22</v>
      </c>
      <c r="W1005" s="12">
        <v>10.071940099999996</v>
      </c>
      <c r="X1005" s="12" t="s">
        <v>355</v>
      </c>
      <c r="Y1005" s="13" t="s">
        <v>355</v>
      </c>
      <c r="Z1005" s="9" t="s">
        <v>359</v>
      </c>
      <c r="AA1005" s="10" t="s">
        <v>675</v>
      </c>
      <c r="AB1005" s="9" t="s">
        <v>355</v>
      </c>
      <c r="AC1005" s="15">
        <v>1158</v>
      </c>
      <c r="AD1005" s="14">
        <f t="shared" si="135"/>
        <v>3.0637085593914173</v>
      </c>
      <c r="AE1005" s="10" t="s">
        <v>676</v>
      </c>
      <c r="AF1005" s="9" t="s">
        <v>420</v>
      </c>
      <c r="AG1005" s="18">
        <v>37.375135999999998</v>
      </c>
      <c r="AH1005" s="18"/>
      <c r="AI1005" s="18"/>
      <c r="AJ1005" s="18"/>
      <c r="AK1005" s="18"/>
      <c r="AL1005" s="18"/>
      <c r="AM1005" s="18">
        <f t="shared" si="136"/>
        <v>1.5725827816386286</v>
      </c>
      <c r="AN1005" s="18">
        <v>37.375135999999998</v>
      </c>
      <c r="AO1005" s="18">
        <v>-80.522746999999995</v>
      </c>
      <c r="AP1005" s="9" t="s">
        <v>363</v>
      </c>
      <c r="AQ1005" s="9" t="s">
        <v>355</v>
      </c>
      <c r="AR1005" s="15">
        <v>1957</v>
      </c>
      <c r="AS1005" s="19" t="s">
        <v>677</v>
      </c>
      <c r="AT1005" s="20" t="s">
        <v>678</v>
      </c>
      <c r="AU1005" s="34">
        <v>1068587</v>
      </c>
      <c r="AV1005" s="35">
        <f t="shared" si="137"/>
        <v>6.0288098864268918</v>
      </c>
      <c r="AW1005" s="36" t="s">
        <v>366</v>
      </c>
      <c r="AX1005" s="34" t="s">
        <v>355</v>
      </c>
      <c r="AY1005" s="34" t="s">
        <v>355</v>
      </c>
      <c r="AZ1005" s="15">
        <v>154</v>
      </c>
      <c r="BA1005" s="14">
        <f t="shared" si="138"/>
        <v>2.1875207208364631</v>
      </c>
      <c r="BB1005" s="36" t="s">
        <v>367</v>
      </c>
      <c r="BC1005" s="20">
        <v>1.7852340936374687E-2</v>
      </c>
      <c r="BD1005" s="9">
        <v>24.900000000000002</v>
      </c>
      <c r="BE1005" s="9" t="s">
        <v>368</v>
      </c>
      <c r="BF1005" s="9">
        <v>0</v>
      </c>
    </row>
    <row r="1006" spans="1:58">
      <c r="A1006" s="9">
        <v>836</v>
      </c>
      <c r="B1006" s="10" t="s">
        <v>76</v>
      </c>
      <c r="C1006" s="10" t="s">
        <v>389</v>
      </c>
      <c r="D1006" s="20" t="s">
        <v>405</v>
      </c>
      <c r="E1006" s="20" t="s">
        <v>1295</v>
      </c>
      <c r="F1006" s="10" t="s">
        <v>389</v>
      </c>
      <c r="G1006" s="20" t="s">
        <v>390</v>
      </c>
      <c r="H1006" s="20" t="s">
        <v>1295</v>
      </c>
      <c r="I1006" s="10" t="s">
        <v>389</v>
      </c>
      <c r="J1006" s="20" t="s">
        <v>405</v>
      </c>
      <c r="K1006" s="20" t="s">
        <v>1295</v>
      </c>
      <c r="L1006" s="9" t="s">
        <v>352</v>
      </c>
      <c r="M1006" s="9">
        <v>20</v>
      </c>
      <c r="N1006" s="9" t="s">
        <v>381</v>
      </c>
      <c r="O1006" s="9" t="s">
        <v>354</v>
      </c>
      <c r="P1006" s="12">
        <v>35</v>
      </c>
      <c r="Q1006" s="12" t="s">
        <v>355</v>
      </c>
      <c r="R1006" s="9" t="s">
        <v>1198</v>
      </c>
      <c r="S1006" s="13" t="s">
        <v>355</v>
      </c>
      <c r="T1006" s="13"/>
      <c r="U1006" s="14"/>
      <c r="V1006" s="15">
        <v>18</v>
      </c>
      <c r="W1006" s="12">
        <v>3.7309461999999982</v>
      </c>
      <c r="X1006" s="12">
        <v>1</v>
      </c>
      <c r="Y1006" s="13" t="s">
        <v>355</v>
      </c>
      <c r="Z1006" s="9" t="s">
        <v>359</v>
      </c>
      <c r="AA1006" s="10" t="s">
        <v>372</v>
      </c>
      <c r="AB1006" s="9" t="s">
        <v>355</v>
      </c>
      <c r="AC1006" s="15">
        <v>849</v>
      </c>
      <c r="AD1006" s="14">
        <f t="shared" si="135"/>
        <v>2.9289076902439528</v>
      </c>
      <c r="AE1006" s="10" t="s">
        <v>431</v>
      </c>
      <c r="AF1006" s="9" t="s">
        <v>420</v>
      </c>
      <c r="AG1006" s="18">
        <v>31.700790000000001</v>
      </c>
      <c r="AH1006" s="18"/>
      <c r="AI1006" s="18"/>
      <c r="AJ1006" s="18"/>
      <c r="AK1006" s="18"/>
      <c r="AL1006" s="18"/>
      <c r="AM1006" s="18">
        <f t="shared" si="136"/>
        <v>1.5010700851945857</v>
      </c>
      <c r="AN1006" s="18">
        <v>-31.700790000000001</v>
      </c>
      <c r="AO1006" s="18">
        <v>-68.095060000000004</v>
      </c>
      <c r="AP1006" s="9" t="s">
        <v>363</v>
      </c>
      <c r="AQ1006" s="9" t="s">
        <v>1280</v>
      </c>
      <c r="AR1006" s="15">
        <v>2012</v>
      </c>
      <c r="AS1006" s="19" t="s">
        <v>1296</v>
      </c>
      <c r="AT1006" s="20" t="s">
        <v>1297</v>
      </c>
      <c r="AU1006" s="40">
        <v>1663109</v>
      </c>
      <c r="AV1006" s="35">
        <f t="shared" si="137"/>
        <v>6.2209207137698659</v>
      </c>
      <c r="AW1006" s="37" t="s">
        <v>366</v>
      </c>
      <c r="AX1006" s="34" t="s">
        <v>355</v>
      </c>
      <c r="AY1006" s="40">
        <v>2600</v>
      </c>
      <c r="AZ1006" s="15">
        <v>75</v>
      </c>
      <c r="BA1006" s="14">
        <f t="shared" si="138"/>
        <v>1.8750612633917001</v>
      </c>
      <c r="BB1006" s="37" t="s">
        <v>367</v>
      </c>
      <c r="BC1006" s="20">
        <v>5.107643057222359E-3</v>
      </c>
      <c r="BD1006" s="9">
        <v>32.800000000000004</v>
      </c>
      <c r="BE1006" s="9" t="s">
        <v>368</v>
      </c>
      <c r="BF1006" s="9">
        <v>0</v>
      </c>
    </row>
    <row r="1007" spans="1:58">
      <c r="A1007" s="9">
        <v>835</v>
      </c>
      <c r="B1007" s="10" t="s">
        <v>76</v>
      </c>
      <c r="C1007" s="10" t="s">
        <v>389</v>
      </c>
      <c r="D1007" s="20" t="s">
        <v>405</v>
      </c>
      <c r="E1007" s="20" t="s">
        <v>1295</v>
      </c>
      <c r="F1007" s="10" t="s">
        <v>389</v>
      </c>
      <c r="G1007" s="20" t="s">
        <v>390</v>
      </c>
      <c r="H1007" s="20" t="s">
        <v>1295</v>
      </c>
      <c r="I1007" s="10" t="s">
        <v>389</v>
      </c>
      <c r="J1007" s="20" t="s">
        <v>405</v>
      </c>
      <c r="K1007" s="20" t="s">
        <v>1295</v>
      </c>
      <c r="L1007" s="9" t="s">
        <v>352</v>
      </c>
      <c r="M1007" s="9">
        <v>15</v>
      </c>
      <c r="N1007" s="9" t="s">
        <v>381</v>
      </c>
      <c r="O1007" s="9" t="s">
        <v>354</v>
      </c>
      <c r="P1007" s="12">
        <v>37.799999999999997</v>
      </c>
      <c r="Q1007" s="12" t="s">
        <v>355</v>
      </c>
      <c r="R1007" s="9" t="s">
        <v>1198</v>
      </c>
      <c r="S1007" s="13" t="s">
        <v>355</v>
      </c>
      <c r="T1007" s="13"/>
      <c r="U1007" s="14"/>
      <c r="V1007" s="15">
        <v>18</v>
      </c>
      <c r="W1007" s="12">
        <v>6.5309461999999954</v>
      </c>
      <c r="X1007" s="12">
        <v>1</v>
      </c>
      <c r="Y1007" s="13" t="s">
        <v>355</v>
      </c>
      <c r="Z1007" s="9" t="s">
        <v>359</v>
      </c>
      <c r="AA1007" s="10" t="s">
        <v>372</v>
      </c>
      <c r="AB1007" s="9" t="s">
        <v>355</v>
      </c>
      <c r="AC1007" s="15">
        <v>849</v>
      </c>
      <c r="AD1007" s="14">
        <f t="shared" si="135"/>
        <v>2.9289076902439528</v>
      </c>
      <c r="AE1007" s="10" t="s">
        <v>431</v>
      </c>
      <c r="AF1007" s="9" t="s">
        <v>420</v>
      </c>
      <c r="AG1007" s="18">
        <v>31.700790000000001</v>
      </c>
      <c r="AH1007" s="18"/>
      <c r="AI1007" s="18"/>
      <c r="AJ1007" s="18"/>
      <c r="AK1007" s="18"/>
      <c r="AL1007" s="18"/>
      <c r="AM1007" s="18">
        <f t="shared" si="136"/>
        <v>1.5010700851945857</v>
      </c>
      <c r="AN1007" s="18">
        <v>-31.700790000000001</v>
      </c>
      <c r="AO1007" s="18">
        <v>-68.095060000000004</v>
      </c>
      <c r="AP1007" s="9" t="s">
        <v>363</v>
      </c>
      <c r="AQ1007" s="9" t="s">
        <v>1283</v>
      </c>
      <c r="AR1007" s="15">
        <v>2012</v>
      </c>
      <c r="AS1007" s="19" t="s">
        <v>1296</v>
      </c>
      <c r="AT1007" s="20" t="s">
        <v>1297</v>
      </c>
      <c r="AU1007" s="40">
        <v>1663109</v>
      </c>
      <c r="AV1007" s="35">
        <f t="shared" si="137"/>
        <v>6.2209207137698659</v>
      </c>
      <c r="AW1007" s="37" t="s">
        <v>366</v>
      </c>
      <c r="AX1007" s="34" t="s">
        <v>355</v>
      </c>
      <c r="AY1007" s="40">
        <v>2600</v>
      </c>
      <c r="AZ1007" s="15">
        <v>75</v>
      </c>
      <c r="BA1007" s="14">
        <f t="shared" si="138"/>
        <v>1.8750612633917001</v>
      </c>
      <c r="BB1007" s="37" t="s">
        <v>367</v>
      </c>
      <c r="BC1007" s="20">
        <v>5.107643057222359E-3</v>
      </c>
      <c r="BD1007" s="9">
        <v>32.800000000000004</v>
      </c>
      <c r="BE1007" s="9" t="s">
        <v>368</v>
      </c>
      <c r="BF1007" s="9">
        <v>0</v>
      </c>
    </row>
    <row r="1008" spans="1:58">
      <c r="A1008" s="9">
        <v>762</v>
      </c>
      <c r="B1008" s="10" t="s">
        <v>76</v>
      </c>
      <c r="C1008" s="10" t="s">
        <v>389</v>
      </c>
      <c r="D1008" s="20" t="s">
        <v>390</v>
      </c>
      <c r="E1008" s="20" t="s">
        <v>645</v>
      </c>
      <c r="F1008" s="10" t="s">
        <v>389</v>
      </c>
      <c r="G1008" s="20" t="s">
        <v>390</v>
      </c>
      <c r="H1008" s="20" t="s">
        <v>645</v>
      </c>
      <c r="I1008" s="10" t="s">
        <v>389</v>
      </c>
      <c r="J1008" s="20" t="s">
        <v>405</v>
      </c>
      <c r="K1008" s="20" t="s">
        <v>646</v>
      </c>
      <c r="L1008" s="9" t="s">
        <v>352</v>
      </c>
      <c r="M1008" s="9">
        <v>12</v>
      </c>
      <c r="N1008" s="9" t="s">
        <v>381</v>
      </c>
      <c r="O1008" s="9" t="s">
        <v>354</v>
      </c>
      <c r="P1008" s="12">
        <v>42.5</v>
      </c>
      <c r="Q1008" s="12" t="s">
        <v>355</v>
      </c>
      <c r="R1008" s="9" t="s">
        <v>1198</v>
      </c>
      <c r="S1008" s="13" t="s">
        <v>355</v>
      </c>
      <c r="T1008" s="13"/>
      <c r="U1008" s="14"/>
      <c r="V1008" s="38">
        <v>28</v>
      </c>
      <c r="W1008" s="12">
        <v>10.006268599999999</v>
      </c>
      <c r="X1008" s="12">
        <v>1</v>
      </c>
      <c r="Y1008" s="13" t="s">
        <v>355</v>
      </c>
      <c r="Z1008" s="9" t="s">
        <v>359</v>
      </c>
      <c r="AA1008" s="10" t="s">
        <v>372</v>
      </c>
      <c r="AB1008" s="9" t="s">
        <v>355</v>
      </c>
      <c r="AC1008" s="15">
        <v>111</v>
      </c>
      <c r="AD1008" s="14">
        <f t="shared" si="135"/>
        <v>2.0453229787866576</v>
      </c>
      <c r="AE1008" s="10" t="s">
        <v>494</v>
      </c>
      <c r="AF1008" s="9" t="s">
        <v>408</v>
      </c>
      <c r="AG1008" s="18">
        <v>5.6583160000000001</v>
      </c>
      <c r="AH1008" s="18"/>
      <c r="AI1008" s="18"/>
      <c r="AJ1008" s="18"/>
      <c r="AK1008" s="18"/>
      <c r="AL1008" s="18"/>
      <c r="AM1008" s="18">
        <f t="shared" si="136"/>
        <v>0.75268719784420823</v>
      </c>
      <c r="AN1008" s="18">
        <v>-5.6583160000000001</v>
      </c>
      <c r="AO1008" s="18">
        <v>-36.609762000000003</v>
      </c>
      <c r="AP1008" s="9" t="s">
        <v>363</v>
      </c>
      <c r="AQ1008" s="9" t="s">
        <v>355</v>
      </c>
      <c r="AR1008" s="15">
        <v>2007</v>
      </c>
      <c r="AS1008" s="19" t="s">
        <v>1298</v>
      </c>
      <c r="AT1008" s="46" t="s">
        <v>1299</v>
      </c>
      <c r="AU1008" s="40">
        <v>11025169</v>
      </c>
      <c r="AV1008" s="35">
        <f t="shared" si="137"/>
        <v>7.0423852553013191</v>
      </c>
      <c r="AW1008" s="37" t="s">
        <v>366</v>
      </c>
      <c r="AX1008" s="34" t="s">
        <v>355</v>
      </c>
      <c r="AY1008" s="40">
        <v>1500</v>
      </c>
      <c r="AZ1008" s="15">
        <v>33</v>
      </c>
      <c r="BA1008" s="14">
        <f t="shared" si="138"/>
        <v>1.5185139398778875</v>
      </c>
      <c r="BB1008" s="37" t="s">
        <v>367</v>
      </c>
      <c r="BC1008" s="20">
        <v>1.7954781912765221E-2</v>
      </c>
      <c r="BD1008" s="9">
        <v>32.4</v>
      </c>
      <c r="BE1008" s="9" t="s">
        <v>368</v>
      </c>
      <c r="BF1008" s="9">
        <v>0</v>
      </c>
    </row>
    <row r="1009" spans="1:58">
      <c r="A1009" s="9">
        <v>763</v>
      </c>
      <c r="B1009" s="10" t="s">
        <v>76</v>
      </c>
      <c r="C1009" s="10" t="s">
        <v>389</v>
      </c>
      <c r="D1009" s="20" t="s">
        <v>390</v>
      </c>
      <c r="E1009" s="20" t="s">
        <v>645</v>
      </c>
      <c r="F1009" s="10" t="s">
        <v>389</v>
      </c>
      <c r="G1009" s="20" t="s">
        <v>390</v>
      </c>
      <c r="H1009" s="20" t="s">
        <v>645</v>
      </c>
      <c r="I1009" s="10" t="s">
        <v>389</v>
      </c>
      <c r="J1009" s="20" t="s">
        <v>405</v>
      </c>
      <c r="K1009" s="20" t="s">
        <v>646</v>
      </c>
      <c r="L1009" s="9" t="s">
        <v>430</v>
      </c>
      <c r="M1009" s="9">
        <v>12</v>
      </c>
      <c r="N1009" s="9" t="s">
        <v>381</v>
      </c>
      <c r="O1009" s="9" t="s">
        <v>354</v>
      </c>
      <c r="P1009" s="12">
        <v>44.2</v>
      </c>
      <c r="Q1009" s="12" t="s">
        <v>355</v>
      </c>
      <c r="R1009" s="9" t="s">
        <v>1198</v>
      </c>
      <c r="S1009" s="13" t="s">
        <v>355</v>
      </c>
      <c r="T1009" s="13"/>
      <c r="U1009" s="14"/>
      <c r="V1009" s="38">
        <v>28</v>
      </c>
      <c r="W1009" s="12">
        <v>11.706268600000001</v>
      </c>
      <c r="X1009" s="12">
        <v>1</v>
      </c>
      <c r="Y1009" s="13" t="s">
        <v>355</v>
      </c>
      <c r="Z1009" s="9" t="s">
        <v>359</v>
      </c>
      <c r="AA1009" s="10" t="s">
        <v>372</v>
      </c>
      <c r="AB1009" s="9" t="s">
        <v>355</v>
      </c>
      <c r="AC1009" s="15">
        <v>111</v>
      </c>
      <c r="AD1009" s="14">
        <f t="shared" si="135"/>
        <v>2.0453229787866576</v>
      </c>
      <c r="AE1009" s="10" t="s">
        <v>494</v>
      </c>
      <c r="AF1009" s="9" t="s">
        <v>408</v>
      </c>
      <c r="AG1009" s="18">
        <v>5.6583160000000001</v>
      </c>
      <c r="AH1009" s="18"/>
      <c r="AI1009" s="18"/>
      <c r="AJ1009" s="18"/>
      <c r="AK1009" s="18"/>
      <c r="AL1009" s="18"/>
      <c r="AM1009" s="18">
        <f t="shared" si="136"/>
        <v>0.75268719784420823</v>
      </c>
      <c r="AN1009" s="18">
        <v>-5.6583160000000001</v>
      </c>
      <c r="AO1009" s="18">
        <v>-36.609762000000003</v>
      </c>
      <c r="AP1009" s="9" t="s">
        <v>363</v>
      </c>
      <c r="AQ1009" s="9" t="s">
        <v>355</v>
      </c>
      <c r="AR1009" s="15">
        <v>2007</v>
      </c>
      <c r="AS1009" s="19" t="s">
        <v>1298</v>
      </c>
      <c r="AT1009" s="46" t="s">
        <v>1299</v>
      </c>
      <c r="AU1009" s="40">
        <v>11025169</v>
      </c>
      <c r="AV1009" s="35">
        <f t="shared" si="137"/>
        <v>7.0423852553013191</v>
      </c>
      <c r="AW1009" s="37" t="s">
        <v>366</v>
      </c>
      <c r="AX1009" s="34" t="s">
        <v>355</v>
      </c>
      <c r="AY1009" s="40">
        <v>1500</v>
      </c>
      <c r="AZ1009" s="15">
        <v>33</v>
      </c>
      <c r="BA1009" s="14">
        <f t="shared" si="138"/>
        <v>1.5185139398778875</v>
      </c>
      <c r="BB1009" s="37" t="s">
        <v>367</v>
      </c>
      <c r="BC1009" s="20">
        <v>1.7954781912765221E-2</v>
      </c>
      <c r="BD1009" s="9">
        <v>32.4</v>
      </c>
      <c r="BE1009" s="9" t="s">
        <v>368</v>
      </c>
      <c r="BF1009" s="9">
        <v>0</v>
      </c>
    </row>
    <row r="1010" spans="1:58">
      <c r="A1010" s="9">
        <v>602</v>
      </c>
      <c r="B1010" s="10" t="s">
        <v>76</v>
      </c>
      <c r="C1010" s="10" t="s">
        <v>389</v>
      </c>
      <c r="D1010" s="20" t="s">
        <v>390</v>
      </c>
      <c r="E1010" s="20" t="s">
        <v>404</v>
      </c>
      <c r="F1010" s="10" t="s">
        <v>389</v>
      </c>
      <c r="G1010" s="20" t="s">
        <v>390</v>
      </c>
      <c r="H1010" s="20" t="s">
        <v>404</v>
      </c>
      <c r="I1010" s="10" t="s">
        <v>389</v>
      </c>
      <c r="J1010" s="20" t="s">
        <v>405</v>
      </c>
      <c r="K1010" s="20" t="s">
        <v>406</v>
      </c>
      <c r="L1010" s="9" t="s">
        <v>380</v>
      </c>
      <c r="M1010" s="9">
        <v>10</v>
      </c>
      <c r="N1010" s="9" t="s">
        <v>381</v>
      </c>
      <c r="O1010" s="9" t="s">
        <v>382</v>
      </c>
      <c r="P1010" s="12">
        <v>37.826659999999997</v>
      </c>
      <c r="Q1010" s="12" t="s">
        <v>355</v>
      </c>
      <c r="R1010" s="9" t="s">
        <v>356</v>
      </c>
      <c r="S1010" s="13" t="s">
        <v>355</v>
      </c>
      <c r="T1010" s="13"/>
      <c r="U1010" s="14"/>
      <c r="V1010" s="15">
        <v>35</v>
      </c>
      <c r="W1010" s="12"/>
      <c r="X1010" s="12">
        <v>1</v>
      </c>
      <c r="Y1010" s="13" t="s">
        <v>358</v>
      </c>
      <c r="Z1010" s="9" t="s">
        <v>359</v>
      </c>
      <c r="AA1010" s="10" t="s">
        <v>1300</v>
      </c>
      <c r="AB1010" s="9" t="s">
        <v>355</v>
      </c>
      <c r="AC1010" s="15">
        <v>64</v>
      </c>
      <c r="AD1010" s="14">
        <f t="shared" si="135"/>
        <v>1.8061799739838871</v>
      </c>
      <c r="AE1010" s="10" t="s">
        <v>756</v>
      </c>
      <c r="AF1010" s="9" t="s">
        <v>420</v>
      </c>
      <c r="AG1010" s="18">
        <v>27.552838000000001</v>
      </c>
      <c r="AH1010" s="18"/>
      <c r="AI1010" s="18"/>
      <c r="AJ1010" s="18"/>
      <c r="AK1010" s="18"/>
      <c r="AL1010" s="18"/>
      <c r="AM1010" s="18">
        <f t="shared" si="136"/>
        <v>1.4401663387326675</v>
      </c>
      <c r="AN1010" s="18">
        <v>-27.552838000000001</v>
      </c>
      <c r="AO1010" s="18">
        <v>153.05550500000001</v>
      </c>
      <c r="AP1010" s="9" t="s">
        <v>363</v>
      </c>
      <c r="AQ1010" s="9" t="s">
        <v>525</v>
      </c>
      <c r="AR1010" s="15">
        <v>1983</v>
      </c>
      <c r="AS1010" s="19" t="s">
        <v>1301</v>
      </c>
      <c r="AT1010" s="20" t="s">
        <v>1302</v>
      </c>
      <c r="AU1010" s="40">
        <v>11320528</v>
      </c>
      <c r="AV1010" s="35">
        <f t="shared" si="137"/>
        <v>7.0538666832249381</v>
      </c>
      <c r="AW1010" s="37" t="s">
        <v>338</v>
      </c>
      <c r="AX1010" s="40">
        <v>0</v>
      </c>
      <c r="AY1010" s="40">
        <v>2200</v>
      </c>
      <c r="AZ1010" s="37">
        <v>146</v>
      </c>
      <c r="BA1010" s="14">
        <f t="shared" si="138"/>
        <v>2.1643528557844371</v>
      </c>
      <c r="BB1010" s="37" t="s">
        <v>367</v>
      </c>
      <c r="BC1010" s="20">
        <v>7.1628651460558916E-4</v>
      </c>
      <c r="BD1010" s="9">
        <v>29.5</v>
      </c>
      <c r="BE1010" s="9" t="s">
        <v>368</v>
      </c>
      <c r="BF1010" s="9">
        <v>0</v>
      </c>
    </row>
    <row r="1011" spans="1:58">
      <c r="A1011" s="9">
        <v>604</v>
      </c>
      <c r="B1011" s="10" t="s">
        <v>76</v>
      </c>
      <c r="C1011" s="10" t="s">
        <v>389</v>
      </c>
      <c r="D1011" s="20" t="s">
        <v>390</v>
      </c>
      <c r="E1011" s="20" t="s">
        <v>404</v>
      </c>
      <c r="F1011" s="10" t="s">
        <v>389</v>
      </c>
      <c r="G1011" s="20" t="s">
        <v>390</v>
      </c>
      <c r="H1011" s="20" t="s">
        <v>404</v>
      </c>
      <c r="I1011" s="10" t="s">
        <v>389</v>
      </c>
      <c r="J1011" s="20" t="s">
        <v>405</v>
      </c>
      <c r="K1011" s="20" t="s">
        <v>406</v>
      </c>
      <c r="L1011" s="9" t="s">
        <v>380</v>
      </c>
      <c r="M1011" s="9">
        <v>10</v>
      </c>
      <c r="N1011" s="9" t="s">
        <v>381</v>
      </c>
      <c r="O1011" s="9" t="s">
        <v>382</v>
      </c>
      <c r="P1011" s="12">
        <v>37.950000000000003</v>
      </c>
      <c r="Q1011" s="12" t="s">
        <v>355</v>
      </c>
      <c r="R1011" s="9" t="s">
        <v>356</v>
      </c>
      <c r="S1011" s="13" t="s">
        <v>355</v>
      </c>
      <c r="T1011" s="13"/>
      <c r="U1011" s="14"/>
      <c r="V1011" s="15">
        <v>25</v>
      </c>
      <c r="W1011" s="12"/>
      <c r="X1011" s="12">
        <v>1</v>
      </c>
      <c r="Y1011" s="13" t="s">
        <v>358</v>
      </c>
      <c r="Z1011" s="9" t="s">
        <v>359</v>
      </c>
      <c r="AA1011" s="10" t="s">
        <v>1300</v>
      </c>
      <c r="AB1011" s="9" t="s">
        <v>355</v>
      </c>
      <c r="AC1011" s="15">
        <v>64</v>
      </c>
      <c r="AD1011" s="14">
        <f t="shared" si="135"/>
        <v>1.8061799739838871</v>
      </c>
      <c r="AE1011" s="10" t="s">
        <v>756</v>
      </c>
      <c r="AF1011" s="9" t="s">
        <v>420</v>
      </c>
      <c r="AG1011" s="18">
        <v>27.552838000000001</v>
      </c>
      <c r="AH1011" s="18"/>
      <c r="AI1011" s="18"/>
      <c r="AJ1011" s="18"/>
      <c r="AK1011" s="18"/>
      <c r="AL1011" s="18"/>
      <c r="AM1011" s="18">
        <f t="shared" si="136"/>
        <v>1.4401663387326675</v>
      </c>
      <c r="AN1011" s="18">
        <v>-27.552838000000001</v>
      </c>
      <c r="AO1011" s="18">
        <v>153.05550500000001</v>
      </c>
      <c r="AP1011" s="9" t="s">
        <v>363</v>
      </c>
      <c r="AQ1011" s="9" t="s">
        <v>525</v>
      </c>
      <c r="AR1011" s="15">
        <v>1983</v>
      </c>
      <c r="AS1011" s="19" t="s">
        <v>1301</v>
      </c>
      <c r="AT1011" s="20" t="s">
        <v>1302</v>
      </c>
      <c r="AU1011" s="40">
        <v>11320528</v>
      </c>
      <c r="AV1011" s="35">
        <f t="shared" si="137"/>
        <v>7.0538666832249381</v>
      </c>
      <c r="AW1011" s="37" t="s">
        <v>338</v>
      </c>
      <c r="AX1011" s="40">
        <v>0</v>
      </c>
      <c r="AY1011" s="40">
        <v>2200</v>
      </c>
      <c r="AZ1011" s="37">
        <v>146</v>
      </c>
      <c r="BA1011" s="14">
        <f t="shared" si="138"/>
        <v>2.1643528557844371</v>
      </c>
      <c r="BB1011" s="37" t="s">
        <v>367</v>
      </c>
      <c r="BC1011" s="20">
        <v>7.1628651460558916E-4</v>
      </c>
      <c r="BD1011" s="9">
        <v>29.5</v>
      </c>
      <c r="BE1011" s="9" t="s">
        <v>368</v>
      </c>
      <c r="BF1011" s="9">
        <v>0</v>
      </c>
    </row>
    <row r="1012" spans="1:58">
      <c r="A1012" s="9">
        <v>603</v>
      </c>
      <c r="B1012" s="10" t="s">
        <v>76</v>
      </c>
      <c r="C1012" s="10" t="s">
        <v>389</v>
      </c>
      <c r="D1012" s="20" t="s">
        <v>390</v>
      </c>
      <c r="E1012" s="20" t="s">
        <v>404</v>
      </c>
      <c r="F1012" s="10" t="s">
        <v>389</v>
      </c>
      <c r="G1012" s="20" t="s">
        <v>390</v>
      </c>
      <c r="H1012" s="20" t="s">
        <v>404</v>
      </c>
      <c r="I1012" s="10" t="s">
        <v>389</v>
      </c>
      <c r="J1012" s="20" t="s">
        <v>405</v>
      </c>
      <c r="K1012" s="20" t="s">
        <v>406</v>
      </c>
      <c r="L1012" s="9" t="s">
        <v>380</v>
      </c>
      <c r="M1012" s="9">
        <v>10</v>
      </c>
      <c r="N1012" s="9" t="s">
        <v>381</v>
      </c>
      <c r="O1012" s="9" t="s">
        <v>382</v>
      </c>
      <c r="P1012" s="12">
        <v>38.498899999999999</v>
      </c>
      <c r="Q1012" s="12" t="s">
        <v>355</v>
      </c>
      <c r="R1012" s="9" t="s">
        <v>356</v>
      </c>
      <c r="S1012" s="13" t="s">
        <v>355</v>
      </c>
      <c r="T1012" s="13"/>
      <c r="U1012" s="14"/>
      <c r="V1012" s="15">
        <v>30</v>
      </c>
      <c r="W1012" s="12"/>
      <c r="X1012" s="12">
        <v>1</v>
      </c>
      <c r="Y1012" s="13" t="s">
        <v>358</v>
      </c>
      <c r="Z1012" s="9" t="s">
        <v>359</v>
      </c>
      <c r="AA1012" s="10" t="s">
        <v>1300</v>
      </c>
      <c r="AB1012" s="9" t="s">
        <v>355</v>
      </c>
      <c r="AC1012" s="15">
        <v>64</v>
      </c>
      <c r="AD1012" s="14">
        <f t="shared" si="135"/>
        <v>1.8061799739838871</v>
      </c>
      <c r="AE1012" s="10" t="s">
        <v>756</v>
      </c>
      <c r="AF1012" s="9" t="s">
        <v>420</v>
      </c>
      <c r="AG1012" s="18">
        <v>27.552838000000001</v>
      </c>
      <c r="AH1012" s="18"/>
      <c r="AI1012" s="18"/>
      <c r="AJ1012" s="18"/>
      <c r="AK1012" s="18"/>
      <c r="AL1012" s="18"/>
      <c r="AM1012" s="18">
        <f t="shared" si="136"/>
        <v>1.4401663387326675</v>
      </c>
      <c r="AN1012" s="18">
        <v>-27.552838000000001</v>
      </c>
      <c r="AO1012" s="18">
        <v>153.05550500000001</v>
      </c>
      <c r="AP1012" s="9" t="s">
        <v>363</v>
      </c>
      <c r="AQ1012" s="9" t="s">
        <v>525</v>
      </c>
      <c r="AR1012" s="15">
        <v>1983</v>
      </c>
      <c r="AS1012" s="19" t="s">
        <v>1301</v>
      </c>
      <c r="AT1012" s="20" t="s">
        <v>1302</v>
      </c>
      <c r="AU1012" s="40">
        <v>11320528</v>
      </c>
      <c r="AV1012" s="35">
        <f t="shared" si="137"/>
        <v>7.0538666832249381</v>
      </c>
      <c r="AW1012" s="37" t="s">
        <v>338</v>
      </c>
      <c r="AX1012" s="40">
        <v>0</v>
      </c>
      <c r="AY1012" s="40">
        <v>2200</v>
      </c>
      <c r="AZ1012" s="37">
        <v>146</v>
      </c>
      <c r="BA1012" s="14">
        <f t="shared" si="138"/>
        <v>2.1643528557844371</v>
      </c>
      <c r="BB1012" s="37" t="s">
        <v>367</v>
      </c>
      <c r="BC1012" s="20">
        <v>7.1628651460558916E-4</v>
      </c>
      <c r="BD1012" s="9">
        <v>29.5</v>
      </c>
      <c r="BE1012" s="9" t="s">
        <v>368</v>
      </c>
      <c r="BF1012" s="9">
        <v>0</v>
      </c>
    </row>
    <row r="1013" spans="1:58">
      <c r="A1013" s="9">
        <v>601</v>
      </c>
      <c r="B1013" s="10" t="s">
        <v>76</v>
      </c>
      <c r="C1013" s="10" t="s">
        <v>389</v>
      </c>
      <c r="D1013" s="20" t="s">
        <v>390</v>
      </c>
      <c r="E1013" s="20" t="s">
        <v>404</v>
      </c>
      <c r="F1013" s="10" t="s">
        <v>389</v>
      </c>
      <c r="G1013" s="20" t="s">
        <v>390</v>
      </c>
      <c r="H1013" s="20" t="s">
        <v>404</v>
      </c>
      <c r="I1013" s="10" t="s">
        <v>389</v>
      </c>
      <c r="J1013" s="20" t="s">
        <v>405</v>
      </c>
      <c r="K1013" s="20" t="s">
        <v>406</v>
      </c>
      <c r="L1013" s="9" t="s">
        <v>380</v>
      </c>
      <c r="M1013" s="9">
        <v>10</v>
      </c>
      <c r="N1013" s="9" t="s">
        <v>381</v>
      </c>
      <c r="O1013" s="9" t="s">
        <v>382</v>
      </c>
      <c r="P1013" s="12">
        <v>40.763089999999998</v>
      </c>
      <c r="Q1013" s="12" t="s">
        <v>355</v>
      </c>
      <c r="R1013" s="9" t="s">
        <v>356</v>
      </c>
      <c r="S1013" s="13" t="s">
        <v>355</v>
      </c>
      <c r="T1013" s="13"/>
      <c r="U1013" s="14"/>
      <c r="V1013" s="15">
        <v>25</v>
      </c>
      <c r="W1013" s="12"/>
      <c r="X1013" s="12">
        <v>1</v>
      </c>
      <c r="Y1013" s="13" t="s">
        <v>358</v>
      </c>
      <c r="Z1013" s="9" t="s">
        <v>359</v>
      </c>
      <c r="AA1013" s="10" t="s">
        <v>1300</v>
      </c>
      <c r="AB1013" s="9" t="s">
        <v>355</v>
      </c>
      <c r="AC1013" s="15">
        <v>64</v>
      </c>
      <c r="AD1013" s="14">
        <f t="shared" si="135"/>
        <v>1.8061799739838871</v>
      </c>
      <c r="AE1013" s="10" t="s">
        <v>756</v>
      </c>
      <c r="AF1013" s="9" t="s">
        <v>420</v>
      </c>
      <c r="AG1013" s="18">
        <v>27.552838000000001</v>
      </c>
      <c r="AH1013" s="18"/>
      <c r="AI1013" s="18"/>
      <c r="AJ1013" s="18"/>
      <c r="AK1013" s="18"/>
      <c r="AL1013" s="18"/>
      <c r="AM1013" s="18">
        <f t="shared" si="136"/>
        <v>1.4401663387326675</v>
      </c>
      <c r="AN1013" s="18">
        <v>-27.552838000000001</v>
      </c>
      <c r="AO1013" s="18">
        <v>153.05550500000001</v>
      </c>
      <c r="AP1013" s="9" t="s">
        <v>363</v>
      </c>
      <c r="AQ1013" s="9" t="s">
        <v>443</v>
      </c>
      <c r="AR1013" s="15">
        <v>1983</v>
      </c>
      <c r="AS1013" s="19" t="s">
        <v>1301</v>
      </c>
      <c r="AT1013" s="20" t="s">
        <v>1302</v>
      </c>
      <c r="AU1013" s="40">
        <v>11320528</v>
      </c>
      <c r="AV1013" s="35">
        <f t="shared" si="137"/>
        <v>7.0538666832249381</v>
      </c>
      <c r="AW1013" s="37" t="s">
        <v>338</v>
      </c>
      <c r="AX1013" s="40">
        <v>0</v>
      </c>
      <c r="AY1013" s="40">
        <v>2200</v>
      </c>
      <c r="AZ1013" s="37">
        <v>146</v>
      </c>
      <c r="BA1013" s="14">
        <f t="shared" si="138"/>
        <v>2.1643528557844371</v>
      </c>
      <c r="BB1013" s="37" t="s">
        <v>367</v>
      </c>
      <c r="BC1013" s="20">
        <v>7.1628651460558916E-4</v>
      </c>
      <c r="BD1013" s="9">
        <v>29.5</v>
      </c>
      <c r="BE1013" s="9" t="s">
        <v>368</v>
      </c>
      <c r="BF1013" s="9">
        <v>0</v>
      </c>
    </row>
    <row r="1014" spans="1:58">
      <c r="A1014" s="9">
        <v>600</v>
      </c>
      <c r="B1014" s="10" t="s">
        <v>76</v>
      </c>
      <c r="C1014" s="10" t="s">
        <v>389</v>
      </c>
      <c r="D1014" s="20" t="s">
        <v>390</v>
      </c>
      <c r="E1014" s="20" t="s">
        <v>404</v>
      </c>
      <c r="F1014" s="10" t="s">
        <v>389</v>
      </c>
      <c r="G1014" s="20" t="s">
        <v>390</v>
      </c>
      <c r="H1014" s="20" t="s">
        <v>404</v>
      </c>
      <c r="I1014" s="10" t="s">
        <v>389</v>
      </c>
      <c r="J1014" s="20" t="s">
        <v>405</v>
      </c>
      <c r="K1014" s="20" t="s">
        <v>406</v>
      </c>
      <c r="L1014" s="9" t="s">
        <v>380</v>
      </c>
      <c r="M1014" s="9">
        <v>10</v>
      </c>
      <c r="N1014" s="9" t="s">
        <v>381</v>
      </c>
      <c r="O1014" s="9" t="s">
        <v>382</v>
      </c>
      <c r="P1014" s="12">
        <v>41.088009999999997</v>
      </c>
      <c r="Q1014" s="12" t="s">
        <v>355</v>
      </c>
      <c r="R1014" s="9" t="s">
        <v>356</v>
      </c>
      <c r="S1014" s="13" t="s">
        <v>355</v>
      </c>
      <c r="T1014" s="13"/>
      <c r="U1014" s="14"/>
      <c r="V1014" s="15">
        <v>30</v>
      </c>
      <c r="W1014" s="12"/>
      <c r="X1014" s="12">
        <v>1</v>
      </c>
      <c r="Y1014" s="13" t="s">
        <v>358</v>
      </c>
      <c r="Z1014" s="9" t="s">
        <v>359</v>
      </c>
      <c r="AA1014" s="10" t="s">
        <v>1300</v>
      </c>
      <c r="AB1014" s="9" t="s">
        <v>355</v>
      </c>
      <c r="AC1014" s="15">
        <v>64</v>
      </c>
      <c r="AD1014" s="14">
        <f t="shared" si="135"/>
        <v>1.8061799739838871</v>
      </c>
      <c r="AE1014" s="10" t="s">
        <v>756</v>
      </c>
      <c r="AF1014" s="9" t="s">
        <v>420</v>
      </c>
      <c r="AG1014" s="18">
        <v>27.552838000000001</v>
      </c>
      <c r="AH1014" s="18"/>
      <c r="AI1014" s="18"/>
      <c r="AJ1014" s="18"/>
      <c r="AK1014" s="18"/>
      <c r="AL1014" s="18"/>
      <c r="AM1014" s="18">
        <f t="shared" si="136"/>
        <v>1.4401663387326675</v>
      </c>
      <c r="AN1014" s="18">
        <v>-27.552838000000001</v>
      </c>
      <c r="AO1014" s="18">
        <v>153.05550500000001</v>
      </c>
      <c r="AP1014" s="9" t="s">
        <v>363</v>
      </c>
      <c r="AQ1014" s="9" t="s">
        <v>443</v>
      </c>
      <c r="AR1014" s="15">
        <v>1983</v>
      </c>
      <c r="AS1014" s="19" t="s">
        <v>1301</v>
      </c>
      <c r="AT1014" s="20" t="s">
        <v>1302</v>
      </c>
      <c r="AU1014" s="40">
        <v>11320528</v>
      </c>
      <c r="AV1014" s="35">
        <f t="shared" si="137"/>
        <v>7.0538666832249381</v>
      </c>
      <c r="AW1014" s="37" t="s">
        <v>338</v>
      </c>
      <c r="AX1014" s="40">
        <v>0</v>
      </c>
      <c r="AY1014" s="40">
        <v>2200</v>
      </c>
      <c r="AZ1014" s="37">
        <v>146</v>
      </c>
      <c r="BA1014" s="14">
        <f t="shared" si="138"/>
        <v>2.1643528557844371</v>
      </c>
      <c r="BB1014" s="37" t="s">
        <v>367</v>
      </c>
      <c r="BC1014" s="20">
        <v>7.1628651460558916E-4</v>
      </c>
      <c r="BD1014" s="9">
        <v>29.5</v>
      </c>
      <c r="BE1014" s="9" t="s">
        <v>368</v>
      </c>
      <c r="BF1014" s="9">
        <v>0</v>
      </c>
    </row>
    <row r="1015" spans="1:58">
      <c r="A1015" s="9">
        <v>598</v>
      </c>
      <c r="B1015" s="10" t="s">
        <v>76</v>
      </c>
      <c r="C1015" s="10" t="s">
        <v>389</v>
      </c>
      <c r="D1015" s="20" t="s">
        <v>390</v>
      </c>
      <c r="E1015" s="20" t="s">
        <v>404</v>
      </c>
      <c r="F1015" s="10" t="s">
        <v>389</v>
      </c>
      <c r="G1015" s="20" t="s">
        <v>390</v>
      </c>
      <c r="H1015" s="20" t="s">
        <v>404</v>
      </c>
      <c r="I1015" s="10" t="s">
        <v>389</v>
      </c>
      <c r="J1015" s="20" t="s">
        <v>405</v>
      </c>
      <c r="K1015" s="20" t="s">
        <v>406</v>
      </c>
      <c r="L1015" s="9" t="s">
        <v>380</v>
      </c>
      <c r="M1015" s="9">
        <v>10</v>
      </c>
      <c r="N1015" s="9" t="s">
        <v>381</v>
      </c>
      <c r="O1015" s="9" t="s">
        <v>382</v>
      </c>
      <c r="P1015" s="12">
        <v>41.234070000000003</v>
      </c>
      <c r="Q1015" s="12" t="s">
        <v>355</v>
      </c>
      <c r="R1015" s="9" t="s">
        <v>356</v>
      </c>
      <c r="S1015" s="13" t="s">
        <v>355</v>
      </c>
      <c r="T1015" s="13"/>
      <c r="U1015" s="14"/>
      <c r="V1015" s="15">
        <v>25</v>
      </c>
      <c r="W1015" s="12"/>
      <c r="X1015" s="12">
        <v>1</v>
      </c>
      <c r="Y1015" s="13" t="s">
        <v>358</v>
      </c>
      <c r="Z1015" s="9" t="s">
        <v>359</v>
      </c>
      <c r="AA1015" s="10" t="s">
        <v>1300</v>
      </c>
      <c r="AB1015" s="9" t="s">
        <v>355</v>
      </c>
      <c r="AC1015" s="15">
        <v>64</v>
      </c>
      <c r="AD1015" s="14">
        <f t="shared" si="135"/>
        <v>1.8061799739838871</v>
      </c>
      <c r="AE1015" s="10" t="s">
        <v>756</v>
      </c>
      <c r="AF1015" s="9" t="s">
        <v>420</v>
      </c>
      <c r="AG1015" s="18">
        <v>27.552838000000001</v>
      </c>
      <c r="AH1015" s="18"/>
      <c r="AI1015" s="18"/>
      <c r="AJ1015" s="18"/>
      <c r="AK1015" s="18"/>
      <c r="AL1015" s="18"/>
      <c r="AM1015" s="18">
        <f t="shared" si="136"/>
        <v>1.4401663387326675</v>
      </c>
      <c r="AN1015" s="18">
        <v>-27.552838000000001</v>
      </c>
      <c r="AO1015" s="18">
        <v>153.05550500000001</v>
      </c>
      <c r="AP1015" s="9" t="s">
        <v>363</v>
      </c>
      <c r="AQ1015" s="9" t="s">
        <v>1303</v>
      </c>
      <c r="AR1015" s="15">
        <v>1983</v>
      </c>
      <c r="AS1015" s="19" t="s">
        <v>1301</v>
      </c>
      <c r="AT1015" s="20" t="s">
        <v>1302</v>
      </c>
      <c r="AU1015" s="40">
        <v>11320528</v>
      </c>
      <c r="AV1015" s="35">
        <f t="shared" si="137"/>
        <v>7.0538666832249381</v>
      </c>
      <c r="AW1015" s="37" t="s">
        <v>338</v>
      </c>
      <c r="AX1015" s="40">
        <v>0</v>
      </c>
      <c r="AY1015" s="40">
        <v>2200</v>
      </c>
      <c r="AZ1015" s="37">
        <v>146</v>
      </c>
      <c r="BA1015" s="14">
        <f t="shared" si="138"/>
        <v>2.1643528557844371</v>
      </c>
      <c r="BB1015" s="37" t="s">
        <v>367</v>
      </c>
      <c r="BC1015" s="20">
        <v>7.1628651460558916E-4</v>
      </c>
      <c r="BD1015" s="9">
        <v>29.5</v>
      </c>
      <c r="BE1015" s="9" t="s">
        <v>368</v>
      </c>
      <c r="BF1015" s="9">
        <v>0</v>
      </c>
    </row>
    <row r="1016" spans="1:58">
      <c r="A1016" s="9">
        <v>580</v>
      </c>
      <c r="B1016" s="10" t="s">
        <v>76</v>
      </c>
      <c r="C1016" s="10" t="s">
        <v>389</v>
      </c>
      <c r="D1016" s="20" t="s">
        <v>390</v>
      </c>
      <c r="E1016" s="20" t="s">
        <v>404</v>
      </c>
      <c r="F1016" s="10" t="s">
        <v>389</v>
      </c>
      <c r="G1016" s="20" t="s">
        <v>390</v>
      </c>
      <c r="H1016" s="20" t="s">
        <v>404</v>
      </c>
      <c r="I1016" s="10" t="s">
        <v>389</v>
      </c>
      <c r="J1016" s="20" t="s">
        <v>405</v>
      </c>
      <c r="K1016" s="20" t="s">
        <v>406</v>
      </c>
      <c r="L1016" s="9" t="s">
        <v>380</v>
      </c>
      <c r="M1016" s="9">
        <v>10</v>
      </c>
      <c r="N1016" s="9" t="s">
        <v>381</v>
      </c>
      <c r="O1016" s="9" t="s">
        <v>382</v>
      </c>
      <c r="P1016" s="12">
        <v>41.707259999999998</v>
      </c>
      <c r="Q1016" s="12" t="s">
        <v>355</v>
      </c>
      <c r="R1016" s="9" t="s">
        <v>356</v>
      </c>
      <c r="S1016" s="13" t="s">
        <v>355</v>
      </c>
      <c r="T1016" s="13"/>
      <c r="U1016" s="14"/>
      <c r="V1016" s="15">
        <v>25</v>
      </c>
      <c r="W1016" s="12"/>
      <c r="X1016" s="12">
        <v>1</v>
      </c>
      <c r="Y1016" s="13" t="s">
        <v>358</v>
      </c>
      <c r="Z1016" s="9" t="s">
        <v>359</v>
      </c>
      <c r="AA1016" s="10" t="s">
        <v>1300</v>
      </c>
      <c r="AB1016" s="9" t="s">
        <v>355</v>
      </c>
      <c r="AC1016" s="15">
        <v>64</v>
      </c>
      <c r="AD1016" s="14">
        <f t="shared" si="135"/>
        <v>1.8061799739838871</v>
      </c>
      <c r="AE1016" s="10" t="s">
        <v>756</v>
      </c>
      <c r="AF1016" s="9" t="s">
        <v>420</v>
      </c>
      <c r="AG1016" s="18">
        <v>27.552838000000001</v>
      </c>
      <c r="AH1016" s="18"/>
      <c r="AI1016" s="18"/>
      <c r="AJ1016" s="18"/>
      <c r="AK1016" s="18"/>
      <c r="AL1016" s="18"/>
      <c r="AM1016" s="18">
        <f t="shared" si="136"/>
        <v>1.4401663387326675</v>
      </c>
      <c r="AN1016" s="18">
        <v>-27.552838000000001</v>
      </c>
      <c r="AO1016" s="18">
        <v>153.05550500000001</v>
      </c>
      <c r="AP1016" s="9" t="s">
        <v>363</v>
      </c>
      <c r="AQ1016" s="9" t="s">
        <v>1304</v>
      </c>
      <c r="AR1016" s="15">
        <v>1983</v>
      </c>
      <c r="AS1016" s="19" t="s">
        <v>1301</v>
      </c>
      <c r="AT1016" s="20" t="s">
        <v>1302</v>
      </c>
      <c r="AU1016" s="40">
        <v>11320528</v>
      </c>
      <c r="AV1016" s="35">
        <f t="shared" si="137"/>
        <v>7.0538666832249381</v>
      </c>
      <c r="AW1016" s="37" t="s">
        <v>338</v>
      </c>
      <c r="AX1016" s="40">
        <v>0</v>
      </c>
      <c r="AY1016" s="40">
        <v>2200</v>
      </c>
      <c r="AZ1016" s="37">
        <v>146</v>
      </c>
      <c r="BA1016" s="14">
        <f t="shared" si="138"/>
        <v>2.1643528557844371</v>
      </c>
      <c r="BB1016" s="37" t="s">
        <v>367</v>
      </c>
      <c r="BC1016" s="20">
        <v>7.1628651460558916E-4</v>
      </c>
      <c r="BD1016" s="9">
        <v>29.5</v>
      </c>
      <c r="BE1016" s="9" t="s">
        <v>368</v>
      </c>
      <c r="BF1016" s="9">
        <v>0</v>
      </c>
    </row>
    <row r="1017" spans="1:58">
      <c r="A1017" s="9">
        <v>605</v>
      </c>
      <c r="B1017" s="10" t="s">
        <v>76</v>
      </c>
      <c r="C1017" s="10" t="s">
        <v>389</v>
      </c>
      <c r="D1017" s="20" t="s">
        <v>390</v>
      </c>
      <c r="E1017" s="20" t="s">
        <v>404</v>
      </c>
      <c r="F1017" s="10" t="s">
        <v>389</v>
      </c>
      <c r="G1017" s="20" t="s">
        <v>390</v>
      </c>
      <c r="H1017" s="20" t="s">
        <v>404</v>
      </c>
      <c r="I1017" s="10" t="s">
        <v>389</v>
      </c>
      <c r="J1017" s="20" t="s">
        <v>405</v>
      </c>
      <c r="K1017" s="20" t="s">
        <v>406</v>
      </c>
      <c r="L1017" s="9" t="s">
        <v>380</v>
      </c>
      <c r="M1017" s="9">
        <v>10</v>
      </c>
      <c r="N1017" s="9" t="s">
        <v>381</v>
      </c>
      <c r="O1017" s="9" t="s">
        <v>382</v>
      </c>
      <c r="P1017" s="12">
        <v>41.9</v>
      </c>
      <c r="Q1017" s="12" t="s">
        <v>355</v>
      </c>
      <c r="R1017" s="9" t="s">
        <v>356</v>
      </c>
      <c r="S1017" s="13" t="s">
        <v>355</v>
      </c>
      <c r="T1017" s="13"/>
      <c r="U1017" s="14"/>
      <c r="V1017" s="15">
        <v>20</v>
      </c>
      <c r="W1017" s="12"/>
      <c r="X1017" s="12">
        <v>1</v>
      </c>
      <c r="Y1017" s="13" t="s">
        <v>732</v>
      </c>
      <c r="Z1017" s="9" t="s">
        <v>359</v>
      </c>
      <c r="AA1017" s="10" t="s">
        <v>1300</v>
      </c>
      <c r="AB1017" s="9" t="s">
        <v>355</v>
      </c>
      <c r="AC1017" s="15">
        <v>64</v>
      </c>
      <c r="AD1017" s="14">
        <f t="shared" si="135"/>
        <v>1.8061799739838871</v>
      </c>
      <c r="AE1017" s="10" t="s">
        <v>756</v>
      </c>
      <c r="AF1017" s="9" t="s">
        <v>420</v>
      </c>
      <c r="AG1017" s="18">
        <v>27.552838000000001</v>
      </c>
      <c r="AH1017" s="18"/>
      <c r="AI1017" s="18"/>
      <c r="AJ1017" s="18"/>
      <c r="AK1017" s="18"/>
      <c r="AL1017" s="18"/>
      <c r="AM1017" s="18">
        <f t="shared" si="136"/>
        <v>1.4401663387326675</v>
      </c>
      <c r="AN1017" s="18">
        <v>-27.552838000000001</v>
      </c>
      <c r="AO1017" s="18">
        <v>153.05550500000001</v>
      </c>
      <c r="AP1017" s="9" t="s">
        <v>363</v>
      </c>
      <c r="AQ1017" s="9" t="s">
        <v>1305</v>
      </c>
      <c r="AR1017" s="15">
        <v>1985</v>
      </c>
      <c r="AS1017" s="19" t="s">
        <v>1306</v>
      </c>
      <c r="AT1017" s="20" t="s">
        <v>1307</v>
      </c>
      <c r="AU1017" s="40">
        <v>11320528</v>
      </c>
      <c r="AV1017" s="35">
        <f t="shared" si="137"/>
        <v>7.0538666832249381</v>
      </c>
      <c r="AW1017" s="37" t="s">
        <v>338</v>
      </c>
      <c r="AX1017" s="40">
        <v>0</v>
      </c>
      <c r="AY1017" s="40">
        <v>2200</v>
      </c>
      <c r="AZ1017" s="37">
        <v>146</v>
      </c>
      <c r="BA1017" s="14">
        <f t="shared" si="138"/>
        <v>2.1643528557844371</v>
      </c>
      <c r="BB1017" s="37" t="s">
        <v>367</v>
      </c>
      <c r="BC1017" s="20">
        <v>7.1628651460558916E-4</v>
      </c>
      <c r="BD1017" s="9">
        <v>29.5</v>
      </c>
      <c r="BE1017" s="9" t="s">
        <v>368</v>
      </c>
      <c r="BF1017" s="9">
        <v>0</v>
      </c>
    </row>
    <row r="1018" spans="1:58">
      <c r="A1018" s="9">
        <v>595</v>
      </c>
      <c r="B1018" s="10" t="s">
        <v>76</v>
      </c>
      <c r="C1018" s="10" t="s">
        <v>389</v>
      </c>
      <c r="D1018" s="20" t="s">
        <v>390</v>
      </c>
      <c r="E1018" s="20" t="s">
        <v>404</v>
      </c>
      <c r="F1018" s="10" t="s">
        <v>389</v>
      </c>
      <c r="G1018" s="20" t="s">
        <v>390</v>
      </c>
      <c r="H1018" s="20" t="s">
        <v>404</v>
      </c>
      <c r="I1018" s="10" t="s">
        <v>389</v>
      </c>
      <c r="J1018" s="20" t="s">
        <v>405</v>
      </c>
      <c r="K1018" s="20" t="s">
        <v>406</v>
      </c>
      <c r="L1018" s="9" t="s">
        <v>380</v>
      </c>
      <c r="M1018" s="9">
        <v>10</v>
      </c>
      <c r="N1018" s="9" t="s">
        <v>381</v>
      </c>
      <c r="O1018" s="9" t="s">
        <v>382</v>
      </c>
      <c r="P1018" s="12">
        <v>41.950629999999997</v>
      </c>
      <c r="Q1018" s="12" t="s">
        <v>355</v>
      </c>
      <c r="R1018" s="9" t="s">
        <v>356</v>
      </c>
      <c r="S1018" s="13" t="s">
        <v>355</v>
      </c>
      <c r="T1018" s="13"/>
      <c r="U1018" s="14"/>
      <c r="V1018" s="15">
        <v>25</v>
      </c>
      <c r="W1018" s="12"/>
      <c r="X1018" s="12">
        <v>1</v>
      </c>
      <c r="Y1018" s="13" t="s">
        <v>358</v>
      </c>
      <c r="Z1018" s="9" t="s">
        <v>359</v>
      </c>
      <c r="AA1018" s="10" t="s">
        <v>1300</v>
      </c>
      <c r="AB1018" s="9" t="s">
        <v>355</v>
      </c>
      <c r="AC1018" s="15">
        <v>64</v>
      </c>
      <c r="AD1018" s="14">
        <f t="shared" si="135"/>
        <v>1.8061799739838871</v>
      </c>
      <c r="AE1018" s="10" t="s">
        <v>756</v>
      </c>
      <c r="AF1018" s="9" t="s">
        <v>420</v>
      </c>
      <c r="AG1018" s="18">
        <v>27.552838000000001</v>
      </c>
      <c r="AH1018" s="18"/>
      <c r="AI1018" s="18"/>
      <c r="AJ1018" s="18"/>
      <c r="AK1018" s="18"/>
      <c r="AL1018" s="18"/>
      <c r="AM1018" s="18">
        <f t="shared" si="136"/>
        <v>1.4401663387326675</v>
      </c>
      <c r="AN1018" s="18">
        <v>-27.552838000000001</v>
      </c>
      <c r="AO1018" s="18">
        <v>153.05550500000001</v>
      </c>
      <c r="AP1018" s="9" t="s">
        <v>363</v>
      </c>
      <c r="AQ1018" s="9" t="s">
        <v>1194</v>
      </c>
      <c r="AR1018" s="15">
        <v>1983</v>
      </c>
      <c r="AS1018" s="19" t="s">
        <v>1301</v>
      </c>
      <c r="AT1018" s="20" t="s">
        <v>1302</v>
      </c>
      <c r="AU1018" s="40">
        <v>11320528</v>
      </c>
      <c r="AV1018" s="35">
        <f t="shared" si="137"/>
        <v>7.0538666832249381</v>
      </c>
      <c r="AW1018" s="37" t="s">
        <v>338</v>
      </c>
      <c r="AX1018" s="40">
        <v>0</v>
      </c>
      <c r="AY1018" s="40">
        <v>2200</v>
      </c>
      <c r="AZ1018" s="37">
        <v>146</v>
      </c>
      <c r="BA1018" s="14">
        <f t="shared" si="138"/>
        <v>2.1643528557844371</v>
      </c>
      <c r="BB1018" s="37" t="s">
        <v>367</v>
      </c>
      <c r="BC1018" s="20">
        <v>7.1628651460558916E-4</v>
      </c>
      <c r="BD1018" s="9">
        <v>29.5</v>
      </c>
      <c r="BE1018" s="9" t="s">
        <v>368</v>
      </c>
      <c r="BF1018" s="9">
        <v>0</v>
      </c>
    </row>
    <row r="1019" spans="1:58">
      <c r="A1019" s="9">
        <v>592</v>
      </c>
      <c r="B1019" s="10" t="s">
        <v>76</v>
      </c>
      <c r="C1019" s="10" t="s">
        <v>389</v>
      </c>
      <c r="D1019" s="20" t="s">
        <v>390</v>
      </c>
      <c r="E1019" s="20" t="s">
        <v>404</v>
      </c>
      <c r="F1019" s="10" t="s">
        <v>389</v>
      </c>
      <c r="G1019" s="20" t="s">
        <v>390</v>
      </c>
      <c r="H1019" s="20" t="s">
        <v>404</v>
      </c>
      <c r="I1019" s="10" t="s">
        <v>389</v>
      </c>
      <c r="J1019" s="20" t="s">
        <v>405</v>
      </c>
      <c r="K1019" s="20" t="s">
        <v>406</v>
      </c>
      <c r="L1019" s="9" t="s">
        <v>380</v>
      </c>
      <c r="M1019" s="9">
        <v>10</v>
      </c>
      <c r="N1019" s="9" t="s">
        <v>381</v>
      </c>
      <c r="O1019" s="9" t="s">
        <v>382</v>
      </c>
      <c r="P1019" s="12">
        <v>42.065770000000001</v>
      </c>
      <c r="Q1019" s="12" t="s">
        <v>355</v>
      </c>
      <c r="R1019" s="9" t="s">
        <v>356</v>
      </c>
      <c r="S1019" s="13" t="s">
        <v>355</v>
      </c>
      <c r="T1019" s="13"/>
      <c r="U1019" s="14"/>
      <c r="V1019" s="15">
        <v>25</v>
      </c>
      <c r="W1019" s="12"/>
      <c r="X1019" s="12">
        <v>1</v>
      </c>
      <c r="Y1019" s="13" t="s">
        <v>358</v>
      </c>
      <c r="Z1019" s="9" t="s">
        <v>359</v>
      </c>
      <c r="AA1019" s="10" t="s">
        <v>1300</v>
      </c>
      <c r="AB1019" s="9" t="s">
        <v>355</v>
      </c>
      <c r="AC1019" s="15">
        <v>64</v>
      </c>
      <c r="AD1019" s="14">
        <f t="shared" si="135"/>
        <v>1.8061799739838871</v>
      </c>
      <c r="AE1019" s="10" t="s">
        <v>756</v>
      </c>
      <c r="AF1019" s="9" t="s">
        <v>420</v>
      </c>
      <c r="AG1019" s="18">
        <v>27.552838000000001</v>
      </c>
      <c r="AH1019" s="18"/>
      <c r="AI1019" s="18"/>
      <c r="AJ1019" s="18"/>
      <c r="AK1019" s="18"/>
      <c r="AL1019" s="18"/>
      <c r="AM1019" s="18">
        <f t="shared" si="136"/>
        <v>1.4401663387326675</v>
      </c>
      <c r="AN1019" s="18">
        <v>-27.552838000000001</v>
      </c>
      <c r="AO1019" s="18">
        <v>153.05550500000001</v>
      </c>
      <c r="AP1019" s="9" t="s">
        <v>363</v>
      </c>
      <c r="AQ1019" s="9" t="s">
        <v>445</v>
      </c>
      <c r="AR1019" s="15">
        <v>1983</v>
      </c>
      <c r="AS1019" s="19" t="s">
        <v>1301</v>
      </c>
      <c r="AT1019" s="20" t="s">
        <v>1302</v>
      </c>
      <c r="AU1019" s="40">
        <v>11320528</v>
      </c>
      <c r="AV1019" s="35">
        <f t="shared" si="137"/>
        <v>7.0538666832249381</v>
      </c>
      <c r="AW1019" s="37" t="s">
        <v>338</v>
      </c>
      <c r="AX1019" s="40">
        <v>0</v>
      </c>
      <c r="AY1019" s="40">
        <v>2200</v>
      </c>
      <c r="AZ1019" s="37">
        <v>146</v>
      </c>
      <c r="BA1019" s="14">
        <f t="shared" si="138"/>
        <v>2.1643528557844371</v>
      </c>
      <c r="BB1019" s="37" t="s">
        <v>367</v>
      </c>
      <c r="BC1019" s="20">
        <v>7.1628651460558916E-4</v>
      </c>
      <c r="BD1019" s="9">
        <v>29.5</v>
      </c>
      <c r="BE1019" s="9" t="s">
        <v>368</v>
      </c>
      <c r="BF1019" s="9">
        <v>0</v>
      </c>
    </row>
    <row r="1020" spans="1:58">
      <c r="A1020" s="9">
        <v>608</v>
      </c>
      <c r="B1020" s="10" t="s">
        <v>76</v>
      </c>
      <c r="C1020" s="10" t="s">
        <v>389</v>
      </c>
      <c r="D1020" s="20" t="s">
        <v>390</v>
      </c>
      <c r="E1020" s="20" t="s">
        <v>404</v>
      </c>
      <c r="F1020" s="10" t="s">
        <v>389</v>
      </c>
      <c r="G1020" s="20" t="s">
        <v>390</v>
      </c>
      <c r="H1020" s="20" t="s">
        <v>404</v>
      </c>
      <c r="I1020" s="10" t="s">
        <v>389</v>
      </c>
      <c r="J1020" s="20" t="s">
        <v>405</v>
      </c>
      <c r="K1020" s="20" t="s">
        <v>406</v>
      </c>
      <c r="L1020" s="9" t="s">
        <v>380</v>
      </c>
      <c r="M1020" s="9">
        <v>10</v>
      </c>
      <c r="N1020" s="9" t="s">
        <v>381</v>
      </c>
      <c r="O1020" s="9" t="s">
        <v>382</v>
      </c>
      <c r="P1020" s="12">
        <v>42.1</v>
      </c>
      <c r="Q1020" s="12" t="s">
        <v>355</v>
      </c>
      <c r="R1020" s="9" t="s">
        <v>356</v>
      </c>
      <c r="S1020" s="13" t="s">
        <v>355</v>
      </c>
      <c r="T1020" s="13"/>
      <c r="U1020" s="14"/>
      <c r="V1020" s="15">
        <v>20</v>
      </c>
      <c r="W1020" s="12"/>
      <c r="X1020" s="12">
        <v>1</v>
      </c>
      <c r="Y1020" s="13" t="s">
        <v>731</v>
      </c>
      <c r="Z1020" s="9" t="s">
        <v>359</v>
      </c>
      <c r="AA1020" s="10" t="s">
        <v>1300</v>
      </c>
      <c r="AB1020" s="9" t="s">
        <v>355</v>
      </c>
      <c r="AC1020" s="15">
        <v>64</v>
      </c>
      <c r="AD1020" s="14">
        <f t="shared" si="135"/>
        <v>1.8061799739838871</v>
      </c>
      <c r="AE1020" s="10" t="s">
        <v>756</v>
      </c>
      <c r="AF1020" s="9" t="s">
        <v>420</v>
      </c>
      <c r="AG1020" s="18">
        <v>27.552838000000001</v>
      </c>
      <c r="AH1020" s="18"/>
      <c r="AI1020" s="18"/>
      <c r="AJ1020" s="18"/>
      <c r="AK1020" s="18"/>
      <c r="AL1020" s="18"/>
      <c r="AM1020" s="18">
        <f t="shared" si="136"/>
        <v>1.4401663387326675</v>
      </c>
      <c r="AN1020" s="18">
        <v>-27.552838000000001</v>
      </c>
      <c r="AO1020" s="18">
        <v>153.05550500000001</v>
      </c>
      <c r="AP1020" s="9" t="s">
        <v>363</v>
      </c>
      <c r="AQ1020" s="9" t="s">
        <v>1308</v>
      </c>
      <c r="AR1020" s="15">
        <v>1985</v>
      </c>
      <c r="AS1020" s="19" t="s">
        <v>1306</v>
      </c>
      <c r="AT1020" s="20" t="s">
        <v>1307</v>
      </c>
      <c r="AU1020" s="40">
        <v>11320528</v>
      </c>
      <c r="AV1020" s="35">
        <f t="shared" si="137"/>
        <v>7.0538666832249381</v>
      </c>
      <c r="AW1020" s="37" t="s">
        <v>338</v>
      </c>
      <c r="AX1020" s="40">
        <v>0</v>
      </c>
      <c r="AY1020" s="40">
        <v>2200</v>
      </c>
      <c r="AZ1020" s="37">
        <v>146</v>
      </c>
      <c r="BA1020" s="14">
        <f t="shared" si="138"/>
        <v>2.1643528557844371</v>
      </c>
      <c r="BB1020" s="37" t="s">
        <v>367</v>
      </c>
      <c r="BC1020" s="20">
        <v>7.1628651460558916E-4</v>
      </c>
      <c r="BD1020" s="9">
        <v>29.5</v>
      </c>
      <c r="BE1020" s="9" t="s">
        <v>368</v>
      </c>
      <c r="BF1020" s="9">
        <v>0</v>
      </c>
    </row>
    <row r="1021" spans="1:58">
      <c r="A1021" s="9">
        <v>583</v>
      </c>
      <c r="B1021" s="10" t="s">
        <v>76</v>
      </c>
      <c r="C1021" s="10" t="s">
        <v>389</v>
      </c>
      <c r="D1021" s="20" t="s">
        <v>390</v>
      </c>
      <c r="E1021" s="20" t="s">
        <v>404</v>
      </c>
      <c r="F1021" s="10" t="s">
        <v>389</v>
      </c>
      <c r="G1021" s="20" t="s">
        <v>390</v>
      </c>
      <c r="H1021" s="20" t="s">
        <v>404</v>
      </c>
      <c r="I1021" s="10" t="s">
        <v>389</v>
      </c>
      <c r="J1021" s="20" t="s">
        <v>405</v>
      </c>
      <c r="K1021" s="20" t="s">
        <v>406</v>
      </c>
      <c r="L1021" s="9" t="s">
        <v>380</v>
      </c>
      <c r="M1021" s="9">
        <v>10</v>
      </c>
      <c r="N1021" s="9" t="s">
        <v>381</v>
      </c>
      <c r="O1021" s="9" t="s">
        <v>382</v>
      </c>
      <c r="P1021" s="12">
        <v>42.23706</v>
      </c>
      <c r="Q1021" s="12" t="s">
        <v>355</v>
      </c>
      <c r="R1021" s="9" t="s">
        <v>356</v>
      </c>
      <c r="S1021" s="13" t="s">
        <v>355</v>
      </c>
      <c r="T1021" s="13"/>
      <c r="U1021" s="14"/>
      <c r="V1021" s="15">
        <v>25</v>
      </c>
      <c r="W1021" s="12"/>
      <c r="X1021" s="12">
        <v>1</v>
      </c>
      <c r="Y1021" s="13" t="s">
        <v>358</v>
      </c>
      <c r="Z1021" s="9" t="s">
        <v>359</v>
      </c>
      <c r="AA1021" s="10" t="s">
        <v>1300</v>
      </c>
      <c r="AB1021" s="9" t="s">
        <v>355</v>
      </c>
      <c r="AC1021" s="15">
        <v>64</v>
      </c>
      <c r="AD1021" s="14">
        <f t="shared" si="135"/>
        <v>1.8061799739838871</v>
      </c>
      <c r="AE1021" s="10" t="s">
        <v>756</v>
      </c>
      <c r="AF1021" s="9" t="s">
        <v>420</v>
      </c>
      <c r="AG1021" s="18">
        <v>27.552838000000001</v>
      </c>
      <c r="AH1021" s="18"/>
      <c r="AI1021" s="18"/>
      <c r="AJ1021" s="18"/>
      <c r="AK1021" s="18"/>
      <c r="AL1021" s="18"/>
      <c r="AM1021" s="18">
        <f t="shared" si="136"/>
        <v>1.4401663387326675</v>
      </c>
      <c r="AN1021" s="18">
        <v>-27.552838000000001</v>
      </c>
      <c r="AO1021" s="18">
        <v>153.05550500000001</v>
      </c>
      <c r="AP1021" s="9" t="s">
        <v>363</v>
      </c>
      <c r="AQ1021" s="9" t="s">
        <v>1309</v>
      </c>
      <c r="AR1021" s="15">
        <v>1983</v>
      </c>
      <c r="AS1021" s="19" t="s">
        <v>1301</v>
      </c>
      <c r="AT1021" s="20" t="s">
        <v>1302</v>
      </c>
      <c r="AU1021" s="40">
        <v>11320528</v>
      </c>
      <c r="AV1021" s="35">
        <f t="shared" si="137"/>
        <v>7.0538666832249381</v>
      </c>
      <c r="AW1021" s="37" t="s">
        <v>338</v>
      </c>
      <c r="AX1021" s="40">
        <v>0</v>
      </c>
      <c r="AY1021" s="40">
        <v>2200</v>
      </c>
      <c r="AZ1021" s="37">
        <v>146</v>
      </c>
      <c r="BA1021" s="14">
        <f t="shared" si="138"/>
        <v>2.1643528557844371</v>
      </c>
      <c r="BB1021" s="37" t="s">
        <v>367</v>
      </c>
      <c r="BC1021" s="20">
        <v>7.1628651460558916E-4</v>
      </c>
      <c r="BD1021" s="9">
        <v>29.5</v>
      </c>
      <c r="BE1021" s="9" t="s">
        <v>368</v>
      </c>
      <c r="BF1021" s="9">
        <v>0</v>
      </c>
    </row>
    <row r="1022" spans="1:58">
      <c r="A1022" s="9">
        <v>589</v>
      </c>
      <c r="B1022" s="10" t="s">
        <v>76</v>
      </c>
      <c r="C1022" s="10" t="s">
        <v>389</v>
      </c>
      <c r="D1022" s="20" t="s">
        <v>390</v>
      </c>
      <c r="E1022" s="20" t="s">
        <v>404</v>
      </c>
      <c r="F1022" s="10" t="s">
        <v>389</v>
      </c>
      <c r="G1022" s="20" t="s">
        <v>390</v>
      </c>
      <c r="H1022" s="20" t="s">
        <v>404</v>
      </c>
      <c r="I1022" s="10" t="s">
        <v>389</v>
      </c>
      <c r="J1022" s="20" t="s">
        <v>405</v>
      </c>
      <c r="K1022" s="20" t="s">
        <v>406</v>
      </c>
      <c r="L1022" s="9" t="s">
        <v>380</v>
      </c>
      <c r="M1022" s="9">
        <v>10</v>
      </c>
      <c r="N1022" s="9" t="s">
        <v>381</v>
      </c>
      <c r="O1022" s="9" t="s">
        <v>382</v>
      </c>
      <c r="P1022" s="12">
        <v>42.330440000000003</v>
      </c>
      <c r="Q1022" s="12" t="s">
        <v>355</v>
      </c>
      <c r="R1022" s="9" t="s">
        <v>356</v>
      </c>
      <c r="S1022" s="13" t="s">
        <v>355</v>
      </c>
      <c r="T1022" s="13"/>
      <c r="U1022" s="14"/>
      <c r="V1022" s="15">
        <v>25</v>
      </c>
      <c r="W1022" s="12"/>
      <c r="X1022" s="12">
        <v>1</v>
      </c>
      <c r="Y1022" s="13" t="s">
        <v>358</v>
      </c>
      <c r="Z1022" s="9" t="s">
        <v>359</v>
      </c>
      <c r="AA1022" s="10" t="s">
        <v>1300</v>
      </c>
      <c r="AB1022" s="9" t="s">
        <v>355</v>
      </c>
      <c r="AC1022" s="15">
        <v>64</v>
      </c>
      <c r="AD1022" s="14">
        <f t="shared" si="135"/>
        <v>1.8061799739838871</v>
      </c>
      <c r="AE1022" s="10" t="s">
        <v>756</v>
      </c>
      <c r="AF1022" s="9" t="s">
        <v>420</v>
      </c>
      <c r="AG1022" s="18">
        <v>27.552838000000001</v>
      </c>
      <c r="AH1022" s="18"/>
      <c r="AI1022" s="18"/>
      <c r="AJ1022" s="18"/>
      <c r="AK1022" s="18"/>
      <c r="AL1022" s="18"/>
      <c r="AM1022" s="18">
        <f t="shared" si="136"/>
        <v>1.4401663387326675</v>
      </c>
      <c r="AN1022" s="18">
        <v>-27.552838000000001</v>
      </c>
      <c r="AO1022" s="18">
        <v>153.05550500000001</v>
      </c>
      <c r="AP1022" s="9" t="s">
        <v>363</v>
      </c>
      <c r="AQ1022" s="9" t="s">
        <v>1310</v>
      </c>
      <c r="AR1022" s="15">
        <v>1983</v>
      </c>
      <c r="AS1022" s="19" t="s">
        <v>1301</v>
      </c>
      <c r="AT1022" s="20" t="s">
        <v>1302</v>
      </c>
      <c r="AU1022" s="40">
        <v>11320528</v>
      </c>
      <c r="AV1022" s="35">
        <f t="shared" si="137"/>
        <v>7.0538666832249381</v>
      </c>
      <c r="AW1022" s="37" t="s">
        <v>338</v>
      </c>
      <c r="AX1022" s="40">
        <v>0</v>
      </c>
      <c r="AY1022" s="40">
        <v>2200</v>
      </c>
      <c r="AZ1022" s="37">
        <v>146</v>
      </c>
      <c r="BA1022" s="14">
        <f t="shared" si="138"/>
        <v>2.1643528557844371</v>
      </c>
      <c r="BB1022" s="37" t="s">
        <v>367</v>
      </c>
      <c r="BC1022" s="20">
        <v>7.1628651460558916E-4</v>
      </c>
      <c r="BD1022" s="9">
        <v>29.5</v>
      </c>
      <c r="BE1022" s="9" t="s">
        <v>368</v>
      </c>
      <c r="BF1022" s="9">
        <v>0</v>
      </c>
    </row>
    <row r="1023" spans="1:58">
      <c r="A1023" s="9">
        <v>586</v>
      </c>
      <c r="B1023" s="10" t="s">
        <v>76</v>
      </c>
      <c r="C1023" s="10" t="s">
        <v>389</v>
      </c>
      <c r="D1023" s="20" t="s">
        <v>390</v>
      </c>
      <c r="E1023" s="20" t="s">
        <v>404</v>
      </c>
      <c r="F1023" s="10" t="s">
        <v>389</v>
      </c>
      <c r="G1023" s="20" t="s">
        <v>390</v>
      </c>
      <c r="H1023" s="20" t="s">
        <v>404</v>
      </c>
      <c r="I1023" s="10" t="s">
        <v>389</v>
      </c>
      <c r="J1023" s="20" t="s">
        <v>405</v>
      </c>
      <c r="K1023" s="20" t="s">
        <v>406</v>
      </c>
      <c r="L1023" s="9" t="s">
        <v>380</v>
      </c>
      <c r="M1023" s="9">
        <v>10</v>
      </c>
      <c r="N1023" s="9" t="s">
        <v>381</v>
      </c>
      <c r="O1023" s="9" t="s">
        <v>382</v>
      </c>
      <c r="P1023" s="12">
        <v>42.370980000000003</v>
      </c>
      <c r="Q1023" s="12" t="s">
        <v>355</v>
      </c>
      <c r="R1023" s="9" t="s">
        <v>356</v>
      </c>
      <c r="S1023" s="13" t="s">
        <v>355</v>
      </c>
      <c r="T1023" s="13"/>
      <c r="U1023" s="14"/>
      <c r="V1023" s="15">
        <v>25</v>
      </c>
      <c r="W1023" s="12"/>
      <c r="X1023" s="12">
        <v>1</v>
      </c>
      <c r="Y1023" s="13" t="s">
        <v>358</v>
      </c>
      <c r="Z1023" s="9" t="s">
        <v>359</v>
      </c>
      <c r="AA1023" s="10" t="s">
        <v>1300</v>
      </c>
      <c r="AB1023" s="9" t="s">
        <v>355</v>
      </c>
      <c r="AC1023" s="15">
        <v>64</v>
      </c>
      <c r="AD1023" s="14">
        <f t="shared" si="135"/>
        <v>1.8061799739838871</v>
      </c>
      <c r="AE1023" s="10" t="s">
        <v>756</v>
      </c>
      <c r="AF1023" s="9" t="s">
        <v>420</v>
      </c>
      <c r="AG1023" s="18">
        <v>27.552838000000001</v>
      </c>
      <c r="AH1023" s="18"/>
      <c r="AI1023" s="18"/>
      <c r="AJ1023" s="18"/>
      <c r="AK1023" s="18"/>
      <c r="AL1023" s="18"/>
      <c r="AM1023" s="18">
        <f t="shared" si="136"/>
        <v>1.4401663387326675</v>
      </c>
      <c r="AN1023" s="18">
        <v>-27.552838000000001</v>
      </c>
      <c r="AO1023" s="18">
        <v>153.05550500000001</v>
      </c>
      <c r="AP1023" s="9" t="s">
        <v>363</v>
      </c>
      <c r="AQ1023" s="9" t="s">
        <v>449</v>
      </c>
      <c r="AR1023" s="15">
        <v>1983</v>
      </c>
      <c r="AS1023" s="19" t="s">
        <v>1301</v>
      </c>
      <c r="AT1023" s="20" t="s">
        <v>1302</v>
      </c>
      <c r="AU1023" s="40">
        <v>11320528</v>
      </c>
      <c r="AV1023" s="35">
        <f t="shared" si="137"/>
        <v>7.0538666832249381</v>
      </c>
      <c r="AW1023" s="37" t="s">
        <v>338</v>
      </c>
      <c r="AX1023" s="40">
        <v>0</v>
      </c>
      <c r="AY1023" s="40">
        <v>2200</v>
      </c>
      <c r="AZ1023" s="37">
        <v>146</v>
      </c>
      <c r="BA1023" s="14">
        <f t="shared" si="138"/>
        <v>2.1643528557844371</v>
      </c>
      <c r="BB1023" s="37" t="s">
        <v>367</v>
      </c>
      <c r="BC1023" s="20">
        <v>7.1628651460558916E-4</v>
      </c>
      <c r="BD1023" s="9">
        <v>29.5</v>
      </c>
      <c r="BE1023" s="9" t="s">
        <v>368</v>
      </c>
      <c r="BF1023" s="9">
        <v>0</v>
      </c>
    </row>
    <row r="1024" spans="1:58">
      <c r="A1024" s="9">
        <v>577</v>
      </c>
      <c r="B1024" s="10" t="s">
        <v>76</v>
      </c>
      <c r="C1024" s="10" t="s">
        <v>389</v>
      </c>
      <c r="D1024" s="20" t="s">
        <v>390</v>
      </c>
      <c r="E1024" s="20" t="s">
        <v>404</v>
      </c>
      <c r="F1024" s="10" t="s">
        <v>389</v>
      </c>
      <c r="G1024" s="20" t="s">
        <v>390</v>
      </c>
      <c r="H1024" s="20" t="s">
        <v>404</v>
      </c>
      <c r="I1024" s="10" t="s">
        <v>389</v>
      </c>
      <c r="J1024" s="20" t="s">
        <v>405</v>
      </c>
      <c r="K1024" s="20" t="s">
        <v>406</v>
      </c>
      <c r="L1024" s="9" t="s">
        <v>380</v>
      </c>
      <c r="M1024" s="9">
        <v>10</v>
      </c>
      <c r="N1024" s="9" t="s">
        <v>381</v>
      </c>
      <c r="O1024" s="9" t="s">
        <v>382</v>
      </c>
      <c r="P1024" s="12">
        <v>42.51088</v>
      </c>
      <c r="Q1024" s="12" t="s">
        <v>355</v>
      </c>
      <c r="R1024" s="9" t="s">
        <v>356</v>
      </c>
      <c r="S1024" s="13" t="s">
        <v>355</v>
      </c>
      <c r="T1024" s="13"/>
      <c r="U1024" s="14"/>
      <c r="V1024" s="15">
        <v>25</v>
      </c>
      <c r="W1024" s="12"/>
      <c r="X1024" s="12">
        <v>1</v>
      </c>
      <c r="Y1024" s="13" t="s">
        <v>358</v>
      </c>
      <c r="Z1024" s="9" t="s">
        <v>359</v>
      </c>
      <c r="AA1024" s="10" t="s">
        <v>1300</v>
      </c>
      <c r="AB1024" s="9" t="s">
        <v>355</v>
      </c>
      <c r="AC1024" s="15">
        <v>64</v>
      </c>
      <c r="AD1024" s="14">
        <f t="shared" si="135"/>
        <v>1.8061799739838871</v>
      </c>
      <c r="AE1024" s="10" t="s">
        <v>756</v>
      </c>
      <c r="AF1024" s="9" t="s">
        <v>420</v>
      </c>
      <c r="AG1024" s="18">
        <v>27.552838000000001</v>
      </c>
      <c r="AH1024" s="18"/>
      <c r="AI1024" s="18"/>
      <c r="AJ1024" s="18"/>
      <c r="AK1024" s="18"/>
      <c r="AL1024" s="18"/>
      <c r="AM1024" s="18">
        <f t="shared" si="136"/>
        <v>1.4401663387326675</v>
      </c>
      <c r="AN1024" s="18">
        <v>-27.552838000000001</v>
      </c>
      <c r="AO1024" s="18">
        <v>153.05550500000001</v>
      </c>
      <c r="AP1024" s="9" t="s">
        <v>363</v>
      </c>
      <c r="AQ1024" s="9" t="s">
        <v>1311</v>
      </c>
      <c r="AR1024" s="15">
        <v>1983</v>
      </c>
      <c r="AS1024" s="19" t="s">
        <v>1301</v>
      </c>
      <c r="AT1024" s="20" t="s">
        <v>1302</v>
      </c>
      <c r="AU1024" s="40">
        <v>11320528</v>
      </c>
      <c r="AV1024" s="35">
        <f t="shared" si="137"/>
        <v>7.0538666832249381</v>
      </c>
      <c r="AW1024" s="37" t="s">
        <v>338</v>
      </c>
      <c r="AX1024" s="40">
        <v>0</v>
      </c>
      <c r="AY1024" s="40">
        <v>2200</v>
      </c>
      <c r="AZ1024" s="37">
        <v>146</v>
      </c>
      <c r="BA1024" s="14">
        <f t="shared" si="138"/>
        <v>2.1643528557844371</v>
      </c>
      <c r="BB1024" s="37" t="s">
        <v>367</v>
      </c>
      <c r="BC1024" s="20">
        <v>7.1628651460558916E-4</v>
      </c>
      <c r="BD1024" s="9">
        <v>29.5</v>
      </c>
      <c r="BE1024" s="9" t="s">
        <v>368</v>
      </c>
      <c r="BF1024" s="9">
        <v>0</v>
      </c>
    </row>
    <row r="1025" spans="1:58">
      <c r="A1025" s="9">
        <v>599</v>
      </c>
      <c r="B1025" s="10" t="s">
        <v>76</v>
      </c>
      <c r="C1025" s="10" t="s">
        <v>389</v>
      </c>
      <c r="D1025" s="20" t="s">
        <v>390</v>
      </c>
      <c r="E1025" s="20" t="s">
        <v>404</v>
      </c>
      <c r="F1025" s="10" t="s">
        <v>389</v>
      </c>
      <c r="G1025" s="20" t="s">
        <v>390</v>
      </c>
      <c r="H1025" s="20" t="s">
        <v>404</v>
      </c>
      <c r="I1025" s="10" t="s">
        <v>389</v>
      </c>
      <c r="J1025" s="20" t="s">
        <v>405</v>
      </c>
      <c r="K1025" s="20" t="s">
        <v>406</v>
      </c>
      <c r="L1025" s="9" t="s">
        <v>380</v>
      </c>
      <c r="M1025" s="9">
        <v>10</v>
      </c>
      <c r="N1025" s="9" t="s">
        <v>381</v>
      </c>
      <c r="O1025" s="9" t="s">
        <v>382</v>
      </c>
      <c r="P1025" s="12">
        <v>42.732489999999999</v>
      </c>
      <c r="Q1025" s="12" t="s">
        <v>355</v>
      </c>
      <c r="R1025" s="9" t="s">
        <v>356</v>
      </c>
      <c r="S1025" s="13" t="s">
        <v>355</v>
      </c>
      <c r="T1025" s="13"/>
      <c r="U1025" s="14"/>
      <c r="V1025" s="15">
        <v>35</v>
      </c>
      <c r="W1025" s="12"/>
      <c r="X1025" s="12">
        <v>1</v>
      </c>
      <c r="Y1025" s="13" t="s">
        <v>358</v>
      </c>
      <c r="Z1025" s="9" t="s">
        <v>359</v>
      </c>
      <c r="AA1025" s="10" t="s">
        <v>1300</v>
      </c>
      <c r="AB1025" s="9" t="s">
        <v>355</v>
      </c>
      <c r="AC1025" s="15">
        <v>64</v>
      </c>
      <c r="AD1025" s="14">
        <f t="shared" si="135"/>
        <v>1.8061799739838871</v>
      </c>
      <c r="AE1025" s="10" t="s">
        <v>756</v>
      </c>
      <c r="AF1025" s="9" t="s">
        <v>420</v>
      </c>
      <c r="AG1025" s="18">
        <v>27.552838000000001</v>
      </c>
      <c r="AH1025" s="18"/>
      <c r="AI1025" s="18"/>
      <c r="AJ1025" s="18"/>
      <c r="AK1025" s="18"/>
      <c r="AL1025" s="18"/>
      <c r="AM1025" s="18">
        <f t="shared" si="136"/>
        <v>1.4401663387326675</v>
      </c>
      <c r="AN1025" s="18">
        <v>-27.552838000000001</v>
      </c>
      <c r="AO1025" s="18">
        <v>153.05550500000001</v>
      </c>
      <c r="AP1025" s="9" t="s">
        <v>363</v>
      </c>
      <c r="AQ1025" s="9" t="s">
        <v>443</v>
      </c>
      <c r="AR1025" s="15">
        <v>1983</v>
      </c>
      <c r="AS1025" s="19" t="s">
        <v>1301</v>
      </c>
      <c r="AT1025" s="20" t="s">
        <v>1302</v>
      </c>
      <c r="AU1025" s="40">
        <v>11320528</v>
      </c>
      <c r="AV1025" s="35">
        <f t="shared" si="137"/>
        <v>7.0538666832249381</v>
      </c>
      <c r="AW1025" s="37" t="s">
        <v>338</v>
      </c>
      <c r="AX1025" s="40">
        <v>0</v>
      </c>
      <c r="AY1025" s="40">
        <v>2200</v>
      </c>
      <c r="AZ1025" s="37">
        <v>146</v>
      </c>
      <c r="BA1025" s="14">
        <f t="shared" si="138"/>
        <v>2.1643528557844371</v>
      </c>
      <c r="BB1025" s="37" t="s">
        <v>367</v>
      </c>
      <c r="BC1025" s="20">
        <v>7.1628651460558916E-4</v>
      </c>
      <c r="BD1025" s="9">
        <v>29.5</v>
      </c>
      <c r="BE1025" s="9" t="s">
        <v>368</v>
      </c>
      <c r="BF1025" s="9">
        <v>0</v>
      </c>
    </row>
    <row r="1026" spans="1:58">
      <c r="A1026" s="9">
        <v>576</v>
      </c>
      <c r="B1026" s="10" t="s">
        <v>76</v>
      </c>
      <c r="C1026" s="10" t="s">
        <v>389</v>
      </c>
      <c r="D1026" s="20" t="s">
        <v>390</v>
      </c>
      <c r="E1026" s="20" t="s">
        <v>404</v>
      </c>
      <c r="F1026" s="10" t="s">
        <v>389</v>
      </c>
      <c r="G1026" s="20" t="s">
        <v>390</v>
      </c>
      <c r="H1026" s="20" t="s">
        <v>404</v>
      </c>
      <c r="I1026" s="10" t="s">
        <v>389</v>
      </c>
      <c r="J1026" s="20" t="s">
        <v>405</v>
      </c>
      <c r="K1026" s="20" t="s">
        <v>406</v>
      </c>
      <c r="L1026" s="9" t="s">
        <v>380</v>
      </c>
      <c r="M1026" s="9">
        <v>10</v>
      </c>
      <c r="N1026" s="9" t="s">
        <v>381</v>
      </c>
      <c r="O1026" s="9" t="s">
        <v>382</v>
      </c>
      <c r="P1026" s="12">
        <v>42.984540000000003</v>
      </c>
      <c r="Q1026" s="12" t="s">
        <v>355</v>
      </c>
      <c r="R1026" s="9" t="s">
        <v>356</v>
      </c>
      <c r="S1026" s="13" t="s">
        <v>355</v>
      </c>
      <c r="T1026" s="13"/>
      <c r="U1026" s="14"/>
      <c r="V1026" s="15">
        <v>30</v>
      </c>
      <c r="W1026" s="12"/>
      <c r="X1026" s="12">
        <v>1</v>
      </c>
      <c r="Y1026" s="13" t="s">
        <v>358</v>
      </c>
      <c r="Z1026" s="9" t="s">
        <v>359</v>
      </c>
      <c r="AA1026" s="10" t="s">
        <v>1300</v>
      </c>
      <c r="AB1026" s="9" t="s">
        <v>355</v>
      </c>
      <c r="AC1026" s="15">
        <v>64</v>
      </c>
      <c r="AD1026" s="14">
        <f t="shared" si="135"/>
        <v>1.8061799739838871</v>
      </c>
      <c r="AE1026" s="10" t="s">
        <v>756</v>
      </c>
      <c r="AF1026" s="9" t="s">
        <v>420</v>
      </c>
      <c r="AG1026" s="18">
        <v>27.552838000000001</v>
      </c>
      <c r="AH1026" s="18"/>
      <c r="AI1026" s="18"/>
      <c r="AJ1026" s="18"/>
      <c r="AK1026" s="18"/>
      <c r="AL1026" s="18"/>
      <c r="AM1026" s="18">
        <f t="shared" si="136"/>
        <v>1.4401663387326675</v>
      </c>
      <c r="AN1026" s="18">
        <v>-27.552838000000001</v>
      </c>
      <c r="AO1026" s="18">
        <v>153.05550500000001</v>
      </c>
      <c r="AP1026" s="9" t="s">
        <v>363</v>
      </c>
      <c r="AQ1026" s="9" t="s">
        <v>1311</v>
      </c>
      <c r="AR1026" s="15">
        <v>1983</v>
      </c>
      <c r="AS1026" s="19" t="s">
        <v>1301</v>
      </c>
      <c r="AT1026" s="20" t="s">
        <v>1302</v>
      </c>
      <c r="AU1026" s="40">
        <v>11320528</v>
      </c>
      <c r="AV1026" s="35">
        <f t="shared" si="137"/>
        <v>7.0538666832249381</v>
      </c>
      <c r="AW1026" s="37" t="s">
        <v>338</v>
      </c>
      <c r="AX1026" s="40">
        <v>0</v>
      </c>
      <c r="AY1026" s="40">
        <v>2200</v>
      </c>
      <c r="AZ1026" s="37">
        <v>146</v>
      </c>
      <c r="BA1026" s="14">
        <f t="shared" si="138"/>
        <v>2.1643528557844371</v>
      </c>
      <c r="BB1026" s="37" t="s">
        <v>367</v>
      </c>
      <c r="BC1026" s="20">
        <v>7.1628651460558916E-4</v>
      </c>
      <c r="BD1026" s="9">
        <v>29.5</v>
      </c>
      <c r="BE1026" s="9" t="s">
        <v>368</v>
      </c>
      <c r="BF1026" s="9">
        <v>0</v>
      </c>
    </row>
    <row r="1027" spans="1:58">
      <c r="A1027" s="9">
        <v>606</v>
      </c>
      <c r="B1027" s="10" t="s">
        <v>76</v>
      </c>
      <c r="C1027" s="10" t="s">
        <v>389</v>
      </c>
      <c r="D1027" s="20" t="s">
        <v>390</v>
      </c>
      <c r="E1027" s="20" t="s">
        <v>404</v>
      </c>
      <c r="F1027" s="10" t="s">
        <v>389</v>
      </c>
      <c r="G1027" s="20" t="s">
        <v>390</v>
      </c>
      <c r="H1027" s="20" t="s">
        <v>404</v>
      </c>
      <c r="I1027" s="10" t="s">
        <v>389</v>
      </c>
      <c r="J1027" s="20" t="s">
        <v>405</v>
      </c>
      <c r="K1027" s="20" t="s">
        <v>406</v>
      </c>
      <c r="L1027" s="9" t="s">
        <v>380</v>
      </c>
      <c r="M1027" s="9">
        <v>10</v>
      </c>
      <c r="N1027" s="9" t="s">
        <v>381</v>
      </c>
      <c r="O1027" s="9" t="s">
        <v>382</v>
      </c>
      <c r="P1027" s="12">
        <v>43.1</v>
      </c>
      <c r="Q1027" s="12" t="s">
        <v>355</v>
      </c>
      <c r="R1027" s="9" t="s">
        <v>356</v>
      </c>
      <c r="S1027" s="13" t="s">
        <v>355</v>
      </c>
      <c r="T1027" s="13"/>
      <c r="U1027" s="14"/>
      <c r="V1027" s="15">
        <v>27</v>
      </c>
      <c r="W1027" s="12"/>
      <c r="X1027" s="12">
        <v>1</v>
      </c>
      <c r="Y1027" s="13" t="s">
        <v>732</v>
      </c>
      <c r="Z1027" s="9" t="s">
        <v>359</v>
      </c>
      <c r="AA1027" s="10" t="s">
        <v>1300</v>
      </c>
      <c r="AB1027" s="9" t="s">
        <v>355</v>
      </c>
      <c r="AC1027" s="15">
        <v>64</v>
      </c>
      <c r="AD1027" s="14">
        <f t="shared" si="135"/>
        <v>1.8061799739838871</v>
      </c>
      <c r="AE1027" s="10" t="s">
        <v>756</v>
      </c>
      <c r="AF1027" s="9" t="s">
        <v>420</v>
      </c>
      <c r="AG1027" s="18">
        <v>27.552838000000001</v>
      </c>
      <c r="AH1027" s="18"/>
      <c r="AI1027" s="18"/>
      <c r="AJ1027" s="18"/>
      <c r="AK1027" s="18"/>
      <c r="AL1027" s="18"/>
      <c r="AM1027" s="18">
        <f t="shared" si="136"/>
        <v>1.4401663387326675</v>
      </c>
      <c r="AN1027" s="18">
        <v>-27.552838000000001</v>
      </c>
      <c r="AO1027" s="18">
        <v>153.05550500000001</v>
      </c>
      <c r="AP1027" s="9" t="s">
        <v>363</v>
      </c>
      <c r="AQ1027" s="9" t="s">
        <v>1305</v>
      </c>
      <c r="AR1027" s="15">
        <v>1985</v>
      </c>
      <c r="AS1027" s="19" t="s">
        <v>1306</v>
      </c>
      <c r="AT1027" s="20" t="s">
        <v>1307</v>
      </c>
      <c r="AU1027" s="40">
        <v>11320528</v>
      </c>
      <c r="AV1027" s="35">
        <f t="shared" si="137"/>
        <v>7.0538666832249381</v>
      </c>
      <c r="AW1027" s="37" t="s">
        <v>338</v>
      </c>
      <c r="AX1027" s="40">
        <v>0</v>
      </c>
      <c r="AY1027" s="40">
        <v>2200</v>
      </c>
      <c r="AZ1027" s="37">
        <v>146</v>
      </c>
      <c r="BA1027" s="14">
        <f t="shared" si="138"/>
        <v>2.1643528557844371</v>
      </c>
      <c r="BB1027" s="37" t="s">
        <v>367</v>
      </c>
      <c r="BC1027" s="20">
        <v>7.1628651460558916E-4</v>
      </c>
      <c r="BD1027" s="9">
        <v>29.5</v>
      </c>
      <c r="BE1027" s="9" t="s">
        <v>368</v>
      </c>
      <c r="BF1027" s="9">
        <v>0</v>
      </c>
    </row>
    <row r="1028" spans="1:58">
      <c r="A1028" s="9">
        <v>609</v>
      </c>
      <c r="B1028" s="10" t="s">
        <v>76</v>
      </c>
      <c r="C1028" s="10" t="s">
        <v>389</v>
      </c>
      <c r="D1028" s="20" t="s">
        <v>390</v>
      </c>
      <c r="E1028" s="20" t="s">
        <v>404</v>
      </c>
      <c r="F1028" s="10" t="s">
        <v>389</v>
      </c>
      <c r="G1028" s="20" t="s">
        <v>390</v>
      </c>
      <c r="H1028" s="20" t="s">
        <v>404</v>
      </c>
      <c r="I1028" s="10" t="s">
        <v>389</v>
      </c>
      <c r="J1028" s="20" t="s">
        <v>405</v>
      </c>
      <c r="K1028" s="20" t="s">
        <v>406</v>
      </c>
      <c r="L1028" s="9" t="s">
        <v>380</v>
      </c>
      <c r="M1028" s="9">
        <v>10</v>
      </c>
      <c r="N1028" s="9" t="s">
        <v>381</v>
      </c>
      <c r="O1028" s="9" t="s">
        <v>382</v>
      </c>
      <c r="P1028" s="12">
        <v>43.1</v>
      </c>
      <c r="Q1028" s="12" t="s">
        <v>355</v>
      </c>
      <c r="R1028" s="9" t="s">
        <v>356</v>
      </c>
      <c r="S1028" s="13" t="s">
        <v>355</v>
      </c>
      <c r="T1028" s="13"/>
      <c r="U1028" s="14"/>
      <c r="V1028" s="15">
        <v>27</v>
      </c>
      <c r="W1028" s="12"/>
      <c r="X1028" s="12">
        <v>1</v>
      </c>
      <c r="Y1028" s="13" t="s">
        <v>731</v>
      </c>
      <c r="Z1028" s="9" t="s">
        <v>359</v>
      </c>
      <c r="AA1028" s="10" t="s">
        <v>1300</v>
      </c>
      <c r="AB1028" s="9" t="s">
        <v>355</v>
      </c>
      <c r="AC1028" s="15">
        <v>64</v>
      </c>
      <c r="AD1028" s="14">
        <f t="shared" si="135"/>
        <v>1.8061799739838871</v>
      </c>
      <c r="AE1028" s="10" t="s">
        <v>756</v>
      </c>
      <c r="AF1028" s="9" t="s">
        <v>420</v>
      </c>
      <c r="AG1028" s="18">
        <v>27.552838000000001</v>
      </c>
      <c r="AH1028" s="18"/>
      <c r="AI1028" s="18"/>
      <c r="AJ1028" s="18"/>
      <c r="AK1028" s="18"/>
      <c r="AL1028" s="18"/>
      <c r="AM1028" s="18">
        <f t="shared" si="136"/>
        <v>1.4401663387326675</v>
      </c>
      <c r="AN1028" s="18">
        <v>-27.552838000000001</v>
      </c>
      <c r="AO1028" s="18">
        <v>153.05550500000001</v>
      </c>
      <c r="AP1028" s="9" t="s">
        <v>363</v>
      </c>
      <c r="AQ1028" s="9" t="s">
        <v>1308</v>
      </c>
      <c r="AR1028" s="15">
        <v>1985</v>
      </c>
      <c r="AS1028" s="19" t="s">
        <v>1306</v>
      </c>
      <c r="AT1028" s="20" t="s">
        <v>1307</v>
      </c>
      <c r="AU1028" s="40">
        <v>11320528</v>
      </c>
      <c r="AV1028" s="35">
        <f t="shared" si="137"/>
        <v>7.0538666832249381</v>
      </c>
      <c r="AW1028" s="37" t="s">
        <v>338</v>
      </c>
      <c r="AX1028" s="40">
        <v>0</v>
      </c>
      <c r="AY1028" s="40">
        <v>2200</v>
      </c>
      <c r="AZ1028" s="37">
        <v>146</v>
      </c>
      <c r="BA1028" s="14">
        <f t="shared" si="138"/>
        <v>2.1643528557844371</v>
      </c>
      <c r="BB1028" s="37" t="s">
        <v>367</v>
      </c>
      <c r="BC1028" s="20">
        <v>7.1628651460558916E-4</v>
      </c>
      <c r="BD1028" s="9">
        <v>29.5</v>
      </c>
      <c r="BE1028" s="9" t="s">
        <v>368</v>
      </c>
      <c r="BF1028" s="9">
        <v>0</v>
      </c>
    </row>
    <row r="1029" spans="1:58">
      <c r="A1029" s="9">
        <v>597</v>
      </c>
      <c r="B1029" s="10" t="s">
        <v>76</v>
      </c>
      <c r="C1029" s="10" t="s">
        <v>389</v>
      </c>
      <c r="D1029" s="20" t="s">
        <v>390</v>
      </c>
      <c r="E1029" s="20" t="s">
        <v>404</v>
      </c>
      <c r="F1029" s="10" t="s">
        <v>389</v>
      </c>
      <c r="G1029" s="20" t="s">
        <v>390</v>
      </c>
      <c r="H1029" s="20" t="s">
        <v>404</v>
      </c>
      <c r="I1029" s="10" t="s">
        <v>389</v>
      </c>
      <c r="J1029" s="20" t="s">
        <v>405</v>
      </c>
      <c r="K1029" s="20" t="s">
        <v>406</v>
      </c>
      <c r="L1029" s="9" t="s">
        <v>380</v>
      </c>
      <c r="M1029" s="9">
        <v>10</v>
      </c>
      <c r="N1029" s="9" t="s">
        <v>381</v>
      </c>
      <c r="O1029" s="9" t="s">
        <v>382</v>
      </c>
      <c r="P1029" s="12">
        <v>43.203000000000003</v>
      </c>
      <c r="Q1029" s="12" t="s">
        <v>355</v>
      </c>
      <c r="R1029" s="9" t="s">
        <v>356</v>
      </c>
      <c r="S1029" s="13" t="s">
        <v>355</v>
      </c>
      <c r="T1029" s="13"/>
      <c r="U1029" s="14"/>
      <c r="V1029" s="15">
        <v>30</v>
      </c>
      <c r="W1029" s="12"/>
      <c r="X1029" s="12">
        <v>1</v>
      </c>
      <c r="Y1029" s="13" t="s">
        <v>358</v>
      </c>
      <c r="Z1029" s="9" t="s">
        <v>359</v>
      </c>
      <c r="AA1029" s="10" t="s">
        <v>1300</v>
      </c>
      <c r="AB1029" s="9" t="s">
        <v>355</v>
      </c>
      <c r="AC1029" s="15">
        <v>64</v>
      </c>
      <c r="AD1029" s="14">
        <f t="shared" si="135"/>
        <v>1.8061799739838871</v>
      </c>
      <c r="AE1029" s="10" t="s">
        <v>756</v>
      </c>
      <c r="AF1029" s="9" t="s">
        <v>420</v>
      </c>
      <c r="AG1029" s="18">
        <v>27.552838000000001</v>
      </c>
      <c r="AH1029" s="18"/>
      <c r="AI1029" s="18"/>
      <c r="AJ1029" s="18"/>
      <c r="AK1029" s="18"/>
      <c r="AL1029" s="18"/>
      <c r="AM1029" s="18">
        <f t="shared" si="136"/>
        <v>1.4401663387326675</v>
      </c>
      <c r="AN1029" s="18">
        <v>-27.552838000000001</v>
      </c>
      <c r="AO1029" s="18">
        <v>153.05550500000001</v>
      </c>
      <c r="AP1029" s="9" t="s">
        <v>363</v>
      </c>
      <c r="AQ1029" s="9" t="s">
        <v>1303</v>
      </c>
      <c r="AR1029" s="15">
        <v>1983</v>
      </c>
      <c r="AS1029" s="19" t="s">
        <v>1301</v>
      </c>
      <c r="AT1029" s="20" t="s">
        <v>1302</v>
      </c>
      <c r="AU1029" s="40">
        <v>11320528</v>
      </c>
      <c r="AV1029" s="35">
        <f t="shared" si="137"/>
        <v>7.0538666832249381</v>
      </c>
      <c r="AW1029" s="37" t="s">
        <v>338</v>
      </c>
      <c r="AX1029" s="40">
        <v>0</v>
      </c>
      <c r="AY1029" s="40">
        <v>2200</v>
      </c>
      <c r="AZ1029" s="37">
        <v>146</v>
      </c>
      <c r="BA1029" s="14">
        <f t="shared" si="138"/>
        <v>2.1643528557844371</v>
      </c>
      <c r="BB1029" s="37" t="s">
        <v>367</v>
      </c>
      <c r="BC1029" s="20">
        <v>7.1628651460558916E-4</v>
      </c>
      <c r="BD1029" s="9">
        <v>29.5</v>
      </c>
      <c r="BE1029" s="9" t="s">
        <v>368</v>
      </c>
      <c r="BF1029" s="9">
        <v>0</v>
      </c>
    </row>
    <row r="1030" spans="1:58">
      <c r="A1030" s="9">
        <v>594</v>
      </c>
      <c r="B1030" s="10" t="s">
        <v>76</v>
      </c>
      <c r="C1030" s="10" t="s">
        <v>389</v>
      </c>
      <c r="D1030" s="20" t="s">
        <v>390</v>
      </c>
      <c r="E1030" s="20" t="s">
        <v>404</v>
      </c>
      <c r="F1030" s="10" t="s">
        <v>389</v>
      </c>
      <c r="G1030" s="20" t="s">
        <v>390</v>
      </c>
      <c r="H1030" s="20" t="s">
        <v>404</v>
      </c>
      <c r="I1030" s="10" t="s">
        <v>389</v>
      </c>
      <c r="J1030" s="20" t="s">
        <v>405</v>
      </c>
      <c r="K1030" s="20" t="s">
        <v>406</v>
      </c>
      <c r="L1030" s="9" t="s">
        <v>380</v>
      </c>
      <c r="M1030" s="9">
        <v>10</v>
      </c>
      <c r="N1030" s="9" t="s">
        <v>381</v>
      </c>
      <c r="O1030" s="9" t="s">
        <v>382</v>
      </c>
      <c r="P1030" s="12">
        <v>43.395899999999997</v>
      </c>
      <c r="Q1030" s="12" t="s">
        <v>355</v>
      </c>
      <c r="R1030" s="9" t="s">
        <v>356</v>
      </c>
      <c r="S1030" s="13" t="s">
        <v>355</v>
      </c>
      <c r="T1030" s="13"/>
      <c r="U1030" s="14"/>
      <c r="V1030" s="15">
        <v>30</v>
      </c>
      <c r="W1030" s="12"/>
      <c r="X1030" s="12">
        <v>1</v>
      </c>
      <c r="Y1030" s="13" t="s">
        <v>358</v>
      </c>
      <c r="Z1030" s="9" t="s">
        <v>359</v>
      </c>
      <c r="AA1030" s="10" t="s">
        <v>1300</v>
      </c>
      <c r="AB1030" s="9" t="s">
        <v>355</v>
      </c>
      <c r="AC1030" s="15">
        <v>64</v>
      </c>
      <c r="AD1030" s="14">
        <f t="shared" si="135"/>
        <v>1.8061799739838871</v>
      </c>
      <c r="AE1030" s="10" t="s">
        <v>756</v>
      </c>
      <c r="AF1030" s="9" t="s">
        <v>420</v>
      </c>
      <c r="AG1030" s="18">
        <v>27.552838000000001</v>
      </c>
      <c r="AH1030" s="18"/>
      <c r="AI1030" s="18"/>
      <c r="AJ1030" s="18"/>
      <c r="AK1030" s="18"/>
      <c r="AL1030" s="18"/>
      <c r="AM1030" s="18">
        <f t="shared" si="136"/>
        <v>1.4401663387326675</v>
      </c>
      <c r="AN1030" s="18">
        <v>-27.552838000000001</v>
      </c>
      <c r="AO1030" s="18">
        <v>153.05550500000001</v>
      </c>
      <c r="AP1030" s="9" t="s">
        <v>363</v>
      </c>
      <c r="AQ1030" s="9" t="s">
        <v>1194</v>
      </c>
      <c r="AR1030" s="15">
        <v>1983</v>
      </c>
      <c r="AS1030" s="19" t="s">
        <v>1301</v>
      </c>
      <c r="AT1030" s="20" t="s">
        <v>1302</v>
      </c>
      <c r="AU1030" s="40">
        <v>11320528</v>
      </c>
      <c r="AV1030" s="35">
        <f t="shared" si="137"/>
        <v>7.0538666832249381</v>
      </c>
      <c r="AW1030" s="37" t="s">
        <v>338</v>
      </c>
      <c r="AX1030" s="40">
        <v>0</v>
      </c>
      <c r="AY1030" s="40">
        <v>2200</v>
      </c>
      <c r="AZ1030" s="37">
        <v>146</v>
      </c>
      <c r="BA1030" s="14">
        <f t="shared" si="138"/>
        <v>2.1643528557844371</v>
      </c>
      <c r="BB1030" s="37" t="s">
        <v>367</v>
      </c>
      <c r="BC1030" s="20">
        <v>7.1628651460558916E-4</v>
      </c>
      <c r="BD1030" s="9">
        <v>29.5</v>
      </c>
      <c r="BE1030" s="9" t="s">
        <v>368</v>
      </c>
      <c r="BF1030" s="9">
        <v>0</v>
      </c>
    </row>
    <row r="1031" spans="1:58">
      <c r="A1031" s="9">
        <v>575</v>
      </c>
      <c r="B1031" s="10" t="s">
        <v>76</v>
      </c>
      <c r="C1031" s="10" t="s">
        <v>389</v>
      </c>
      <c r="D1031" s="20" t="s">
        <v>390</v>
      </c>
      <c r="E1031" s="20" t="s">
        <v>404</v>
      </c>
      <c r="F1031" s="10" t="s">
        <v>389</v>
      </c>
      <c r="G1031" s="20" t="s">
        <v>390</v>
      </c>
      <c r="H1031" s="20" t="s">
        <v>404</v>
      </c>
      <c r="I1031" s="10" t="s">
        <v>389</v>
      </c>
      <c r="J1031" s="20" t="s">
        <v>405</v>
      </c>
      <c r="K1031" s="20" t="s">
        <v>406</v>
      </c>
      <c r="L1031" s="9" t="s">
        <v>380</v>
      </c>
      <c r="M1031" s="9">
        <v>10</v>
      </c>
      <c r="N1031" s="9" t="s">
        <v>381</v>
      </c>
      <c r="O1031" s="9" t="s">
        <v>382</v>
      </c>
      <c r="P1031" s="12">
        <v>43.508049999999997</v>
      </c>
      <c r="Q1031" s="12" t="s">
        <v>355</v>
      </c>
      <c r="R1031" s="9" t="s">
        <v>356</v>
      </c>
      <c r="S1031" s="13" t="s">
        <v>355</v>
      </c>
      <c r="T1031" s="13"/>
      <c r="U1031" s="14"/>
      <c r="V1031" s="15">
        <v>35</v>
      </c>
      <c r="W1031" s="12"/>
      <c r="X1031" s="12">
        <v>1</v>
      </c>
      <c r="Y1031" s="13" t="s">
        <v>358</v>
      </c>
      <c r="Z1031" s="9" t="s">
        <v>359</v>
      </c>
      <c r="AA1031" s="10" t="s">
        <v>1300</v>
      </c>
      <c r="AB1031" s="9" t="s">
        <v>355</v>
      </c>
      <c r="AC1031" s="15">
        <v>64</v>
      </c>
      <c r="AD1031" s="14">
        <f t="shared" si="135"/>
        <v>1.8061799739838871</v>
      </c>
      <c r="AE1031" s="10" t="s">
        <v>756</v>
      </c>
      <c r="AF1031" s="9" t="s">
        <v>420</v>
      </c>
      <c r="AG1031" s="18">
        <v>27.552838000000001</v>
      </c>
      <c r="AH1031" s="18"/>
      <c r="AI1031" s="18"/>
      <c r="AJ1031" s="18"/>
      <c r="AK1031" s="18"/>
      <c r="AL1031" s="18"/>
      <c r="AM1031" s="18">
        <f t="shared" si="136"/>
        <v>1.4401663387326675</v>
      </c>
      <c r="AN1031" s="18">
        <v>-27.552838000000001</v>
      </c>
      <c r="AO1031" s="18">
        <v>153.05550500000001</v>
      </c>
      <c r="AP1031" s="9" t="s">
        <v>363</v>
      </c>
      <c r="AQ1031" s="9" t="s">
        <v>1311</v>
      </c>
      <c r="AR1031" s="15">
        <v>1983</v>
      </c>
      <c r="AS1031" s="19" t="s">
        <v>1301</v>
      </c>
      <c r="AT1031" s="20" t="s">
        <v>1302</v>
      </c>
      <c r="AU1031" s="40">
        <v>11320528</v>
      </c>
      <c r="AV1031" s="35">
        <f t="shared" si="137"/>
        <v>7.0538666832249381</v>
      </c>
      <c r="AW1031" s="37" t="s">
        <v>338</v>
      </c>
      <c r="AX1031" s="40">
        <v>0</v>
      </c>
      <c r="AY1031" s="40">
        <v>2200</v>
      </c>
      <c r="AZ1031" s="37">
        <v>146</v>
      </c>
      <c r="BA1031" s="14">
        <f t="shared" si="138"/>
        <v>2.1643528557844371</v>
      </c>
      <c r="BB1031" s="37" t="s">
        <v>367</v>
      </c>
      <c r="BC1031" s="20">
        <v>7.1628651460558916E-4</v>
      </c>
      <c r="BD1031" s="9">
        <v>29.5</v>
      </c>
      <c r="BE1031" s="9" t="s">
        <v>368</v>
      </c>
      <c r="BF1031" s="9">
        <v>0</v>
      </c>
    </row>
    <row r="1032" spans="1:58">
      <c r="A1032" s="9">
        <v>579</v>
      </c>
      <c r="B1032" s="10" t="s">
        <v>76</v>
      </c>
      <c r="C1032" s="10" t="s">
        <v>389</v>
      </c>
      <c r="D1032" s="20" t="s">
        <v>390</v>
      </c>
      <c r="E1032" s="20" t="s">
        <v>404</v>
      </c>
      <c r="F1032" s="10" t="s">
        <v>389</v>
      </c>
      <c r="G1032" s="20" t="s">
        <v>390</v>
      </c>
      <c r="H1032" s="20" t="s">
        <v>404</v>
      </c>
      <c r="I1032" s="10" t="s">
        <v>389</v>
      </c>
      <c r="J1032" s="20" t="s">
        <v>405</v>
      </c>
      <c r="K1032" s="20" t="s">
        <v>406</v>
      </c>
      <c r="L1032" s="9" t="s">
        <v>380</v>
      </c>
      <c r="M1032" s="9">
        <v>10</v>
      </c>
      <c r="N1032" s="9" t="s">
        <v>381</v>
      </c>
      <c r="O1032" s="9" t="s">
        <v>382</v>
      </c>
      <c r="P1032" s="12">
        <v>43.551580000000001</v>
      </c>
      <c r="Q1032" s="12" t="s">
        <v>355</v>
      </c>
      <c r="R1032" s="9" t="s">
        <v>356</v>
      </c>
      <c r="S1032" s="13" t="s">
        <v>355</v>
      </c>
      <c r="T1032" s="13"/>
      <c r="U1032" s="14"/>
      <c r="V1032" s="15">
        <v>30</v>
      </c>
      <c r="W1032" s="12"/>
      <c r="X1032" s="12">
        <v>1</v>
      </c>
      <c r="Y1032" s="13" t="s">
        <v>358</v>
      </c>
      <c r="Z1032" s="9" t="s">
        <v>359</v>
      </c>
      <c r="AA1032" s="10" t="s">
        <v>1300</v>
      </c>
      <c r="AB1032" s="9" t="s">
        <v>355</v>
      </c>
      <c r="AC1032" s="15">
        <v>64</v>
      </c>
      <c r="AD1032" s="14">
        <f t="shared" ref="AD1032:AD1045" si="139">LOG(AC1032)</f>
        <v>1.8061799739838871</v>
      </c>
      <c r="AE1032" s="10" t="s">
        <v>756</v>
      </c>
      <c r="AF1032" s="9" t="s">
        <v>420</v>
      </c>
      <c r="AG1032" s="18">
        <v>27.552838000000001</v>
      </c>
      <c r="AH1032" s="18"/>
      <c r="AI1032" s="18"/>
      <c r="AJ1032" s="18"/>
      <c r="AK1032" s="18"/>
      <c r="AL1032" s="18"/>
      <c r="AM1032" s="18">
        <f t="shared" ref="AM1032:AM1045" si="140">LOG(AG1032)</f>
        <v>1.4401663387326675</v>
      </c>
      <c r="AN1032" s="18">
        <v>-27.552838000000001</v>
      </c>
      <c r="AO1032" s="18">
        <v>153.05550500000001</v>
      </c>
      <c r="AP1032" s="9" t="s">
        <v>363</v>
      </c>
      <c r="AQ1032" s="9" t="s">
        <v>1304</v>
      </c>
      <c r="AR1032" s="15">
        <v>1983</v>
      </c>
      <c r="AS1032" s="19" t="s">
        <v>1301</v>
      </c>
      <c r="AT1032" s="20" t="s">
        <v>1302</v>
      </c>
      <c r="AU1032" s="40">
        <v>11320528</v>
      </c>
      <c r="AV1032" s="35">
        <f t="shared" ref="AV1032:AV1045" si="141">LOG(AU1032)</f>
        <v>7.0538666832249381</v>
      </c>
      <c r="AW1032" s="37" t="s">
        <v>338</v>
      </c>
      <c r="AX1032" s="40">
        <v>0</v>
      </c>
      <c r="AY1032" s="40">
        <v>2200</v>
      </c>
      <c r="AZ1032" s="37">
        <v>146</v>
      </c>
      <c r="BA1032" s="14">
        <f t="shared" ref="BA1032:BA1045" si="142">LOG(AZ1032)</f>
        <v>2.1643528557844371</v>
      </c>
      <c r="BB1032" s="37" t="s">
        <v>367</v>
      </c>
      <c r="BC1032" s="20">
        <v>7.1628651460558916E-4</v>
      </c>
      <c r="BD1032" s="9">
        <v>29.5</v>
      </c>
      <c r="BE1032" s="9" t="s">
        <v>368</v>
      </c>
      <c r="BF1032" s="9">
        <v>0</v>
      </c>
    </row>
    <row r="1033" spans="1:58">
      <c r="A1033" s="9">
        <v>596</v>
      </c>
      <c r="B1033" s="10" t="s">
        <v>76</v>
      </c>
      <c r="C1033" s="10" t="s">
        <v>389</v>
      </c>
      <c r="D1033" s="20" t="s">
        <v>390</v>
      </c>
      <c r="E1033" s="20" t="s">
        <v>404</v>
      </c>
      <c r="F1033" s="10" t="s">
        <v>389</v>
      </c>
      <c r="G1033" s="20" t="s">
        <v>390</v>
      </c>
      <c r="H1033" s="20" t="s">
        <v>404</v>
      </c>
      <c r="I1033" s="10" t="s">
        <v>389</v>
      </c>
      <c r="J1033" s="20" t="s">
        <v>405</v>
      </c>
      <c r="K1033" s="20" t="s">
        <v>406</v>
      </c>
      <c r="L1033" s="9" t="s">
        <v>380</v>
      </c>
      <c r="M1033" s="9">
        <v>10</v>
      </c>
      <c r="N1033" s="9" t="s">
        <v>381</v>
      </c>
      <c r="O1033" s="9" t="s">
        <v>382</v>
      </c>
      <c r="P1033" s="12">
        <v>43.627290000000002</v>
      </c>
      <c r="Q1033" s="12" t="s">
        <v>355</v>
      </c>
      <c r="R1033" s="9" t="s">
        <v>356</v>
      </c>
      <c r="S1033" s="13" t="s">
        <v>355</v>
      </c>
      <c r="T1033" s="13"/>
      <c r="U1033" s="14"/>
      <c r="V1033" s="15">
        <v>35</v>
      </c>
      <c r="W1033" s="12"/>
      <c r="X1033" s="12">
        <v>1</v>
      </c>
      <c r="Y1033" s="13" t="s">
        <v>358</v>
      </c>
      <c r="Z1033" s="9" t="s">
        <v>359</v>
      </c>
      <c r="AA1033" s="10" t="s">
        <v>1300</v>
      </c>
      <c r="AB1033" s="9" t="s">
        <v>355</v>
      </c>
      <c r="AC1033" s="15">
        <v>64</v>
      </c>
      <c r="AD1033" s="14">
        <f t="shared" si="139"/>
        <v>1.8061799739838871</v>
      </c>
      <c r="AE1033" s="10" t="s">
        <v>756</v>
      </c>
      <c r="AF1033" s="9" t="s">
        <v>420</v>
      </c>
      <c r="AG1033" s="18">
        <v>27.552838000000001</v>
      </c>
      <c r="AH1033" s="18"/>
      <c r="AI1033" s="18"/>
      <c r="AJ1033" s="18"/>
      <c r="AK1033" s="18"/>
      <c r="AL1033" s="18"/>
      <c r="AM1033" s="18">
        <f t="shared" si="140"/>
        <v>1.4401663387326675</v>
      </c>
      <c r="AN1033" s="18">
        <v>-27.552838000000001</v>
      </c>
      <c r="AO1033" s="18">
        <v>153.05550500000001</v>
      </c>
      <c r="AP1033" s="9" t="s">
        <v>363</v>
      </c>
      <c r="AQ1033" s="9" t="s">
        <v>1303</v>
      </c>
      <c r="AR1033" s="15">
        <v>1983</v>
      </c>
      <c r="AS1033" s="19" t="s">
        <v>1301</v>
      </c>
      <c r="AT1033" s="20" t="s">
        <v>1302</v>
      </c>
      <c r="AU1033" s="40">
        <v>11320528</v>
      </c>
      <c r="AV1033" s="35">
        <f t="shared" si="141"/>
        <v>7.0538666832249381</v>
      </c>
      <c r="AW1033" s="37" t="s">
        <v>338</v>
      </c>
      <c r="AX1033" s="40">
        <v>0</v>
      </c>
      <c r="AY1033" s="40">
        <v>2200</v>
      </c>
      <c r="AZ1033" s="37">
        <v>146</v>
      </c>
      <c r="BA1033" s="14">
        <f t="shared" si="142"/>
        <v>2.1643528557844371</v>
      </c>
      <c r="BB1033" s="37" t="s">
        <v>367</v>
      </c>
      <c r="BC1033" s="20">
        <v>7.1628651460558916E-4</v>
      </c>
      <c r="BD1033" s="9">
        <v>29.5</v>
      </c>
      <c r="BE1033" s="9" t="s">
        <v>368</v>
      </c>
      <c r="BF1033" s="9">
        <v>0</v>
      </c>
    </row>
    <row r="1034" spans="1:58">
      <c r="A1034" s="9">
        <v>588</v>
      </c>
      <c r="B1034" s="10" t="s">
        <v>76</v>
      </c>
      <c r="C1034" s="10" t="s">
        <v>389</v>
      </c>
      <c r="D1034" s="20" t="s">
        <v>390</v>
      </c>
      <c r="E1034" s="20" t="s">
        <v>404</v>
      </c>
      <c r="F1034" s="10" t="s">
        <v>389</v>
      </c>
      <c r="G1034" s="20" t="s">
        <v>390</v>
      </c>
      <c r="H1034" s="20" t="s">
        <v>404</v>
      </c>
      <c r="I1034" s="10" t="s">
        <v>389</v>
      </c>
      <c r="J1034" s="20" t="s">
        <v>405</v>
      </c>
      <c r="K1034" s="20" t="s">
        <v>406</v>
      </c>
      <c r="L1034" s="9" t="s">
        <v>380</v>
      </c>
      <c r="M1034" s="9">
        <v>10</v>
      </c>
      <c r="N1034" s="9" t="s">
        <v>381</v>
      </c>
      <c r="O1034" s="9" t="s">
        <v>382</v>
      </c>
      <c r="P1034" s="12">
        <v>43.776179999999997</v>
      </c>
      <c r="Q1034" s="12" t="s">
        <v>355</v>
      </c>
      <c r="R1034" s="9" t="s">
        <v>356</v>
      </c>
      <c r="S1034" s="13" t="s">
        <v>355</v>
      </c>
      <c r="T1034" s="13"/>
      <c r="U1034" s="14"/>
      <c r="V1034" s="15">
        <v>30</v>
      </c>
      <c r="W1034" s="12"/>
      <c r="X1034" s="12">
        <v>1</v>
      </c>
      <c r="Y1034" s="13" t="s">
        <v>358</v>
      </c>
      <c r="Z1034" s="9" t="s">
        <v>359</v>
      </c>
      <c r="AA1034" s="10" t="s">
        <v>1300</v>
      </c>
      <c r="AB1034" s="9" t="s">
        <v>355</v>
      </c>
      <c r="AC1034" s="15">
        <v>64</v>
      </c>
      <c r="AD1034" s="14">
        <f t="shared" si="139"/>
        <v>1.8061799739838871</v>
      </c>
      <c r="AE1034" s="10" t="s">
        <v>756</v>
      </c>
      <c r="AF1034" s="9" t="s">
        <v>420</v>
      </c>
      <c r="AG1034" s="18">
        <v>27.552838000000001</v>
      </c>
      <c r="AH1034" s="18"/>
      <c r="AI1034" s="18"/>
      <c r="AJ1034" s="18"/>
      <c r="AK1034" s="18"/>
      <c r="AL1034" s="18"/>
      <c r="AM1034" s="18">
        <f t="shared" si="140"/>
        <v>1.4401663387326675</v>
      </c>
      <c r="AN1034" s="18">
        <v>-27.552838000000001</v>
      </c>
      <c r="AO1034" s="18">
        <v>153.05550500000001</v>
      </c>
      <c r="AP1034" s="9" t="s">
        <v>363</v>
      </c>
      <c r="AQ1034" s="9" t="s">
        <v>1310</v>
      </c>
      <c r="AR1034" s="15">
        <v>1983</v>
      </c>
      <c r="AS1034" s="19" t="s">
        <v>1301</v>
      </c>
      <c r="AT1034" s="20" t="s">
        <v>1302</v>
      </c>
      <c r="AU1034" s="40">
        <v>11320528</v>
      </c>
      <c r="AV1034" s="35">
        <f t="shared" si="141"/>
        <v>7.0538666832249381</v>
      </c>
      <c r="AW1034" s="37" t="s">
        <v>338</v>
      </c>
      <c r="AX1034" s="40">
        <v>0</v>
      </c>
      <c r="AY1034" s="40">
        <v>2200</v>
      </c>
      <c r="AZ1034" s="37">
        <v>146</v>
      </c>
      <c r="BA1034" s="14">
        <f t="shared" si="142"/>
        <v>2.1643528557844371</v>
      </c>
      <c r="BB1034" s="37" t="s">
        <v>367</v>
      </c>
      <c r="BC1034" s="20">
        <v>7.1628651460558916E-4</v>
      </c>
      <c r="BD1034" s="9">
        <v>29.5</v>
      </c>
      <c r="BE1034" s="9" t="s">
        <v>368</v>
      </c>
      <c r="BF1034" s="9">
        <v>0</v>
      </c>
    </row>
    <row r="1035" spans="1:58">
      <c r="A1035" s="9">
        <v>585</v>
      </c>
      <c r="B1035" s="10" t="s">
        <v>76</v>
      </c>
      <c r="C1035" s="10" t="s">
        <v>389</v>
      </c>
      <c r="D1035" s="20" t="s">
        <v>390</v>
      </c>
      <c r="E1035" s="20" t="s">
        <v>404</v>
      </c>
      <c r="F1035" s="10" t="s">
        <v>389</v>
      </c>
      <c r="G1035" s="20" t="s">
        <v>390</v>
      </c>
      <c r="H1035" s="20" t="s">
        <v>404</v>
      </c>
      <c r="I1035" s="10" t="s">
        <v>389</v>
      </c>
      <c r="J1035" s="20" t="s">
        <v>405</v>
      </c>
      <c r="K1035" s="20" t="s">
        <v>406</v>
      </c>
      <c r="L1035" s="9" t="s">
        <v>380</v>
      </c>
      <c r="M1035" s="9">
        <v>10</v>
      </c>
      <c r="N1035" s="9" t="s">
        <v>381</v>
      </c>
      <c r="O1035" s="9" t="s">
        <v>382</v>
      </c>
      <c r="P1035" s="12">
        <v>43.841320000000003</v>
      </c>
      <c r="Q1035" s="12" t="s">
        <v>355</v>
      </c>
      <c r="R1035" s="9" t="s">
        <v>356</v>
      </c>
      <c r="S1035" s="13" t="s">
        <v>355</v>
      </c>
      <c r="T1035" s="13"/>
      <c r="U1035" s="14"/>
      <c r="V1035" s="15">
        <v>30</v>
      </c>
      <c r="W1035" s="12"/>
      <c r="X1035" s="12">
        <v>1</v>
      </c>
      <c r="Y1035" s="13" t="s">
        <v>358</v>
      </c>
      <c r="Z1035" s="9" t="s">
        <v>359</v>
      </c>
      <c r="AA1035" s="10" t="s">
        <v>1300</v>
      </c>
      <c r="AB1035" s="9" t="s">
        <v>355</v>
      </c>
      <c r="AC1035" s="15">
        <v>64</v>
      </c>
      <c r="AD1035" s="14">
        <f t="shared" si="139"/>
        <v>1.8061799739838871</v>
      </c>
      <c r="AE1035" s="10" t="s">
        <v>756</v>
      </c>
      <c r="AF1035" s="9" t="s">
        <v>420</v>
      </c>
      <c r="AG1035" s="18">
        <v>27.552838000000001</v>
      </c>
      <c r="AH1035" s="18"/>
      <c r="AI1035" s="18"/>
      <c r="AJ1035" s="18"/>
      <c r="AK1035" s="18"/>
      <c r="AL1035" s="18"/>
      <c r="AM1035" s="18">
        <f t="shared" si="140"/>
        <v>1.4401663387326675</v>
      </c>
      <c r="AN1035" s="18">
        <v>-27.552838000000001</v>
      </c>
      <c r="AO1035" s="18">
        <v>153.05550500000001</v>
      </c>
      <c r="AP1035" s="9" t="s">
        <v>363</v>
      </c>
      <c r="AQ1035" s="9" t="s">
        <v>449</v>
      </c>
      <c r="AR1035" s="15">
        <v>1983</v>
      </c>
      <c r="AS1035" s="19" t="s">
        <v>1301</v>
      </c>
      <c r="AT1035" s="20" t="s">
        <v>1302</v>
      </c>
      <c r="AU1035" s="40">
        <v>11320528</v>
      </c>
      <c r="AV1035" s="35">
        <f t="shared" si="141"/>
        <v>7.0538666832249381</v>
      </c>
      <c r="AW1035" s="37" t="s">
        <v>338</v>
      </c>
      <c r="AX1035" s="40">
        <v>0</v>
      </c>
      <c r="AY1035" s="40">
        <v>2200</v>
      </c>
      <c r="AZ1035" s="37">
        <v>146</v>
      </c>
      <c r="BA1035" s="14">
        <f t="shared" si="142"/>
        <v>2.1643528557844371</v>
      </c>
      <c r="BB1035" s="37" t="s">
        <v>367</v>
      </c>
      <c r="BC1035" s="20">
        <v>7.1628651460558916E-4</v>
      </c>
      <c r="BD1035" s="9">
        <v>29.5</v>
      </c>
      <c r="BE1035" s="9" t="s">
        <v>368</v>
      </c>
      <c r="BF1035" s="9">
        <v>0</v>
      </c>
    </row>
    <row r="1036" spans="1:58">
      <c r="A1036" s="9">
        <v>591</v>
      </c>
      <c r="B1036" s="10" t="s">
        <v>76</v>
      </c>
      <c r="C1036" s="10" t="s">
        <v>389</v>
      </c>
      <c r="D1036" s="20" t="s">
        <v>390</v>
      </c>
      <c r="E1036" s="20" t="s">
        <v>404</v>
      </c>
      <c r="F1036" s="10" t="s">
        <v>389</v>
      </c>
      <c r="G1036" s="20" t="s">
        <v>390</v>
      </c>
      <c r="H1036" s="20" t="s">
        <v>404</v>
      </c>
      <c r="I1036" s="10" t="s">
        <v>389</v>
      </c>
      <c r="J1036" s="20" t="s">
        <v>405</v>
      </c>
      <c r="K1036" s="20" t="s">
        <v>406</v>
      </c>
      <c r="L1036" s="9" t="s">
        <v>380</v>
      </c>
      <c r="M1036" s="9">
        <v>10</v>
      </c>
      <c r="N1036" s="9" t="s">
        <v>381</v>
      </c>
      <c r="O1036" s="9" t="s">
        <v>382</v>
      </c>
      <c r="P1036" s="12">
        <v>43.909939999999999</v>
      </c>
      <c r="Q1036" s="12" t="s">
        <v>355</v>
      </c>
      <c r="R1036" s="9" t="s">
        <v>356</v>
      </c>
      <c r="S1036" s="13" t="s">
        <v>355</v>
      </c>
      <c r="T1036" s="13"/>
      <c r="U1036" s="14"/>
      <c r="V1036" s="15">
        <v>30</v>
      </c>
      <c r="W1036" s="12"/>
      <c r="X1036" s="12">
        <v>1</v>
      </c>
      <c r="Y1036" s="13" t="s">
        <v>358</v>
      </c>
      <c r="Z1036" s="9" t="s">
        <v>359</v>
      </c>
      <c r="AA1036" s="10" t="s">
        <v>1300</v>
      </c>
      <c r="AB1036" s="9" t="s">
        <v>355</v>
      </c>
      <c r="AC1036" s="15">
        <v>64</v>
      </c>
      <c r="AD1036" s="14">
        <f t="shared" si="139"/>
        <v>1.8061799739838871</v>
      </c>
      <c r="AE1036" s="10" t="s">
        <v>756</v>
      </c>
      <c r="AF1036" s="9" t="s">
        <v>420</v>
      </c>
      <c r="AG1036" s="18">
        <v>27.552838000000001</v>
      </c>
      <c r="AH1036" s="18"/>
      <c r="AI1036" s="18"/>
      <c r="AJ1036" s="18"/>
      <c r="AK1036" s="18"/>
      <c r="AL1036" s="18"/>
      <c r="AM1036" s="18">
        <f t="shared" si="140"/>
        <v>1.4401663387326675</v>
      </c>
      <c r="AN1036" s="18">
        <v>-27.552838000000001</v>
      </c>
      <c r="AO1036" s="18">
        <v>153.05550500000001</v>
      </c>
      <c r="AP1036" s="9" t="s">
        <v>363</v>
      </c>
      <c r="AQ1036" s="9" t="s">
        <v>445</v>
      </c>
      <c r="AR1036" s="15">
        <v>1983</v>
      </c>
      <c r="AS1036" s="19" t="s">
        <v>1301</v>
      </c>
      <c r="AT1036" s="20" t="s">
        <v>1302</v>
      </c>
      <c r="AU1036" s="40">
        <v>11320528</v>
      </c>
      <c r="AV1036" s="35">
        <f t="shared" si="141"/>
        <v>7.0538666832249381</v>
      </c>
      <c r="AW1036" s="37" t="s">
        <v>338</v>
      </c>
      <c r="AX1036" s="40">
        <v>0</v>
      </c>
      <c r="AY1036" s="40">
        <v>2200</v>
      </c>
      <c r="AZ1036" s="37">
        <v>146</v>
      </c>
      <c r="BA1036" s="14">
        <f t="shared" si="142"/>
        <v>2.1643528557844371</v>
      </c>
      <c r="BB1036" s="37" t="s">
        <v>367</v>
      </c>
      <c r="BC1036" s="20">
        <v>7.1628651460558916E-4</v>
      </c>
      <c r="BD1036" s="9">
        <v>29.5</v>
      </c>
      <c r="BE1036" s="9" t="s">
        <v>368</v>
      </c>
      <c r="BF1036" s="9">
        <v>0</v>
      </c>
    </row>
    <row r="1037" spans="1:58">
      <c r="A1037" s="9">
        <v>582</v>
      </c>
      <c r="B1037" s="10" t="s">
        <v>76</v>
      </c>
      <c r="C1037" s="10" t="s">
        <v>389</v>
      </c>
      <c r="D1037" s="20" t="s">
        <v>390</v>
      </c>
      <c r="E1037" s="20" t="s">
        <v>404</v>
      </c>
      <c r="F1037" s="10" t="s">
        <v>389</v>
      </c>
      <c r="G1037" s="20" t="s">
        <v>390</v>
      </c>
      <c r="H1037" s="20" t="s">
        <v>404</v>
      </c>
      <c r="I1037" s="10" t="s">
        <v>389</v>
      </c>
      <c r="J1037" s="20" t="s">
        <v>405</v>
      </c>
      <c r="K1037" s="20" t="s">
        <v>406</v>
      </c>
      <c r="L1037" s="9" t="s">
        <v>380</v>
      </c>
      <c r="M1037" s="9">
        <v>10</v>
      </c>
      <c r="N1037" s="9" t="s">
        <v>381</v>
      </c>
      <c r="O1037" s="9" t="s">
        <v>382</v>
      </c>
      <c r="P1037" s="12">
        <v>43.931550000000001</v>
      </c>
      <c r="Q1037" s="12" t="s">
        <v>355</v>
      </c>
      <c r="R1037" s="9" t="s">
        <v>356</v>
      </c>
      <c r="S1037" s="13" t="s">
        <v>355</v>
      </c>
      <c r="T1037" s="13"/>
      <c r="U1037" s="14"/>
      <c r="V1037" s="15">
        <v>30</v>
      </c>
      <c r="W1037" s="12"/>
      <c r="X1037" s="12">
        <v>1</v>
      </c>
      <c r="Y1037" s="13" t="s">
        <v>358</v>
      </c>
      <c r="Z1037" s="9" t="s">
        <v>359</v>
      </c>
      <c r="AA1037" s="10" t="s">
        <v>1300</v>
      </c>
      <c r="AB1037" s="9" t="s">
        <v>355</v>
      </c>
      <c r="AC1037" s="15">
        <v>64</v>
      </c>
      <c r="AD1037" s="14">
        <f t="shared" si="139"/>
        <v>1.8061799739838871</v>
      </c>
      <c r="AE1037" s="10" t="s">
        <v>756</v>
      </c>
      <c r="AF1037" s="9" t="s">
        <v>420</v>
      </c>
      <c r="AG1037" s="18">
        <v>27.552838000000001</v>
      </c>
      <c r="AH1037" s="18"/>
      <c r="AI1037" s="18"/>
      <c r="AJ1037" s="18"/>
      <c r="AK1037" s="18"/>
      <c r="AL1037" s="18"/>
      <c r="AM1037" s="18">
        <f t="shared" si="140"/>
        <v>1.4401663387326675</v>
      </c>
      <c r="AN1037" s="18">
        <v>-27.552838000000001</v>
      </c>
      <c r="AO1037" s="18">
        <v>153.05550500000001</v>
      </c>
      <c r="AP1037" s="9" t="s">
        <v>363</v>
      </c>
      <c r="AQ1037" s="9" t="s">
        <v>1309</v>
      </c>
      <c r="AR1037" s="15">
        <v>1983</v>
      </c>
      <c r="AS1037" s="19" t="s">
        <v>1301</v>
      </c>
      <c r="AT1037" s="20" t="s">
        <v>1302</v>
      </c>
      <c r="AU1037" s="40">
        <v>11320528</v>
      </c>
      <c r="AV1037" s="35">
        <f t="shared" si="141"/>
        <v>7.0538666832249381</v>
      </c>
      <c r="AW1037" s="37" t="s">
        <v>338</v>
      </c>
      <c r="AX1037" s="40">
        <v>0</v>
      </c>
      <c r="AY1037" s="40">
        <v>2200</v>
      </c>
      <c r="AZ1037" s="37">
        <v>146</v>
      </c>
      <c r="BA1037" s="14">
        <f t="shared" si="142"/>
        <v>2.1643528557844371</v>
      </c>
      <c r="BB1037" s="37" t="s">
        <v>367</v>
      </c>
      <c r="BC1037" s="20">
        <v>7.1628651460558916E-4</v>
      </c>
      <c r="BD1037" s="9">
        <v>29.5</v>
      </c>
      <c r="BE1037" s="9" t="s">
        <v>368</v>
      </c>
      <c r="BF1037" s="9">
        <v>0</v>
      </c>
    </row>
    <row r="1038" spans="1:58">
      <c r="A1038" s="9">
        <v>593</v>
      </c>
      <c r="B1038" s="10" t="s">
        <v>76</v>
      </c>
      <c r="C1038" s="10" t="s">
        <v>389</v>
      </c>
      <c r="D1038" s="20" t="s">
        <v>390</v>
      </c>
      <c r="E1038" s="20" t="s">
        <v>404</v>
      </c>
      <c r="F1038" s="10" t="s">
        <v>389</v>
      </c>
      <c r="G1038" s="20" t="s">
        <v>390</v>
      </c>
      <c r="H1038" s="20" t="s">
        <v>404</v>
      </c>
      <c r="I1038" s="10" t="s">
        <v>389</v>
      </c>
      <c r="J1038" s="20" t="s">
        <v>405</v>
      </c>
      <c r="K1038" s="20" t="s">
        <v>406</v>
      </c>
      <c r="L1038" s="9" t="s">
        <v>380</v>
      </c>
      <c r="M1038" s="9">
        <v>10</v>
      </c>
      <c r="N1038" s="9" t="s">
        <v>381</v>
      </c>
      <c r="O1038" s="9" t="s">
        <v>382</v>
      </c>
      <c r="P1038" s="12">
        <v>44.268459999999997</v>
      </c>
      <c r="Q1038" s="12" t="s">
        <v>355</v>
      </c>
      <c r="R1038" s="9" t="s">
        <v>356</v>
      </c>
      <c r="S1038" s="13" t="s">
        <v>355</v>
      </c>
      <c r="T1038" s="13"/>
      <c r="U1038" s="14"/>
      <c r="V1038" s="15">
        <v>35</v>
      </c>
      <c r="W1038" s="12"/>
      <c r="X1038" s="12">
        <v>1</v>
      </c>
      <c r="Y1038" s="13" t="s">
        <v>358</v>
      </c>
      <c r="Z1038" s="9" t="s">
        <v>359</v>
      </c>
      <c r="AA1038" s="10" t="s">
        <v>1300</v>
      </c>
      <c r="AB1038" s="9" t="s">
        <v>355</v>
      </c>
      <c r="AC1038" s="15">
        <v>64</v>
      </c>
      <c r="AD1038" s="14">
        <f t="shared" si="139"/>
        <v>1.8061799739838871</v>
      </c>
      <c r="AE1038" s="10" t="s">
        <v>756</v>
      </c>
      <c r="AF1038" s="9" t="s">
        <v>420</v>
      </c>
      <c r="AG1038" s="18">
        <v>27.552838000000001</v>
      </c>
      <c r="AH1038" s="18"/>
      <c r="AI1038" s="18"/>
      <c r="AJ1038" s="18"/>
      <c r="AK1038" s="18"/>
      <c r="AL1038" s="18"/>
      <c r="AM1038" s="18">
        <f t="shared" si="140"/>
        <v>1.4401663387326675</v>
      </c>
      <c r="AN1038" s="18">
        <v>-27.552838000000001</v>
      </c>
      <c r="AO1038" s="18">
        <v>153.05550500000001</v>
      </c>
      <c r="AP1038" s="9" t="s">
        <v>363</v>
      </c>
      <c r="AQ1038" s="9" t="s">
        <v>1194</v>
      </c>
      <c r="AR1038" s="15">
        <v>1983</v>
      </c>
      <c r="AS1038" s="19" t="s">
        <v>1301</v>
      </c>
      <c r="AT1038" s="20" t="s">
        <v>1302</v>
      </c>
      <c r="AU1038" s="40">
        <v>11320528</v>
      </c>
      <c r="AV1038" s="35">
        <f t="shared" si="141"/>
        <v>7.0538666832249381</v>
      </c>
      <c r="AW1038" s="37" t="s">
        <v>338</v>
      </c>
      <c r="AX1038" s="40">
        <v>0</v>
      </c>
      <c r="AY1038" s="40">
        <v>2200</v>
      </c>
      <c r="AZ1038" s="37">
        <v>146</v>
      </c>
      <c r="BA1038" s="14">
        <f t="shared" si="142"/>
        <v>2.1643528557844371</v>
      </c>
      <c r="BB1038" s="37" t="s">
        <v>367</v>
      </c>
      <c r="BC1038" s="20">
        <v>7.1628651460558916E-4</v>
      </c>
      <c r="BD1038" s="9">
        <v>29.5</v>
      </c>
      <c r="BE1038" s="9" t="s">
        <v>368</v>
      </c>
      <c r="BF1038" s="9">
        <v>0</v>
      </c>
    </row>
    <row r="1039" spans="1:58">
      <c r="A1039" s="9">
        <v>578</v>
      </c>
      <c r="B1039" s="10" t="s">
        <v>76</v>
      </c>
      <c r="C1039" s="10" t="s">
        <v>389</v>
      </c>
      <c r="D1039" s="20" t="s">
        <v>390</v>
      </c>
      <c r="E1039" s="20" t="s">
        <v>404</v>
      </c>
      <c r="F1039" s="10" t="s">
        <v>389</v>
      </c>
      <c r="G1039" s="20" t="s">
        <v>390</v>
      </c>
      <c r="H1039" s="20" t="s">
        <v>404</v>
      </c>
      <c r="I1039" s="10" t="s">
        <v>389</v>
      </c>
      <c r="J1039" s="20" t="s">
        <v>405</v>
      </c>
      <c r="K1039" s="20" t="s">
        <v>406</v>
      </c>
      <c r="L1039" s="9" t="s">
        <v>380</v>
      </c>
      <c r="M1039" s="9">
        <v>10</v>
      </c>
      <c r="N1039" s="9" t="s">
        <v>381</v>
      </c>
      <c r="O1039" s="9" t="s">
        <v>382</v>
      </c>
      <c r="P1039" s="12">
        <v>44.349209999999999</v>
      </c>
      <c r="Q1039" s="12" t="s">
        <v>355</v>
      </c>
      <c r="R1039" s="9" t="s">
        <v>356</v>
      </c>
      <c r="S1039" s="13" t="s">
        <v>355</v>
      </c>
      <c r="T1039" s="13"/>
      <c r="U1039" s="14"/>
      <c r="V1039" s="15">
        <v>35</v>
      </c>
      <c r="W1039" s="12"/>
      <c r="X1039" s="12">
        <v>1</v>
      </c>
      <c r="Y1039" s="13" t="s">
        <v>358</v>
      </c>
      <c r="Z1039" s="9" t="s">
        <v>359</v>
      </c>
      <c r="AA1039" s="10" t="s">
        <v>1300</v>
      </c>
      <c r="AB1039" s="9" t="s">
        <v>355</v>
      </c>
      <c r="AC1039" s="15">
        <v>64</v>
      </c>
      <c r="AD1039" s="14">
        <f t="shared" si="139"/>
        <v>1.8061799739838871</v>
      </c>
      <c r="AE1039" s="10" t="s">
        <v>756</v>
      </c>
      <c r="AF1039" s="9" t="s">
        <v>420</v>
      </c>
      <c r="AG1039" s="18">
        <v>27.552838000000001</v>
      </c>
      <c r="AH1039" s="18"/>
      <c r="AI1039" s="18"/>
      <c r="AJ1039" s="18"/>
      <c r="AK1039" s="18"/>
      <c r="AL1039" s="18"/>
      <c r="AM1039" s="18">
        <f t="shared" si="140"/>
        <v>1.4401663387326675</v>
      </c>
      <c r="AN1039" s="18">
        <v>-27.552838000000001</v>
      </c>
      <c r="AO1039" s="18">
        <v>153.05550500000001</v>
      </c>
      <c r="AP1039" s="9" t="s">
        <v>363</v>
      </c>
      <c r="AQ1039" s="9" t="s">
        <v>1304</v>
      </c>
      <c r="AR1039" s="15">
        <v>1983</v>
      </c>
      <c r="AS1039" s="19" t="s">
        <v>1301</v>
      </c>
      <c r="AT1039" s="20" t="s">
        <v>1302</v>
      </c>
      <c r="AU1039" s="40">
        <v>11320528</v>
      </c>
      <c r="AV1039" s="35">
        <f t="shared" si="141"/>
        <v>7.0538666832249381</v>
      </c>
      <c r="AW1039" s="37" t="s">
        <v>338</v>
      </c>
      <c r="AX1039" s="40">
        <v>0</v>
      </c>
      <c r="AY1039" s="40">
        <v>2200</v>
      </c>
      <c r="AZ1039" s="37">
        <v>146</v>
      </c>
      <c r="BA1039" s="14">
        <f t="shared" si="142"/>
        <v>2.1643528557844371</v>
      </c>
      <c r="BB1039" s="37" t="s">
        <v>367</v>
      </c>
      <c r="BC1039" s="20">
        <v>7.1628651460558916E-4</v>
      </c>
      <c r="BD1039" s="9">
        <v>29.5</v>
      </c>
      <c r="BE1039" s="9" t="s">
        <v>368</v>
      </c>
      <c r="BF1039" s="9">
        <v>0</v>
      </c>
    </row>
    <row r="1040" spans="1:58">
      <c r="A1040" s="9">
        <v>587</v>
      </c>
      <c r="B1040" s="10" t="s">
        <v>76</v>
      </c>
      <c r="C1040" s="10" t="s">
        <v>389</v>
      </c>
      <c r="D1040" s="20" t="s">
        <v>390</v>
      </c>
      <c r="E1040" s="20" t="s">
        <v>404</v>
      </c>
      <c r="F1040" s="10" t="s">
        <v>389</v>
      </c>
      <c r="G1040" s="20" t="s">
        <v>390</v>
      </c>
      <c r="H1040" s="20" t="s">
        <v>404</v>
      </c>
      <c r="I1040" s="10" t="s">
        <v>389</v>
      </c>
      <c r="J1040" s="20" t="s">
        <v>405</v>
      </c>
      <c r="K1040" s="20" t="s">
        <v>406</v>
      </c>
      <c r="L1040" s="9" t="s">
        <v>380</v>
      </c>
      <c r="M1040" s="9">
        <v>10</v>
      </c>
      <c r="N1040" s="9" t="s">
        <v>381</v>
      </c>
      <c r="O1040" s="9" t="s">
        <v>382</v>
      </c>
      <c r="P1040" s="12">
        <v>44.548740000000002</v>
      </c>
      <c r="Q1040" s="12" t="s">
        <v>355</v>
      </c>
      <c r="R1040" s="9" t="s">
        <v>356</v>
      </c>
      <c r="S1040" s="13" t="s">
        <v>355</v>
      </c>
      <c r="T1040" s="13"/>
      <c r="U1040" s="14"/>
      <c r="V1040" s="15">
        <v>35</v>
      </c>
      <c r="W1040" s="12"/>
      <c r="X1040" s="12">
        <v>1</v>
      </c>
      <c r="Y1040" s="13" t="s">
        <v>358</v>
      </c>
      <c r="Z1040" s="9" t="s">
        <v>359</v>
      </c>
      <c r="AA1040" s="10" t="s">
        <v>1300</v>
      </c>
      <c r="AB1040" s="9" t="s">
        <v>355</v>
      </c>
      <c r="AC1040" s="15">
        <v>64</v>
      </c>
      <c r="AD1040" s="14">
        <f t="shared" si="139"/>
        <v>1.8061799739838871</v>
      </c>
      <c r="AE1040" s="10" t="s">
        <v>756</v>
      </c>
      <c r="AF1040" s="9" t="s">
        <v>420</v>
      </c>
      <c r="AG1040" s="18">
        <v>27.552838000000001</v>
      </c>
      <c r="AH1040" s="18"/>
      <c r="AI1040" s="18"/>
      <c r="AJ1040" s="18"/>
      <c r="AK1040" s="18"/>
      <c r="AL1040" s="18"/>
      <c r="AM1040" s="18">
        <f t="shared" si="140"/>
        <v>1.4401663387326675</v>
      </c>
      <c r="AN1040" s="18">
        <v>-27.552838000000001</v>
      </c>
      <c r="AO1040" s="18">
        <v>153.05550500000001</v>
      </c>
      <c r="AP1040" s="9" t="s">
        <v>363</v>
      </c>
      <c r="AQ1040" s="9" t="s">
        <v>1310</v>
      </c>
      <c r="AR1040" s="15">
        <v>1983</v>
      </c>
      <c r="AS1040" s="19" t="s">
        <v>1301</v>
      </c>
      <c r="AT1040" s="20" t="s">
        <v>1302</v>
      </c>
      <c r="AU1040" s="40">
        <v>11320528</v>
      </c>
      <c r="AV1040" s="35">
        <f t="shared" si="141"/>
        <v>7.0538666832249381</v>
      </c>
      <c r="AW1040" s="37" t="s">
        <v>338</v>
      </c>
      <c r="AX1040" s="40">
        <v>0</v>
      </c>
      <c r="AY1040" s="40">
        <v>2200</v>
      </c>
      <c r="AZ1040" s="37">
        <v>146</v>
      </c>
      <c r="BA1040" s="14">
        <f t="shared" si="142"/>
        <v>2.1643528557844371</v>
      </c>
      <c r="BB1040" s="37" t="s">
        <v>367</v>
      </c>
      <c r="BC1040" s="20">
        <v>7.1628651460558916E-4</v>
      </c>
      <c r="BD1040" s="9">
        <v>29.5</v>
      </c>
      <c r="BE1040" s="9" t="s">
        <v>368</v>
      </c>
      <c r="BF1040" s="9">
        <v>0</v>
      </c>
    </row>
    <row r="1041" spans="1:58">
      <c r="A1041" s="9">
        <v>581</v>
      </c>
      <c r="B1041" s="10" t="s">
        <v>76</v>
      </c>
      <c r="C1041" s="10" t="s">
        <v>389</v>
      </c>
      <c r="D1041" s="20" t="s">
        <v>390</v>
      </c>
      <c r="E1041" s="20" t="s">
        <v>404</v>
      </c>
      <c r="F1041" s="10" t="s">
        <v>389</v>
      </c>
      <c r="G1041" s="20" t="s">
        <v>390</v>
      </c>
      <c r="H1041" s="20" t="s">
        <v>404</v>
      </c>
      <c r="I1041" s="10" t="s">
        <v>389</v>
      </c>
      <c r="J1041" s="20" t="s">
        <v>405</v>
      </c>
      <c r="K1041" s="20" t="s">
        <v>406</v>
      </c>
      <c r="L1041" s="9" t="s">
        <v>380</v>
      </c>
      <c r="M1041" s="9">
        <v>10</v>
      </c>
      <c r="N1041" s="9" t="s">
        <v>381</v>
      </c>
      <c r="O1041" s="9" t="s">
        <v>382</v>
      </c>
      <c r="P1041" s="12">
        <v>44.57949</v>
      </c>
      <c r="Q1041" s="12" t="s">
        <v>355</v>
      </c>
      <c r="R1041" s="9" t="s">
        <v>356</v>
      </c>
      <c r="S1041" s="13" t="s">
        <v>355</v>
      </c>
      <c r="T1041" s="13"/>
      <c r="U1041" s="14"/>
      <c r="V1041" s="15">
        <v>35</v>
      </c>
      <c r="W1041" s="12"/>
      <c r="X1041" s="12">
        <v>1</v>
      </c>
      <c r="Y1041" s="13" t="s">
        <v>358</v>
      </c>
      <c r="Z1041" s="9" t="s">
        <v>359</v>
      </c>
      <c r="AA1041" s="10" t="s">
        <v>1300</v>
      </c>
      <c r="AB1041" s="9" t="s">
        <v>355</v>
      </c>
      <c r="AC1041" s="15">
        <v>64</v>
      </c>
      <c r="AD1041" s="14">
        <f t="shared" si="139"/>
        <v>1.8061799739838871</v>
      </c>
      <c r="AE1041" s="10" t="s">
        <v>756</v>
      </c>
      <c r="AF1041" s="9" t="s">
        <v>420</v>
      </c>
      <c r="AG1041" s="18">
        <v>27.552838000000001</v>
      </c>
      <c r="AH1041" s="18"/>
      <c r="AI1041" s="18"/>
      <c r="AJ1041" s="18"/>
      <c r="AK1041" s="18"/>
      <c r="AL1041" s="18"/>
      <c r="AM1041" s="18">
        <f t="shared" si="140"/>
        <v>1.4401663387326675</v>
      </c>
      <c r="AN1041" s="18">
        <v>-27.552838000000001</v>
      </c>
      <c r="AO1041" s="18">
        <v>153.05550500000001</v>
      </c>
      <c r="AP1041" s="9" t="s">
        <v>363</v>
      </c>
      <c r="AQ1041" s="9" t="s">
        <v>1309</v>
      </c>
      <c r="AR1041" s="15">
        <v>1983</v>
      </c>
      <c r="AS1041" s="19" t="s">
        <v>1301</v>
      </c>
      <c r="AT1041" s="20" t="s">
        <v>1302</v>
      </c>
      <c r="AU1041" s="40">
        <v>11320528</v>
      </c>
      <c r="AV1041" s="35">
        <f t="shared" si="141"/>
        <v>7.0538666832249381</v>
      </c>
      <c r="AW1041" s="37" t="s">
        <v>338</v>
      </c>
      <c r="AX1041" s="40">
        <v>0</v>
      </c>
      <c r="AY1041" s="40">
        <v>2200</v>
      </c>
      <c r="AZ1041" s="37">
        <v>146</v>
      </c>
      <c r="BA1041" s="14">
        <f t="shared" si="142"/>
        <v>2.1643528557844371</v>
      </c>
      <c r="BB1041" s="37" t="s">
        <v>367</v>
      </c>
      <c r="BC1041" s="20">
        <v>7.1628651460558916E-4</v>
      </c>
      <c r="BD1041" s="9">
        <v>29.5</v>
      </c>
      <c r="BE1041" s="9" t="s">
        <v>368</v>
      </c>
      <c r="BF1041" s="9">
        <v>0</v>
      </c>
    </row>
    <row r="1042" spans="1:58">
      <c r="A1042" s="9">
        <v>590</v>
      </c>
      <c r="B1042" s="10" t="s">
        <v>76</v>
      </c>
      <c r="C1042" s="10" t="s">
        <v>389</v>
      </c>
      <c r="D1042" s="20" t="s">
        <v>390</v>
      </c>
      <c r="E1042" s="20" t="s">
        <v>404</v>
      </c>
      <c r="F1042" s="10" t="s">
        <v>389</v>
      </c>
      <c r="G1042" s="20" t="s">
        <v>390</v>
      </c>
      <c r="H1042" s="20" t="s">
        <v>404</v>
      </c>
      <c r="I1042" s="10" t="s">
        <v>389</v>
      </c>
      <c r="J1042" s="20" t="s">
        <v>405</v>
      </c>
      <c r="K1042" s="20" t="s">
        <v>406</v>
      </c>
      <c r="L1042" s="9" t="s">
        <v>380</v>
      </c>
      <c r="M1042" s="9">
        <v>10</v>
      </c>
      <c r="N1042" s="9" t="s">
        <v>381</v>
      </c>
      <c r="O1042" s="9" t="s">
        <v>382</v>
      </c>
      <c r="P1042" s="12">
        <v>44.682810000000003</v>
      </c>
      <c r="Q1042" s="12" t="s">
        <v>355</v>
      </c>
      <c r="R1042" s="9" t="s">
        <v>356</v>
      </c>
      <c r="S1042" s="13" t="s">
        <v>355</v>
      </c>
      <c r="T1042" s="13"/>
      <c r="U1042" s="14"/>
      <c r="V1042" s="15">
        <v>35</v>
      </c>
      <c r="W1042" s="12"/>
      <c r="X1042" s="12">
        <v>1</v>
      </c>
      <c r="Y1042" s="13" t="s">
        <v>358</v>
      </c>
      <c r="Z1042" s="9" t="s">
        <v>359</v>
      </c>
      <c r="AA1042" s="10" t="s">
        <v>1300</v>
      </c>
      <c r="AB1042" s="9" t="s">
        <v>355</v>
      </c>
      <c r="AC1042" s="15">
        <v>64</v>
      </c>
      <c r="AD1042" s="14">
        <f t="shared" si="139"/>
        <v>1.8061799739838871</v>
      </c>
      <c r="AE1042" s="10" t="s">
        <v>756</v>
      </c>
      <c r="AF1042" s="9" t="s">
        <v>420</v>
      </c>
      <c r="AG1042" s="18">
        <v>27.552838000000001</v>
      </c>
      <c r="AH1042" s="18"/>
      <c r="AI1042" s="18"/>
      <c r="AJ1042" s="18"/>
      <c r="AK1042" s="18"/>
      <c r="AL1042" s="18"/>
      <c r="AM1042" s="18">
        <f t="shared" si="140"/>
        <v>1.4401663387326675</v>
      </c>
      <c r="AN1042" s="18">
        <v>-27.552838000000001</v>
      </c>
      <c r="AO1042" s="18">
        <v>153.05550500000001</v>
      </c>
      <c r="AP1042" s="9" t="s">
        <v>363</v>
      </c>
      <c r="AQ1042" s="9" t="s">
        <v>445</v>
      </c>
      <c r="AR1042" s="15">
        <v>1983</v>
      </c>
      <c r="AS1042" s="19" t="s">
        <v>1301</v>
      </c>
      <c r="AT1042" s="20" t="s">
        <v>1302</v>
      </c>
      <c r="AU1042" s="40">
        <v>11320528</v>
      </c>
      <c r="AV1042" s="35">
        <f t="shared" si="141"/>
        <v>7.0538666832249381</v>
      </c>
      <c r="AW1042" s="37" t="s">
        <v>338</v>
      </c>
      <c r="AX1042" s="40">
        <v>0</v>
      </c>
      <c r="AY1042" s="40">
        <v>2200</v>
      </c>
      <c r="AZ1042" s="37">
        <v>146</v>
      </c>
      <c r="BA1042" s="14">
        <f t="shared" si="142"/>
        <v>2.1643528557844371</v>
      </c>
      <c r="BB1042" s="37" t="s">
        <v>367</v>
      </c>
      <c r="BC1042" s="20">
        <v>7.1628651460558916E-4</v>
      </c>
      <c r="BD1042" s="9">
        <v>29.5</v>
      </c>
      <c r="BE1042" s="9" t="s">
        <v>368</v>
      </c>
      <c r="BF1042" s="9">
        <v>0</v>
      </c>
    </row>
    <row r="1043" spans="1:58">
      <c r="A1043" s="9">
        <v>607</v>
      </c>
      <c r="B1043" s="10" t="s">
        <v>76</v>
      </c>
      <c r="C1043" s="10" t="s">
        <v>389</v>
      </c>
      <c r="D1043" s="20" t="s">
        <v>390</v>
      </c>
      <c r="E1043" s="20" t="s">
        <v>404</v>
      </c>
      <c r="F1043" s="10" t="s">
        <v>389</v>
      </c>
      <c r="G1043" s="20" t="s">
        <v>390</v>
      </c>
      <c r="H1043" s="20" t="s">
        <v>404</v>
      </c>
      <c r="I1043" s="10" t="s">
        <v>389</v>
      </c>
      <c r="J1043" s="20" t="s">
        <v>405</v>
      </c>
      <c r="K1043" s="20" t="s">
        <v>406</v>
      </c>
      <c r="L1043" s="9" t="s">
        <v>380</v>
      </c>
      <c r="M1043" s="9">
        <v>10</v>
      </c>
      <c r="N1043" s="9" t="s">
        <v>381</v>
      </c>
      <c r="O1043" s="9" t="s">
        <v>382</v>
      </c>
      <c r="P1043" s="12">
        <v>44.8</v>
      </c>
      <c r="Q1043" s="12" t="s">
        <v>355</v>
      </c>
      <c r="R1043" s="9" t="s">
        <v>356</v>
      </c>
      <c r="S1043" s="13" t="s">
        <v>355</v>
      </c>
      <c r="T1043" s="13"/>
      <c r="U1043" s="14"/>
      <c r="V1043" s="15">
        <v>35</v>
      </c>
      <c r="W1043" s="12"/>
      <c r="X1043" s="12">
        <v>1</v>
      </c>
      <c r="Y1043" s="13" t="s">
        <v>732</v>
      </c>
      <c r="Z1043" s="9" t="s">
        <v>359</v>
      </c>
      <c r="AA1043" s="10" t="s">
        <v>1300</v>
      </c>
      <c r="AB1043" s="9" t="s">
        <v>355</v>
      </c>
      <c r="AC1043" s="15">
        <v>64</v>
      </c>
      <c r="AD1043" s="14">
        <f t="shared" si="139"/>
        <v>1.8061799739838871</v>
      </c>
      <c r="AE1043" s="10" t="s">
        <v>756</v>
      </c>
      <c r="AF1043" s="9" t="s">
        <v>420</v>
      </c>
      <c r="AG1043" s="18">
        <v>27.552838000000001</v>
      </c>
      <c r="AH1043" s="18"/>
      <c r="AI1043" s="18"/>
      <c r="AJ1043" s="18"/>
      <c r="AK1043" s="18"/>
      <c r="AL1043" s="18"/>
      <c r="AM1043" s="18">
        <f t="shared" si="140"/>
        <v>1.4401663387326675</v>
      </c>
      <c r="AN1043" s="18">
        <v>-27.552838000000001</v>
      </c>
      <c r="AO1043" s="18">
        <v>153.05550500000001</v>
      </c>
      <c r="AP1043" s="9" t="s">
        <v>363</v>
      </c>
      <c r="AQ1043" s="9" t="s">
        <v>1305</v>
      </c>
      <c r="AR1043" s="15">
        <v>1985</v>
      </c>
      <c r="AS1043" s="19" t="s">
        <v>1306</v>
      </c>
      <c r="AT1043" s="20" t="s">
        <v>1307</v>
      </c>
      <c r="AU1043" s="40">
        <v>11320528</v>
      </c>
      <c r="AV1043" s="35">
        <f t="shared" si="141"/>
        <v>7.0538666832249381</v>
      </c>
      <c r="AW1043" s="37" t="s">
        <v>338</v>
      </c>
      <c r="AX1043" s="40">
        <v>0</v>
      </c>
      <c r="AY1043" s="40">
        <v>2200</v>
      </c>
      <c r="AZ1043" s="37">
        <v>146</v>
      </c>
      <c r="BA1043" s="14">
        <f t="shared" si="142"/>
        <v>2.1643528557844371</v>
      </c>
      <c r="BB1043" s="37" t="s">
        <v>367</v>
      </c>
      <c r="BC1043" s="20">
        <v>7.1628651460558916E-4</v>
      </c>
      <c r="BD1043" s="9">
        <v>29.5</v>
      </c>
      <c r="BE1043" s="9" t="s">
        <v>368</v>
      </c>
      <c r="BF1043" s="9">
        <v>0</v>
      </c>
    </row>
    <row r="1044" spans="1:58">
      <c r="A1044" s="9">
        <v>584</v>
      </c>
      <c r="B1044" s="10" t="s">
        <v>76</v>
      </c>
      <c r="C1044" s="10" t="s">
        <v>389</v>
      </c>
      <c r="D1044" s="20" t="s">
        <v>390</v>
      </c>
      <c r="E1044" s="20" t="s">
        <v>404</v>
      </c>
      <c r="F1044" s="10" t="s">
        <v>389</v>
      </c>
      <c r="G1044" s="20" t="s">
        <v>390</v>
      </c>
      <c r="H1044" s="20" t="s">
        <v>404</v>
      </c>
      <c r="I1044" s="10" t="s">
        <v>389</v>
      </c>
      <c r="J1044" s="20" t="s">
        <v>405</v>
      </c>
      <c r="K1044" s="20" t="s">
        <v>406</v>
      </c>
      <c r="L1044" s="9" t="s">
        <v>380</v>
      </c>
      <c r="M1044" s="9">
        <v>10</v>
      </c>
      <c r="N1044" s="9" t="s">
        <v>381</v>
      </c>
      <c r="O1044" s="9" t="s">
        <v>382</v>
      </c>
      <c r="P1044" s="12">
        <v>44.938009999999998</v>
      </c>
      <c r="Q1044" s="12" t="s">
        <v>355</v>
      </c>
      <c r="R1044" s="9" t="s">
        <v>356</v>
      </c>
      <c r="S1044" s="13" t="s">
        <v>355</v>
      </c>
      <c r="T1044" s="13"/>
      <c r="U1044" s="14"/>
      <c r="V1044" s="15">
        <v>35</v>
      </c>
      <c r="W1044" s="12"/>
      <c r="X1044" s="12">
        <v>1</v>
      </c>
      <c r="Y1044" s="13" t="s">
        <v>358</v>
      </c>
      <c r="Z1044" s="9" t="s">
        <v>359</v>
      </c>
      <c r="AA1044" s="10" t="s">
        <v>1300</v>
      </c>
      <c r="AB1044" s="9" t="s">
        <v>355</v>
      </c>
      <c r="AC1044" s="15">
        <v>64</v>
      </c>
      <c r="AD1044" s="14">
        <f t="shared" si="139"/>
        <v>1.8061799739838871</v>
      </c>
      <c r="AE1044" s="10" t="s">
        <v>756</v>
      </c>
      <c r="AF1044" s="9" t="s">
        <v>420</v>
      </c>
      <c r="AG1044" s="18">
        <v>27.552838000000001</v>
      </c>
      <c r="AH1044" s="18"/>
      <c r="AI1044" s="18"/>
      <c r="AJ1044" s="18"/>
      <c r="AK1044" s="18"/>
      <c r="AL1044" s="18"/>
      <c r="AM1044" s="18">
        <f t="shared" si="140"/>
        <v>1.4401663387326675</v>
      </c>
      <c r="AN1044" s="18">
        <v>-27.552838000000001</v>
      </c>
      <c r="AO1044" s="18">
        <v>153.05550500000001</v>
      </c>
      <c r="AP1044" s="9" t="s">
        <v>363</v>
      </c>
      <c r="AQ1044" s="9" t="s">
        <v>449</v>
      </c>
      <c r="AR1044" s="15">
        <v>1983</v>
      </c>
      <c r="AS1044" s="19" t="s">
        <v>1301</v>
      </c>
      <c r="AT1044" s="20" t="s">
        <v>1302</v>
      </c>
      <c r="AU1044" s="40">
        <v>11320528</v>
      </c>
      <c r="AV1044" s="35">
        <f t="shared" si="141"/>
        <v>7.0538666832249381</v>
      </c>
      <c r="AW1044" s="37" t="s">
        <v>338</v>
      </c>
      <c r="AX1044" s="40">
        <v>0</v>
      </c>
      <c r="AY1044" s="40">
        <v>2200</v>
      </c>
      <c r="AZ1044" s="37">
        <v>146</v>
      </c>
      <c r="BA1044" s="14">
        <f t="shared" si="142"/>
        <v>2.1643528557844371</v>
      </c>
      <c r="BB1044" s="37" t="s">
        <v>367</v>
      </c>
      <c r="BC1044" s="20">
        <v>7.1628651460558916E-4</v>
      </c>
      <c r="BD1044" s="9">
        <v>29.5</v>
      </c>
      <c r="BE1044" s="9" t="s">
        <v>368</v>
      </c>
      <c r="BF1044" s="9">
        <v>0</v>
      </c>
    </row>
    <row r="1045" spans="1:58">
      <c r="A1045" s="9">
        <v>610</v>
      </c>
      <c r="B1045" s="10" t="s">
        <v>76</v>
      </c>
      <c r="C1045" s="10" t="s">
        <v>389</v>
      </c>
      <c r="D1045" s="20" t="s">
        <v>390</v>
      </c>
      <c r="E1045" s="20" t="s">
        <v>404</v>
      </c>
      <c r="F1045" s="10" t="s">
        <v>389</v>
      </c>
      <c r="G1045" s="20" t="s">
        <v>390</v>
      </c>
      <c r="H1045" s="20" t="s">
        <v>404</v>
      </c>
      <c r="I1045" s="10" t="s">
        <v>389</v>
      </c>
      <c r="J1045" s="20" t="s">
        <v>405</v>
      </c>
      <c r="K1045" s="20" t="s">
        <v>406</v>
      </c>
      <c r="L1045" s="9" t="s">
        <v>380</v>
      </c>
      <c r="M1045" s="9">
        <v>10</v>
      </c>
      <c r="N1045" s="9" t="s">
        <v>381</v>
      </c>
      <c r="O1045" s="9" t="s">
        <v>382</v>
      </c>
      <c r="P1045" s="12">
        <v>45</v>
      </c>
      <c r="Q1045" s="12" t="s">
        <v>355</v>
      </c>
      <c r="R1045" s="9" t="s">
        <v>356</v>
      </c>
      <c r="S1045" s="13" t="s">
        <v>355</v>
      </c>
      <c r="T1045" s="13"/>
      <c r="U1045" s="14"/>
      <c r="V1045" s="15">
        <v>35</v>
      </c>
      <c r="W1045" s="12"/>
      <c r="X1045" s="12">
        <v>1</v>
      </c>
      <c r="Y1045" s="13" t="s">
        <v>731</v>
      </c>
      <c r="Z1045" s="9" t="s">
        <v>359</v>
      </c>
      <c r="AA1045" s="10" t="s">
        <v>1300</v>
      </c>
      <c r="AB1045" s="9" t="s">
        <v>355</v>
      </c>
      <c r="AC1045" s="15">
        <v>64</v>
      </c>
      <c r="AD1045" s="14">
        <f t="shared" si="139"/>
        <v>1.8061799739838871</v>
      </c>
      <c r="AE1045" s="10" t="s">
        <v>756</v>
      </c>
      <c r="AF1045" s="9" t="s">
        <v>420</v>
      </c>
      <c r="AG1045" s="18">
        <v>27.552838000000001</v>
      </c>
      <c r="AH1045" s="18"/>
      <c r="AI1045" s="18"/>
      <c r="AJ1045" s="18"/>
      <c r="AK1045" s="18"/>
      <c r="AL1045" s="18"/>
      <c r="AM1045" s="18">
        <f t="shared" si="140"/>
        <v>1.4401663387326675</v>
      </c>
      <c r="AN1045" s="18">
        <v>-27.552838000000001</v>
      </c>
      <c r="AO1045" s="18">
        <v>153.05550500000001</v>
      </c>
      <c r="AP1045" s="9" t="s">
        <v>363</v>
      </c>
      <c r="AQ1045" s="9" t="s">
        <v>1308</v>
      </c>
      <c r="AR1045" s="15">
        <v>1985</v>
      </c>
      <c r="AS1045" s="19" t="s">
        <v>1306</v>
      </c>
      <c r="AT1045" s="20" t="s">
        <v>1307</v>
      </c>
      <c r="AU1045" s="40">
        <v>11320528</v>
      </c>
      <c r="AV1045" s="35">
        <f t="shared" si="141"/>
        <v>7.0538666832249381</v>
      </c>
      <c r="AW1045" s="37" t="s">
        <v>338</v>
      </c>
      <c r="AX1045" s="40">
        <v>0</v>
      </c>
      <c r="AY1045" s="40">
        <v>2200</v>
      </c>
      <c r="AZ1045" s="37">
        <v>146</v>
      </c>
      <c r="BA1045" s="14">
        <f t="shared" si="142"/>
        <v>2.1643528557844371</v>
      </c>
      <c r="BB1045" s="37" t="s">
        <v>367</v>
      </c>
      <c r="BC1045" s="20">
        <v>7.1628651460558916E-4</v>
      </c>
      <c r="BD1045" s="9">
        <v>29.5</v>
      </c>
      <c r="BE1045" s="9" t="s">
        <v>368</v>
      </c>
      <c r="BF1045" s="9">
        <v>0</v>
      </c>
    </row>
    <row r="1046" spans="1:58">
      <c r="AZ1046" s="187">
        <f>MIN(AZ4:AZ1045)</f>
        <v>15</v>
      </c>
    </row>
    <row r="1047" spans="1:58">
      <c r="AZ1047" s="187">
        <f>MAX(AZ5:AZ1046)</f>
        <v>334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2"/>
  <sheetViews>
    <sheetView workbookViewId="0">
      <selection activeCell="B24" sqref="B24"/>
    </sheetView>
  </sheetViews>
  <sheetFormatPr defaultRowHeight="15"/>
  <cols>
    <col min="1" max="1" width="17.85546875" style="74" bestFit="1" customWidth="1"/>
    <col min="2" max="2" width="129.85546875" bestFit="1" customWidth="1"/>
  </cols>
  <sheetData>
    <row r="1" spans="1:2">
      <c r="A1" s="70" t="s">
        <v>1312</v>
      </c>
      <c r="B1" s="71" t="s">
        <v>1313</v>
      </c>
    </row>
    <row r="2" spans="1:2">
      <c r="A2" s="10" t="s">
        <v>303</v>
      </c>
      <c r="B2" s="72" t="s">
        <v>1314</v>
      </c>
    </row>
    <row r="3" spans="1:2">
      <c r="A3" s="10" t="s">
        <v>8</v>
      </c>
      <c r="B3" s="73" t="s">
        <v>8</v>
      </c>
    </row>
    <row r="4" spans="1:2">
      <c r="A4" s="10" t="s">
        <v>304</v>
      </c>
      <c r="B4" s="73" t="s">
        <v>1315</v>
      </c>
    </row>
    <row r="5" spans="1:2">
      <c r="A5" s="10" t="s">
        <v>305</v>
      </c>
      <c r="B5" s="73" t="s">
        <v>1316</v>
      </c>
    </row>
    <row r="6" spans="1:2">
      <c r="A6" s="10" t="s">
        <v>306</v>
      </c>
      <c r="B6" s="73" t="s">
        <v>1317</v>
      </c>
    </row>
    <row r="7" spans="1:2">
      <c r="A7" s="10" t="s">
        <v>307</v>
      </c>
      <c r="B7" s="73" t="s">
        <v>1318</v>
      </c>
    </row>
    <row r="8" spans="1:2">
      <c r="A8" s="10" t="s">
        <v>308</v>
      </c>
      <c r="B8" s="73" t="s">
        <v>1319</v>
      </c>
    </row>
    <row r="9" spans="1:2">
      <c r="A9" s="10" t="s">
        <v>309</v>
      </c>
      <c r="B9" s="73" t="s">
        <v>1320</v>
      </c>
    </row>
    <row r="10" spans="1:2">
      <c r="A10" s="10" t="s">
        <v>310</v>
      </c>
      <c r="B10" s="73" t="s">
        <v>1321</v>
      </c>
    </row>
    <row r="11" spans="1:2">
      <c r="A11" s="10" t="s">
        <v>311</v>
      </c>
      <c r="B11" s="73" t="s">
        <v>1322</v>
      </c>
    </row>
    <row r="12" spans="1:2">
      <c r="A12" s="10" t="s">
        <v>312</v>
      </c>
      <c r="B12" s="73" t="s">
        <v>1323</v>
      </c>
    </row>
    <row r="13" spans="1:2">
      <c r="A13" s="10" t="s">
        <v>3</v>
      </c>
      <c r="B13" s="73" t="s">
        <v>1324</v>
      </c>
    </row>
    <row r="14" spans="1:2">
      <c r="A14" s="10" t="s">
        <v>313</v>
      </c>
      <c r="B14" s="73" t="s">
        <v>1325</v>
      </c>
    </row>
    <row r="15" spans="1:2">
      <c r="A15" s="10" t="s">
        <v>314</v>
      </c>
      <c r="B15" s="73" t="s">
        <v>1326</v>
      </c>
    </row>
    <row r="16" spans="1:2">
      <c r="A16" s="74" t="s">
        <v>315</v>
      </c>
      <c r="B16" s="73" t="s">
        <v>1327</v>
      </c>
    </row>
    <row r="17" spans="1:2">
      <c r="A17" t="s">
        <v>316</v>
      </c>
      <c r="B17" s="73" t="s">
        <v>1328</v>
      </c>
    </row>
    <row r="18" spans="1:2">
      <c r="A18" t="s">
        <v>317</v>
      </c>
      <c r="B18" s="73" t="s">
        <v>1329</v>
      </c>
    </row>
    <row r="19" spans="1:2">
      <c r="A19" s="10" t="s">
        <v>318</v>
      </c>
      <c r="B19" s="73" t="s">
        <v>1330</v>
      </c>
    </row>
    <row r="20" spans="1:2">
      <c r="A20" s="75" t="s">
        <v>1331</v>
      </c>
      <c r="B20" s="73" t="s">
        <v>1332</v>
      </c>
    </row>
    <row r="21" spans="1:2">
      <c r="A21" s="75" t="s">
        <v>1357</v>
      </c>
      <c r="B21" s="73" t="s">
        <v>1358</v>
      </c>
    </row>
    <row r="22" spans="1:2">
      <c r="A22" s="75" t="s">
        <v>1359</v>
      </c>
      <c r="B22" s="73" t="s">
        <v>1363</v>
      </c>
    </row>
    <row r="23" spans="1:2">
      <c r="A23" s="19" t="s">
        <v>1333</v>
      </c>
      <c r="B23" s="73" t="s">
        <v>1361</v>
      </c>
    </row>
    <row r="24" spans="1:2">
      <c r="A24" s="76" t="s">
        <v>319</v>
      </c>
      <c r="B24" s="72" t="s">
        <v>1334</v>
      </c>
    </row>
    <row r="25" spans="1:2">
      <c r="A25" s="76" t="s">
        <v>320</v>
      </c>
      <c r="B25" s="73" t="s">
        <v>1335</v>
      </c>
    </row>
    <row r="26" spans="1:2">
      <c r="A26" s="75" t="s">
        <v>321</v>
      </c>
      <c r="B26" s="72" t="s">
        <v>1336</v>
      </c>
    </row>
    <row r="27" spans="1:2">
      <c r="A27" s="10" t="s">
        <v>322</v>
      </c>
      <c r="B27" s="73" t="s">
        <v>1337</v>
      </c>
    </row>
    <row r="28" spans="1:2">
      <c r="A28" s="10" t="s">
        <v>323</v>
      </c>
      <c r="B28" s="73" t="s">
        <v>1338</v>
      </c>
    </row>
    <row r="29" spans="1:2">
      <c r="A29" s="10" t="s">
        <v>324</v>
      </c>
      <c r="B29" s="73" t="s">
        <v>1339</v>
      </c>
    </row>
    <row r="30" spans="1:2">
      <c r="A30" s="19" t="s">
        <v>325</v>
      </c>
      <c r="B30" s="72" t="s">
        <v>1340</v>
      </c>
    </row>
    <row r="31" spans="1:2">
      <c r="A31" s="10" t="s">
        <v>327</v>
      </c>
      <c r="B31" s="73" t="s">
        <v>1341</v>
      </c>
    </row>
    <row r="32" spans="1:2">
      <c r="A32" s="10" t="s">
        <v>328</v>
      </c>
      <c r="B32" s="73" t="s">
        <v>1342</v>
      </c>
    </row>
    <row r="33" spans="1:4">
      <c r="A33" s="65" t="s">
        <v>329</v>
      </c>
      <c r="B33" s="72" t="s">
        <v>1343</v>
      </c>
    </row>
    <row r="34" spans="1:4">
      <c r="A34" s="65" t="s">
        <v>1</v>
      </c>
      <c r="B34" s="73" t="s">
        <v>1344</v>
      </c>
    </row>
    <row r="35" spans="1:4">
      <c r="A35" s="65" t="s">
        <v>331</v>
      </c>
      <c r="B35" s="73" t="s">
        <v>1345</v>
      </c>
    </row>
    <row r="36" spans="1:4">
      <c r="A36" s="10" t="s">
        <v>332</v>
      </c>
      <c r="B36" s="73" t="s">
        <v>1346</v>
      </c>
    </row>
    <row r="37" spans="1:4">
      <c r="A37" s="10" t="s">
        <v>333</v>
      </c>
      <c r="B37" s="73" t="s">
        <v>333</v>
      </c>
    </row>
    <row r="38" spans="1:4">
      <c r="A38" s="19" t="s">
        <v>334</v>
      </c>
      <c r="B38" s="73" t="s">
        <v>1347</v>
      </c>
    </row>
    <row r="39" spans="1:4">
      <c r="A39" s="19" t="s">
        <v>13</v>
      </c>
      <c r="B39" s="73" t="s">
        <v>1348</v>
      </c>
    </row>
    <row r="40" spans="1:4">
      <c r="A40" s="10" t="s">
        <v>335</v>
      </c>
      <c r="B40" s="73" t="s">
        <v>1349</v>
      </c>
    </row>
    <row r="41" spans="1:4">
      <c r="A41" s="77" t="s">
        <v>336</v>
      </c>
      <c r="B41" s="73" t="s">
        <v>1350</v>
      </c>
    </row>
    <row r="42" spans="1:4">
      <c r="A42" s="77" t="s">
        <v>337</v>
      </c>
      <c r="B42" s="73" t="s">
        <v>1362</v>
      </c>
    </row>
    <row r="43" spans="1:4">
      <c r="A43" s="78" t="s">
        <v>338</v>
      </c>
      <c r="B43" s="72" t="s">
        <v>1351</v>
      </c>
    </row>
    <row r="44" spans="1:4">
      <c r="A44" s="79" t="s">
        <v>339</v>
      </c>
      <c r="B44" s="73" t="s">
        <v>1352</v>
      </c>
    </row>
    <row r="45" spans="1:4">
      <c r="A45" s="79" t="s">
        <v>340</v>
      </c>
      <c r="B45" s="73" t="s">
        <v>1353</v>
      </c>
    </row>
    <row r="46" spans="1:4">
      <c r="A46" s="62" t="s">
        <v>341</v>
      </c>
      <c r="B46" s="72" t="s">
        <v>1354</v>
      </c>
    </row>
    <row r="47" spans="1:4">
      <c r="A47" s="62" t="s">
        <v>342</v>
      </c>
      <c r="B47" s="72" t="s">
        <v>1364</v>
      </c>
    </row>
    <row r="48" spans="1:4">
      <c r="A48" s="62" t="s">
        <v>0</v>
      </c>
      <c r="B48" s="72" t="s">
        <v>1355</v>
      </c>
      <c r="D48" s="80"/>
    </row>
    <row r="49" spans="1:2">
      <c r="A49" s="80" t="s">
        <v>1367</v>
      </c>
      <c r="B49" s="72" t="s">
        <v>1368</v>
      </c>
    </row>
    <row r="50" spans="1:2">
      <c r="A50" s="81" t="s">
        <v>347</v>
      </c>
      <c r="B50" s="73" t="s">
        <v>1369</v>
      </c>
    </row>
    <row r="51" spans="1:2">
      <c r="A51" s="80" t="s">
        <v>344</v>
      </c>
      <c r="B51" s="72" t="s">
        <v>1356</v>
      </c>
    </row>
    <row r="52" spans="1:2">
      <c r="A52" s="80" t="s">
        <v>1365</v>
      </c>
      <c r="B52" s="72" t="s">
        <v>1366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60"/>
  <sheetViews>
    <sheetView workbookViewId="0">
      <pane xSplit="5" ySplit="3" topLeftCell="F4" activePane="bottomRight" state="frozen"/>
      <selection pane="topRight" activeCell="F1" sqref="F1"/>
      <selection pane="bottomLeft" activeCell="A4" sqref="A4"/>
      <selection pane="bottomRight" activeCell="N17" sqref="N17"/>
    </sheetView>
  </sheetViews>
  <sheetFormatPr defaultRowHeight="15"/>
  <cols>
    <col min="3" max="3" width="16.140625" bestFit="1" customWidth="1"/>
    <col min="4" max="4" width="16.28515625" bestFit="1" customWidth="1"/>
  </cols>
  <sheetData>
    <row r="1" spans="1:20">
      <c r="A1" s="1" t="s">
        <v>4255</v>
      </c>
    </row>
    <row r="3" spans="1:20" s="73" customFormat="1">
      <c r="A3" s="85" t="s">
        <v>8</v>
      </c>
      <c r="B3" s="85" t="s">
        <v>9</v>
      </c>
      <c r="C3" s="210" t="s">
        <v>311</v>
      </c>
      <c r="D3" s="210" t="s">
        <v>312</v>
      </c>
      <c r="E3" s="210" t="s">
        <v>1370</v>
      </c>
      <c r="F3" s="210" t="s">
        <v>1371</v>
      </c>
      <c r="G3" s="210" t="s">
        <v>1372</v>
      </c>
      <c r="H3" s="210" t="s">
        <v>1373</v>
      </c>
      <c r="I3" s="210" t="s">
        <v>337</v>
      </c>
      <c r="J3" s="210" t="s">
        <v>342</v>
      </c>
      <c r="K3" s="210" t="s">
        <v>1374</v>
      </c>
      <c r="L3" s="210" t="s">
        <v>1365</v>
      </c>
      <c r="M3" s="210" t="s">
        <v>4171</v>
      </c>
      <c r="N3" s="210" t="s">
        <v>4176</v>
      </c>
      <c r="O3" s="210" t="s">
        <v>4172</v>
      </c>
      <c r="P3" s="210" t="s">
        <v>4170</v>
      </c>
      <c r="Q3" s="87" t="s">
        <v>4173</v>
      </c>
      <c r="R3" s="87" t="s">
        <v>4149</v>
      </c>
      <c r="S3" s="87" t="s">
        <v>4174</v>
      </c>
      <c r="T3" s="87" t="s">
        <v>4175</v>
      </c>
    </row>
    <row r="4" spans="1:20">
      <c r="A4" s="211" t="s">
        <v>76</v>
      </c>
      <c r="B4" s="211" t="s">
        <v>77</v>
      </c>
      <c r="C4" s="92" t="s">
        <v>664</v>
      </c>
      <c r="D4" s="91" t="s">
        <v>665</v>
      </c>
      <c r="E4" s="88">
        <v>9.7101049199999974</v>
      </c>
      <c r="F4" s="88">
        <v>259.8</v>
      </c>
      <c r="G4" s="88">
        <f t="shared" ref="G4:G67" si="0">LOG(F4)</f>
        <v>2.414639146737009</v>
      </c>
      <c r="H4" s="88">
        <v>40.553969400000007</v>
      </c>
      <c r="I4" s="88">
        <v>6.5063510402718165</v>
      </c>
      <c r="J4" s="88">
        <v>1.5185139398778877</v>
      </c>
      <c r="K4" s="88">
        <v>1.5395878351340384E-2</v>
      </c>
      <c r="L4" s="88">
        <v>0</v>
      </c>
      <c r="M4" s="88">
        <v>4.0553969400000005</v>
      </c>
      <c r="N4" s="88">
        <v>15.185139398778878</v>
      </c>
      <c r="O4" s="88">
        <v>1.5395878351340384</v>
      </c>
      <c r="P4" s="88">
        <v>0.97101049199999978</v>
      </c>
      <c r="Q4" s="2">
        <v>8.7741935483870936E-2</v>
      </c>
      <c r="R4" s="2">
        <f>LOG(Q4)</f>
        <v>-1.0567927898000742</v>
      </c>
      <c r="S4" s="2">
        <f>LOG(Q4+1)</f>
        <v>3.6525872118432008E-2</v>
      </c>
      <c r="T4" s="2"/>
    </row>
    <row r="5" spans="1:20">
      <c r="A5" s="211" t="s">
        <v>76</v>
      </c>
      <c r="B5" s="211" t="s">
        <v>77</v>
      </c>
      <c r="C5" s="92" t="s">
        <v>664</v>
      </c>
      <c r="D5" s="91" t="s">
        <v>692</v>
      </c>
      <c r="E5" s="88">
        <v>5.8998015999999964</v>
      </c>
      <c r="F5" s="88">
        <v>35</v>
      </c>
      <c r="G5" s="88">
        <f t="shared" si="0"/>
        <v>1.5440680443502757</v>
      </c>
      <c r="H5" s="88">
        <v>28.538335</v>
      </c>
      <c r="I5" s="88">
        <v>5.8241271361469265</v>
      </c>
      <c r="J5" s="88">
        <v>1.5185139398778875</v>
      </c>
      <c r="K5" s="88">
        <v>1.7347739095638484E-2</v>
      </c>
      <c r="L5" s="88">
        <v>0</v>
      </c>
      <c r="M5" s="88">
        <v>2.8538334999999999</v>
      </c>
      <c r="N5" s="88">
        <v>15.185139398778876</v>
      </c>
      <c r="O5" s="88">
        <v>1.7347739095638484</v>
      </c>
      <c r="P5" s="88">
        <v>0.58998015999999964</v>
      </c>
      <c r="Q5" s="2"/>
      <c r="R5" s="2"/>
      <c r="S5" s="2"/>
      <c r="T5" s="2"/>
    </row>
    <row r="6" spans="1:20">
      <c r="A6" s="211" t="s">
        <v>76</v>
      </c>
      <c r="B6" s="211" t="s">
        <v>721</v>
      </c>
      <c r="C6" s="92" t="s">
        <v>895</v>
      </c>
      <c r="D6" s="91" t="s">
        <v>896</v>
      </c>
      <c r="E6" s="88">
        <v>7.1932353999999989</v>
      </c>
      <c r="F6" s="88">
        <v>304.7851264858275</v>
      </c>
      <c r="G6" s="88">
        <f t="shared" si="0"/>
        <v>2.4839937696139525</v>
      </c>
      <c r="H6" s="88">
        <v>33.425020000000004</v>
      </c>
      <c r="I6" s="88">
        <v>5.6805322160491105</v>
      </c>
      <c r="J6" s="88">
        <v>1.5185139398778875</v>
      </c>
      <c r="K6" s="88">
        <v>7.0504201680672398E-3</v>
      </c>
      <c r="L6" s="88">
        <v>1</v>
      </c>
      <c r="M6" s="88">
        <v>3.3425020000000005</v>
      </c>
      <c r="N6" s="88">
        <v>15.185139398778876</v>
      </c>
      <c r="O6" s="88">
        <v>0.70504201680672396</v>
      </c>
      <c r="P6" s="88">
        <v>0.71932353999999987</v>
      </c>
      <c r="Q6" s="2"/>
      <c r="R6" s="2"/>
      <c r="S6" s="2"/>
      <c r="T6" s="2"/>
    </row>
    <row r="7" spans="1:20">
      <c r="A7" s="211" t="s">
        <v>76</v>
      </c>
      <c r="B7" s="211" t="s">
        <v>77</v>
      </c>
      <c r="C7" s="92" t="s">
        <v>902</v>
      </c>
      <c r="D7" s="91" t="s">
        <v>900</v>
      </c>
      <c r="E7" s="88">
        <v>-3.4758184000000014</v>
      </c>
      <c r="F7" s="88">
        <v>305</v>
      </c>
      <c r="G7" s="88">
        <f t="shared" si="0"/>
        <v>2.4842998393467859</v>
      </c>
      <c r="H7" s="88">
        <v>24</v>
      </c>
      <c r="I7" s="88">
        <v>5.1469059664910057</v>
      </c>
      <c r="J7" s="88">
        <v>1.7403626894942439</v>
      </c>
      <c r="K7" s="88">
        <v>2.8510604241696637E-2</v>
      </c>
      <c r="L7" s="88">
        <v>0</v>
      </c>
      <c r="M7" s="88">
        <v>2.4</v>
      </c>
      <c r="N7" s="88">
        <v>17.403626894942438</v>
      </c>
      <c r="O7" s="88">
        <v>2.8510604241696638</v>
      </c>
      <c r="P7" s="88">
        <v>-0.34758184000000014</v>
      </c>
      <c r="Q7" s="2"/>
      <c r="R7" s="2"/>
      <c r="S7" s="2"/>
      <c r="T7" s="2"/>
    </row>
    <row r="8" spans="1:20">
      <c r="A8" s="211" t="s">
        <v>76</v>
      </c>
      <c r="B8" s="212" t="s">
        <v>577</v>
      </c>
      <c r="C8" s="92" t="s">
        <v>1088</v>
      </c>
      <c r="D8" s="91" t="s">
        <v>1089</v>
      </c>
      <c r="E8" s="88"/>
      <c r="F8" s="88">
        <v>1750</v>
      </c>
      <c r="G8" s="88">
        <f t="shared" si="0"/>
        <v>3.2430380486862944</v>
      </c>
      <c r="H8" s="88">
        <v>41.198611</v>
      </c>
      <c r="I8" s="88">
        <v>4.0136796972911926</v>
      </c>
      <c r="J8" s="88">
        <v>1.8750612633917001</v>
      </c>
      <c r="K8" s="88">
        <v>2.3605042016806591E-2</v>
      </c>
      <c r="L8" s="88">
        <v>0</v>
      </c>
      <c r="M8" s="88">
        <v>4.1198610999999996</v>
      </c>
      <c r="N8" s="88">
        <v>18.750612633917001</v>
      </c>
      <c r="O8" s="88">
        <v>2.360504201680659</v>
      </c>
      <c r="P8" s="88"/>
      <c r="Q8" s="2"/>
      <c r="R8" s="2"/>
      <c r="S8" s="2"/>
      <c r="T8" s="2"/>
    </row>
    <row r="9" spans="1:20">
      <c r="A9" s="211" t="s">
        <v>76</v>
      </c>
      <c r="B9" s="212" t="s">
        <v>516</v>
      </c>
      <c r="C9" s="92" t="s">
        <v>517</v>
      </c>
      <c r="D9" s="91" t="s">
        <v>518</v>
      </c>
      <c r="E9" s="88"/>
      <c r="F9" s="88">
        <v>1756</v>
      </c>
      <c r="G9" s="88">
        <f t="shared" si="0"/>
        <v>3.2445245115700838</v>
      </c>
      <c r="H9" s="88">
        <v>37.378830999999998</v>
      </c>
      <c r="I9" s="88">
        <v>5.2221726125140098</v>
      </c>
      <c r="J9" s="88">
        <v>1.5185139398778875</v>
      </c>
      <c r="K9" s="88">
        <v>3.0292917166866652E-2</v>
      </c>
      <c r="L9" s="88">
        <v>1</v>
      </c>
      <c r="M9" s="88">
        <v>3.7378830999999999</v>
      </c>
      <c r="N9" s="88">
        <v>15.185139398778876</v>
      </c>
      <c r="O9" s="88">
        <v>3.0292917166866653</v>
      </c>
      <c r="P9" s="88"/>
      <c r="Q9" s="2"/>
      <c r="R9" s="2"/>
      <c r="S9" s="2"/>
      <c r="T9" s="2"/>
    </row>
    <row r="10" spans="1:20">
      <c r="A10" s="211" t="s">
        <v>76</v>
      </c>
      <c r="B10" s="212" t="s">
        <v>516</v>
      </c>
      <c r="C10" s="92" t="s">
        <v>517</v>
      </c>
      <c r="D10" s="91" t="s">
        <v>522</v>
      </c>
      <c r="E10" s="88"/>
      <c r="F10" s="88">
        <v>1756</v>
      </c>
      <c r="G10" s="88">
        <f t="shared" si="0"/>
        <v>3.2445245115700838</v>
      </c>
      <c r="H10" s="88">
        <v>37.378830999999998</v>
      </c>
      <c r="I10" s="88">
        <v>4.4881133818002965</v>
      </c>
      <c r="J10" s="88">
        <v>1.7403626894942439</v>
      </c>
      <c r="K10" s="88">
        <v>3.0292917166866652E-2</v>
      </c>
      <c r="L10" s="88">
        <v>1</v>
      </c>
      <c r="M10" s="88">
        <v>3.7378830999999999</v>
      </c>
      <c r="N10" s="88">
        <v>17.403626894942438</v>
      </c>
      <c r="O10" s="88">
        <v>3.0292917166866653</v>
      </c>
      <c r="P10" s="88"/>
      <c r="Q10" s="2"/>
      <c r="R10" s="2"/>
      <c r="S10" s="2"/>
      <c r="T10" s="2"/>
    </row>
    <row r="11" spans="1:20">
      <c r="A11" s="211" t="s">
        <v>76</v>
      </c>
      <c r="B11" s="212" t="s">
        <v>516</v>
      </c>
      <c r="C11" s="92" t="s">
        <v>517</v>
      </c>
      <c r="D11" s="91" t="s">
        <v>523</v>
      </c>
      <c r="E11" s="88"/>
      <c r="F11" s="88">
        <v>1756</v>
      </c>
      <c r="G11" s="88">
        <f t="shared" si="0"/>
        <v>3.2445245115700838</v>
      </c>
      <c r="H11" s="88">
        <v>37.378830999999998</v>
      </c>
      <c r="I11" s="88">
        <v>2.5634810853944106</v>
      </c>
      <c r="J11" s="88">
        <v>1.5185139398778875</v>
      </c>
      <c r="K11" s="88">
        <v>3.0292917166866652E-2</v>
      </c>
      <c r="L11" s="88">
        <v>1</v>
      </c>
      <c r="M11" s="88">
        <v>3.7378830999999999</v>
      </c>
      <c r="N11" s="88">
        <v>15.185139398778876</v>
      </c>
      <c r="O11" s="88">
        <v>3.0292917166866653</v>
      </c>
      <c r="P11" s="88"/>
      <c r="Q11" s="2"/>
      <c r="R11" s="2"/>
      <c r="S11" s="2"/>
      <c r="T11" s="2"/>
    </row>
    <row r="12" spans="1:20">
      <c r="A12" s="211" t="s">
        <v>348</v>
      </c>
      <c r="B12" s="212" t="s">
        <v>377</v>
      </c>
      <c r="C12" s="92" t="s">
        <v>378</v>
      </c>
      <c r="D12" s="91" t="s">
        <v>696</v>
      </c>
      <c r="E12" s="88">
        <v>7.5458756249999999</v>
      </c>
      <c r="F12" s="88">
        <v>336.25</v>
      </c>
      <c r="G12" s="88">
        <f t="shared" si="0"/>
        <v>2.5266622930104643</v>
      </c>
      <c r="H12" s="88">
        <v>41.520053750000002</v>
      </c>
      <c r="I12" s="88">
        <v>5.6722151939967755</v>
      </c>
      <c r="J12" s="88">
        <v>2.1875207208364631</v>
      </c>
      <c r="K12" s="88">
        <v>1.0783913565426118E-2</v>
      </c>
      <c r="L12" s="88">
        <v>0</v>
      </c>
      <c r="M12" s="88">
        <v>4.1520053749999999</v>
      </c>
      <c r="N12" s="88">
        <v>21.875207208364632</v>
      </c>
      <c r="O12" s="88">
        <v>1.0783913565426118</v>
      </c>
      <c r="P12" s="88">
        <v>0.75458756250000003</v>
      </c>
      <c r="Q12" s="2"/>
      <c r="R12" s="2"/>
      <c r="S12" s="2"/>
      <c r="T12" s="2"/>
    </row>
    <row r="13" spans="1:20">
      <c r="A13" s="211" t="s">
        <v>348</v>
      </c>
      <c r="B13" s="212" t="s">
        <v>377</v>
      </c>
      <c r="C13" s="92" t="s">
        <v>378</v>
      </c>
      <c r="D13" s="91" t="s">
        <v>1108</v>
      </c>
      <c r="E13" s="88">
        <v>10.147546099999996</v>
      </c>
      <c r="F13" s="88">
        <v>30</v>
      </c>
      <c r="G13" s="88">
        <f t="shared" si="0"/>
        <v>1.4771212547196624</v>
      </c>
      <c r="H13" s="88">
        <v>44.97504</v>
      </c>
      <c r="I13" s="88">
        <v>6.2459595637135603</v>
      </c>
      <c r="J13" s="88">
        <v>1.8920946026904804</v>
      </c>
      <c r="K13" s="88">
        <v>4.3668667466986742E-2</v>
      </c>
      <c r="L13" s="88">
        <v>0</v>
      </c>
      <c r="M13" s="88">
        <v>4.4975040000000002</v>
      </c>
      <c r="N13" s="88">
        <v>18.920946026904804</v>
      </c>
      <c r="O13" s="88">
        <v>4.3668667466986744</v>
      </c>
      <c r="P13" s="88">
        <v>1.0147546099999996</v>
      </c>
      <c r="Q13" s="2"/>
      <c r="R13" s="2"/>
      <c r="S13" s="2"/>
      <c r="T13" s="2"/>
    </row>
    <row r="14" spans="1:20">
      <c r="A14" s="211" t="s">
        <v>348</v>
      </c>
      <c r="B14" s="212" t="s">
        <v>377</v>
      </c>
      <c r="C14" s="92" t="s">
        <v>378</v>
      </c>
      <c r="D14" s="91" t="s">
        <v>1112</v>
      </c>
      <c r="E14" s="88">
        <v>7.3873515999999988</v>
      </c>
      <c r="F14" s="88">
        <v>21</v>
      </c>
      <c r="G14" s="88">
        <f t="shared" si="0"/>
        <v>1.3222192947339193</v>
      </c>
      <c r="H14" s="88">
        <v>34.588239999999999</v>
      </c>
      <c r="I14" s="88">
        <v>5.0493731001515307</v>
      </c>
      <c r="J14" s="88">
        <v>1.8920946026904804</v>
      </c>
      <c r="K14" s="88">
        <v>1.5567026810724499E-2</v>
      </c>
      <c r="L14" s="88">
        <v>0</v>
      </c>
      <c r="M14" s="88">
        <v>3.4588239999999999</v>
      </c>
      <c r="N14" s="88">
        <v>18.920946026904804</v>
      </c>
      <c r="O14" s="88">
        <v>1.55670268107245</v>
      </c>
      <c r="P14" s="88">
        <v>0.73873515999999984</v>
      </c>
      <c r="Q14" s="2"/>
      <c r="R14" s="2"/>
      <c r="S14" s="2"/>
      <c r="T14" s="2"/>
    </row>
    <row r="15" spans="1:20">
      <c r="A15" s="211" t="s">
        <v>348</v>
      </c>
      <c r="B15" s="212" t="s">
        <v>377</v>
      </c>
      <c r="C15" s="92" t="s">
        <v>378</v>
      </c>
      <c r="D15" s="91" t="s">
        <v>908</v>
      </c>
      <c r="E15" s="88">
        <v>6.3684255333333306</v>
      </c>
      <c r="F15" s="88">
        <v>1343.3333333333333</v>
      </c>
      <c r="G15" s="88">
        <f t="shared" si="0"/>
        <v>3.128183791421447</v>
      </c>
      <c r="H15" s="88">
        <v>45.624702666666671</v>
      </c>
      <c r="I15" s="88">
        <v>6.1579107719490329</v>
      </c>
      <c r="J15" s="88">
        <v>2.0606978403536118</v>
      </c>
      <c r="K15" s="88">
        <v>1.4816993464052413E-2</v>
      </c>
      <c r="L15" s="88">
        <v>0</v>
      </c>
      <c r="M15" s="88">
        <v>4.5624702666666668</v>
      </c>
      <c r="N15" s="88">
        <v>20.606978403536118</v>
      </c>
      <c r="O15" s="88">
        <v>1.4816993464052413</v>
      </c>
      <c r="P15" s="88">
        <v>0.63684255333333306</v>
      </c>
      <c r="Q15" s="2">
        <v>9.44444444444444E-2</v>
      </c>
      <c r="R15" s="2">
        <f>LOG(Q15)</f>
        <v>-1.0248235837250323</v>
      </c>
      <c r="S15" s="2">
        <f>LOG(Q15+1)</f>
        <v>3.9193721058286814E-2</v>
      </c>
      <c r="T15" s="2"/>
    </row>
    <row r="16" spans="1:20">
      <c r="A16" s="211" t="s">
        <v>348</v>
      </c>
      <c r="B16" s="212" t="s">
        <v>377</v>
      </c>
      <c r="C16" s="92" t="s">
        <v>378</v>
      </c>
      <c r="D16" s="91" t="s">
        <v>700</v>
      </c>
      <c r="E16" s="88">
        <v>6.6313327599999976</v>
      </c>
      <c r="F16" s="88">
        <v>251.8</v>
      </c>
      <c r="G16" s="88">
        <f t="shared" si="0"/>
        <v>2.4010557257718439</v>
      </c>
      <c r="H16" s="88">
        <v>37.689503000000002</v>
      </c>
      <c r="I16" s="88">
        <v>6.4755631096282826</v>
      </c>
      <c r="J16" s="88">
        <v>2.1875207208364631</v>
      </c>
      <c r="K16" s="88">
        <v>1.4771188475390173E-2</v>
      </c>
      <c r="L16" s="88">
        <v>0</v>
      </c>
      <c r="M16" s="88">
        <v>3.7689503000000002</v>
      </c>
      <c r="N16" s="88">
        <v>21.875207208364632</v>
      </c>
      <c r="O16" s="88">
        <v>1.4771188475390173</v>
      </c>
      <c r="P16" s="88">
        <v>0.66313327599999972</v>
      </c>
      <c r="Q16" s="2"/>
      <c r="R16" s="2"/>
      <c r="S16" s="2"/>
      <c r="T16" s="2"/>
    </row>
    <row r="17" spans="1:20">
      <c r="A17" s="211" t="s">
        <v>348</v>
      </c>
      <c r="B17" s="212" t="s">
        <v>377</v>
      </c>
      <c r="C17" s="92" t="s">
        <v>378</v>
      </c>
      <c r="D17" s="91" t="s">
        <v>1115</v>
      </c>
      <c r="E17" s="88">
        <v>6.3552673000000013</v>
      </c>
      <c r="F17" s="88">
        <v>111</v>
      </c>
      <c r="G17" s="88">
        <f t="shared" si="0"/>
        <v>2.0453229787866576</v>
      </c>
      <c r="H17" s="88">
        <v>35.994033000000002</v>
      </c>
      <c r="I17" s="88">
        <v>6.2262399488981899</v>
      </c>
      <c r="J17" s="88">
        <v>1.8920946026904804</v>
      </c>
      <c r="K17" s="88">
        <v>2.4533813525410383E-2</v>
      </c>
      <c r="L17" s="88">
        <v>0</v>
      </c>
      <c r="M17" s="88">
        <v>3.5994033000000001</v>
      </c>
      <c r="N17" s="88">
        <v>18.920946026904804</v>
      </c>
      <c r="O17" s="88">
        <v>2.4533813525410384</v>
      </c>
      <c r="P17" s="88">
        <v>0.63552673000000015</v>
      </c>
      <c r="Q17" s="2"/>
      <c r="R17" s="2"/>
      <c r="S17" s="2"/>
      <c r="T17" s="2"/>
    </row>
    <row r="18" spans="1:20">
      <c r="A18" s="211" t="s">
        <v>348</v>
      </c>
      <c r="B18" s="212" t="s">
        <v>377</v>
      </c>
      <c r="C18" s="92" t="s">
        <v>378</v>
      </c>
      <c r="D18" s="91" t="s">
        <v>1116</v>
      </c>
      <c r="E18" s="88">
        <v>7.066115400000001</v>
      </c>
      <c r="F18" s="88">
        <v>4</v>
      </c>
      <c r="G18" s="88">
        <f t="shared" si="0"/>
        <v>0.6020599913279624</v>
      </c>
      <c r="H18" s="88">
        <v>32.776474999999998</v>
      </c>
      <c r="I18" s="88">
        <v>5.8315472916670181</v>
      </c>
      <c r="J18" s="88">
        <v>1.8920946026904804</v>
      </c>
      <c r="K18" s="88">
        <v>1.5774709883953408E-2</v>
      </c>
      <c r="L18" s="88">
        <v>0</v>
      </c>
      <c r="M18" s="88">
        <v>3.2776474999999996</v>
      </c>
      <c r="N18" s="88">
        <v>18.920946026904804</v>
      </c>
      <c r="O18" s="88">
        <v>1.5774709883953408</v>
      </c>
      <c r="P18" s="88">
        <v>0.70661154000000015</v>
      </c>
      <c r="Q18" s="2"/>
      <c r="R18" s="2"/>
      <c r="S18" s="2"/>
      <c r="T18" s="2"/>
    </row>
    <row r="19" spans="1:20">
      <c r="A19" s="211" t="s">
        <v>348</v>
      </c>
      <c r="B19" s="212" t="s">
        <v>377</v>
      </c>
      <c r="C19" s="92" t="s">
        <v>378</v>
      </c>
      <c r="D19" s="91" t="s">
        <v>379</v>
      </c>
      <c r="E19" s="88">
        <v>6.5288650444444478</v>
      </c>
      <c r="F19" s="88">
        <v>1082.5217391304348</v>
      </c>
      <c r="G19" s="88">
        <f t="shared" si="0"/>
        <v>3.034436626586225</v>
      </c>
      <c r="H19" s="88">
        <v>36.580558739130431</v>
      </c>
      <c r="I19" s="88">
        <v>6.6352459255882987</v>
      </c>
      <c r="J19" s="88">
        <v>2.4232458739368075</v>
      </c>
      <c r="K19" s="88">
        <v>2.1312559806531153E-2</v>
      </c>
      <c r="L19" s="88">
        <v>0</v>
      </c>
      <c r="M19" s="88">
        <v>3.6580558739130433</v>
      </c>
      <c r="N19" s="88">
        <v>24.232458739368074</v>
      </c>
      <c r="O19" s="88">
        <v>2.1312559806531151</v>
      </c>
      <c r="P19" s="88">
        <v>0.65288650444444474</v>
      </c>
      <c r="Q19" s="2">
        <v>0.15049601149425285</v>
      </c>
      <c r="R19" s="2">
        <f>LOG(Q19)</f>
        <v>-0.822475009764426</v>
      </c>
      <c r="S19" s="2">
        <f>LOG(Q19+1)</f>
        <v>6.0885117407930719E-2</v>
      </c>
      <c r="T19" s="2"/>
    </row>
    <row r="20" spans="1:20">
      <c r="A20" s="211" t="s">
        <v>348</v>
      </c>
      <c r="B20" s="212" t="s">
        <v>377</v>
      </c>
      <c r="C20" s="92" t="s">
        <v>378</v>
      </c>
      <c r="D20" s="91" t="s">
        <v>507</v>
      </c>
      <c r="E20" s="88"/>
      <c r="F20" s="88">
        <v>1508</v>
      </c>
      <c r="G20" s="88">
        <f t="shared" si="0"/>
        <v>3.1784013415337551</v>
      </c>
      <c r="H20" s="88">
        <v>40.575000000000003</v>
      </c>
      <c r="I20" s="88">
        <v>6.5347031789784316</v>
      </c>
      <c r="J20" s="88">
        <v>1.5185139398778875</v>
      </c>
      <c r="K20" s="88">
        <v>2.2623849539815964E-2</v>
      </c>
      <c r="L20" s="88">
        <v>0</v>
      </c>
      <c r="M20" s="88">
        <v>4.0575000000000001</v>
      </c>
      <c r="N20" s="88">
        <v>15.185139398778876</v>
      </c>
      <c r="O20" s="88">
        <v>2.2623849539815963</v>
      </c>
      <c r="P20" s="88"/>
      <c r="Q20" s="2"/>
      <c r="R20" s="2"/>
      <c r="S20" s="2"/>
      <c r="T20" s="2"/>
    </row>
    <row r="21" spans="1:20">
      <c r="A21" s="211" t="s">
        <v>348</v>
      </c>
      <c r="B21" s="212" t="s">
        <v>1118</v>
      </c>
      <c r="C21" s="92" t="s">
        <v>1119</v>
      </c>
      <c r="D21" s="91" t="s">
        <v>1120</v>
      </c>
      <c r="E21" s="88">
        <v>5.6145662999999999</v>
      </c>
      <c r="F21" s="88">
        <v>6</v>
      </c>
      <c r="G21" s="88">
        <f t="shared" si="0"/>
        <v>0.77815125038364363</v>
      </c>
      <c r="H21" s="88">
        <v>29.742663</v>
      </c>
      <c r="I21" s="88">
        <v>5.6918326757250464</v>
      </c>
      <c r="J21" s="88">
        <v>2.5237464668115646</v>
      </c>
      <c r="K21" s="88">
        <v>1.5170868347339E-2</v>
      </c>
      <c r="L21" s="88">
        <v>0</v>
      </c>
      <c r="M21" s="88">
        <v>2.9742663</v>
      </c>
      <c r="N21" s="88">
        <v>25.237464668115646</v>
      </c>
      <c r="O21" s="88">
        <v>1.5170868347338999</v>
      </c>
      <c r="P21" s="88">
        <v>0.56145663000000001</v>
      </c>
      <c r="Q21" s="2"/>
      <c r="R21" s="2"/>
      <c r="S21" s="2"/>
      <c r="T21" s="2"/>
    </row>
    <row r="22" spans="1:20">
      <c r="A22" s="211" t="s">
        <v>76</v>
      </c>
      <c r="B22" s="212" t="s">
        <v>389</v>
      </c>
      <c r="C22" s="92" t="s">
        <v>392</v>
      </c>
      <c r="D22" s="91" t="s">
        <v>435</v>
      </c>
      <c r="E22" s="88">
        <v>11.853581574999998</v>
      </c>
      <c r="F22" s="88">
        <v>224.64516129032259</v>
      </c>
      <c r="G22" s="88">
        <f t="shared" si="0"/>
        <v>2.351497068611021</v>
      </c>
      <c r="H22" s="88">
        <v>36.287944709677433</v>
      </c>
      <c r="I22" s="88">
        <v>6.7511721342441762</v>
      </c>
      <c r="J22" s="88">
        <v>2.0530784434834204</v>
      </c>
      <c r="K22" s="88">
        <v>1.4210432560121338E-2</v>
      </c>
      <c r="L22" s="88">
        <v>0</v>
      </c>
      <c r="M22" s="88">
        <v>3.6287944709677431</v>
      </c>
      <c r="N22" s="88">
        <v>20.530784434834203</v>
      </c>
      <c r="O22" s="88">
        <v>1.4210432560121338</v>
      </c>
      <c r="P22" s="88">
        <v>1.1853581574999998</v>
      </c>
      <c r="Q22" s="2">
        <v>9.556142857142795E-2</v>
      </c>
      <c r="R22" s="2">
        <f t="shared" ref="R22:R32" si="1">LOG(Q22)</f>
        <v>-1.0197173664980206</v>
      </c>
      <c r="S22" s="2">
        <f t="shared" ref="S22:S32" si="2">LOG(Q22+1)</f>
        <v>3.9636733646302151E-2</v>
      </c>
      <c r="T22" s="2"/>
    </row>
    <row r="23" spans="1:20">
      <c r="A23" s="211" t="s">
        <v>76</v>
      </c>
      <c r="B23" s="212" t="s">
        <v>389</v>
      </c>
      <c r="C23" s="92" t="s">
        <v>392</v>
      </c>
      <c r="D23" s="91" t="s">
        <v>919</v>
      </c>
      <c r="E23" s="88">
        <v>9.5114524272727259</v>
      </c>
      <c r="F23" s="88">
        <v>748.27272727272725</v>
      </c>
      <c r="G23" s="88">
        <f t="shared" si="0"/>
        <v>2.8740599165302538</v>
      </c>
      <c r="H23" s="88">
        <v>37.87399827272727</v>
      </c>
      <c r="I23" s="88">
        <v>6.4542454248965431</v>
      </c>
      <c r="J23" s="88">
        <v>2.0530784434834191</v>
      </c>
      <c r="K23" s="88">
        <v>-1.3371057513914581E-2</v>
      </c>
      <c r="L23" s="88">
        <v>1</v>
      </c>
      <c r="M23" s="88">
        <v>3.7873998272727269</v>
      </c>
      <c r="N23" s="88">
        <v>20.530784434834189</v>
      </c>
      <c r="O23" s="88">
        <v>-1.3371057513914582</v>
      </c>
      <c r="P23" s="88">
        <v>0.95114524272727263</v>
      </c>
      <c r="Q23" s="2">
        <v>9.3400000000000039E-2</v>
      </c>
      <c r="R23" s="2">
        <f t="shared" si="1"/>
        <v>-1.0296531237699065</v>
      </c>
      <c r="S23" s="2">
        <f t="shared" si="2"/>
        <v>3.8779069555538323E-2</v>
      </c>
      <c r="T23" s="2"/>
    </row>
    <row r="24" spans="1:20">
      <c r="A24" s="211" t="s">
        <v>76</v>
      </c>
      <c r="B24" s="212" t="s">
        <v>389</v>
      </c>
      <c r="C24" s="92" t="s">
        <v>392</v>
      </c>
      <c r="D24" s="91" t="s">
        <v>925</v>
      </c>
      <c r="E24" s="88">
        <v>17.385571666666667</v>
      </c>
      <c r="F24" s="88">
        <v>2743</v>
      </c>
      <c r="G24" s="88">
        <f t="shared" si="0"/>
        <v>3.4382258076045296</v>
      </c>
      <c r="H24" s="88">
        <v>37.911037</v>
      </c>
      <c r="I24" s="88">
        <v>4.0132586652835167</v>
      </c>
      <c r="J24" s="88">
        <v>1.7403626894942439</v>
      </c>
      <c r="K24" s="88">
        <v>2.0884753901561044E-2</v>
      </c>
      <c r="L24" s="88">
        <v>1</v>
      </c>
      <c r="M24" s="88">
        <v>3.7911036999999999</v>
      </c>
      <c r="N24" s="88">
        <v>17.403626894942438</v>
      </c>
      <c r="O24" s="88">
        <v>2.0884753901561042</v>
      </c>
      <c r="P24" s="88">
        <v>1.7385571666666668</v>
      </c>
      <c r="Q24" s="2">
        <v>0.18095238095238081</v>
      </c>
      <c r="R24" s="2">
        <f t="shared" si="1"/>
        <v>-0.74243569811710941</v>
      </c>
      <c r="S24" s="2">
        <f t="shared" si="2"/>
        <v>7.223238609229693E-2</v>
      </c>
      <c r="T24" s="2"/>
    </row>
    <row r="25" spans="1:20">
      <c r="A25" s="211" t="s">
        <v>76</v>
      </c>
      <c r="B25" s="212" t="s">
        <v>389</v>
      </c>
      <c r="C25" s="92" t="s">
        <v>392</v>
      </c>
      <c r="D25" s="91" t="s">
        <v>927</v>
      </c>
      <c r="E25" s="88">
        <v>7.7183806571428546</v>
      </c>
      <c r="F25" s="88">
        <v>338.71428571428572</v>
      </c>
      <c r="G25" s="88">
        <f t="shared" si="0"/>
        <v>2.5298335139639314</v>
      </c>
      <c r="H25" s="88">
        <v>33.412895428571424</v>
      </c>
      <c r="I25" s="88">
        <v>6.4462447431048391</v>
      </c>
      <c r="J25" s="88">
        <v>1.9395192526186185</v>
      </c>
      <c r="K25" s="88">
        <v>3.2392557022808986E-2</v>
      </c>
      <c r="L25" s="88">
        <v>0</v>
      </c>
      <c r="M25" s="88">
        <v>3.3412895428571425</v>
      </c>
      <c r="N25" s="88">
        <v>19.395192526186186</v>
      </c>
      <c r="O25" s="88">
        <v>3.2392557022808988</v>
      </c>
      <c r="P25" s="88">
        <v>0.77183806571428548</v>
      </c>
      <c r="Q25" s="2">
        <v>0.15599999999999994</v>
      </c>
      <c r="R25" s="2">
        <f t="shared" si="1"/>
        <v>-0.8068754016455385</v>
      </c>
      <c r="S25" s="2">
        <f t="shared" si="2"/>
        <v>6.2957834084510222E-2</v>
      </c>
      <c r="T25" s="2"/>
    </row>
    <row r="26" spans="1:20">
      <c r="A26" s="211" t="s">
        <v>76</v>
      </c>
      <c r="B26" s="212" t="s">
        <v>389</v>
      </c>
      <c r="C26" s="92" t="s">
        <v>392</v>
      </c>
      <c r="D26" s="91" t="s">
        <v>934</v>
      </c>
      <c r="E26" s="88">
        <v>4.1246776000000018</v>
      </c>
      <c r="F26" s="88">
        <v>1524</v>
      </c>
      <c r="G26" s="88">
        <f t="shared" si="0"/>
        <v>3.1829849670035819</v>
      </c>
      <c r="H26" s="88">
        <v>22</v>
      </c>
      <c r="I26" s="88">
        <v>5.4497051296513108</v>
      </c>
      <c r="J26" s="88">
        <v>1.8129133566428555</v>
      </c>
      <c r="K26" s="88">
        <v>3.0665466186474616E-2</v>
      </c>
      <c r="L26" s="88">
        <v>0</v>
      </c>
      <c r="M26" s="88">
        <v>2.2000000000000002</v>
      </c>
      <c r="N26" s="88">
        <v>18.129133566428553</v>
      </c>
      <c r="O26" s="88">
        <v>3.0665466186474615</v>
      </c>
      <c r="P26" s="88">
        <v>0.41246776000000018</v>
      </c>
      <c r="Q26" s="2">
        <v>0.12</v>
      </c>
      <c r="R26" s="2">
        <f t="shared" si="1"/>
        <v>-0.92081875395237522</v>
      </c>
      <c r="S26" s="2">
        <f t="shared" si="2"/>
        <v>4.9218022670181653E-2</v>
      </c>
      <c r="T26" s="2"/>
    </row>
    <row r="27" spans="1:20">
      <c r="A27" s="211" t="s">
        <v>76</v>
      </c>
      <c r="B27" s="212" t="s">
        <v>389</v>
      </c>
      <c r="C27" s="92" t="s">
        <v>392</v>
      </c>
      <c r="D27" s="91" t="s">
        <v>936</v>
      </c>
      <c r="E27" s="88">
        <v>5.7817588666666664</v>
      </c>
      <c r="F27" s="88">
        <v>305</v>
      </c>
      <c r="G27" s="88">
        <f t="shared" si="0"/>
        <v>2.4842998393467859</v>
      </c>
      <c r="H27" s="88">
        <v>27</v>
      </c>
      <c r="I27" s="88">
        <v>6.1650771662812733</v>
      </c>
      <c r="J27" s="88">
        <v>1.7403626894942439</v>
      </c>
      <c r="K27" s="88">
        <v>4.2442577030811918E-2</v>
      </c>
      <c r="L27" s="88">
        <v>0</v>
      </c>
      <c r="M27" s="88">
        <v>2.7</v>
      </c>
      <c r="N27" s="88">
        <v>17.403626894942438</v>
      </c>
      <c r="O27" s="88">
        <v>4.2442577030811917</v>
      </c>
      <c r="P27" s="88">
        <v>0.57817588666666664</v>
      </c>
      <c r="Q27" s="2">
        <v>0.13439999999999996</v>
      </c>
      <c r="R27" s="2">
        <f t="shared" si="1"/>
        <v>-0.87160073128219373</v>
      </c>
      <c r="S27" s="2">
        <f t="shared" si="2"/>
        <v>5.4766217838991264E-2</v>
      </c>
      <c r="T27" s="2"/>
    </row>
    <row r="28" spans="1:20">
      <c r="A28" s="211" t="s">
        <v>76</v>
      </c>
      <c r="B28" s="212" t="s">
        <v>389</v>
      </c>
      <c r="C28" s="92" t="s">
        <v>392</v>
      </c>
      <c r="D28" s="91" t="s">
        <v>938</v>
      </c>
      <c r="E28" s="88">
        <v>3.2215598333333353</v>
      </c>
      <c r="F28" s="88">
        <v>1524</v>
      </c>
      <c r="G28" s="88">
        <f t="shared" si="0"/>
        <v>3.1829849670035819</v>
      </c>
      <c r="H28" s="88">
        <v>38</v>
      </c>
      <c r="I28" s="88">
        <v>2.0170333392987803</v>
      </c>
      <c r="J28" s="88">
        <v>1.7403626894942439</v>
      </c>
      <c r="K28" s="88">
        <v>1.3896758703481319E-2</v>
      </c>
      <c r="L28" s="88">
        <v>1</v>
      </c>
      <c r="M28" s="88">
        <v>3.8</v>
      </c>
      <c r="N28" s="88">
        <v>17.403626894942438</v>
      </c>
      <c r="O28" s="88">
        <v>1.3896758703481318</v>
      </c>
      <c r="P28" s="88">
        <v>0.32215598333333351</v>
      </c>
      <c r="Q28" s="2">
        <v>0.08</v>
      </c>
      <c r="R28" s="2">
        <f t="shared" si="1"/>
        <v>-1.0969100130080565</v>
      </c>
      <c r="S28" s="2">
        <f t="shared" si="2"/>
        <v>3.342375548694973E-2</v>
      </c>
      <c r="T28" s="2"/>
    </row>
    <row r="29" spans="1:20">
      <c r="A29" s="211" t="s">
        <v>76</v>
      </c>
      <c r="B29" s="212" t="s">
        <v>389</v>
      </c>
      <c r="C29" s="92" t="s">
        <v>392</v>
      </c>
      <c r="D29" s="91" t="s">
        <v>391</v>
      </c>
      <c r="E29" s="88">
        <v>10.486399099999998</v>
      </c>
      <c r="F29" s="88">
        <v>375.2</v>
      </c>
      <c r="G29" s="88">
        <f t="shared" si="0"/>
        <v>2.5742628297070267</v>
      </c>
      <c r="H29" s="88">
        <v>42</v>
      </c>
      <c r="I29" s="88">
        <v>6.2991316775080026</v>
      </c>
      <c r="J29" s="88">
        <v>1.7403626894942437</v>
      </c>
      <c r="K29" s="88">
        <v>2.6780712284914233E-2</v>
      </c>
      <c r="L29" s="88">
        <v>0</v>
      </c>
      <c r="M29" s="88">
        <v>4.2</v>
      </c>
      <c r="N29" s="88">
        <v>17.403626894942438</v>
      </c>
      <c r="O29" s="88">
        <v>2.6780712284914232</v>
      </c>
      <c r="P29" s="88">
        <v>1.0486399099999999</v>
      </c>
      <c r="Q29" s="2">
        <v>0.15555555555555578</v>
      </c>
      <c r="R29" s="2">
        <f t="shared" si="1"/>
        <v>-0.80811447376108625</v>
      </c>
      <c r="S29" s="2">
        <f t="shared" si="2"/>
        <v>6.279082985945561E-2</v>
      </c>
      <c r="T29" s="2"/>
    </row>
    <row r="30" spans="1:20">
      <c r="A30" s="211" t="s">
        <v>76</v>
      </c>
      <c r="B30" s="212" t="s">
        <v>389</v>
      </c>
      <c r="C30" s="92" t="s">
        <v>392</v>
      </c>
      <c r="D30" s="91" t="s">
        <v>940</v>
      </c>
      <c r="E30" s="88">
        <v>0.5089068999999995</v>
      </c>
      <c r="F30" s="88">
        <v>1524</v>
      </c>
      <c r="G30" s="88">
        <f t="shared" si="0"/>
        <v>3.1829849670035819</v>
      </c>
      <c r="H30" s="88">
        <v>36.908557000000002</v>
      </c>
      <c r="I30" s="88">
        <v>3.4247183373315671</v>
      </c>
      <c r="J30" s="88">
        <v>1.7634279935629373</v>
      </c>
      <c r="K30" s="88">
        <v>2.5156862745098089E-2</v>
      </c>
      <c r="L30" s="88">
        <v>1</v>
      </c>
      <c r="M30" s="88">
        <v>3.6908557000000002</v>
      </c>
      <c r="N30" s="88">
        <v>17.634279935629372</v>
      </c>
      <c r="O30" s="88">
        <v>2.5156862745098088</v>
      </c>
      <c r="P30" s="88">
        <v>5.0890689999999947E-2</v>
      </c>
      <c r="Q30" s="2">
        <v>3.6000000000000226E-2</v>
      </c>
      <c r="R30" s="2">
        <f t="shared" si="1"/>
        <v>-1.4436974992327101</v>
      </c>
      <c r="S30" s="2">
        <f t="shared" si="2"/>
        <v>1.5359755409214325E-2</v>
      </c>
      <c r="T30" s="2"/>
    </row>
    <row r="31" spans="1:20">
      <c r="A31" s="211" t="s">
        <v>76</v>
      </c>
      <c r="B31" s="212" t="s">
        <v>389</v>
      </c>
      <c r="C31" s="92" t="s">
        <v>392</v>
      </c>
      <c r="D31" s="91" t="s">
        <v>670</v>
      </c>
      <c r="E31" s="88"/>
      <c r="F31" s="88">
        <v>128</v>
      </c>
      <c r="G31" s="88">
        <f t="shared" si="0"/>
        <v>2.1072099696478683</v>
      </c>
      <c r="H31" s="88">
        <v>33.322764999999997</v>
      </c>
      <c r="I31" s="88">
        <v>5.737276948102247</v>
      </c>
      <c r="J31" s="88">
        <v>1.9395192526186189</v>
      </c>
      <c r="K31" s="88">
        <v>4.4029611844734586E-3</v>
      </c>
      <c r="L31" s="88">
        <v>0</v>
      </c>
      <c r="M31" s="88">
        <v>3.3322764999999999</v>
      </c>
      <c r="N31" s="88">
        <v>19.395192526186189</v>
      </c>
      <c r="O31" s="88">
        <v>0.44029611844734584</v>
      </c>
      <c r="P31" s="88"/>
      <c r="Q31" s="2">
        <v>0.26323499999999955</v>
      </c>
      <c r="R31" s="2">
        <f t="shared" si="1"/>
        <v>-0.57965636697184619</v>
      </c>
      <c r="S31" s="2">
        <f t="shared" si="2"/>
        <v>0.10148415000870022</v>
      </c>
      <c r="T31" s="2"/>
    </row>
    <row r="32" spans="1:20">
      <c r="A32" s="211" t="s">
        <v>76</v>
      </c>
      <c r="B32" s="212" t="s">
        <v>389</v>
      </c>
      <c r="C32" s="92" t="s">
        <v>392</v>
      </c>
      <c r="D32" s="91" t="s">
        <v>447</v>
      </c>
      <c r="E32" s="88">
        <v>13.394631579999999</v>
      </c>
      <c r="F32" s="88">
        <v>174.97297297297297</v>
      </c>
      <c r="G32" s="88">
        <f t="shared" si="0"/>
        <v>2.2429709709995591</v>
      </c>
      <c r="H32" s="88">
        <v>36.007507297297316</v>
      </c>
      <c r="I32" s="88">
        <v>6.5106267678296579</v>
      </c>
      <c r="J32" s="88">
        <v>1.9395192526186187</v>
      </c>
      <c r="K32" s="88">
        <v>1.5684338600305485E-2</v>
      </c>
      <c r="L32" s="88">
        <v>0</v>
      </c>
      <c r="M32" s="88">
        <v>3.6007507297297314</v>
      </c>
      <c r="N32" s="88">
        <v>19.395192526186186</v>
      </c>
      <c r="O32" s="88">
        <v>1.5684338600305485</v>
      </c>
      <c r="P32" s="88">
        <v>1.3394631579999998</v>
      </c>
      <c r="Q32" s="2">
        <v>7.8442374999999842E-2</v>
      </c>
      <c r="R32" s="2">
        <f t="shared" si="1"/>
        <v>-1.1054492656699892</v>
      </c>
      <c r="S32" s="2">
        <f t="shared" si="2"/>
        <v>3.2796944164453827E-2</v>
      </c>
      <c r="T32" s="2"/>
    </row>
    <row r="33" spans="1:20">
      <c r="A33" s="211" t="s">
        <v>348</v>
      </c>
      <c r="B33" s="212" t="s">
        <v>349</v>
      </c>
      <c r="C33" s="92" t="s">
        <v>707</v>
      </c>
      <c r="D33" s="91" t="s">
        <v>942</v>
      </c>
      <c r="E33" s="88">
        <v>7.1110949999999988</v>
      </c>
      <c r="F33" s="88">
        <v>701</v>
      </c>
      <c r="G33" s="88">
        <f t="shared" si="0"/>
        <v>2.8457180179666586</v>
      </c>
      <c r="H33" s="88">
        <v>37.432664000000003</v>
      </c>
      <c r="I33" s="88">
        <v>5.242320249510164</v>
      </c>
      <c r="J33" s="88">
        <v>1.8920946026904804</v>
      </c>
      <c r="K33" s="88">
        <v>1.2297318927571417E-2</v>
      </c>
      <c r="L33" s="88">
        <v>1</v>
      </c>
      <c r="M33" s="88">
        <v>3.7432664000000004</v>
      </c>
      <c r="N33" s="88">
        <v>18.920946026904804</v>
      </c>
      <c r="O33" s="88">
        <v>1.2297318927571417</v>
      </c>
      <c r="P33" s="88">
        <v>0.71110949999999984</v>
      </c>
      <c r="Q33" s="2"/>
      <c r="R33" s="2"/>
      <c r="S33" s="2"/>
      <c r="T33" s="2"/>
    </row>
    <row r="34" spans="1:20">
      <c r="A34" s="211" t="s">
        <v>348</v>
      </c>
      <c r="B34" s="212" t="s">
        <v>349</v>
      </c>
      <c r="C34" s="92" t="s">
        <v>707</v>
      </c>
      <c r="D34" s="91" t="s">
        <v>708</v>
      </c>
      <c r="E34" s="88">
        <v>7.0779110999999979</v>
      </c>
      <c r="F34" s="88">
        <v>1411</v>
      </c>
      <c r="G34" s="88">
        <f t="shared" si="0"/>
        <v>3.1495270137543478</v>
      </c>
      <c r="H34" s="88">
        <v>41.966419000000002</v>
      </c>
      <c r="I34" s="88">
        <v>5.0796080924563896</v>
      </c>
      <c r="J34" s="88">
        <v>1.8920946026904804</v>
      </c>
      <c r="K34" s="88">
        <v>2.942376950780365E-3</v>
      </c>
      <c r="L34" s="88">
        <v>1</v>
      </c>
      <c r="M34" s="88">
        <v>4.1966419000000004</v>
      </c>
      <c r="N34" s="88">
        <v>18.920946026904804</v>
      </c>
      <c r="O34" s="88">
        <v>0.29423769507803649</v>
      </c>
      <c r="P34" s="88">
        <v>0.70779110999999983</v>
      </c>
      <c r="Q34" s="2"/>
      <c r="R34" s="2"/>
      <c r="S34" s="2"/>
      <c r="T34" s="2"/>
    </row>
    <row r="35" spans="1:20">
      <c r="A35" s="211" t="s">
        <v>76</v>
      </c>
      <c r="B35" s="212" t="s">
        <v>711</v>
      </c>
      <c r="C35" s="92" t="s">
        <v>712</v>
      </c>
      <c r="D35" s="91" t="s">
        <v>713</v>
      </c>
      <c r="E35" s="88">
        <v>4.0788070666666663</v>
      </c>
      <c r="F35" s="88">
        <v>1280.5</v>
      </c>
      <c r="G35" s="88">
        <f t="shared" si="0"/>
        <v>3.1073795828044486</v>
      </c>
      <c r="H35" s="88">
        <v>45.697805750000001</v>
      </c>
      <c r="I35" s="88">
        <v>5.4820914353740404</v>
      </c>
      <c r="J35" s="88">
        <v>1.5185139398778875</v>
      </c>
      <c r="K35" s="88">
        <v>1.7172268907563012E-2</v>
      </c>
      <c r="L35" s="88">
        <v>0</v>
      </c>
      <c r="M35" s="88">
        <v>4.5697805750000002</v>
      </c>
      <c r="N35" s="88">
        <v>15.185139398778876</v>
      </c>
      <c r="O35" s="88">
        <v>1.7172268907563011</v>
      </c>
      <c r="P35" s="88">
        <v>0.40788070666666665</v>
      </c>
      <c r="Q35" s="2">
        <v>0.1</v>
      </c>
      <c r="R35" s="2">
        <f>LOG(Q35)</f>
        <v>-1</v>
      </c>
      <c r="S35" s="2">
        <f>LOG(Q35+1)</f>
        <v>4.1392685158225077E-2</v>
      </c>
      <c r="T35" s="2"/>
    </row>
    <row r="36" spans="1:20">
      <c r="A36" s="211" t="s">
        <v>76</v>
      </c>
      <c r="B36" s="211" t="s">
        <v>721</v>
      </c>
      <c r="C36" s="92" t="s">
        <v>947</v>
      </c>
      <c r="D36" s="91" t="s">
        <v>946</v>
      </c>
      <c r="E36" s="88">
        <v>4.0183097999999973</v>
      </c>
      <c r="F36" s="88">
        <v>761.96281621456865</v>
      </c>
      <c r="G36" s="88">
        <f t="shared" si="0"/>
        <v>2.88193377828599</v>
      </c>
      <c r="H36" s="88">
        <v>28.241961</v>
      </c>
      <c r="I36" s="88">
        <v>4.5566883688352338</v>
      </c>
      <c r="J36" s="88">
        <v>1.5185139398778875</v>
      </c>
      <c r="K36" s="88">
        <v>1.3794317727090836E-2</v>
      </c>
      <c r="L36" s="88">
        <v>0</v>
      </c>
      <c r="M36" s="88">
        <v>2.8241961</v>
      </c>
      <c r="N36" s="88">
        <v>15.185139398778876</v>
      </c>
      <c r="O36" s="88">
        <v>1.3794317727090837</v>
      </c>
      <c r="P36" s="88">
        <v>0.40183097999999973</v>
      </c>
      <c r="Q36" s="2"/>
      <c r="R36" s="2"/>
      <c r="S36" s="2"/>
      <c r="T36" s="2"/>
    </row>
    <row r="37" spans="1:20">
      <c r="A37" s="211" t="s">
        <v>348</v>
      </c>
      <c r="B37" s="212" t="s">
        <v>1129</v>
      </c>
      <c r="C37" s="92" t="s">
        <v>1127</v>
      </c>
      <c r="D37" s="91" t="s">
        <v>1128</v>
      </c>
      <c r="E37" s="88">
        <v>3.8650762999999984</v>
      </c>
      <c r="F37" s="88">
        <v>1500</v>
      </c>
      <c r="G37" s="88">
        <f t="shared" si="0"/>
        <v>3.1760912590556813</v>
      </c>
      <c r="H37" s="88">
        <v>34.166666999999997</v>
      </c>
      <c r="I37" s="88">
        <v>5.3994591166111032</v>
      </c>
      <c r="J37" s="88">
        <v>1.8920946026904804</v>
      </c>
      <c r="K37" s="88">
        <v>2.6020408163265157E-2</v>
      </c>
      <c r="L37" s="88">
        <v>1</v>
      </c>
      <c r="M37" s="88">
        <v>3.4166666999999995</v>
      </c>
      <c r="N37" s="88">
        <v>18.920946026904804</v>
      </c>
      <c r="O37" s="88">
        <v>2.6020408163265158</v>
      </c>
      <c r="P37" s="88">
        <v>0.38650762999999982</v>
      </c>
      <c r="Q37" s="2"/>
      <c r="R37" s="2"/>
      <c r="S37" s="2"/>
      <c r="T37" s="2"/>
    </row>
    <row r="38" spans="1:20">
      <c r="A38" s="211" t="s">
        <v>348</v>
      </c>
      <c r="B38" s="212" t="s">
        <v>1129</v>
      </c>
      <c r="C38" s="92" t="s">
        <v>1127</v>
      </c>
      <c r="D38" s="91" t="s">
        <v>1133</v>
      </c>
      <c r="E38" s="88">
        <v>9.3309462000000032</v>
      </c>
      <c r="F38" s="88">
        <v>1600</v>
      </c>
      <c r="G38" s="88">
        <f t="shared" si="0"/>
        <v>3.2041199826559246</v>
      </c>
      <c r="H38" s="88">
        <v>28.683333000000001</v>
      </c>
      <c r="I38" s="88">
        <v>4.2019157827406968</v>
      </c>
      <c r="J38" s="88">
        <v>1.8920946026904804</v>
      </c>
      <c r="K38" s="88">
        <v>2.0388955582233158E-2</v>
      </c>
      <c r="L38" s="88">
        <v>1</v>
      </c>
      <c r="M38" s="88">
        <v>2.8683333000000002</v>
      </c>
      <c r="N38" s="88">
        <v>18.920946026904804</v>
      </c>
      <c r="O38" s="88">
        <v>2.0388955582233157</v>
      </c>
      <c r="P38" s="88">
        <v>0.93309462000000032</v>
      </c>
      <c r="Q38" s="2"/>
      <c r="R38" s="2"/>
      <c r="S38" s="2"/>
      <c r="T38" s="2"/>
    </row>
    <row r="39" spans="1:20">
      <c r="A39" s="211" t="s">
        <v>76</v>
      </c>
      <c r="B39" s="212" t="s">
        <v>1214</v>
      </c>
      <c r="C39" s="92" t="s">
        <v>1215</v>
      </c>
      <c r="D39" s="91" t="s">
        <v>1216</v>
      </c>
      <c r="E39" s="88">
        <v>14.996716899999996</v>
      </c>
      <c r="F39" s="88">
        <v>519</v>
      </c>
      <c r="G39" s="88">
        <f t="shared" si="0"/>
        <v>2.7151673578484576</v>
      </c>
      <c r="H39" s="88">
        <v>46.038888999999998</v>
      </c>
      <c r="I39" s="88">
        <v>6.1533971312685729</v>
      </c>
      <c r="J39" s="88">
        <v>1.7403626894942439</v>
      </c>
      <c r="K39" s="88">
        <v>2.3251300520207858E-2</v>
      </c>
      <c r="L39" s="88">
        <v>0</v>
      </c>
      <c r="M39" s="88">
        <v>4.6038888999999994</v>
      </c>
      <c r="N39" s="88">
        <v>17.403626894942438</v>
      </c>
      <c r="O39" s="88">
        <v>2.325130052020786</v>
      </c>
      <c r="P39" s="88">
        <v>1.4996716899999996</v>
      </c>
      <c r="Q39" s="2"/>
      <c r="R39" s="2"/>
      <c r="S39" s="2"/>
      <c r="T39" s="2"/>
    </row>
    <row r="40" spans="1:20">
      <c r="A40" s="211" t="s">
        <v>76</v>
      </c>
      <c r="B40" s="212" t="s">
        <v>450</v>
      </c>
      <c r="C40" s="92" t="s">
        <v>451</v>
      </c>
      <c r="D40" s="91" t="s">
        <v>452</v>
      </c>
      <c r="E40" s="88">
        <v>-2.4690538000000011</v>
      </c>
      <c r="F40" s="88">
        <v>3453</v>
      </c>
      <c r="G40" s="88">
        <f t="shared" si="0"/>
        <v>3.5381965783494542</v>
      </c>
      <c r="H40" s="88">
        <v>11.183299999999999</v>
      </c>
      <c r="I40" s="88">
        <v>2.4297522800024081</v>
      </c>
      <c r="J40" s="88">
        <v>1.5185139398778875</v>
      </c>
      <c r="K40" s="88">
        <v>7.0736294517803316E-3</v>
      </c>
      <c r="L40" s="88">
        <v>1</v>
      </c>
      <c r="M40" s="88">
        <v>1.1183299999999998</v>
      </c>
      <c r="N40" s="88">
        <v>15.185139398778876</v>
      </c>
      <c r="O40" s="88">
        <v>0.70736294517803311</v>
      </c>
      <c r="P40" s="88">
        <v>-0.24690538000000012</v>
      </c>
      <c r="Q40" s="2"/>
      <c r="R40" s="2"/>
      <c r="S40" s="2"/>
      <c r="T40" s="2"/>
    </row>
    <row r="41" spans="1:20">
      <c r="A41" s="211" t="s">
        <v>76</v>
      </c>
      <c r="B41" s="212" t="s">
        <v>450</v>
      </c>
      <c r="C41" s="92" t="s">
        <v>451</v>
      </c>
      <c r="D41" s="91" t="s">
        <v>460</v>
      </c>
      <c r="E41" s="88">
        <v>-5.3690538000000032</v>
      </c>
      <c r="F41" s="88">
        <v>3347</v>
      </c>
      <c r="G41" s="88">
        <f t="shared" si="0"/>
        <v>3.5246557123577773</v>
      </c>
      <c r="H41" s="88">
        <v>11.183299999999999</v>
      </c>
      <c r="I41" s="88">
        <v>1.4623979978989561</v>
      </c>
      <c r="J41" s="88">
        <v>1.2787536009528289</v>
      </c>
      <c r="K41" s="88">
        <v>7.0736294517803316E-3</v>
      </c>
      <c r="L41" s="88">
        <v>0</v>
      </c>
      <c r="M41" s="88">
        <v>1.1183299999999998</v>
      </c>
      <c r="N41" s="88">
        <v>12.787536009528289</v>
      </c>
      <c r="O41" s="88">
        <v>0.70736294517803311</v>
      </c>
      <c r="P41" s="88">
        <v>-0.53690538000000032</v>
      </c>
      <c r="Q41" s="2"/>
      <c r="R41" s="2"/>
      <c r="S41" s="2"/>
      <c r="T41" s="2"/>
    </row>
    <row r="42" spans="1:20">
      <c r="A42" s="211" t="s">
        <v>76</v>
      </c>
      <c r="B42" s="212" t="s">
        <v>450</v>
      </c>
      <c r="C42" s="92" t="s">
        <v>451</v>
      </c>
      <c r="D42" s="91" t="s">
        <v>462</v>
      </c>
      <c r="E42" s="88">
        <v>-5.3690538000000032</v>
      </c>
      <c r="F42" s="88">
        <v>2860</v>
      </c>
      <c r="G42" s="88">
        <f t="shared" si="0"/>
        <v>3.4563660331290431</v>
      </c>
      <c r="H42" s="88">
        <v>11.183299999999999</v>
      </c>
      <c r="I42" s="88">
        <v>0.47712125471966244</v>
      </c>
      <c r="J42" s="88">
        <v>1.255272505103306</v>
      </c>
      <c r="K42" s="88">
        <v>7.0736294517803316E-3</v>
      </c>
      <c r="L42" s="88">
        <v>0</v>
      </c>
      <c r="M42" s="88">
        <v>1.1183299999999998</v>
      </c>
      <c r="N42" s="88">
        <v>12.552725051033061</v>
      </c>
      <c r="O42" s="88">
        <v>0.70736294517803311</v>
      </c>
      <c r="P42" s="88">
        <v>-0.53690538000000032</v>
      </c>
      <c r="Q42" s="2"/>
      <c r="R42" s="2"/>
      <c r="S42" s="2"/>
      <c r="T42" s="2"/>
    </row>
    <row r="43" spans="1:20">
      <c r="A43" s="211" t="s">
        <v>76</v>
      </c>
      <c r="B43" s="212" t="s">
        <v>606</v>
      </c>
      <c r="C43" s="92" t="s">
        <v>715</v>
      </c>
      <c r="D43" s="91" t="s">
        <v>3438</v>
      </c>
      <c r="E43" s="88"/>
      <c r="F43" s="88">
        <v>482.22222222222223</v>
      </c>
      <c r="G43" s="88">
        <f t="shared" si="0"/>
        <v>2.6832472200731861</v>
      </c>
      <c r="H43" s="88">
        <v>24.106852111111113</v>
      </c>
      <c r="I43" s="88">
        <v>4.4438260313775366</v>
      </c>
      <c r="J43" s="88">
        <v>1.5185139398778877</v>
      </c>
      <c r="K43" s="88">
        <v>1.9772397848028183E-2</v>
      </c>
      <c r="L43" s="88">
        <v>0</v>
      </c>
      <c r="M43" s="88">
        <v>2.4106852111111112</v>
      </c>
      <c r="N43" s="88">
        <v>15.185139398778878</v>
      </c>
      <c r="O43" s="88">
        <v>1.9772397848028183</v>
      </c>
      <c r="P43" s="88"/>
      <c r="Q43" s="2">
        <v>8.0472611111111106E-2</v>
      </c>
      <c r="R43" s="2">
        <f>LOG(Q43)</f>
        <v>-1.0943519068034098</v>
      </c>
      <c r="S43" s="2">
        <f>LOG(Q43+1)</f>
        <v>3.3613762432522752E-2</v>
      </c>
      <c r="T43" s="2"/>
    </row>
    <row r="44" spans="1:20">
      <c r="A44" s="211" t="s">
        <v>76</v>
      </c>
      <c r="B44" s="212" t="s">
        <v>389</v>
      </c>
      <c r="C44" s="92" t="s">
        <v>390</v>
      </c>
      <c r="D44" s="91" t="s">
        <v>526</v>
      </c>
      <c r="E44" s="88"/>
      <c r="F44" s="88">
        <v>1756</v>
      </c>
      <c r="G44" s="88">
        <f t="shared" si="0"/>
        <v>3.2445245115700838</v>
      </c>
      <c r="H44" s="88">
        <v>37.378830999999998</v>
      </c>
      <c r="I44" s="88">
        <v>7.0163606643885954</v>
      </c>
      <c r="J44" s="88">
        <v>2.1643528557844371</v>
      </c>
      <c r="K44" s="88">
        <v>3.0292917166866652E-2</v>
      </c>
      <c r="L44" s="88">
        <v>0</v>
      </c>
      <c r="M44" s="88">
        <v>3.7378830999999999</v>
      </c>
      <c r="N44" s="88">
        <v>21.64352855784437</v>
      </c>
      <c r="O44" s="88">
        <v>3.0292917166866653</v>
      </c>
      <c r="P44" s="88"/>
      <c r="Q44" s="2"/>
      <c r="R44" s="2"/>
      <c r="S44" s="2"/>
      <c r="T44" s="2"/>
    </row>
    <row r="45" spans="1:20">
      <c r="A45" s="211" t="s">
        <v>76</v>
      </c>
      <c r="B45" s="212" t="s">
        <v>527</v>
      </c>
      <c r="C45" s="92" t="s">
        <v>528</v>
      </c>
      <c r="D45" s="91" t="s">
        <v>529</v>
      </c>
      <c r="E45" s="88"/>
      <c r="F45" s="88">
        <v>102</v>
      </c>
      <c r="G45" s="88">
        <f t="shared" si="0"/>
        <v>2.0086001717619175</v>
      </c>
      <c r="H45" s="88">
        <v>25.316761</v>
      </c>
      <c r="I45" s="88">
        <v>5.9374657334279481</v>
      </c>
      <c r="J45" s="88">
        <v>1.8450980400142569</v>
      </c>
      <c r="K45" s="88">
        <v>1.251420568227286E-2</v>
      </c>
      <c r="L45" s="88">
        <v>0</v>
      </c>
      <c r="M45" s="88">
        <v>2.5316760999999999</v>
      </c>
      <c r="N45" s="88">
        <v>18.450980400142569</v>
      </c>
      <c r="O45" s="88">
        <v>1.2514205682272861</v>
      </c>
      <c r="P45" s="88"/>
      <c r="Q45" s="2"/>
      <c r="R45" s="2"/>
      <c r="S45" s="2"/>
      <c r="T45" s="2"/>
    </row>
    <row r="46" spans="1:20">
      <c r="A46" s="211" t="s">
        <v>76</v>
      </c>
      <c r="B46" s="212" t="s">
        <v>474</v>
      </c>
      <c r="C46" s="92" t="s">
        <v>951</v>
      </c>
      <c r="D46" s="91" t="s">
        <v>950</v>
      </c>
      <c r="E46" s="88">
        <v>2.2216920999999985</v>
      </c>
      <c r="F46" s="88">
        <v>304.7851264858275</v>
      </c>
      <c r="G46" s="88">
        <f t="shared" si="0"/>
        <v>2.4839937696139525</v>
      </c>
      <c r="H46" s="88">
        <v>17.806671999999999</v>
      </c>
      <c r="I46" s="88">
        <v>4.1694098981407004</v>
      </c>
      <c r="J46" s="88">
        <v>1.5185139398778875</v>
      </c>
      <c r="K46" s="88">
        <v>1.6367747098839647E-2</v>
      </c>
      <c r="L46" s="88">
        <v>0</v>
      </c>
      <c r="M46" s="88">
        <v>1.7806671999999999</v>
      </c>
      <c r="N46" s="88">
        <v>15.185139398778876</v>
      </c>
      <c r="O46" s="88">
        <v>1.6367747098839647</v>
      </c>
      <c r="P46" s="88">
        <v>0.22216920999999984</v>
      </c>
      <c r="Q46" s="2">
        <v>0.10999999999999979</v>
      </c>
      <c r="R46" s="2">
        <f>LOG(Q46)</f>
        <v>-0.95860731484177575</v>
      </c>
      <c r="S46" s="2">
        <f>LOG(Q46+1)</f>
        <v>4.5322978786657385E-2</v>
      </c>
      <c r="T46" s="2"/>
    </row>
    <row r="47" spans="1:20">
      <c r="A47" s="211" t="s">
        <v>76</v>
      </c>
      <c r="B47" s="212" t="s">
        <v>721</v>
      </c>
      <c r="C47" s="92" t="s">
        <v>722</v>
      </c>
      <c r="D47" s="91" t="s">
        <v>954</v>
      </c>
      <c r="E47" s="88">
        <v>3.6759719499999974</v>
      </c>
      <c r="F47" s="88">
        <v>304.7851264858275</v>
      </c>
      <c r="G47" s="88">
        <f t="shared" si="0"/>
        <v>2.4839937696139525</v>
      </c>
      <c r="H47" s="88">
        <v>34.127375499999999</v>
      </c>
      <c r="I47" s="88">
        <v>5.8365956231418243</v>
      </c>
      <c r="J47" s="88">
        <v>1.5185139398778875</v>
      </c>
      <c r="K47" s="88">
        <v>2.1591836734693774E-2</v>
      </c>
      <c r="L47" s="88">
        <v>0</v>
      </c>
      <c r="M47" s="88">
        <v>3.4127375500000001</v>
      </c>
      <c r="N47" s="88">
        <v>15.185139398778876</v>
      </c>
      <c r="O47" s="88">
        <v>2.1591836734693772</v>
      </c>
      <c r="P47" s="88">
        <v>0.36759719499999977</v>
      </c>
      <c r="Q47" s="2">
        <v>0.7</v>
      </c>
      <c r="R47" s="2">
        <f>LOG(Q47)</f>
        <v>-0.15490195998574319</v>
      </c>
      <c r="S47" s="2">
        <f>LOG(Q47+1)</f>
        <v>0.23044892137827391</v>
      </c>
      <c r="T47" s="2"/>
    </row>
    <row r="48" spans="1:20">
      <c r="A48" s="211" t="s">
        <v>76</v>
      </c>
      <c r="B48" s="212" t="s">
        <v>721</v>
      </c>
      <c r="C48" s="92" t="s">
        <v>722</v>
      </c>
      <c r="D48" s="91" t="s">
        <v>723</v>
      </c>
      <c r="E48" s="88">
        <v>9.8339807062499993</v>
      </c>
      <c r="F48" s="88">
        <v>549.83600655288024</v>
      </c>
      <c r="G48" s="88">
        <f t="shared" si="0"/>
        <v>2.7402331766409533</v>
      </c>
      <c r="H48" s="88">
        <v>36.2147003125</v>
      </c>
      <c r="I48" s="88">
        <v>5.9435222148986115</v>
      </c>
      <c r="J48" s="88">
        <v>1.5185139398778877</v>
      </c>
      <c r="K48" s="88">
        <v>1.9319327731092344E-2</v>
      </c>
      <c r="L48" s="88">
        <v>0</v>
      </c>
      <c r="M48" s="88">
        <v>3.6214700312499999</v>
      </c>
      <c r="N48" s="88">
        <v>15.185139398778878</v>
      </c>
      <c r="O48" s="88">
        <v>1.9319327731092344</v>
      </c>
      <c r="P48" s="88">
        <v>0.98339807062499995</v>
      </c>
      <c r="Q48" s="2">
        <v>0.13833333333333334</v>
      </c>
      <c r="R48" s="2">
        <f>LOG(Q48)</f>
        <v>-0.85907315800756967</v>
      </c>
      <c r="S48" s="2">
        <f>LOG(Q48+1)</f>
        <v>5.6269453297888961E-2</v>
      </c>
      <c r="T48" s="2"/>
    </row>
    <row r="49" spans="1:20">
      <c r="A49" s="211" t="s">
        <v>76</v>
      </c>
      <c r="B49" s="212" t="s">
        <v>531</v>
      </c>
      <c r="C49" s="92" t="s">
        <v>532</v>
      </c>
      <c r="D49" s="91" t="s">
        <v>533</v>
      </c>
      <c r="E49" s="88"/>
      <c r="F49" s="88">
        <v>312</v>
      </c>
      <c r="G49" s="88">
        <f t="shared" si="0"/>
        <v>2.4941545940184429</v>
      </c>
      <c r="H49" s="88">
        <v>27.087367</v>
      </c>
      <c r="I49" s="88">
        <v>4.5324231190671025</v>
      </c>
      <c r="J49" s="88">
        <v>1.5185139398778875</v>
      </c>
      <c r="K49" s="88">
        <v>2.8247298919569274E-3</v>
      </c>
      <c r="L49" s="88">
        <v>1</v>
      </c>
      <c r="M49" s="88">
        <v>2.7087367000000002</v>
      </c>
      <c r="N49" s="88">
        <v>15.185139398778876</v>
      </c>
      <c r="O49" s="88">
        <v>0.28247298919569275</v>
      </c>
      <c r="P49" s="88"/>
      <c r="Q49" s="2"/>
      <c r="R49" s="2"/>
      <c r="S49" s="2"/>
      <c r="T49" s="2"/>
    </row>
    <row r="50" spans="1:20">
      <c r="A50" s="211" t="s">
        <v>348</v>
      </c>
      <c r="B50" s="211" t="s">
        <v>964</v>
      </c>
      <c r="C50" s="92" t="s">
        <v>965</v>
      </c>
      <c r="D50" s="91" t="s">
        <v>966</v>
      </c>
      <c r="E50" s="88">
        <v>3.4550260666666666</v>
      </c>
      <c r="F50" s="88">
        <v>315</v>
      </c>
      <c r="G50" s="88">
        <f t="shared" si="0"/>
        <v>2.4983105537896004</v>
      </c>
      <c r="H50" s="88">
        <v>36.672006000000003</v>
      </c>
      <c r="I50" s="88">
        <v>5.7099835851950589</v>
      </c>
      <c r="J50" s="88">
        <v>2.5237464668115646</v>
      </c>
      <c r="K50" s="88">
        <v>1.0818327330931791E-2</v>
      </c>
      <c r="L50" s="88">
        <v>1</v>
      </c>
      <c r="M50" s="88">
        <v>3.6672006000000001</v>
      </c>
      <c r="N50" s="88">
        <v>25.237464668115646</v>
      </c>
      <c r="O50" s="88">
        <v>1.0818327330931792</v>
      </c>
      <c r="P50" s="88">
        <v>0.34550260666666666</v>
      </c>
      <c r="Q50" s="2">
        <v>0.19349999999999987</v>
      </c>
      <c r="R50" s="2">
        <f>LOG(Q50)</f>
        <v>-0.71331903064507007</v>
      </c>
      <c r="S50" s="2">
        <f>LOG(Q50+1)</f>
        <v>7.6822423342773283E-2</v>
      </c>
      <c r="T50" s="2"/>
    </row>
    <row r="51" spans="1:20">
      <c r="A51" s="211" t="s">
        <v>76</v>
      </c>
      <c r="B51" s="212" t="s">
        <v>970</v>
      </c>
      <c r="C51" s="92" t="s">
        <v>4166</v>
      </c>
      <c r="D51" s="91" t="s">
        <v>972</v>
      </c>
      <c r="E51" s="88">
        <v>3.0405970999999958</v>
      </c>
      <c r="F51" s="88">
        <v>305</v>
      </c>
      <c r="G51" s="88">
        <f t="shared" si="0"/>
        <v>2.4842998393467859</v>
      </c>
      <c r="H51" s="88">
        <v>9.983333</v>
      </c>
      <c r="I51" s="88">
        <v>5.0490008211243174</v>
      </c>
      <c r="J51" s="88">
        <v>1.5185139398778875</v>
      </c>
      <c r="K51" s="88">
        <v>1.764625850340203E-2</v>
      </c>
      <c r="L51" s="88">
        <v>0</v>
      </c>
      <c r="M51" s="88">
        <v>0.99833329999999998</v>
      </c>
      <c r="N51" s="88">
        <v>15.185139398778876</v>
      </c>
      <c r="O51" s="88">
        <v>1.764625850340203</v>
      </c>
      <c r="P51" s="88">
        <v>0.30405970999999959</v>
      </c>
      <c r="Q51" s="2"/>
      <c r="R51" s="2"/>
      <c r="S51" s="2"/>
      <c r="T51" s="2"/>
    </row>
    <row r="52" spans="1:20">
      <c r="A52" s="211" t="s">
        <v>76</v>
      </c>
      <c r="B52" s="212" t="s">
        <v>77</v>
      </c>
      <c r="C52" s="92" t="s">
        <v>535</v>
      </c>
      <c r="D52" s="91" t="s">
        <v>727</v>
      </c>
      <c r="E52" s="88">
        <v>18.939800333333334</v>
      </c>
      <c r="F52" s="88">
        <v>2620</v>
      </c>
      <c r="G52" s="88">
        <f t="shared" si="0"/>
        <v>3.4183012913197452</v>
      </c>
      <c r="H52" s="88">
        <v>4.5980559999999997</v>
      </c>
      <c r="I52" s="88">
        <v>4.5077209766856132</v>
      </c>
      <c r="J52" s="88">
        <v>1.5185139398778877</v>
      </c>
      <c r="K52" s="88">
        <v>4.468987595038062E-3</v>
      </c>
      <c r="L52" s="88">
        <v>0</v>
      </c>
      <c r="M52" s="88">
        <v>0.45980559999999998</v>
      </c>
      <c r="N52" s="88">
        <v>15.185139398778878</v>
      </c>
      <c r="O52" s="88">
        <v>0.4468987595038062</v>
      </c>
      <c r="P52" s="88">
        <v>1.8939800333333334</v>
      </c>
      <c r="Q52" s="2">
        <v>6.0000000000000851E-2</v>
      </c>
      <c r="R52" s="2">
        <f>LOG(Q52)</f>
        <v>-1.2218487496163501</v>
      </c>
      <c r="S52" s="2">
        <f>LOG(Q52+1)</f>
        <v>2.5305865264770626E-2</v>
      </c>
      <c r="T52" s="2"/>
    </row>
    <row r="53" spans="1:20">
      <c r="A53" s="211" t="s">
        <v>76</v>
      </c>
      <c r="B53" s="212" t="s">
        <v>77</v>
      </c>
      <c r="C53" s="92" t="s">
        <v>535</v>
      </c>
      <c r="D53" s="91" t="s">
        <v>536</v>
      </c>
      <c r="E53" s="88"/>
      <c r="F53" s="88">
        <v>312</v>
      </c>
      <c r="G53" s="88">
        <f t="shared" si="0"/>
        <v>2.4941545940184429</v>
      </c>
      <c r="H53" s="88">
        <v>27.087367</v>
      </c>
      <c r="I53" s="88">
        <v>7.0448624216437903</v>
      </c>
      <c r="J53" s="88">
        <v>1.5185139398778875</v>
      </c>
      <c r="K53" s="88">
        <v>2.8247298919569274E-3</v>
      </c>
      <c r="L53" s="88">
        <v>0</v>
      </c>
      <c r="M53" s="88">
        <v>2.7087367000000002</v>
      </c>
      <c r="N53" s="88">
        <v>15.185139398778876</v>
      </c>
      <c r="O53" s="88">
        <v>0.28247298919569275</v>
      </c>
      <c r="P53" s="88"/>
      <c r="Q53" s="2"/>
      <c r="R53" s="2"/>
      <c r="S53" s="2"/>
      <c r="T53" s="2"/>
    </row>
    <row r="54" spans="1:20">
      <c r="A54" s="211" t="s">
        <v>76</v>
      </c>
      <c r="B54" s="212" t="s">
        <v>474</v>
      </c>
      <c r="C54" s="92" t="s">
        <v>538</v>
      </c>
      <c r="D54" s="91" t="s">
        <v>539</v>
      </c>
      <c r="E54" s="88"/>
      <c r="F54" s="88">
        <v>102</v>
      </c>
      <c r="G54" s="88">
        <f t="shared" si="0"/>
        <v>2.0086001717619175</v>
      </c>
      <c r="H54" s="88">
        <v>25.316761</v>
      </c>
      <c r="I54" s="88">
        <v>6.6142263878637948</v>
      </c>
      <c r="J54" s="88">
        <v>1.8750612633917001</v>
      </c>
      <c r="K54" s="88">
        <v>1.251420568227286E-2</v>
      </c>
      <c r="L54" s="88">
        <v>0</v>
      </c>
      <c r="M54" s="88">
        <v>2.5316760999999999</v>
      </c>
      <c r="N54" s="88">
        <v>18.750612633917001</v>
      </c>
      <c r="O54" s="88">
        <v>1.2514205682272861</v>
      </c>
      <c r="P54" s="88"/>
      <c r="Q54" s="2"/>
      <c r="R54" s="2"/>
      <c r="S54" s="2"/>
      <c r="T54" s="2"/>
    </row>
    <row r="55" spans="1:20">
      <c r="A55" s="211" t="s">
        <v>348</v>
      </c>
      <c r="B55" s="212" t="s">
        <v>349</v>
      </c>
      <c r="C55" s="92" t="s">
        <v>350</v>
      </c>
      <c r="D55" s="91" t="s">
        <v>351</v>
      </c>
      <c r="E55" s="88">
        <v>6.7293470583333317</v>
      </c>
      <c r="F55" s="88">
        <v>646.91666666666663</v>
      </c>
      <c r="G55" s="88">
        <f t="shared" si="0"/>
        <v>2.810848340115792</v>
      </c>
      <c r="H55" s="88">
        <v>38.164295416666668</v>
      </c>
      <c r="I55" s="88">
        <v>6.1831180276695727</v>
      </c>
      <c r="J55" s="88">
        <v>1.8920946026904806</v>
      </c>
      <c r="K55" s="88">
        <v>8.8774843270644881E-3</v>
      </c>
      <c r="L55" s="88">
        <v>0</v>
      </c>
      <c r="M55" s="88">
        <v>3.8164295416666669</v>
      </c>
      <c r="N55" s="88">
        <v>18.920946026904804</v>
      </c>
      <c r="O55" s="88">
        <v>0.88774843270644876</v>
      </c>
      <c r="P55" s="88">
        <v>0.67293470583333315</v>
      </c>
      <c r="Q55" s="2">
        <v>0.12000000000000029</v>
      </c>
      <c r="R55" s="2">
        <f>LOG(Q55)</f>
        <v>-0.92081875395237411</v>
      </c>
      <c r="S55" s="2">
        <f>LOG(Q55+1)</f>
        <v>4.9218022670181737E-2</v>
      </c>
      <c r="T55" s="2"/>
    </row>
    <row r="56" spans="1:20">
      <c r="A56" s="211" t="s">
        <v>348</v>
      </c>
      <c r="B56" s="212" t="s">
        <v>349</v>
      </c>
      <c r="C56" s="92" t="s">
        <v>350</v>
      </c>
      <c r="D56" s="91" t="s">
        <v>1135</v>
      </c>
      <c r="E56" s="88">
        <v>7.7503305999999981</v>
      </c>
      <c r="F56" s="88">
        <v>836.5</v>
      </c>
      <c r="G56" s="88">
        <f t="shared" si="0"/>
        <v>2.9224659452984132</v>
      </c>
      <c r="H56" s="88">
        <v>35.856568500000002</v>
      </c>
      <c r="I56" s="88">
        <v>5.5104256968776753</v>
      </c>
      <c r="J56" s="88">
        <v>1.8920946026904804</v>
      </c>
      <c r="K56" s="88">
        <v>1.0969987995198192E-2</v>
      </c>
      <c r="L56" s="88">
        <v>0</v>
      </c>
      <c r="M56" s="88">
        <v>3.5856568500000003</v>
      </c>
      <c r="N56" s="88">
        <v>18.920946026904804</v>
      </c>
      <c r="O56" s="88">
        <v>1.0969987995198192</v>
      </c>
      <c r="P56" s="88">
        <v>0.77503305999999983</v>
      </c>
      <c r="Q56" s="2"/>
      <c r="R56" s="2"/>
      <c r="S56" s="2"/>
      <c r="T56" s="2"/>
    </row>
    <row r="57" spans="1:20">
      <c r="A57" s="211" t="s">
        <v>348</v>
      </c>
      <c r="B57" s="212" t="s">
        <v>349</v>
      </c>
      <c r="C57" s="92" t="s">
        <v>350</v>
      </c>
      <c r="D57" s="91" t="s">
        <v>974</v>
      </c>
      <c r="E57" s="88">
        <v>4.9397459333333318</v>
      </c>
      <c r="F57" s="88">
        <v>570.66666666666663</v>
      </c>
      <c r="G57" s="88">
        <f t="shared" si="0"/>
        <v>2.7563825056214721</v>
      </c>
      <c r="H57" s="88">
        <v>35.855994333333335</v>
      </c>
      <c r="I57" s="88">
        <v>5.4892227886433114</v>
      </c>
      <c r="J57" s="88">
        <v>1.8920946026904801</v>
      </c>
      <c r="K57" s="88">
        <v>1.4915832999866653E-2</v>
      </c>
      <c r="L57" s="88">
        <v>0</v>
      </c>
      <c r="M57" s="88">
        <v>3.5855994333333334</v>
      </c>
      <c r="N57" s="88">
        <v>18.920946026904801</v>
      </c>
      <c r="O57" s="88">
        <v>1.4915832999866654</v>
      </c>
      <c r="P57" s="88">
        <v>0.49397459333333316</v>
      </c>
      <c r="Q57" s="2"/>
      <c r="R57" s="2"/>
      <c r="S57" s="2"/>
      <c r="T57" s="2"/>
    </row>
    <row r="58" spans="1:20">
      <c r="A58" s="211" t="s">
        <v>348</v>
      </c>
      <c r="B58" s="212" t="s">
        <v>349</v>
      </c>
      <c r="C58" s="92" t="s">
        <v>350</v>
      </c>
      <c r="D58" s="91" t="s">
        <v>680</v>
      </c>
      <c r="E58" s="88">
        <v>7.2341784333333337</v>
      </c>
      <c r="F58" s="88">
        <v>1050.8333333333333</v>
      </c>
      <c r="G58" s="88">
        <f t="shared" si="0"/>
        <v>3.0215338405254566</v>
      </c>
      <c r="H58" s="88">
        <v>36.868946833333332</v>
      </c>
      <c r="I58" s="88">
        <v>4.9263475922643885</v>
      </c>
      <c r="J58" s="88">
        <v>1.8920946026904806</v>
      </c>
      <c r="K58" s="88">
        <v>1.5558223289315854E-2</v>
      </c>
      <c r="L58" s="88">
        <v>0</v>
      </c>
      <c r="M58" s="88">
        <v>3.6868946833333331</v>
      </c>
      <c r="N58" s="88">
        <v>18.920946026904804</v>
      </c>
      <c r="O58" s="88">
        <v>1.5558223289315853</v>
      </c>
      <c r="P58" s="88">
        <v>0.72341784333333337</v>
      </c>
      <c r="Q58" s="2">
        <v>0.12999999999999973</v>
      </c>
      <c r="R58" s="2">
        <f>LOG(Q58)</f>
        <v>-0.88605664769316417</v>
      </c>
      <c r="S58" s="2">
        <f>LOG(Q58+1)</f>
        <v>5.3078443483419599E-2</v>
      </c>
      <c r="T58" s="2"/>
    </row>
    <row r="59" spans="1:20">
      <c r="A59" s="211" t="s">
        <v>348</v>
      </c>
      <c r="B59" s="212" t="s">
        <v>1102</v>
      </c>
      <c r="C59" s="92" t="s">
        <v>1103</v>
      </c>
      <c r="D59" s="91" t="s">
        <v>1104</v>
      </c>
      <c r="E59" s="88"/>
      <c r="F59" s="88">
        <v>790</v>
      </c>
      <c r="G59" s="88">
        <f t="shared" si="0"/>
        <v>2.8976270912904414</v>
      </c>
      <c r="H59" s="88">
        <v>43.158911000000003</v>
      </c>
      <c r="I59" s="88">
        <v>5.2293874357430763</v>
      </c>
      <c r="J59" s="88">
        <v>2.4232458739368079</v>
      </c>
      <c r="K59" s="88">
        <v>5.1524609843937186E-3</v>
      </c>
      <c r="L59" s="88">
        <v>0</v>
      </c>
      <c r="M59" s="88">
        <v>4.3158911</v>
      </c>
      <c r="N59" s="88">
        <v>24.232458739368077</v>
      </c>
      <c r="O59" s="88">
        <v>0.51524609843937186</v>
      </c>
      <c r="P59" s="88"/>
      <c r="Q59" s="2"/>
      <c r="R59" s="2"/>
      <c r="S59" s="2"/>
      <c r="T59" s="2"/>
    </row>
    <row r="60" spans="1:20">
      <c r="A60" s="211" t="s">
        <v>76</v>
      </c>
      <c r="B60" s="212" t="s">
        <v>516</v>
      </c>
      <c r="C60" s="92" t="s">
        <v>540</v>
      </c>
      <c r="D60" s="91" t="s">
        <v>541</v>
      </c>
      <c r="E60" s="88"/>
      <c r="F60" s="88">
        <v>1756</v>
      </c>
      <c r="G60" s="88">
        <f t="shared" si="0"/>
        <v>3.2445245115700838</v>
      </c>
      <c r="H60" s="88">
        <v>37.378830999999998</v>
      </c>
      <c r="I60" s="88">
        <v>5.4810698065911572</v>
      </c>
      <c r="J60" s="88">
        <v>1.8750612633917001</v>
      </c>
      <c r="K60" s="88">
        <v>3.0292917166866652E-2</v>
      </c>
      <c r="L60" s="88">
        <v>0</v>
      </c>
      <c r="M60" s="88">
        <v>3.7378830999999999</v>
      </c>
      <c r="N60" s="88">
        <v>18.750612633917001</v>
      </c>
      <c r="O60" s="88">
        <v>3.0292917166866653</v>
      </c>
      <c r="P60" s="88"/>
      <c r="Q60" s="2"/>
      <c r="R60" s="2"/>
      <c r="S60" s="2"/>
      <c r="T60" s="2"/>
    </row>
    <row r="61" spans="1:20">
      <c r="A61" s="211" t="s">
        <v>76</v>
      </c>
      <c r="B61" s="212" t="s">
        <v>474</v>
      </c>
      <c r="C61" s="92" t="s">
        <v>543</v>
      </c>
      <c r="D61" s="91" t="s">
        <v>544</v>
      </c>
      <c r="E61" s="88"/>
      <c r="F61" s="88">
        <v>102</v>
      </c>
      <c r="G61" s="88">
        <f t="shared" si="0"/>
        <v>2.0086001717619175</v>
      </c>
      <c r="H61" s="88">
        <v>25.316761</v>
      </c>
      <c r="I61" s="88">
        <v>6.1971285974099706</v>
      </c>
      <c r="J61" s="88">
        <v>1.5185139398778875</v>
      </c>
      <c r="K61" s="88">
        <v>1.251420568227286E-2</v>
      </c>
      <c r="L61" s="88">
        <v>0</v>
      </c>
      <c r="M61" s="88">
        <v>2.5316760999999999</v>
      </c>
      <c r="N61" s="88">
        <v>15.185139398778876</v>
      </c>
      <c r="O61" s="88">
        <v>1.2514205682272861</v>
      </c>
      <c r="P61" s="88"/>
      <c r="Q61" s="2"/>
      <c r="R61" s="2"/>
      <c r="S61" s="2"/>
      <c r="T61" s="2"/>
    </row>
    <row r="62" spans="1:20">
      <c r="A62" s="211" t="s">
        <v>76</v>
      </c>
      <c r="B62" s="212" t="s">
        <v>465</v>
      </c>
      <c r="C62" s="92" t="s">
        <v>4167</v>
      </c>
      <c r="D62" s="91" t="s">
        <v>1227</v>
      </c>
      <c r="E62" s="88">
        <v>7.9898011249999996</v>
      </c>
      <c r="F62" s="88">
        <v>357.5</v>
      </c>
      <c r="G62" s="88">
        <f t="shared" si="0"/>
        <v>2.5532760461370994</v>
      </c>
      <c r="H62" s="88">
        <v>18.348970999999999</v>
      </c>
      <c r="I62" s="88">
        <v>4.0072355375459514</v>
      </c>
      <c r="J62" s="88">
        <v>1.7403626894942439</v>
      </c>
      <c r="K62" s="88">
        <v>5.2322929171668697E-3</v>
      </c>
      <c r="L62" s="88">
        <v>0</v>
      </c>
      <c r="M62" s="88">
        <v>1.8348970999999998</v>
      </c>
      <c r="N62" s="88">
        <v>17.403626894942438</v>
      </c>
      <c r="O62" s="88">
        <v>0.52322929171668697</v>
      </c>
      <c r="P62" s="88">
        <v>0.79898011250000001</v>
      </c>
      <c r="Q62" s="2"/>
      <c r="R62" s="2"/>
      <c r="S62" s="2"/>
      <c r="T62" s="2"/>
    </row>
    <row r="63" spans="1:20">
      <c r="A63" s="211" t="s">
        <v>76</v>
      </c>
      <c r="B63" s="212" t="s">
        <v>465</v>
      </c>
      <c r="C63" s="92" t="s">
        <v>4167</v>
      </c>
      <c r="D63" s="91" t="s">
        <v>464</v>
      </c>
      <c r="E63" s="88">
        <v>7.3125372000000013</v>
      </c>
      <c r="F63" s="88">
        <v>276</v>
      </c>
      <c r="G63" s="88">
        <f t="shared" si="0"/>
        <v>2.4409090820652177</v>
      </c>
      <c r="H63" s="88">
        <v>18.308112999999999</v>
      </c>
      <c r="I63" s="88">
        <v>3.800235789327354</v>
      </c>
      <c r="J63" s="88">
        <v>1.568201724066995</v>
      </c>
      <c r="K63" s="88">
        <v>1.0844737895158236E-2</v>
      </c>
      <c r="L63" s="88">
        <v>1</v>
      </c>
      <c r="M63" s="88">
        <v>1.8308112999999999</v>
      </c>
      <c r="N63" s="88">
        <v>15.68201724066995</v>
      </c>
      <c r="O63" s="88">
        <v>1.0844737895158236</v>
      </c>
      <c r="P63" s="88">
        <v>0.73125372000000011</v>
      </c>
      <c r="Q63" s="2">
        <v>6.0000000000000143E-2</v>
      </c>
      <c r="R63" s="2">
        <f>LOG(Q63)</f>
        <v>-1.2218487496163553</v>
      </c>
      <c r="S63" s="2">
        <f>LOG(Q63+1)</f>
        <v>2.5305865264770262E-2</v>
      </c>
      <c r="T63" s="2"/>
    </row>
    <row r="64" spans="1:20">
      <c r="A64" s="211" t="s">
        <v>76</v>
      </c>
      <c r="B64" s="212" t="s">
        <v>465</v>
      </c>
      <c r="C64" s="92" t="s">
        <v>4167</v>
      </c>
      <c r="D64" s="91" t="s">
        <v>470</v>
      </c>
      <c r="E64" s="88">
        <v>6.362537200000002</v>
      </c>
      <c r="F64" s="88">
        <v>276</v>
      </c>
      <c r="G64" s="88">
        <f t="shared" si="0"/>
        <v>2.4409090820652177</v>
      </c>
      <c r="H64" s="88">
        <v>18.308112999999999</v>
      </c>
      <c r="I64" s="88">
        <v>3.9322707758994904</v>
      </c>
      <c r="J64" s="88">
        <v>1.3979400086720377</v>
      </c>
      <c r="K64" s="88">
        <v>1.0844737895158236E-2</v>
      </c>
      <c r="L64" s="88">
        <v>0</v>
      </c>
      <c r="M64" s="88">
        <v>1.8308112999999999</v>
      </c>
      <c r="N64" s="88">
        <v>13.979400086720377</v>
      </c>
      <c r="O64" s="88">
        <v>1.0844737895158236</v>
      </c>
      <c r="P64" s="88">
        <v>0.63625372000000024</v>
      </c>
      <c r="Q64" s="2">
        <v>-0.12999999999999973</v>
      </c>
      <c r="R64" s="2"/>
      <c r="S64" s="2">
        <f>LOG(Q64+1)</f>
        <v>-6.048074738138131E-2</v>
      </c>
      <c r="T64" s="2">
        <v>1</v>
      </c>
    </row>
    <row r="65" spans="1:20">
      <c r="A65" s="211" t="s">
        <v>76</v>
      </c>
      <c r="B65" s="212" t="s">
        <v>465</v>
      </c>
      <c r="C65" s="92" t="s">
        <v>4167</v>
      </c>
      <c r="D65" s="91" t="s">
        <v>471</v>
      </c>
      <c r="E65" s="88">
        <v>9.9125372000000027</v>
      </c>
      <c r="F65" s="88">
        <v>276</v>
      </c>
      <c r="G65" s="88">
        <f t="shared" si="0"/>
        <v>2.4409090820652177</v>
      </c>
      <c r="H65" s="88">
        <v>18.308112999999999</v>
      </c>
      <c r="I65" s="88">
        <v>4.4228031596473842</v>
      </c>
      <c r="J65" s="88">
        <v>1.5185139398778875</v>
      </c>
      <c r="K65" s="88">
        <v>1.0844737895158236E-2</v>
      </c>
      <c r="L65" s="88">
        <v>0</v>
      </c>
      <c r="M65" s="88">
        <v>1.8308112999999999</v>
      </c>
      <c r="N65" s="88">
        <v>15.185139398778876</v>
      </c>
      <c r="O65" s="88">
        <v>1.0844737895158236</v>
      </c>
      <c r="P65" s="88">
        <v>0.99125372000000023</v>
      </c>
      <c r="Q65" s="2">
        <v>-6.0000000000000143E-2</v>
      </c>
      <c r="R65" s="2"/>
      <c r="S65" s="2">
        <f>LOG(Q65+1)</f>
        <v>-2.6872146400301417E-2</v>
      </c>
      <c r="T65" s="2">
        <v>1</v>
      </c>
    </row>
    <row r="66" spans="1:20">
      <c r="A66" s="211" t="s">
        <v>76</v>
      </c>
      <c r="B66" s="212" t="s">
        <v>465</v>
      </c>
      <c r="C66" s="92" t="s">
        <v>4167</v>
      </c>
      <c r="D66" s="91" t="s">
        <v>473</v>
      </c>
      <c r="E66" s="88">
        <v>10.612537200000002</v>
      </c>
      <c r="F66" s="88">
        <v>276</v>
      </c>
      <c r="G66" s="88">
        <f t="shared" si="0"/>
        <v>2.4409090820652177</v>
      </c>
      <c r="H66" s="88">
        <v>18.308112999999999</v>
      </c>
      <c r="I66" s="88">
        <v>5.3073933354497269</v>
      </c>
      <c r="J66" s="88">
        <v>1.5185139398778875</v>
      </c>
      <c r="K66" s="88">
        <v>1.0844737895158236E-2</v>
      </c>
      <c r="L66" s="88">
        <v>0</v>
      </c>
      <c r="M66" s="88">
        <v>1.8308112999999999</v>
      </c>
      <c r="N66" s="88">
        <v>15.185139398778876</v>
      </c>
      <c r="O66" s="88">
        <v>1.0844737895158236</v>
      </c>
      <c r="P66" s="88">
        <v>1.0612537200000003</v>
      </c>
      <c r="Q66" s="2">
        <v>0.17999999999999972</v>
      </c>
      <c r="R66" s="2">
        <f>LOG(Q66)</f>
        <v>-0.74472749489669465</v>
      </c>
      <c r="S66" s="2">
        <f>LOG(Q66+1)</f>
        <v>7.1882007306125276E-2</v>
      </c>
      <c r="T66" s="2"/>
    </row>
    <row r="67" spans="1:20">
      <c r="A67" s="211" t="s">
        <v>76</v>
      </c>
      <c r="B67" s="212" t="s">
        <v>465</v>
      </c>
      <c r="C67" s="92" t="s">
        <v>4167</v>
      </c>
      <c r="D67" s="91" t="s">
        <v>733</v>
      </c>
      <c r="E67" s="88">
        <v>8.007442959999997</v>
      </c>
      <c r="F67" s="88">
        <v>300.39999999999998</v>
      </c>
      <c r="G67" s="88">
        <f t="shared" si="0"/>
        <v>2.4776999283321306</v>
      </c>
      <c r="H67" s="88">
        <v>18.338203799999999</v>
      </c>
      <c r="I67" s="88">
        <v>3.325720858019412</v>
      </c>
      <c r="J67" s="88">
        <v>1.5185139398778875</v>
      </c>
      <c r="K67" s="88">
        <v>5.7644657863145524E-3</v>
      </c>
      <c r="L67" s="88">
        <v>1</v>
      </c>
      <c r="M67" s="88">
        <v>1.8338203799999999</v>
      </c>
      <c r="N67" s="88">
        <v>15.185139398778876</v>
      </c>
      <c r="O67" s="88">
        <v>0.57644657863145521</v>
      </c>
      <c r="P67" s="88">
        <v>0.80074429599999974</v>
      </c>
      <c r="Q67" s="2"/>
      <c r="R67" s="2"/>
      <c r="S67" s="2"/>
      <c r="T67" s="2"/>
    </row>
    <row r="68" spans="1:20">
      <c r="A68" s="211" t="s">
        <v>76</v>
      </c>
      <c r="B68" s="212" t="s">
        <v>465</v>
      </c>
      <c r="C68" s="92" t="s">
        <v>4167</v>
      </c>
      <c r="D68" s="91" t="s">
        <v>739</v>
      </c>
      <c r="E68" s="88">
        <v>7.3312437999999958</v>
      </c>
      <c r="F68" s="88">
        <v>472</v>
      </c>
      <c r="G68" s="88">
        <f t="shared" ref="G68:G131" si="3">LOG(F68)</f>
        <v>2.673941998634088</v>
      </c>
      <c r="H68" s="88">
        <v>18.295134999999998</v>
      </c>
      <c r="I68" s="88">
        <v>2.4638929889859074</v>
      </c>
      <c r="J68" s="88">
        <v>1.5185139398778875</v>
      </c>
      <c r="K68" s="88">
        <v>7.8931572629052822E-3</v>
      </c>
      <c r="L68" s="88">
        <v>1</v>
      </c>
      <c r="M68" s="88">
        <v>1.8295134999999998</v>
      </c>
      <c r="N68" s="88">
        <v>15.185139398778876</v>
      </c>
      <c r="O68" s="88">
        <v>0.78931572629052826</v>
      </c>
      <c r="P68" s="88">
        <v>0.73312437999999958</v>
      </c>
      <c r="Q68" s="2"/>
      <c r="R68" s="2"/>
      <c r="S68" s="2"/>
      <c r="T68" s="2"/>
    </row>
    <row r="69" spans="1:20">
      <c r="A69" s="211" t="s">
        <v>348</v>
      </c>
      <c r="B69" s="212" t="s">
        <v>349</v>
      </c>
      <c r="C69" s="92" t="s">
        <v>740</v>
      </c>
      <c r="D69" s="91" t="s">
        <v>742</v>
      </c>
      <c r="E69" s="88">
        <v>2.3496528000000012</v>
      </c>
      <c r="F69" s="88">
        <v>1017</v>
      </c>
      <c r="G69" s="88">
        <f t="shared" si="3"/>
        <v>3.0073209529227447</v>
      </c>
      <c r="H69" s="88">
        <v>41.129328000000001</v>
      </c>
      <c r="I69" s="88">
        <v>5.5119221116807156</v>
      </c>
      <c r="J69" s="88">
        <v>1.8920946026904804</v>
      </c>
      <c r="K69" s="88">
        <v>4.3105242096841611E-3</v>
      </c>
      <c r="L69" s="88">
        <v>0</v>
      </c>
      <c r="M69" s="88">
        <v>4.1129328000000003</v>
      </c>
      <c r="N69" s="88">
        <v>18.920946026904804</v>
      </c>
      <c r="O69" s="88">
        <v>0.43105242096841612</v>
      </c>
      <c r="P69" s="88">
        <v>0.23496528000000011</v>
      </c>
      <c r="Q69" s="2"/>
      <c r="R69" s="2"/>
      <c r="S69" s="2"/>
      <c r="T69" s="2"/>
    </row>
    <row r="70" spans="1:20">
      <c r="A70" s="211" t="s">
        <v>76</v>
      </c>
      <c r="B70" s="212" t="s">
        <v>389</v>
      </c>
      <c r="C70" s="92" t="s">
        <v>545</v>
      </c>
      <c r="D70" s="91" t="s">
        <v>546</v>
      </c>
      <c r="E70" s="88"/>
      <c r="F70" s="88">
        <v>1756</v>
      </c>
      <c r="G70" s="88">
        <f t="shared" si="3"/>
        <v>3.2445245115700838</v>
      </c>
      <c r="H70" s="88">
        <v>37.378830999999998</v>
      </c>
      <c r="I70" s="88">
        <v>6.3561639676603905</v>
      </c>
      <c r="J70" s="88">
        <v>1.8750612633917001</v>
      </c>
      <c r="K70" s="88">
        <v>3.0292917166866652E-2</v>
      </c>
      <c r="L70" s="88">
        <v>0</v>
      </c>
      <c r="M70" s="88">
        <v>3.7378830999999999</v>
      </c>
      <c r="N70" s="88">
        <v>18.750612633917001</v>
      </c>
      <c r="O70" s="88">
        <v>3.0292917166866653</v>
      </c>
      <c r="P70" s="88"/>
      <c r="Q70" s="2"/>
      <c r="R70" s="2"/>
      <c r="S70" s="2"/>
      <c r="T70" s="2"/>
    </row>
    <row r="71" spans="1:20">
      <c r="A71" s="211" t="s">
        <v>348</v>
      </c>
      <c r="B71" s="212" t="s">
        <v>349</v>
      </c>
      <c r="C71" s="92" t="s">
        <v>393</v>
      </c>
      <c r="D71" s="91" t="s">
        <v>394</v>
      </c>
      <c r="E71" s="88">
        <v>6.0160390749999957</v>
      </c>
      <c r="F71" s="88">
        <v>442.33333333333331</v>
      </c>
      <c r="G71" s="88">
        <f t="shared" si="3"/>
        <v>2.6457496681447732</v>
      </c>
      <c r="H71" s="88">
        <v>39.205854166666668</v>
      </c>
      <c r="I71" s="88">
        <v>6.0777046709025946</v>
      </c>
      <c r="J71" s="88">
        <v>1.8920946026904806</v>
      </c>
      <c r="K71" s="88">
        <v>4.621782046152231E-3</v>
      </c>
      <c r="L71" s="88">
        <v>0</v>
      </c>
      <c r="M71" s="88">
        <v>3.9205854166666669</v>
      </c>
      <c r="N71" s="88">
        <v>18.920946026904804</v>
      </c>
      <c r="O71" s="88">
        <v>0.46217820461522308</v>
      </c>
      <c r="P71" s="88">
        <v>0.60160390749999959</v>
      </c>
      <c r="Q71" s="2"/>
      <c r="R71" s="2"/>
      <c r="S71" s="2"/>
      <c r="T71" s="2"/>
    </row>
    <row r="72" spans="1:20">
      <c r="A72" s="211" t="s">
        <v>348</v>
      </c>
      <c r="B72" s="212" t="s">
        <v>349</v>
      </c>
      <c r="C72" s="92" t="s">
        <v>393</v>
      </c>
      <c r="D72" s="91" t="s">
        <v>975</v>
      </c>
      <c r="E72" s="88">
        <v>7.0404695499999992</v>
      </c>
      <c r="F72" s="88">
        <v>622.5</v>
      </c>
      <c r="G72" s="88">
        <f t="shared" si="3"/>
        <v>2.7941393557677738</v>
      </c>
      <c r="H72" s="88">
        <v>37.060644500000002</v>
      </c>
      <c r="I72" s="88">
        <v>5.9285704567971029</v>
      </c>
      <c r="J72" s="88">
        <v>2.1875207208364631</v>
      </c>
      <c r="K72" s="88">
        <v>1.2600040016006658E-2</v>
      </c>
      <c r="L72" s="88">
        <v>0</v>
      </c>
      <c r="M72" s="88">
        <v>3.7060644500000004</v>
      </c>
      <c r="N72" s="88">
        <v>21.875207208364632</v>
      </c>
      <c r="O72" s="88">
        <v>1.2600040016006657</v>
      </c>
      <c r="P72" s="88">
        <v>0.70404695499999992</v>
      </c>
      <c r="Q72" s="2">
        <v>1.0052950000000003</v>
      </c>
      <c r="R72" s="2">
        <f>LOG(Q72)</f>
        <v>2.2935225252816121E-3</v>
      </c>
      <c r="S72" s="2">
        <f>LOG(Q72+1)</f>
        <v>0.30217827094524313</v>
      </c>
      <c r="T72" s="2"/>
    </row>
    <row r="73" spans="1:20">
      <c r="A73" s="211" t="s">
        <v>348</v>
      </c>
      <c r="B73" s="212" t="s">
        <v>349</v>
      </c>
      <c r="C73" s="92" t="s">
        <v>393</v>
      </c>
      <c r="D73" s="91" t="s">
        <v>976</v>
      </c>
      <c r="E73" s="88">
        <v>6.7931795499999996</v>
      </c>
      <c r="F73" s="88">
        <v>634</v>
      </c>
      <c r="G73" s="88">
        <f t="shared" si="3"/>
        <v>2.8020892578817329</v>
      </c>
      <c r="H73" s="88">
        <v>37.372976000000001</v>
      </c>
      <c r="I73" s="88">
        <v>5.652705541088185</v>
      </c>
      <c r="J73" s="88">
        <v>2.1875207208364631</v>
      </c>
      <c r="K73" s="88">
        <v>1.5074829931973052E-2</v>
      </c>
      <c r="L73" s="88">
        <v>0</v>
      </c>
      <c r="M73" s="88">
        <v>3.7372976000000002</v>
      </c>
      <c r="N73" s="88">
        <v>21.875207208364632</v>
      </c>
      <c r="O73" s="88">
        <v>1.5074829931973053</v>
      </c>
      <c r="P73" s="88">
        <v>0.67931795499999992</v>
      </c>
      <c r="Q73" s="2">
        <v>0.40800499999999928</v>
      </c>
      <c r="R73" s="2">
        <f>LOG(Q73)</f>
        <v>-0.38933451470643443</v>
      </c>
      <c r="S73" s="2">
        <f>LOG(Q73+1)</f>
        <v>0.14860419704228206</v>
      </c>
      <c r="T73" s="2"/>
    </row>
    <row r="74" spans="1:20">
      <c r="A74" s="211" t="s">
        <v>348</v>
      </c>
      <c r="B74" s="212" t="s">
        <v>349</v>
      </c>
      <c r="C74" s="92" t="s">
        <v>393</v>
      </c>
      <c r="D74" s="91" t="s">
        <v>1233</v>
      </c>
      <c r="E74" s="88">
        <v>2.4966176999999945</v>
      </c>
      <c r="F74" s="88">
        <v>200</v>
      </c>
      <c r="G74" s="88">
        <f t="shared" si="3"/>
        <v>2.3010299956639813</v>
      </c>
      <c r="H74" s="88">
        <v>29.891328000000001</v>
      </c>
      <c r="I74" s="88">
        <v>1.6989700043360187</v>
      </c>
      <c r="J74" s="88">
        <v>1.6020599913279623</v>
      </c>
      <c r="K74" s="88">
        <v>3.2066426570628248E-2</v>
      </c>
      <c r="L74" s="88">
        <v>1</v>
      </c>
      <c r="M74" s="88">
        <v>2.9891328000000001</v>
      </c>
      <c r="N74" s="88">
        <v>16.020599913279622</v>
      </c>
      <c r="O74" s="88">
        <v>3.206642657062825</v>
      </c>
      <c r="P74" s="88">
        <v>0.24966176999999945</v>
      </c>
      <c r="Q74" s="2"/>
      <c r="R74" s="2"/>
      <c r="S74" s="2"/>
      <c r="T74" s="2"/>
    </row>
    <row r="75" spans="1:20">
      <c r="A75" s="211" t="s">
        <v>348</v>
      </c>
      <c r="B75" s="212" t="s">
        <v>349</v>
      </c>
      <c r="C75" s="92" t="s">
        <v>393</v>
      </c>
      <c r="D75" s="91" t="s">
        <v>4168</v>
      </c>
      <c r="E75" s="88">
        <v>7.4414415999999939</v>
      </c>
      <c r="F75" s="88">
        <v>21</v>
      </c>
      <c r="G75" s="88">
        <f t="shared" si="3"/>
        <v>1.3222192947339193</v>
      </c>
      <c r="H75" s="88">
        <v>34.588239999999999</v>
      </c>
      <c r="I75" s="88">
        <v>5.8715449156431685</v>
      </c>
      <c r="J75" s="88">
        <v>1.8920946026904804</v>
      </c>
      <c r="K75" s="88">
        <v>1.5567026810724499E-2</v>
      </c>
      <c r="L75" s="88">
        <v>0</v>
      </c>
      <c r="M75" s="88">
        <v>3.4588239999999999</v>
      </c>
      <c r="N75" s="88">
        <v>18.920946026904804</v>
      </c>
      <c r="O75" s="88">
        <v>1.55670268107245</v>
      </c>
      <c r="P75" s="88">
        <v>0.74414415999999939</v>
      </c>
      <c r="Q75" s="2"/>
      <c r="R75" s="2"/>
      <c r="S75" s="2"/>
      <c r="T75" s="2"/>
    </row>
    <row r="76" spans="1:20">
      <c r="A76" s="211" t="s">
        <v>76</v>
      </c>
      <c r="B76" s="212" t="s">
        <v>582</v>
      </c>
      <c r="C76" s="92" t="s">
        <v>743</v>
      </c>
      <c r="D76" s="91" t="s">
        <v>744</v>
      </c>
      <c r="E76" s="88">
        <v>10.243681799999997</v>
      </c>
      <c r="F76" s="88">
        <v>1</v>
      </c>
      <c r="G76" s="88">
        <f t="shared" si="3"/>
        <v>0</v>
      </c>
      <c r="H76" s="88">
        <v>5.4669189999999999</v>
      </c>
      <c r="I76" s="88">
        <v>6.1311851157849953</v>
      </c>
      <c r="J76" s="88">
        <v>2.0530784434834195</v>
      </c>
      <c r="K76" s="88"/>
      <c r="L76" s="88">
        <v>0</v>
      </c>
      <c r="M76" s="88">
        <v>0.54669190000000001</v>
      </c>
      <c r="N76" s="88">
        <v>20.530784434834196</v>
      </c>
      <c r="O76" s="88">
        <v>0</v>
      </c>
      <c r="P76" s="88">
        <v>1.0243681799999997</v>
      </c>
      <c r="Q76" s="2"/>
      <c r="R76" s="2"/>
      <c r="S76" s="2"/>
      <c r="T76" s="2"/>
    </row>
    <row r="77" spans="1:20">
      <c r="A77" s="211" t="s">
        <v>76</v>
      </c>
      <c r="B77" s="212" t="s">
        <v>474</v>
      </c>
      <c r="C77" s="92" t="s">
        <v>475</v>
      </c>
      <c r="D77" s="91" t="s">
        <v>476</v>
      </c>
      <c r="E77" s="88">
        <v>9.2226929999999996</v>
      </c>
      <c r="F77" s="88">
        <v>213</v>
      </c>
      <c r="G77" s="88">
        <f t="shared" si="3"/>
        <v>2.3283796034387376</v>
      </c>
      <c r="H77" s="88">
        <v>34.683438000000017</v>
      </c>
      <c r="I77" s="88">
        <v>6.1977482412861598</v>
      </c>
      <c r="J77" s="88">
        <v>1.5185139398778873</v>
      </c>
      <c r="K77" s="88">
        <v>1.1374549819928506E-2</v>
      </c>
      <c r="L77" s="88">
        <v>0</v>
      </c>
      <c r="M77" s="88">
        <v>3.4683438000000018</v>
      </c>
      <c r="N77" s="88">
        <v>15.185139398778873</v>
      </c>
      <c r="O77" s="88">
        <v>1.1374549819928506</v>
      </c>
      <c r="P77" s="88">
        <v>0.92226929999999996</v>
      </c>
      <c r="Q77" s="2">
        <v>0.11667612500000005</v>
      </c>
      <c r="R77" s="2">
        <f>LOG(Q77)</f>
        <v>-0.93301800292245773</v>
      </c>
      <c r="S77" s="2">
        <f>LOG(Q77+1)</f>
        <v>4.7927230840685849E-2</v>
      </c>
      <c r="T77" s="2"/>
    </row>
    <row r="78" spans="1:20">
      <c r="A78" s="211" t="s">
        <v>76</v>
      </c>
      <c r="B78" s="212" t="s">
        <v>721</v>
      </c>
      <c r="C78" s="92" t="s">
        <v>977</v>
      </c>
      <c r="D78" s="91" t="s">
        <v>595</v>
      </c>
      <c r="E78" s="88">
        <v>6.3091548999999993</v>
      </c>
      <c r="F78" s="88">
        <v>304.7851264858275</v>
      </c>
      <c r="G78" s="88">
        <f t="shared" si="3"/>
        <v>2.4839937696139525</v>
      </c>
      <c r="H78" s="88">
        <v>37.133319999999998</v>
      </c>
      <c r="I78" s="88">
        <v>4.8880277733574165</v>
      </c>
      <c r="J78" s="88">
        <v>1.5185139398778875</v>
      </c>
      <c r="K78" s="88">
        <v>2.4296918767506899E-2</v>
      </c>
      <c r="L78" s="88">
        <v>0</v>
      </c>
      <c r="M78" s="88">
        <v>3.7133319999999999</v>
      </c>
      <c r="N78" s="88">
        <v>15.185139398778876</v>
      </c>
      <c r="O78" s="88">
        <v>2.4296918767506899</v>
      </c>
      <c r="P78" s="88">
        <v>0.63091548999999991</v>
      </c>
      <c r="Q78" s="2">
        <v>0.23000000000000007</v>
      </c>
      <c r="R78" s="2">
        <f>LOG(Q78)</f>
        <v>-0.63827216398240705</v>
      </c>
      <c r="S78" s="2">
        <f>LOG(Q78+1)</f>
        <v>8.9905111439397931E-2</v>
      </c>
      <c r="T78" s="2"/>
    </row>
    <row r="79" spans="1:20">
      <c r="A79" s="211" t="s">
        <v>76</v>
      </c>
      <c r="B79" s="212" t="s">
        <v>721</v>
      </c>
      <c r="C79" s="92" t="s">
        <v>977</v>
      </c>
      <c r="D79" s="91" t="s">
        <v>978</v>
      </c>
      <c r="E79" s="88">
        <v>7.8945612333333335</v>
      </c>
      <c r="F79" s="88">
        <v>558.77273189068376</v>
      </c>
      <c r="G79" s="88">
        <f t="shared" si="3"/>
        <v>2.7472352043885335</v>
      </c>
      <c r="H79" s="88">
        <v>37.116909333333332</v>
      </c>
      <c r="I79" s="88">
        <v>5.0609960793534219</v>
      </c>
      <c r="J79" s="88">
        <v>1.5185139398778873</v>
      </c>
      <c r="K79" s="88">
        <v>1.5219421101773545E-2</v>
      </c>
      <c r="L79" s="88">
        <v>0</v>
      </c>
      <c r="M79" s="88">
        <v>3.7116909333333332</v>
      </c>
      <c r="N79" s="88">
        <v>15.185139398778873</v>
      </c>
      <c r="O79" s="88">
        <v>1.5219421101773545</v>
      </c>
      <c r="P79" s="88">
        <v>0.78945612333333337</v>
      </c>
      <c r="Q79" s="2">
        <v>0.27500000000000002</v>
      </c>
      <c r="R79" s="2">
        <f>LOG(Q79)</f>
        <v>-0.56066730616973737</v>
      </c>
      <c r="S79" s="2">
        <f>LOG(Q79+1)</f>
        <v>0.10551018476997394</v>
      </c>
      <c r="T79" s="2"/>
    </row>
    <row r="80" spans="1:20">
      <c r="A80" s="211" t="s">
        <v>348</v>
      </c>
      <c r="B80" s="212" t="s">
        <v>349</v>
      </c>
      <c r="C80" s="92" t="s">
        <v>1144</v>
      </c>
      <c r="D80" s="91" t="s">
        <v>1146</v>
      </c>
      <c r="E80" s="88">
        <v>5.9114670000000018</v>
      </c>
      <c r="F80" s="88">
        <v>800</v>
      </c>
      <c r="G80" s="88">
        <f t="shared" si="3"/>
        <v>2.9030899869919438</v>
      </c>
      <c r="H80" s="88">
        <v>35.119751999999998</v>
      </c>
      <c r="I80" s="88">
        <v>5.8829950058882581</v>
      </c>
      <c r="J80" s="88">
        <v>2.1875207208364631</v>
      </c>
      <c r="K80" s="88">
        <v>3.2953181272512384E-3</v>
      </c>
      <c r="L80" s="88">
        <v>0</v>
      </c>
      <c r="M80" s="88">
        <v>3.5119751999999997</v>
      </c>
      <c r="N80" s="88">
        <v>21.875207208364632</v>
      </c>
      <c r="O80" s="88">
        <v>0.32953181272512383</v>
      </c>
      <c r="P80" s="88">
        <v>0.59114670000000014</v>
      </c>
      <c r="Q80" s="2"/>
      <c r="R80" s="2"/>
      <c r="S80" s="2"/>
      <c r="T80" s="2"/>
    </row>
    <row r="81" spans="1:20">
      <c r="A81" s="211" t="s">
        <v>348</v>
      </c>
      <c r="B81" s="212" t="s">
        <v>349</v>
      </c>
      <c r="C81" s="92" t="s">
        <v>1148</v>
      </c>
      <c r="D81" s="91" t="s">
        <v>1149</v>
      </c>
      <c r="E81" s="88">
        <v>5.6881892999999977</v>
      </c>
      <c r="F81" s="88">
        <v>111</v>
      </c>
      <c r="G81" s="88">
        <f t="shared" si="3"/>
        <v>2.0453229787866576</v>
      </c>
      <c r="H81" s="88">
        <v>35.994033000000002</v>
      </c>
      <c r="I81" s="88">
        <v>6.1790824881599864</v>
      </c>
      <c r="J81" s="88">
        <v>1.8920946026904804</v>
      </c>
      <c r="K81" s="88">
        <v>2.4533813525410383E-2</v>
      </c>
      <c r="L81" s="88">
        <v>0</v>
      </c>
      <c r="M81" s="88">
        <v>3.5994033000000001</v>
      </c>
      <c r="N81" s="88">
        <v>18.920946026904804</v>
      </c>
      <c r="O81" s="88">
        <v>2.4533813525410384</v>
      </c>
      <c r="P81" s="88">
        <v>0.56881892999999972</v>
      </c>
      <c r="Q81" s="2"/>
      <c r="R81" s="2"/>
      <c r="S81" s="2"/>
      <c r="T81" s="2"/>
    </row>
    <row r="82" spans="1:20">
      <c r="A82" s="211" t="s">
        <v>76</v>
      </c>
      <c r="B82" s="212" t="s">
        <v>77</v>
      </c>
      <c r="C82" s="92" t="s">
        <v>501</v>
      </c>
      <c r="D82" s="91" t="s">
        <v>748</v>
      </c>
      <c r="E82" s="88">
        <v>11.337413200000004</v>
      </c>
      <c r="F82" s="88">
        <v>24</v>
      </c>
      <c r="G82" s="88">
        <f t="shared" si="3"/>
        <v>1.3802112417116059</v>
      </c>
      <c r="H82" s="88">
        <v>39.965254999999999</v>
      </c>
      <c r="I82" s="88">
        <v>4.8308067234231702</v>
      </c>
      <c r="J82" s="88">
        <v>1.5185139398778875</v>
      </c>
      <c r="K82" s="88">
        <v>2.2801920768307712E-2</v>
      </c>
      <c r="L82" s="88">
        <v>1</v>
      </c>
      <c r="M82" s="88">
        <v>3.9965254999999997</v>
      </c>
      <c r="N82" s="88">
        <v>15.185139398778876</v>
      </c>
      <c r="O82" s="88">
        <v>2.2801920768307711</v>
      </c>
      <c r="P82" s="88">
        <v>1.1337413200000004</v>
      </c>
      <c r="Q82" s="2"/>
      <c r="R82" s="2"/>
      <c r="S82" s="2"/>
      <c r="T82" s="2"/>
    </row>
    <row r="83" spans="1:20">
      <c r="A83" s="211" t="s">
        <v>76</v>
      </c>
      <c r="B83" s="212" t="s">
        <v>77</v>
      </c>
      <c r="C83" s="92" t="s">
        <v>501</v>
      </c>
      <c r="D83" s="91" t="s">
        <v>548</v>
      </c>
      <c r="E83" s="88">
        <v>11.793632200000001</v>
      </c>
      <c r="F83" s="88">
        <v>1756</v>
      </c>
      <c r="G83" s="88">
        <f t="shared" si="3"/>
        <v>3.2445245115700838</v>
      </c>
      <c r="H83" s="88">
        <v>37.378830999999998</v>
      </c>
      <c r="I83" s="88">
        <v>6.5854700921197864</v>
      </c>
      <c r="J83" s="88">
        <v>1.5185139398778875</v>
      </c>
      <c r="K83" s="88">
        <v>3.0292917166866652E-2</v>
      </c>
      <c r="L83" s="88">
        <v>0</v>
      </c>
      <c r="M83" s="88">
        <v>3.7378830999999999</v>
      </c>
      <c r="N83" s="88">
        <v>15.185139398778876</v>
      </c>
      <c r="O83" s="88">
        <v>3.0292917166866653</v>
      </c>
      <c r="P83" s="88">
        <v>1.1793632200000002</v>
      </c>
      <c r="Q83" s="2"/>
      <c r="R83" s="2"/>
      <c r="S83" s="2"/>
      <c r="T83" s="2"/>
    </row>
    <row r="84" spans="1:20">
      <c r="A84" s="211" t="s">
        <v>76</v>
      </c>
      <c r="B84" s="212" t="s">
        <v>77</v>
      </c>
      <c r="C84" s="92" t="s">
        <v>501</v>
      </c>
      <c r="D84" s="91" t="s">
        <v>981</v>
      </c>
      <c r="E84" s="88">
        <v>9.4406486000000029</v>
      </c>
      <c r="F84" s="88">
        <v>340</v>
      </c>
      <c r="G84" s="88">
        <f t="shared" si="3"/>
        <v>2.5314789170422549</v>
      </c>
      <c r="H84" s="88">
        <v>35.254964000000001</v>
      </c>
      <c r="I84" s="88">
        <v>6.5670423723815867</v>
      </c>
      <c r="J84" s="88">
        <v>1.5185139398778875</v>
      </c>
      <c r="K84" s="88">
        <v>3.0460984393757294E-2</v>
      </c>
      <c r="L84" s="88">
        <v>0</v>
      </c>
      <c r="M84" s="88">
        <v>3.5254964000000002</v>
      </c>
      <c r="N84" s="88">
        <v>15.185139398778876</v>
      </c>
      <c r="O84" s="88">
        <v>3.0460984393757293</v>
      </c>
      <c r="P84" s="88">
        <v>0.94406486000000034</v>
      </c>
      <c r="Q84" s="2"/>
      <c r="R84" s="2"/>
      <c r="S84" s="2"/>
      <c r="T84" s="2"/>
    </row>
    <row r="85" spans="1:20">
      <c r="A85" s="211" t="s">
        <v>76</v>
      </c>
      <c r="B85" s="212" t="s">
        <v>77</v>
      </c>
      <c r="C85" s="92" t="s">
        <v>501</v>
      </c>
      <c r="D85" s="91" t="s">
        <v>750</v>
      </c>
      <c r="E85" s="88">
        <v>4.6998016000000007</v>
      </c>
      <c r="F85" s="88">
        <v>35</v>
      </c>
      <c r="G85" s="88">
        <f t="shared" si="3"/>
        <v>1.5440680443502757</v>
      </c>
      <c r="H85" s="88">
        <v>28.538335</v>
      </c>
      <c r="I85" s="88">
        <v>6.111171409828108</v>
      </c>
      <c r="J85" s="88">
        <v>1.7403626894942439</v>
      </c>
      <c r="K85" s="88">
        <v>1.7347739095638484E-2</v>
      </c>
      <c r="L85" s="88">
        <v>0</v>
      </c>
      <c r="M85" s="88">
        <v>2.8538334999999999</v>
      </c>
      <c r="N85" s="88">
        <v>17.403626894942438</v>
      </c>
      <c r="O85" s="88">
        <v>1.7347739095638484</v>
      </c>
      <c r="P85" s="88">
        <v>0.46998016000000009</v>
      </c>
      <c r="Q85" s="2"/>
      <c r="R85" s="2"/>
      <c r="S85" s="2"/>
      <c r="T85" s="2"/>
    </row>
    <row r="86" spans="1:20">
      <c r="A86" s="211" t="s">
        <v>76</v>
      </c>
      <c r="B86" s="212" t="s">
        <v>77</v>
      </c>
      <c r="C86" s="92" t="s">
        <v>501</v>
      </c>
      <c r="D86" s="91" t="s">
        <v>549</v>
      </c>
      <c r="E86" s="88"/>
      <c r="F86" s="88">
        <v>1756</v>
      </c>
      <c r="G86" s="88">
        <f t="shared" si="3"/>
        <v>3.2445245115700838</v>
      </c>
      <c r="H86" s="88">
        <v>37.378830999999998</v>
      </c>
      <c r="I86" s="88">
        <v>5.8431841742742323</v>
      </c>
      <c r="J86" s="88">
        <v>1.5185139398778875</v>
      </c>
      <c r="K86" s="88">
        <v>3.0292917166866652E-2</v>
      </c>
      <c r="L86" s="88">
        <v>0</v>
      </c>
      <c r="M86" s="88">
        <v>3.7378830999999999</v>
      </c>
      <c r="N86" s="88">
        <v>15.185139398778876</v>
      </c>
      <c r="O86" s="88">
        <v>3.0292917166866653</v>
      </c>
      <c r="P86" s="88"/>
      <c r="Q86" s="2"/>
      <c r="R86" s="2"/>
      <c r="S86" s="2"/>
      <c r="T86" s="2"/>
    </row>
    <row r="87" spans="1:20">
      <c r="A87" s="211" t="s">
        <v>76</v>
      </c>
      <c r="B87" s="212" t="s">
        <v>77</v>
      </c>
      <c r="C87" s="92" t="s">
        <v>501</v>
      </c>
      <c r="D87" s="91" t="s">
        <v>751</v>
      </c>
      <c r="E87" s="88">
        <v>4.5998015999999993</v>
      </c>
      <c r="F87" s="88">
        <v>35</v>
      </c>
      <c r="G87" s="88">
        <f t="shared" si="3"/>
        <v>1.5440680443502757</v>
      </c>
      <c r="H87" s="88">
        <v>28.538335</v>
      </c>
      <c r="I87" s="88">
        <v>5.8884580721628339</v>
      </c>
      <c r="J87" s="88">
        <v>1.5185139398778875</v>
      </c>
      <c r="K87" s="88">
        <v>1.7347739095638484E-2</v>
      </c>
      <c r="L87" s="88">
        <v>0</v>
      </c>
      <c r="M87" s="88">
        <v>2.8538334999999999</v>
      </c>
      <c r="N87" s="88">
        <v>15.185139398778876</v>
      </c>
      <c r="O87" s="88">
        <v>1.7347739095638484</v>
      </c>
      <c r="P87" s="88">
        <v>0.45998015999999992</v>
      </c>
      <c r="Q87" s="2"/>
      <c r="R87" s="2"/>
      <c r="S87" s="2"/>
      <c r="T87" s="2"/>
    </row>
    <row r="88" spans="1:20">
      <c r="A88" s="211" t="s">
        <v>76</v>
      </c>
      <c r="B88" s="212" t="s">
        <v>77</v>
      </c>
      <c r="C88" s="92" t="s">
        <v>501</v>
      </c>
      <c r="D88" s="91" t="s">
        <v>550</v>
      </c>
      <c r="E88" s="88">
        <v>9.8374132000000039</v>
      </c>
      <c r="F88" s="88">
        <v>199.5</v>
      </c>
      <c r="G88" s="88">
        <f t="shared" si="3"/>
        <v>2.2999429000227671</v>
      </c>
      <c r="H88" s="88">
        <v>40.767286999999996</v>
      </c>
      <c r="I88" s="88">
        <v>6.3499239215056633</v>
      </c>
      <c r="J88" s="88">
        <v>1.5185139398778875</v>
      </c>
      <c r="K88" s="88">
        <v>2.3581432573029467E-2</v>
      </c>
      <c r="L88" s="88">
        <v>0</v>
      </c>
      <c r="M88" s="88">
        <v>4.0767286999999994</v>
      </c>
      <c r="N88" s="88">
        <v>15.185139398778876</v>
      </c>
      <c r="O88" s="88">
        <v>2.3581432573029466</v>
      </c>
      <c r="P88" s="88">
        <v>0.98374132000000036</v>
      </c>
      <c r="Q88" s="2"/>
      <c r="R88" s="2"/>
      <c r="S88" s="2"/>
      <c r="T88" s="2"/>
    </row>
    <row r="89" spans="1:20">
      <c r="A89" s="211" t="s">
        <v>76</v>
      </c>
      <c r="B89" s="212" t="s">
        <v>77</v>
      </c>
      <c r="C89" s="92" t="s">
        <v>501</v>
      </c>
      <c r="D89" s="91" t="s">
        <v>982</v>
      </c>
      <c r="E89" s="88">
        <v>13.987413199999999</v>
      </c>
      <c r="F89" s="88">
        <v>2256</v>
      </c>
      <c r="G89" s="88">
        <f t="shared" si="3"/>
        <v>3.3533390953113047</v>
      </c>
      <c r="H89" s="88">
        <v>16.747214</v>
      </c>
      <c r="I89" s="88">
        <v>3.4471580313422194</v>
      </c>
      <c r="J89" s="88">
        <v>1.5185139398778875</v>
      </c>
      <c r="K89" s="88">
        <v>2.7166066426570896E-2</v>
      </c>
      <c r="L89" s="88">
        <v>1</v>
      </c>
      <c r="M89" s="88">
        <v>1.6747213999999999</v>
      </c>
      <c r="N89" s="88">
        <v>15.185139398778876</v>
      </c>
      <c r="O89" s="88">
        <v>2.7166066426570894</v>
      </c>
      <c r="P89" s="88">
        <v>1.3987413199999998</v>
      </c>
      <c r="Q89" s="2">
        <v>0.11904761904761904</v>
      </c>
      <c r="R89" s="2">
        <f>LOG(Q89)</f>
        <v>-0.9242792860618817</v>
      </c>
      <c r="S89" s="2">
        <f>LOG(Q89+1)</f>
        <v>4.8848567537817009E-2</v>
      </c>
      <c r="T89" s="2"/>
    </row>
    <row r="90" spans="1:20">
      <c r="A90" s="211" t="s">
        <v>76</v>
      </c>
      <c r="B90" s="212" t="s">
        <v>369</v>
      </c>
      <c r="C90" s="92" t="s">
        <v>557</v>
      </c>
      <c r="D90" s="91" t="s">
        <v>556</v>
      </c>
      <c r="E90" s="88">
        <v>9.8250743999999983</v>
      </c>
      <c r="F90" s="88">
        <v>1100</v>
      </c>
      <c r="G90" s="88">
        <f t="shared" si="3"/>
        <v>3.0413926851582249</v>
      </c>
      <c r="H90" s="88">
        <v>14.067500000000001</v>
      </c>
      <c r="I90" s="88">
        <v>6.3585304504325997</v>
      </c>
      <c r="J90" s="88">
        <v>1.7403626894942439</v>
      </c>
      <c r="K90" s="88">
        <v>-6.6590636254504464E-3</v>
      </c>
      <c r="L90" s="88">
        <v>0</v>
      </c>
      <c r="M90" s="88">
        <v>1.4067500000000002</v>
      </c>
      <c r="N90" s="88">
        <v>17.403626894942438</v>
      </c>
      <c r="O90" s="88">
        <v>-0.66590636254504465</v>
      </c>
      <c r="P90" s="88">
        <v>0.98250743999999979</v>
      </c>
      <c r="Q90" s="2"/>
      <c r="R90" s="2"/>
      <c r="S90" s="2"/>
      <c r="T90" s="2"/>
    </row>
    <row r="91" spans="1:20">
      <c r="A91" s="211" t="s">
        <v>76</v>
      </c>
      <c r="B91" s="212" t="s">
        <v>1237</v>
      </c>
      <c r="C91" s="92" t="s">
        <v>1238</v>
      </c>
      <c r="D91" s="91" t="s">
        <v>1239</v>
      </c>
      <c r="E91" s="88">
        <v>6.6169153000000023</v>
      </c>
      <c r="F91" s="88">
        <v>372</v>
      </c>
      <c r="G91" s="88">
        <f t="shared" si="3"/>
        <v>2.5705429398818973</v>
      </c>
      <c r="H91" s="88">
        <v>16.019649000000001</v>
      </c>
      <c r="I91" s="88">
        <v>6.0564981765934665</v>
      </c>
      <c r="J91" s="88">
        <v>1.5185139398778875</v>
      </c>
      <c r="K91" s="88">
        <v>1.7560624249699789E-2</v>
      </c>
      <c r="L91" s="88">
        <v>0</v>
      </c>
      <c r="M91" s="88">
        <v>1.6019649</v>
      </c>
      <c r="N91" s="88">
        <v>15.185139398778876</v>
      </c>
      <c r="O91" s="88">
        <v>1.756062424969979</v>
      </c>
      <c r="P91" s="88">
        <v>0.66169153000000025</v>
      </c>
      <c r="Q91" s="2"/>
      <c r="R91" s="2"/>
      <c r="S91" s="2"/>
      <c r="T91" s="2"/>
    </row>
    <row r="92" spans="1:20">
      <c r="A92" s="211" t="s">
        <v>76</v>
      </c>
      <c r="B92" s="212" t="s">
        <v>1237</v>
      </c>
      <c r="C92" s="92" t="s">
        <v>1238</v>
      </c>
      <c r="D92" s="91" t="s">
        <v>1245</v>
      </c>
      <c r="E92" s="88">
        <v>6.9942286666666673</v>
      </c>
      <c r="F92" s="88">
        <v>559.66666666666663</v>
      </c>
      <c r="G92" s="88">
        <f t="shared" si="3"/>
        <v>2.7479294414183864</v>
      </c>
      <c r="H92" s="88">
        <v>5.7010953333333338</v>
      </c>
      <c r="I92" s="88">
        <v>6.2908118593453848</v>
      </c>
      <c r="J92" s="88">
        <v>1.5185139398778877</v>
      </c>
      <c r="K92" s="88">
        <v>3.3342270241429599E-2</v>
      </c>
      <c r="L92" s="88">
        <v>0</v>
      </c>
      <c r="M92" s="88">
        <v>0.57010953333333336</v>
      </c>
      <c r="N92" s="88">
        <v>15.185139398778878</v>
      </c>
      <c r="O92" s="88">
        <v>3.3342270241429599</v>
      </c>
      <c r="P92" s="88">
        <v>0.69942286666666675</v>
      </c>
      <c r="Q92" s="2"/>
      <c r="R92" s="2"/>
      <c r="S92" s="2"/>
      <c r="T92" s="2"/>
    </row>
    <row r="93" spans="1:20">
      <c r="A93" s="211" t="s">
        <v>76</v>
      </c>
      <c r="B93" s="212" t="s">
        <v>77</v>
      </c>
      <c r="C93" s="92" t="s">
        <v>477</v>
      </c>
      <c r="D93" s="91" t="s">
        <v>562</v>
      </c>
      <c r="E93" s="88"/>
      <c r="F93" s="88">
        <v>312</v>
      </c>
      <c r="G93" s="88">
        <f t="shared" si="3"/>
        <v>2.4941545940184429</v>
      </c>
      <c r="H93" s="88">
        <v>27.087367</v>
      </c>
      <c r="I93" s="88">
        <v>3.5496162395190853</v>
      </c>
      <c r="J93" s="88">
        <v>1.6020599913279623</v>
      </c>
      <c r="K93" s="88">
        <v>2.8247298919569274E-3</v>
      </c>
      <c r="L93" s="88">
        <v>0</v>
      </c>
      <c r="M93" s="88">
        <v>2.7087367000000002</v>
      </c>
      <c r="N93" s="88">
        <v>16.020599913279622</v>
      </c>
      <c r="O93" s="88">
        <v>0.28247298919569275</v>
      </c>
      <c r="P93" s="88"/>
      <c r="Q93" s="2"/>
      <c r="R93" s="2"/>
      <c r="S93" s="2"/>
      <c r="T93" s="2"/>
    </row>
    <row r="94" spans="1:20">
      <c r="A94" s="211" t="s">
        <v>76</v>
      </c>
      <c r="B94" s="212" t="s">
        <v>77</v>
      </c>
      <c r="C94" s="92" t="s">
        <v>477</v>
      </c>
      <c r="D94" s="91" t="s">
        <v>478</v>
      </c>
      <c r="E94" s="88"/>
      <c r="F94" s="88">
        <v>785</v>
      </c>
      <c r="G94" s="88">
        <f t="shared" si="3"/>
        <v>2.8948696567452528</v>
      </c>
      <c r="H94" s="88">
        <v>23.550520000000002</v>
      </c>
      <c r="I94" s="88">
        <v>6.1921653078715062</v>
      </c>
      <c r="J94" s="88">
        <v>1.8750612633917001</v>
      </c>
      <c r="K94" s="88">
        <v>3.5503801520608329E-2</v>
      </c>
      <c r="L94" s="88">
        <v>0</v>
      </c>
      <c r="M94" s="88">
        <v>2.3550520000000001</v>
      </c>
      <c r="N94" s="88">
        <v>18.750612633917001</v>
      </c>
      <c r="O94" s="88">
        <v>3.5503801520608329</v>
      </c>
      <c r="P94" s="88"/>
      <c r="Q94" s="2">
        <v>6.500000000000021E-2</v>
      </c>
      <c r="R94" s="2">
        <f>LOG(Q94)</f>
        <v>-1.187086643357143</v>
      </c>
      <c r="S94" s="2">
        <f>LOG(Q94+1)</f>
        <v>2.7349607774756597E-2</v>
      </c>
      <c r="T94" s="2"/>
    </row>
    <row r="95" spans="1:20">
      <c r="A95" s="211" t="s">
        <v>76</v>
      </c>
      <c r="B95" s="212" t="s">
        <v>77</v>
      </c>
      <c r="C95" s="92" t="s">
        <v>477</v>
      </c>
      <c r="D95" s="91" t="s">
        <v>563</v>
      </c>
      <c r="E95" s="88"/>
      <c r="F95" s="88">
        <v>102</v>
      </c>
      <c r="G95" s="88">
        <f t="shared" si="3"/>
        <v>2.0086001717619175</v>
      </c>
      <c r="H95" s="88">
        <v>25.316761</v>
      </c>
      <c r="I95" s="88">
        <v>6.9206905139178128</v>
      </c>
      <c r="J95" s="88">
        <v>1.5185139398778875</v>
      </c>
      <c r="K95" s="88">
        <v>1.251420568227286E-2</v>
      </c>
      <c r="L95" s="88">
        <v>0</v>
      </c>
      <c r="M95" s="88">
        <v>2.5316760999999999</v>
      </c>
      <c r="N95" s="88">
        <v>15.185139398778876</v>
      </c>
      <c r="O95" s="88">
        <v>1.2514205682272861</v>
      </c>
      <c r="P95" s="88"/>
      <c r="Q95" s="2"/>
      <c r="R95" s="2"/>
      <c r="S95" s="2"/>
      <c r="T95" s="2"/>
    </row>
    <row r="96" spans="1:20">
      <c r="A96" s="211" t="s">
        <v>76</v>
      </c>
      <c r="B96" s="212" t="s">
        <v>389</v>
      </c>
      <c r="C96" s="92" t="s">
        <v>985</v>
      </c>
      <c r="D96" s="91" t="s">
        <v>984</v>
      </c>
      <c r="E96" s="88">
        <v>6.5331018666666649</v>
      </c>
      <c r="F96" s="88">
        <v>305</v>
      </c>
      <c r="G96" s="88">
        <f t="shared" si="3"/>
        <v>2.4842998393467859</v>
      </c>
      <c r="H96" s="88">
        <v>31</v>
      </c>
      <c r="I96" s="88">
        <v>5.5625355256213362</v>
      </c>
      <c r="J96" s="88">
        <v>2.1643528557844371</v>
      </c>
      <c r="K96" s="88">
        <v>3.4967987194877911E-2</v>
      </c>
      <c r="L96" s="88">
        <v>0</v>
      </c>
      <c r="M96" s="88">
        <v>3.1</v>
      </c>
      <c r="N96" s="88">
        <v>21.64352855784437</v>
      </c>
      <c r="O96" s="88">
        <v>3.4967987194877912</v>
      </c>
      <c r="P96" s="88">
        <v>0.65331018666666651</v>
      </c>
      <c r="Q96" s="2">
        <v>0.18181818181818182</v>
      </c>
      <c r="R96" s="2">
        <f>LOG(Q96)</f>
        <v>-0.74036268949424389</v>
      </c>
      <c r="S96" s="2">
        <f>LOG(Q96+1)</f>
        <v>7.2550667148611747E-2</v>
      </c>
      <c r="T96" s="2"/>
    </row>
    <row r="97" spans="1:20">
      <c r="A97" s="211" t="s">
        <v>76</v>
      </c>
      <c r="B97" s="212" t="s">
        <v>389</v>
      </c>
      <c r="C97" s="92" t="s">
        <v>985</v>
      </c>
      <c r="D97" s="91" t="s">
        <v>986</v>
      </c>
      <c r="E97" s="88">
        <v>9.7595020999999953</v>
      </c>
      <c r="F97" s="88">
        <v>914</v>
      </c>
      <c r="G97" s="88">
        <f t="shared" si="3"/>
        <v>2.9609461957338312</v>
      </c>
      <c r="H97" s="88">
        <v>14.613333000000001</v>
      </c>
      <c r="I97" s="88">
        <v>4.1393437561523747</v>
      </c>
      <c r="J97" s="88">
        <v>1.6989700043360187</v>
      </c>
      <c r="K97" s="88">
        <v>2.730772308923532E-2</v>
      </c>
      <c r="L97" s="88">
        <v>0</v>
      </c>
      <c r="M97" s="88">
        <v>1.4613333000000002</v>
      </c>
      <c r="N97" s="88">
        <v>16.989700043360187</v>
      </c>
      <c r="O97" s="88">
        <v>2.7307723089235321</v>
      </c>
      <c r="P97" s="88">
        <v>0.97595020999999949</v>
      </c>
      <c r="Q97" s="2"/>
      <c r="R97" s="2"/>
      <c r="S97" s="2"/>
      <c r="T97" s="2"/>
    </row>
    <row r="98" spans="1:20">
      <c r="A98" s="211" t="s">
        <v>76</v>
      </c>
      <c r="B98" s="212" t="s">
        <v>389</v>
      </c>
      <c r="C98" s="92" t="s">
        <v>985</v>
      </c>
      <c r="D98" s="91" t="s">
        <v>988</v>
      </c>
      <c r="E98" s="88">
        <v>8.1843780999999964</v>
      </c>
      <c r="F98" s="88">
        <v>305</v>
      </c>
      <c r="G98" s="88">
        <f t="shared" si="3"/>
        <v>2.4842998393467859</v>
      </c>
      <c r="H98" s="88">
        <v>17.059417</v>
      </c>
      <c r="I98" s="88">
        <v>5.0962772194568284</v>
      </c>
      <c r="J98" s="88">
        <v>1.7160033436347992</v>
      </c>
      <c r="K98" s="88">
        <v>1.9664665866346166E-2</v>
      </c>
      <c r="L98" s="88">
        <v>0</v>
      </c>
      <c r="M98" s="88">
        <v>1.7059416999999999</v>
      </c>
      <c r="N98" s="88">
        <v>17.160033436347991</v>
      </c>
      <c r="O98" s="88">
        <v>1.9664665866346167</v>
      </c>
      <c r="P98" s="88">
        <v>0.8184378099999996</v>
      </c>
      <c r="Q98" s="2">
        <v>0.17142857142857185</v>
      </c>
      <c r="R98" s="2">
        <f>LOG(Q98)</f>
        <v>-0.76591679396663093</v>
      </c>
      <c r="S98" s="2">
        <f>LOG(Q98+1)</f>
        <v>6.8715812369460047E-2</v>
      </c>
      <c r="T98" s="2"/>
    </row>
    <row r="99" spans="1:20">
      <c r="A99" s="211" t="s">
        <v>76</v>
      </c>
      <c r="B99" s="212" t="s">
        <v>389</v>
      </c>
      <c r="C99" s="92" t="s">
        <v>985</v>
      </c>
      <c r="D99" s="91" t="s">
        <v>990</v>
      </c>
      <c r="E99" s="88">
        <v>4.8810288666666652</v>
      </c>
      <c r="F99" s="88">
        <v>305</v>
      </c>
      <c r="G99" s="88">
        <f t="shared" si="3"/>
        <v>2.4842998393467859</v>
      </c>
      <c r="H99" s="88">
        <v>27</v>
      </c>
      <c r="I99" s="88">
        <v>4.241322302888773</v>
      </c>
      <c r="J99" s="88">
        <v>1.9294189257142926</v>
      </c>
      <c r="K99" s="88">
        <v>4.2442577030811918E-2</v>
      </c>
      <c r="L99" s="88">
        <v>0</v>
      </c>
      <c r="M99" s="88">
        <v>2.7</v>
      </c>
      <c r="N99" s="88">
        <v>19.294189257142925</v>
      </c>
      <c r="O99" s="88">
        <v>4.2442577030811917</v>
      </c>
      <c r="P99" s="88">
        <v>0.48810288666666651</v>
      </c>
      <c r="Q99" s="2">
        <v>0.15333333333333315</v>
      </c>
      <c r="R99" s="2">
        <f>LOG(Q99)</f>
        <v>-0.81436342303808884</v>
      </c>
      <c r="S99" s="2">
        <f>LOG(Q99+1)</f>
        <v>6.1954844073114086E-2</v>
      </c>
      <c r="T99" s="2"/>
    </row>
    <row r="100" spans="1:20">
      <c r="A100" s="211" t="s">
        <v>76</v>
      </c>
      <c r="B100" s="212" t="s">
        <v>474</v>
      </c>
      <c r="C100" s="92" t="s">
        <v>564</v>
      </c>
      <c r="D100" s="91" t="s">
        <v>565</v>
      </c>
      <c r="E100" s="88">
        <v>9.3250743999999983</v>
      </c>
      <c r="F100" s="88">
        <v>1100</v>
      </c>
      <c r="G100" s="88">
        <f t="shared" si="3"/>
        <v>3.0413926851582249</v>
      </c>
      <c r="H100" s="88">
        <v>14.067500000000001</v>
      </c>
      <c r="I100" s="88">
        <v>4.0138059273405924</v>
      </c>
      <c r="J100" s="88">
        <v>1.5185139398778875</v>
      </c>
      <c r="K100" s="88">
        <v>-6.6590636254504464E-3</v>
      </c>
      <c r="L100" s="88">
        <v>1</v>
      </c>
      <c r="M100" s="88">
        <v>1.4067500000000002</v>
      </c>
      <c r="N100" s="88">
        <v>15.185139398778876</v>
      </c>
      <c r="O100" s="88">
        <v>-0.66590636254504465</v>
      </c>
      <c r="P100" s="88">
        <v>0.93250743999999985</v>
      </c>
      <c r="Q100" s="2"/>
      <c r="R100" s="2"/>
      <c r="S100" s="2"/>
      <c r="T100" s="2"/>
    </row>
    <row r="101" spans="1:20">
      <c r="A101" s="211" t="s">
        <v>76</v>
      </c>
      <c r="B101" s="212" t="s">
        <v>474</v>
      </c>
      <c r="C101" s="92" t="s">
        <v>564</v>
      </c>
      <c r="D101" s="91" t="s">
        <v>568</v>
      </c>
      <c r="E101" s="88"/>
      <c r="F101" s="88">
        <v>1100</v>
      </c>
      <c r="G101" s="88">
        <f t="shared" si="3"/>
        <v>3.0413926851582249</v>
      </c>
      <c r="H101" s="88">
        <v>14.067500000000001</v>
      </c>
      <c r="I101" s="88">
        <v>2.808885867359812</v>
      </c>
      <c r="J101" s="88">
        <v>1.5185139398778875</v>
      </c>
      <c r="K101" s="88">
        <v>-6.6590636254504464E-3</v>
      </c>
      <c r="L101" s="88"/>
      <c r="M101" s="88">
        <v>1.4067500000000002</v>
      </c>
      <c r="N101" s="88">
        <v>15.185139398778876</v>
      </c>
      <c r="O101" s="88">
        <v>-0.66590636254504465</v>
      </c>
      <c r="P101" s="88"/>
      <c r="Q101" s="2"/>
      <c r="R101" s="2"/>
      <c r="S101" s="2"/>
      <c r="T101" s="2"/>
    </row>
    <row r="102" spans="1:20">
      <c r="A102" s="211" t="s">
        <v>76</v>
      </c>
      <c r="B102" s="212" t="s">
        <v>527</v>
      </c>
      <c r="C102" s="92" t="s">
        <v>569</v>
      </c>
      <c r="D102" s="91" t="s">
        <v>570</v>
      </c>
      <c r="E102" s="88"/>
      <c r="F102" s="88">
        <v>102</v>
      </c>
      <c r="G102" s="88">
        <f t="shared" si="3"/>
        <v>2.0086001717619175</v>
      </c>
      <c r="H102" s="88">
        <v>25.316761</v>
      </c>
      <c r="I102" s="88">
        <v>5.4560409498864777</v>
      </c>
      <c r="J102" s="88">
        <v>1.8836614351536176</v>
      </c>
      <c r="K102" s="88">
        <v>1.251420568227286E-2</v>
      </c>
      <c r="L102" s="88">
        <v>0</v>
      </c>
      <c r="M102" s="88">
        <v>2.5316760999999999</v>
      </c>
      <c r="N102" s="88">
        <v>18.836614351536177</v>
      </c>
      <c r="O102" s="88">
        <v>1.2514205682272861</v>
      </c>
      <c r="P102" s="88"/>
      <c r="Q102" s="2"/>
      <c r="R102" s="2"/>
      <c r="S102" s="2"/>
      <c r="T102" s="2"/>
    </row>
    <row r="103" spans="1:20">
      <c r="A103" s="211" t="s">
        <v>76</v>
      </c>
      <c r="B103" s="212" t="s">
        <v>426</v>
      </c>
      <c r="C103" s="92" t="s">
        <v>571</v>
      </c>
      <c r="D103" s="91" t="s">
        <v>572</v>
      </c>
      <c r="E103" s="88"/>
      <c r="F103" s="88">
        <v>102</v>
      </c>
      <c r="G103" s="88">
        <f t="shared" si="3"/>
        <v>2.0086001717619175</v>
      </c>
      <c r="H103" s="88">
        <v>25.316761</v>
      </c>
      <c r="I103" s="88">
        <v>6.0331651124185575</v>
      </c>
      <c r="J103" s="88">
        <v>1.5185139398778875</v>
      </c>
      <c r="K103" s="88">
        <v>1.251420568227286E-2</v>
      </c>
      <c r="L103" s="88">
        <v>0</v>
      </c>
      <c r="M103" s="88">
        <v>2.5316760999999999</v>
      </c>
      <c r="N103" s="88">
        <v>15.185139398778876</v>
      </c>
      <c r="O103" s="88">
        <v>1.2514205682272861</v>
      </c>
      <c r="P103" s="88"/>
      <c r="Q103" s="2"/>
      <c r="R103" s="2"/>
      <c r="S103" s="2"/>
      <c r="T103" s="2"/>
    </row>
    <row r="104" spans="1:20">
      <c r="A104" s="211" t="s">
        <v>76</v>
      </c>
      <c r="B104" s="212" t="s">
        <v>426</v>
      </c>
      <c r="C104" s="92" t="s">
        <v>571</v>
      </c>
      <c r="D104" s="91" t="s">
        <v>573</v>
      </c>
      <c r="E104" s="88"/>
      <c r="F104" s="88">
        <v>102</v>
      </c>
      <c r="G104" s="88">
        <f t="shared" si="3"/>
        <v>2.0086001717619175</v>
      </c>
      <c r="H104" s="88">
        <v>25.316761</v>
      </c>
      <c r="I104" s="88">
        <v>6.2614812699413491</v>
      </c>
      <c r="J104" s="88">
        <v>1.5185139398778875</v>
      </c>
      <c r="K104" s="88">
        <v>1.251420568227286E-2</v>
      </c>
      <c r="L104" s="88">
        <v>0</v>
      </c>
      <c r="M104" s="88">
        <v>2.5316760999999999</v>
      </c>
      <c r="N104" s="88">
        <v>15.185139398778876</v>
      </c>
      <c r="O104" s="88">
        <v>1.2514205682272861</v>
      </c>
      <c r="P104" s="88"/>
      <c r="Q104" s="2"/>
      <c r="R104" s="2"/>
      <c r="S104" s="2"/>
      <c r="T104" s="2"/>
    </row>
    <row r="105" spans="1:20">
      <c r="A105" s="211" t="s">
        <v>76</v>
      </c>
      <c r="B105" s="212" t="s">
        <v>426</v>
      </c>
      <c r="C105" s="92" t="s">
        <v>571</v>
      </c>
      <c r="D105" s="91" t="s">
        <v>574</v>
      </c>
      <c r="E105" s="88"/>
      <c r="F105" s="88">
        <v>312</v>
      </c>
      <c r="G105" s="88">
        <f t="shared" si="3"/>
        <v>2.4941545940184429</v>
      </c>
      <c r="H105" s="88">
        <v>27.087367</v>
      </c>
      <c r="I105" s="88">
        <v>7.0401686201958205</v>
      </c>
      <c r="J105" s="88">
        <v>1.7403626894942439</v>
      </c>
      <c r="K105" s="88">
        <v>2.8247298919569274E-3</v>
      </c>
      <c r="L105" s="88">
        <v>0</v>
      </c>
      <c r="M105" s="88">
        <v>2.7087367000000002</v>
      </c>
      <c r="N105" s="88">
        <v>17.403626894942438</v>
      </c>
      <c r="O105" s="88">
        <v>0.28247298919569275</v>
      </c>
      <c r="P105" s="88"/>
      <c r="Q105" s="2"/>
      <c r="R105" s="2"/>
      <c r="S105" s="2"/>
      <c r="T105" s="2"/>
    </row>
    <row r="106" spans="1:20">
      <c r="A106" s="211" t="s">
        <v>76</v>
      </c>
      <c r="B106" s="212" t="s">
        <v>426</v>
      </c>
      <c r="C106" s="92" t="s">
        <v>571</v>
      </c>
      <c r="D106" s="91" t="s">
        <v>992</v>
      </c>
      <c r="E106" s="88">
        <v>5.2530846999999952</v>
      </c>
      <c r="F106" s="88">
        <v>305</v>
      </c>
      <c r="G106" s="88">
        <f t="shared" si="3"/>
        <v>2.4842998393467859</v>
      </c>
      <c r="H106" s="88">
        <v>31</v>
      </c>
      <c r="I106" s="88">
        <v>5.9132727658617039</v>
      </c>
      <c r="J106" s="88">
        <v>1.5185139398778875</v>
      </c>
      <c r="K106" s="88">
        <v>3.4967987194877911E-2</v>
      </c>
      <c r="L106" s="88">
        <v>0</v>
      </c>
      <c r="M106" s="88">
        <v>3.1</v>
      </c>
      <c r="N106" s="88">
        <v>15.185139398778876</v>
      </c>
      <c r="O106" s="88">
        <v>3.4967987194877912</v>
      </c>
      <c r="P106" s="88">
        <v>0.52530846999999947</v>
      </c>
      <c r="Q106" s="2">
        <v>0.55714285714285694</v>
      </c>
      <c r="R106" s="2">
        <f>LOG(Q106)</f>
        <v>-0.25403343298775777</v>
      </c>
      <c r="S106" s="2">
        <f>LOG(Q106+1)</f>
        <v>0.19232845792636674</v>
      </c>
      <c r="T106" s="2"/>
    </row>
    <row r="107" spans="1:20">
      <c r="A107" s="211" t="s">
        <v>76</v>
      </c>
      <c r="B107" s="212" t="s">
        <v>426</v>
      </c>
      <c r="C107" s="92" t="s">
        <v>571</v>
      </c>
      <c r="D107" s="91" t="s">
        <v>576</v>
      </c>
      <c r="E107" s="88"/>
      <c r="F107" s="88">
        <v>102</v>
      </c>
      <c r="G107" s="88">
        <f t="shared" si="3"/>
        <v>2.0086001717619175</v>
      </c>
      <c r="H107" s="88">
        <v>25.316761</v>
      </c>
      <c r="I107" s="88">
        <v>6.5893375854189857</v>
      </c>
      <c r="J107" s="88">
        <v>1.7403626894942439</v>
      </c>
      <c r="K107" s="88">
        <v>1.251420568227286E-2</v>
      </c>
      <c r="L107" s="88">
        <v>0</v>
      </c>
      <c r="M107" s="88">
        <v>2.5316760999999999</v>
      </c>
      <c r="N107" s="88">
        <v>17.403626894942438</v>
      </c>
      <c r="O107" s="88">
        <v>1.2514205682272861</v>
      </c>
      <c r="P107" s="88"/>
      <c r="Q107" s="2"/>
      <c r="R107" s="2"/>
      <c r="S107" s="2"/>
      <c r="T107" s="2"/>
    </row>
    <row r="108" spans="1:20">
      <c r="A108" s="211" t="s">
        <v>76</v>
      </c>
      <c r="B108" s="212" t="s">
        <v>721</v>
      </c>
      <c r="C108" s="92" t="s">
        <v>752</v>
      </c>
      <c r="D108" s="91" t="s">
        <v>618</v>
      </c>
      <c r="E108" s="88">
        <v>8.2451414833333292</v>
      </c>
      <c r="F108" s="88">
        <v>377.45179315249419</v>
      </c>
      <c r="G108" s="88">
        <f t="shared" si="3"/>
        <v>2.5768614929062936</v>
      </c>
      <c r="H108" s="88">
        <v>34.080443499999994</v>
      </c>
      <c r="I108" s="88">
        <v>5.5117416910588872</v>
      </c>
      <c r="J108" s="88">
        <v>1.8750612633917001</v>
      </c>
      <c r="K108" s="88">
        <v>1.8946778711484664E-2</v>
      </c>
      <c r="L108" s="88">
        <v>0</v>
      </c>
      <c r="M108" s="88">
        <v>3.4080443499999995</v>
      </c>
      <c r="N108" s="88">
        <v>18.750612633917001</v>
      </c>
      <c r="O108" s="88">
        <v>1.8946778711484664</v>
      </c>
      <c r="P108" s="88">
        <v>0.82451414833333292</v>
      </c>
      <c r="Q108" s="2">
        <v>0.11599999999999994</v>
      </c>
      <c r="R108" s="2">
        <f>LOG(Q108)</f>
        <v>-0.93554201077308174</v>
      </c>
      <c r="S108" s="2">
        <f>LOG(Q108+1)</f>
        <v>4.7664194601559899E-2</v>
      </c>
      <c r="T108" s="2"/>
    </row>
    <row r="109" spans="1:20">
      <c r="A109" s="211" t="s">
        <v>76</v>
      </c>
      <c r="B109" s="212" t="s">
        <v>721</v>
      </c>
      <c r="C109" s="92" t="s">
        <v>752</v>
      </c>
      <c r="D109" s="91" t="s">
        <v>995</v>
      </c>
      <c r="E109" s="88">
        <v>-1.6132315999999989</v>
      </c>
      <c r="F109" s="88">
        <v>304.7851264858275</v>
      </c>
      <c r="G109" s="88">
        <f t="shared" si="3"/>
        <v>2.4839937696139525</v>
      </c>
      <c r="H109" s="88">
        <v>31.563029</v>
      </c>
      <c r="I109" s="88">
        <v>6.128907264074634</v>
      </c>
      <c r="J109" s="88">
        <v>1.7403626894942439</v>
      </c>
      <c r="K109" s="88">
        <v>2.843937575030011E-2</v>
      </c>
      <c r="L109" s="88">
        <v>0</v>
      </c>
      <c r="M109" s="88">
        <v>3.1563029</v>
      </c>
      <c r="N109" s="88">
        <v>17.403626894942438</v>
      </c>
      <c r="O109" s="88">
        <v>2.8439375750300111</v>
      </c>
      <c r="P109" s="88">
        <v>-0.16132315999999988</v>
      </c>
      <c r="Q109" s="2"/>
      <c r="R109" s="2"/>
      <c r="S109" s="2"/>
      <c r="T109" s="2"/>
    </row>
    <row r="110" spans="1:20">
      <c r="A110" s="211" t="s">
        <v>76</v>
      </c>
      <c r="B110" s="212" t="s">
        <v>721</v>
      </c>
      <c r="C110" s="92" t="s">
        <v>752</v>
      </c>
      <c r="D110" s="91" t="s">
        <v>755</v>
      </c>
      <c r="E110" s="88">
        <v>8.3361758374999972</v>
      </c>
      <c r="F110" s="88">
        <v>136.79442243218531</v>
      </c>
      <c r="G110" s="88">
        <f t="shared" si="3"/>
        <v>2.1360683901011552</v>
      </c>
      <c r="H110" s="88">
        <v>29.111587</v>
      </c>
      <c r="I110" s="88">
        <v>5.8216648173225174</v>
      </c>
      <c r="J110" s="88">
        <v>1.7403626894942439</v>
      </c>
      <c r="K110" s="88">
        <v>8.4978491396556811E-3</v>
      </c>
      <c r="L110" s="88">
        <v>0</v>
      </c>
      <c r="M110" s="88">
        <v>2.9111587000000001</v>
      </c>
      <c r="N110" s="88">
        <v>17.403626894942438</v>
      </c>
      <c r="O110" s="88">
        <v>0.8497849139655681</v>
      </c>
      <c r="P110" s="88">
        <v>0.83361758374999972</v>
      </c>
      <c r="Q110" s="2">
        <v>0.21724999999999994</v>
      </c>
      <c r="R110" s="2">
        <f>LOG(Q110)</f>
        <v>-0.66304021487929599</v>
      </c>
      <c r="S110" s="2">
        <f>LOG(Q110+1)</f>
        <v>8.5379783217931896E-2</v>
      </c>
      <c r="T110" s="2"/>
    </row>
    <row r="111" spans="1:20">
      <c r="A111" s="211" t="s">
        <v>76</v>
      </c>
      <c r="B111" s="212" t="s">
        <v>721</v>
      </c>
      <c r="C111" s="92" t="s">
        <v>752</v>
      </c>
      <c r="D111" s="91" t="s">
        <v>757</v>
      </c>
      <c r="E111" s="88">
        <v>7.9481104499999979</v>
      </c>
      <c r="F111" s="88">
        <v>184.39256324291375</v>
      </c>
      <c r="G111" s="88">
        <f t="shared" si="3"/>
        <v>2.2657434014915014</v>
      </c>
      <c r="H111" s="88">
        <v>30.488929000000002</v>
      </c>
      <c r="I111" s="88">
        <v>5.7812446887664422</v>
      </c>
      <c r="J111" s="88">
        <v>1.8750612633917001</v>
      </c>
      <c r="K111" s="88">
        <v>3.8833533413364144E-3</v>
      </c>
      <c r="L111" s="88">
        <v>0</v>
      </c>
      <c r="M111" s="88">
        <v>3.0488929000000002</v>
      </c>
      <c r="N111" s="88">
        <v>18.750612633917001</v>
      </c>
      <c r="O111" s="88">
        <v>0.38833533413364146</v>
      </c>
      <c r="P111" s="88">
        <v>0.79481104499999977</v>
      </c>
      <c r="Q111" s="2"/>
      <c r="R111" s="2"/>
      <c r="S111" s="2"/>
      <c r="T111" s="2"/>
    </row>
    <row r="112" spans="1:20">
      <c r="A112" s="211" t="s">
        <v>76</v>
      </c>
      <c r="B112" s="212" t="s">
        <v>721</v>
      </c>
      <c r="C112" s="92" t="s">
        <v>752</v>
      </c>
      <c r="D112" s="91" t="s">
        <v>758</v>
      </c>
      <c r="E112" s="88">
        <v>6.9322991199999979</v>
      </c>
      <c r="F112" s="88">
        <v>436.69917708015845</v>
      </c>
      <c r="G112" s="88">
        <f t="shared" si="3"/>
        <v>2.6401823735336989</v>
      </c>
      <c r="H112" s="88">
        <v>33.956469799999994</v>
      </c>
      <c r="I112" s="88">
        <v>6.385788889092356</v>
      </c>
      <c r="J112" s="88">
        <v>1.5185139398778875</v>
      </c>
      <c r="K112" s="88">
        <v>1.7645938375350174E-2</v>
      </c>
      <c r="L112" s="88">
        <v>0</v>
      </c>
      <c r="M112" s="88">
        <v>3.3956469799999995</v>
      </c>
      <c r="N112" s="88">
        <v>15.185139398778876</v>
      </c>
      <c r="O112" s="88">
        <v>1.7645938375350174</v>
      </c>
      <c r="P112" s="88">
        <v>0.69322991199999984</v>
      </c>
      <c r="Q112" s="2">
        <v>0.1199999999999999</v>
      </c>
      <c r="R112" s="2">
        <f>LOG(Q112)</f>
        <v>-0.92081875395237556</v>
      </c>
      <c r="S112" s="2">
        <f>LOG(Q112+1)</f>
        <v>4.921802267018157E-2</v>
      </c>
      <c r="T112" s="2"/>
    </row>
    <row r="113" spans="1:20">
      <c r="A113" s="211" t="s">
        <v>76</v>
      </c>
      <c r="B113" s="211" t="s">
        <v>577</v>
      </c>
      <c r="C113" s="92" t="s">
        <v>578</v>
      </c>
      <c r="D113" s="91" t="s">
        <v>579</v>
      </c>
      <c r="E113" s="88"/>
      <c r="F113" s="88">
        <v>312</v>
      </c>
      <c r="G113" s="88">
        <f t="shared" si="3"/>
        <v>2.4941545940184429</v>
      </c>
      <c r="H113" s="88">
        <v>27.087367</v>
      </c>
      <c r="I113" s="88">
        <v>5.6709023662067999</v>
      </c>
      <c r="J113" s="88">
        <v>1.6972293427597176</v>
      </c>
      <c r="K113" s="88">
        <v>2.8247298919569274E-3</v>
      </c>
      <c r="L113" s="88">
        <v>0</v>
      </c>
      <c r="M113" s="88">
        <v>2.7087367000000002</v>
      </c>
      <c r="N113" s="88">
        <v>16.972293427597176</v>
      </c>
      <c r="O113" s="88">
        <v>0.28247298919569275</v>
      </c>
      <c r="P113" s="88"/>
      <c r="Q113" s="2"/>
      <c r="R113" s="2"/>
      <c r="S113" s="2"/>
      <c r="T113" s="2"/>
    </row>
    <row r="114" spans="1:20">
      <c r="A114" s="211" t="s">
        <v>76</v>
      </c>
      <c r="B114" s="212" t="s">
        <v>582</v>
      </c>
      <c r="C114" s="92" t="s">
        <v>581</v>
      </c>
      <c r="D114" s="91" t="s">
        <v>580</v>
      </c>
      <c r="E114" s="88">
        <v>10.9250744</v>
      </c>
      <c r="F114" s="88">
        <v>1100</v>
      </c>
      <c r="G114" s="88">
        <f t="shared" si="3"/>
        <v>3.0413926851582249</v>
      </c>
      <c r="H114" s="88">
        <v>14.067500000000001</v>
      </c>
      <c r="I114" s="88">
        <v>4.1685858655364099</v>
      </c>
      <c r="J114" s="88">
        <v>2.0530784434834195</v>
      </c>
      <c r="K114" s="88">
        <v>-6.6590636254504464E-3</v>
      </c>
      <c r="L114" s="88">
        <v>0</v>
      </c>
      <c r="M114" s="88">
        <v>1.4067500000000002</v>
      </c>
      <c r="N114" s="88">
        <v>20.530784434834196</v>
      </c>
      <c r="O114" s="88">
        <v>-0.66590636254504465</v>
      </c>
      <c r="P114" s="88">
        <v>1.0925074399999999</v>
      </c>
      <c r="Q114" s="2"/>
      <c r="R114" s="2"/>
      <c r="S114" s="2"/>
      <c r="T114" s="2"/>
    </row>
    <row r="115" spans="1:20">
      <c r="A115" s="211" t="s">
        <v>76</v>
      </c>
      <c r="B115" s="212" t="s">
        <v>369</v>
      </c>
      <c r="C115" s="92" t="s">
        <v>398</v>
      </c>
      <c r="D115" s="91" t="s">
        <v>760</v>
      </c>
      <c r="E115" s="88">
        <v>8.0018996999999992</v>
      </c>
      <c r="F115" s="88">
        <v>209.5</v>
      </c>
      <c r="G115" s="88">
        <f t="shared" si="3"/>
        <v>2.3211840273023143</v>
      </c>
      <c r="H115" s="88">
        <v>29.025641749999998</v>
      </c>
      <c r="I115" s="88">
        <v>6.1729988109466536</v>
      </c>
      <c r="J115" s="88">
        <v>2.0530784434834195</v>
      </c>
      <c r="K115" s="88">
        <v>3.0460984393757294E-2</v>
      </c>
      <c r="L115" s="88">
        <v>0</v>
      </c>
      <c r="M115" s="88">
        <v>2.9025641749999997</v>
      </c>
      <c r="N115" s="88">
        <v>20.530784434834196</v>
      </c>
      <c r="O115" s="88">
        <v>3.0460984393757293</v>
      </c>
      <c r="P115" s="88">
        <v>0.80018996999999992</v>
      </c>
      <c r="Q115" s="2"/>
      <c r="R115" s="2"/>
      <c r="S115" s="2"/>
      <c r="T115" s="2"/>
    </row>
    <row r="116" spans="1:20">
      <c r="A116" s="211" t="s">
        <v>76</v>
      </c>
      <c r="B116" s="212" t="s">
        <v>369</v>
      </c>
      <c r="C116" s="92" t="s">
        <v>398</v>
      </c>
      <c r="D116" s="91" t="s">
        <v>397</v>
      </c>
      <c r="E116" s="88">
        <v>8.301036818181819</v>
      </c>
      <c r="F116" s="88">
        <v>286.94444444444446</v>
      </c>
      <c r="G116" s="88">
        <f t="shared" si="3"/>
        <v>2.4577978207523334</v>
      </c>
      <c r="H116" s="88">
        <v>40.214399777777786</v>
      </c>
      <c r="I116" s="88">
        <v>6.8397705790920504</v>
      </c>
      <c r="J116" s="88">
        <v>2.1643528557844367</v>
      </c>
      <c r="K116" s="88">
        <v>1.1972544573385084E-2</v>
      </c>
      <c r="L116" s="88">
        <v>0</v>
      </c>
      <c r="M116" s="88">
        <v>4.0214399777777787</v>
      </c>
      <c r="N116" s="88">
        <v>21.643528557844366</v>
      </c>
      <c r="O116" s="88">
        <v>1.1972544573385084</v>
      </c>
      <c r="P116" s="88">
        <v>0.83010368181818195</v>
      </c>
      <c r="Q116" s="2">
        <v>8.6699823611111018E-2</v>
      </c>
      <c r="R116" s="2">
        <f>LOG(Q116)</f>
        <v>-1.0619817860854861</v>
      </c>
      <c r="S116" s="2">
        <f>LOG(Q116+1)</f>
        <v>3.6109596567594118E-2</v>
      </c>
      <c r="T116" s="2"/>
    </row>
    <row r="117" spans="1:20">
      <c r="A117" s="211" t="s">
        <v>76</v>
      </c>
      <c r="B117" s="212" t="s">
        <v>369</v>
      </c>
      <c r="C117" s="92" t="s">
        <v>398</v>
      </c>
      <c r="D117" s="91" t="s">
        <v>371</v>
      </c>
      <c r="E117" s="88">
        <v>7.9374131999999982</v>
      </c>
      <c r="F117" s="88">
        <v>267</v>
      </c>
      <c r="G117" s="88">
        <f t="shared" si="3"/>
        <v>2.4265112613645754</v>
      </c>
      <c r="H117" s="88">
        <v>44.996398999999997</v>
      </c>
      <c r="I117" s="88">
        <v>6.5827999017171539</v>
      </c>
      <c r="J117" s="88">
        <v>1.9395192526186185</v>
      </c>
      <c r="K117" s="88">
        <v>3.4739495798319676E-2</v>
      </c>
      <c r="L117" s="88">
        <v>0</v>
      </c>
      <c r="M117" s="88">
        <v>4.4996399</v>
      </c>
      <c r="N117" s="88">
        <v>19.395192526186186</v>
      </c>
      <c r="O117" s="88">
        <v>3.4739495798319675</v>
      </c>
      <c r="P117" s="88">
        <v>0.79374131999999986</v>
      </c>
      <c r="Q117" s="2"/>
      <c r="R117" s="2"/>
      <c r="S117" s="2"/>
      <c r="T117" s="2"/>
    </row>
    <row r="118" spans="1:20">
      <c r="A118" s="211" t="s">
        <v>76</v>
      </c>
      <c r="B118" s="212" t="s">
        <v>369</v>
      </c>
      <c r="C118" s="92" t="s">
        <v>398</v>
      </c>
      <c r="D118" s="91" t="s">
        <v>1008</v>
      </c>
      <c r="E118" s="88">
        <v>7.1001487999999959</v>
      </c>
      <c r="F118" s="88">
        <v>579</v>
      </c>
      <c r="G118" s="88">
        <f t="shared" si="3"/>
        <v>2.762678563727436</v>
      </c>
      <c r="H118" s="88">
        <v>9.9130559999999992</v>
      </c>
      <c r="I118" s="88">
        <v>6.8449551336203198</v>
      </c>
      <c r="J118" s="88">
        <v>2.0530784434834195</v>
      </c>
      <c r="K118" s="88">
        <v>2.087034813925567E-2</v>
      </c>
      <c r="L118" s="88">
        <v>0</v>
      </c>
      <c r="M118" s="88">
        <v>0.9913055999999999</v>
      </c>
      <c r="N118" s="88">
        <v>20.530784434834196</v>
      </c>
      <c r="O118" s="88">
        <v>2.087034813925567</v>
      </c>
      <c r="P118" s="88">
        <v>0.71001487999999957</v>
      </c>
      <c r="Q118" s="2"/>
      <c r="R118" s="2"/>
      <c r="S118" s="2"/>
      <c r="T118" s="2"/>
    </row>
    <row r="119" spans="1:20">
      <c r="A119" s="211" t="s">
        <v>76</v>
      </c>
      <c r="B119" s="212" t="s">
        <v>369</v>
      </c>
      <c r="C119" s="92" t="s">
        <v>398</v>
      </c>
      <c r="D119" s="91" t="s">
        <v>399</v>
      </c>
      <c r="E119" s="88">
        <v>5.3781636333333322</v>
      </c>
      <c r="F119" s="88">
        <v>383</v>
      </c>
      <c r="G119" s="88">
        <f t="shared" si="3"/>
        <v>2.5831987739686229</v>
      </c>
      <c r="H119" s="88">
        <v>42</v>
      </c>
      <c r="I119" s="88">
        <v>6.3939463444866496</v>
      </c>
      <c r="J119" s="88">
        <v>1.7403626894942439</v>
      </c>
      <c r="K119" s="88">
        <v>2.6780712284914233E-2</v>
      </c>
      <c r="L119" s="88">
        <v>0</v>
      </c>
      <c r="M119" s="88">
        <v>4.2</v>
      </c>
      <c r="N119" s="88">
        <v>17.403626894942438</v>
      </c>
      <c r="O119" s="88">
        <v>2.6780712284914232</v>
      </c>
      <c r="P119" s="88">
        <v>0.53781636333333327</v>
      </c>
      <c r="Q119" s="2">
        <v>8.0287407407407391E-2</v>
      </c>
      <c r="R119" s="2">
        <f>LOG(Q119)</f>
        <v>-1.0953525658338319</v>
      </c>
      <c r="S119" s="2">
        <f>LOG(Q119+1)</f>
        <v>3.3539313677404897E-2</v>
      </c>
      <c r="T119" s="2"/>
    </row>
    <row r="120" spans="1:20">
      <c r="A120" s="211" t="s">
        <v>76</v>
      </c>
      <c r="B120" s="212" t="s">
        <v>369</v>
      </c>
      <c r="C120" s="92" t="s">
        <v>398</v>
      </c>
      <c r="D120" s="91" t="s">
        <v>400</v>
      </c>
      <c r="E120" s="88">
        <v>8.0976478760869526</v>
      </c>
      <c r="F120" s="88">
        <v>464.0344827586207</v>
      </c>
      <c r="G120" s="88">
        <f t="shared" si="3"/>
        <v>2.6665502545103745</v>
      </c>
      <c r="H120" s="88">
        <v>38.591051870689626</v>
      </c>
      <c r="I120" s="88">
        <v>6.77900502976909</v>
      </c>
      <c r="J120" s="88">
        <v>2.0530784434834177</v>
      </c>
      <c r="K120" s="88">
        <v>1.7391929185467104E-2</v>
      </c>
      <c r="L120" s="88">
        <v>0</v>
      </c>
      <c r="M120" s="88">
        <v>3.8591051870689626</v>
      </c>
      <c r="N120" s="88">
        <v>20.530784434834178</v>
      </c>
      <c r="O120" s="88">
        <v>1.7391929185467103</v>
      </c>
      <c r="P120" s="88">
        <v>0.8097647876086953</v>
      </c>
      <c r="Q120" s="2">
        <v>0.18075069791666679</v>
      </c>
      <c r="R120" s="2">
        <f>LOG(Q120)</f>
        <v>-0.74292001712736222</v>
      </c>
      <c r="S120" s="2">
        <f>LOG(Q120+1)</f>
        <v>7.215821095106037E-2</v>
      </c>
      <c r="T120" s="2"/>
    </row>
    <row r="121" spans="1:20">
      <c r="A121" s="211" t="s">
        <v>76</v>
      </c>
      <c r="B121" s="212" t="s">
        <v>369</v>
      </c>
      <c r="C121" s="92" t="s">
        <v>398</v>
      </c>
      <c r="D121" s="91" t="s">
        <v>1018</v>
      </c>
      <c r="E121" s="88">
        <v>5.710648599999999</v>
      </c>
      <c r="F121" s="88">
        <v>340</v>
      </c>
      <c r="G121" s="88">
        <f t="shared" si="3"/>
        <v>2.5314789170422549</v>
      </c>
      <c r="H121" s="88">
        <v>35.254964000000001</v>
      </c>
      <c r="I121" s="88">
        <v>6.3021070122990519</v>
      </c>
      <c r="J121" s="88">
        <v>2.0530784434834195</v>
      </c>
      <c r="K121" s="88">
        <v>3.0460984393757294E-2</v>
      </c>
      <c r="L121" s="88">
        <v>0</v>
      </c>
      <c r="M121" s="88">
        <v>3.5254964000000002</v>
      </c>
      <c r="N121" s="88">
        <v>20.530784434834196</v>
      </c>
      <c r="O121" s="88">
        <v>3.0460984393757293</v>
      </c>
      <c r="P121" s="88">
        <v>0.5710648599999999</v>
      </c>
      <c r="Q121" s="2"/>
      <c r="R121" s="2"/>
      <c r="S121" s="2"/>
      <c r="T121" s="2"/>
    </row>
    <row r="122" spans="1:20">
      <c r="A122" s="211" t="s">
        <v>76</v>
      </c>
      <c r="B122" s="212" t="s">
        <v>369</v>
      </c>
      <c r="C122" s="92" t="s">
        <v>398</v>
      </c>
      <c r="D122" s="91" t="s">
        <v>486</v>
      </c>
      <c r="E122" s="88">
        <v>8.4192868374999996</v>
      </c>
      <c r="F122" s="88">
        <v>745.70175438596493</v>
      </c>
      <c r="G122" s="88">
        <f t="shared" si="3"/>
        <v>2.8725651648410171</v>
      </c>
      <c r="H122" s="88">
        <v>38.785098666666663</v>
      </c>
      <c r="I122" s="88">
        <v>6.9588750399961636</v>
      </c>
      <c r="J122" s="88">
        <v>1.7403626894942441</v>
      </c>
      <c r="K122" s="88">
        <v>1.2002288634752294E-2</v>
      </c>
      <c r="L122" s="88">
        <v>0</v>
      </c>
      <c r="M122" s="88">
        <v>3.8785098666666662</v>
      </c>
      <c r="N122" s="88">
        <v>17.403626894942441</v>
      </c>
      <c r="O122" s="88">
        <v>1.2002288634752294</v>
      </c>
      <c r="P122" s="88">
        <v>0.84192868374999996</v>
      </c>
      <c r="Q122" s="2">
        <v>0.77957975555555548</v>
      </c>
      <c r="R122" s="2">
        <f>LOG(Q122)</f>
        <v>-0.10813944734388288</v>
      </c>
      <c r="S122" s="2">
        <f>LOG(Q122+1)</f>
        <v>0.25031745658346904</v>
      </c>
      <c r="T122" s="2"/>
    </row>
    <row r="123" spans="1:20">
      <c r="A123" s="211" t="s">
        <v>76</v>
      </c>
      <c r="B123" s="212" t="s">
        <v>369</v>
      </c>
      <c r="C123" s="92" t="s">
        <v>398</v>
      </c>
      <c r="D123" s="91" t="s">
        <v>589</v>
      </c>
      <c r="E123" s="88">
        <v>9.2657973999999932</v>
      </c>
      <c r="F123" s="88">
        <v>32</v>
      </c>
      <c r="G123" s="88">
        <f t="shared" si="3"/>
        <v>1.505149978319906</v>
      </c>
      <c r="H123" s="88">
        <v>39.855848999999999</v>
      </c>
      <c r="I123" s="88">
        <v>5.2215472446115729</v>
      </c>
      <c r="J123" s="88">
        <v>1.7403626894942439</v>
      </c>
      <c r="K123" s="88">
        <v>2.2967987194878095E-2</v>
      </c>
      <c r="L123" s="88">
        <v>0</v>
      </c>
      <c r="M123" s="88">
        <v>3.9855849000000001</v>
      </c>
      <c r="N123" s="88">
        <v>17.403626894942438</v>
      </c>
      <c r="O123" s="88">
        <v>2.2967987194878097</v>
      </c>
      <c r="P123" s="88">
        <v>0.92657973999999932</v>
      </c>
      <c r="Q123" s="2">
        <v>0.16499999999999987</v>
      </c>
      <c r="R123" s="2">
        <f>LOG(Q123)</f>
        <v>-0.78251605578609407</v>
      </c>
      <c r="S123" s="2">
        <f>LOG(Q123+1)</f>
        <v>6.6325925362037713E-2</v>
      </c>
      <c r="T123" s="2"/>
    </row>
    <row r="124" spans="1:20">
      <c r="A124" s="211" t="s">
        <v>76</v>
      </c>
      <c r="B124" s="212" t="s">
        <v>369</v>
      </c>
      <c r="C124" s="92" t="s">
        <v>398</v>
      </c>
      <c r="D124" s="91" t="s">
        <v>1020</v>
      </c>
      <c r="E124" s="88">
        <v>14.794227399999997</v>
      </c>
      <c r="F124" s="88">
        <v>1555</v>
      </c>
      <c r="G124" s="88">
        <f t="shared" si="3"/>
        <v>3.1917303933628562</v>
      </c>
      <c r="H124" s="88">
        <v>10.01571</v>
      </c>
      <c r="I124" s="88">
        <v>5.1966817842559907</v>
      </c>
      <c r="J124" s="88">
        <v>1.7403626894942439</v>
      </c>
      <c r="K124" s="88">
        <v>2.0751100440175817E-2</v>
      </c>
      <c r="L124" s="88">
        <v>0</v>
      </c>
      <c r="M124" s="88">
        <v>1.001571</v>
      </c>
      <c r="N124" s="88">
        <v>17.403626894942438</v>
      </c>
      <c r="O124" s="88">
        <v>2.0751100440175816</v>
      </c>
      <c r="P124" s="88">
        <v>1.4794227399999997</v>
      </c>
      <c r="Q124" s="2"/>
      <c r="R124" s="2"/>
      <c r="S124" s="2"/>
      <c r="T124" s="2"/>
    </row>
    <row r="125" spans="1:20">
      <c r="A125" s="211" t="s">
        <v>76</v>
      </c>
      <c r="B125" s="212" t="s">
        <v>77</v>
      </c>
      <c r="C125" s="92" t="s">
        <v>766</v>
      </c>
      <c r="D125" s="91" t="s">
        <v>765</v>
      </c>
      <c r="E125" s="88">
        <v>8.4905474999999981</v>
      </c>
      <c r="F125" s="88">
        <v>309</v>
      </c>
      <c r="G125" s="88">
        <f t="shared" si="3"/>
        <v>2.4899584794248346</v>
      </c>
      <c r="H125" s="88">
        <v>26.739435</v>
      </c>
      <c r="I125" s="88">
        <v>6.0971059224844364</v>
      </c>
      <c r="J125" s="88">
        <v>1.8750612633917001</v>
      </c>
      <c r="K125" s="88">
        <v>1.8118047218887354E-2</v>
      </c>
      <c r="L125" s="88">
        <v>0</v>
      </c>
      <c r="M125" s="88">
        <v>2.6739435</v>
      </c>
      <c r="N125" s="88">
        <v>18.750612633917001</v>
      </c>
      <c r="O125" s="88">
        <v>1.8118047218887354</v>
      </c>
      <c r="P125" s="88">
        <v>0.84905474999999986</v>
      </c>
      <c r="Q125" s="2"/>
      <c r="R125" s="2"/>
      <c r="S125" s="2"/>
      <c r="T125" s="2"/>
    </row>
    <row r="126" spans="1:20">
      <c r="A126" s="211" t="s">
        <v>76</v>
      </c>
      <c r="B126" s="212" t="s">
        <v>77</v>
      </c>
      <c r="C126" s="92" t="s">
        <v>766</v>
      </c>
      <c r="D126" s="91" t="s">
        <v>768</v>
      </c>
      <c r="E126" s="88">
        <v>9.1758877000000023</v>
      </c>
      <c r="F126" s="88">
        <v>262.32093873818957</v>
      </c>
      <c r="G126" s="88">
        <f t="shared" si="3"/>
        <v>2.4188329578244918</v>
      </c>
      <c r="H126" s="88">
        <v>36.729145333333328</v>
      </c>
      <c r="I126" s="88">
        <v>5.2510222291583499</v>
      </c>
      <c r="J126" s="88">
        <v>2.0530784434834195</v>
      </c>
      <c r="K126" s="88">
        <v>1.4319727891156389E-2</v>
      </c>
      <c r="L126" s="88">
        <v>1</v>
      </c>
      <c r="M126" s="88">
        <v>3.6729145333333326</v>
      </c>
      <c r="N126" s="88">
        <v>20.530784434834196</v>
      </c>
      <c r="O126" s="88">
        <v>1.4319727891156389</v>
      </c>
      <c r="P126" s="88">
        <v>0.91758877000000028</v>
      </c>
      <c r="Q126" s="2">
        <v>8.5000000000000145E-2</v>
      </c>
      <c r="R126" s="2">
        <f>LOG(Q126)</f>
        <v>-1.0705810742857065</v>
      </c>
      <c r="S126" s="2">
        <f>LOG(Q126+1)</f>
        <v>3.5429738184548393E-2</v>
      </c>
      <c r="T126" s="2"/>
    </row>
    <row r="127" spans="1:20">
      <c r="A127" s="211" t="s">
        <v>76</v>
      </c>
      <c r="B127" s="212" t="s">
        <v>77</v>
      </c>
      <c r="C127" s="92" t="s">
        <v>766</v>
      </c>
      <c r="D127" s="91" t="s">
        <v>769</v>
      </c>
      <c r="E127" s="88">
        <v>7.2420898499999993</v>
      </c>
      <c r="F127" s="88">
        <v>159.5</v>
      </c>
      <c r="G127" s="88">
        <f t="shared" si="3"/>
        <v>2.2027606873931997</v>
      </c>
      <c r="H127" s="88">
        <v>19.555807000000001</v>
      </c>
      <c r="I127" s="88">
        <v>6.0601393185446213</v>
      </c>
      <c r="J127" s="88">
        <v>1.8750612633917001</v>
      </c>
      <c r="K127" s="88">
        <v>1.2295118047219084E-2</v>
      </c>
      <c r="L127" s="88">
        <v>0</v>
      </c>
      <c r="M127" s="88">
        <v>1.9555807000000001</v>
      </c>
      <c r="N127" s="88">
        <v>18.750612633917001</v>
      </c>
      <c r="O127" s="88">
        <v>1.2295118047219082</v>
      </c>
      <c r="P127" s="88">
        <v>0.72420898499999997</v>
      </c>
      <c r="Q127" s="2"/>
      <c r="R127" s="2"/>
      <c r="S127" s="2"/>
      <c r="T127" s="2"/>
    </row>
    <row r="128" spans="1:20">
      <c r="A128" s="211" t="s">
        <v>76</v>
      </c>
      <c r="B128" s="212" t="s">
        <v>77</v>
      </c>
      <c r="C128" s="92" t="s">
        <v>766</v>
      </c>
      <c r="D128" s="91" t="s">
        <v>544</v>
      </c>
      <c r="E128" s="88">
        <v>8.2665013333333306</v>
      </c>
      <c r="F128" s="88">
        <v>206.52341765721835</v>
      </c>
      <c r="G128" s="88">
        <f t="shared" si="3"/>
        <v>2.3149693033662255</v>
      </c>
      <c r="H128" s="88">
        <v>16.079305666666666</v>
      </c>
      <c r="I128" s="88">
        <v>5.9710298644780719</v>
      </c>
      <c r="J128" s="88">
        <v>1.5185139398778873</v>
      </c>
      <c r="K128" s="88">
        <v>7.1866079765242202E-3</v>
      </c>
      <c r="L128" s="88">
        <v>0</v>
      </c>
      <c r="M128" s="88">
        <v>1.6079305666666666</v>
      </c>
      <c r="N128" s="88">
        <v>15.185139398778873</v>
      </c>
      <c r="O128" s="88">
        <v>0.71866079765242197</v>
      </c>
      <c r="P128" s="88">
        <v>0.82665013333333304</v>
      </c>
      <c r="Q128" s="2">
        <v>0.28999999999999987</v>
      </c>
      <c r="R128" s="2">
        <f>LOG(Q128)</f>
        <v>-0.53760200210104414</v>
      </c>
      <c r="S128" s="2">
        <f>LOG(Q128+1)</f>
        <v>0.1105897102992489</v>
      </c>
      <c r="T128" s="2"/>
    </row>
    <row r="129" spans="1:20">
      <c r="A129" s="211" t="s">
        <v>76</v>
      </c>
      <c r="B129" s="212" t="s">
        <v>77</v>
      </c>
      <c r="C129" s="92" t="s">
        <v>766</v>
      </c>
      <c r="D129" s="91" t="s">
        <v>1021</v>
      </c>
      <c r="E129" s="88">
        <v>7.6157210999999982</v>
      </c>
      <c r="F129" s="88">
        <v>304.7851264858275</v>
      </c>
      <c r="G129" s="88">
        <f t="shared" si="3"/>
        <v>2.4839937696139525</v>
      </c>
      <c r="H129" s="88">
        <v>20.012194999999998</v>
      </c>
      <c r="I129" s="88">
        <v>5.9305833163397903</v>
      </c>
      <c r="J129" s="88">
        <v>1.5185139398778875</v>
      </c>
      <c r="K129" s="88">
        <v>1.1652661064425369E-2</v>
      </c>
      <c r="L129" s="88">
        <v>0</v>
      </c>
      <c r="M129" s="88">
        <v>2.0012194999999999</v>
      </c>
      <c r="N129" s="88">
        <v>15.185139398778876</v>
      </c>
      <c r="O129" s="88">
        <v>1.1652661064425369</v>
      </c>
      <c r="P129" s="88">
        <v>0.7615721099999998</v>
      </c>
      <c r="Q129" s="2"/>
      <c r="R129" s="2"/>
      <c r="S129" s="2"/>
      <c r="T129" s="2"/>
    </row>
    <row r="130" spans="1:20">
      <c r="A130" s="211" t="s">
        <v>76</v>
      </c>
      <c r="B130" s="212" t="s">
        <v>77</v>
      </c>
      <c r="C130" s="92" t="s">
        <v>766</v>
      </c>
      <c r="D130" s="91" t="s">
        <v>770</v>
      </c>
      <c r="E130" s="88">
        <v>8.5760599736842078</v>
      </c>
      <c r="F130" s="88">
        <v>83.586342418068952</v>
      </c>
      <c r="G130" s="88">
        <f t="shared" si="3"/>
        <v>1.9221353217329915</v>
      </c>
      <c r="H130" s="88">
        <v>25.395001105263159</v>
      </c>
      <c r="I130" s="88">
        <v>6.6136836084285351</v>
      </c>
      <c r="J130" s="88">
        <v>2.1643528557844367</v>
      </c>
      <c r="K130" s="88">
        <v>2.0917840820538643E-3</v>
      </c>
      <c r="L130" s="88">
        <v>0</v>
      </c>
      <c r="M130" s="88">
        <v>2.539500110526316</v>
      </c>
      <c r="N130" s="88">
        <v>21.643528557844366</v>
      </c>
      <c r="O130" s="88">
        <v>0.20917840820538644</v>
      </c>
      <c r="P130" s="88">
        <v>0.8576059973684208</v>
      </c>
      <c r="Q130" s="2">
        <v>0.19000000000000022</v>
      </c>
      <c r="R130" s="2">
        <f>LOG(Q130)</f>
        <v>-0.72124639904717047</v>
      </c>
      <c r="S130" s="2">
        <f>LOG(Q130+1)</f>
        <v>7.5546961392530823E-2</v>
      </c>
      <c r="T130" s="2"/>
    </row>
    <row r="131" spans="1:20">
      <c r="A131" s="211" t="s">
        <v>76</v>
      </c>
      <c r="B131" s="212" t="s">
        <v>77</v>
      </c>
      <c r="C131" s="92" t="s">
        <v>766</v>
      </c>
      <c r="D131" s="91" t="s">
        <v>1024</v>
      </c>
      <c r="E131" s="88">
        <v>8.4114097666666652</v>
      </c>
      <c r="F131" s="88">
        <v>589.25124453926639</v>
      </c>
      <c r="G131" s="88">
        <f t="shared" si="3"/>
        <v>2.7703005084572272</v>
      </c>
      <c r="H131" s="88">
        <v>17.151321333333335</v>
      </c>
      <c r="I131" s="88">
        <v>5.3287586810187744</v>
      </c>
      <c r="J131" s="88">
        <v>1.8750612633917001</v>
      </c>
      <c r="K131" s="88">
        <v>3.2058156595971485E-3</v>
      </c>
      <c r="L131" s="88">
        <v>0</v>
      </c>
      <c r="M131" s="88">
        <v>1.7151321333333336</v>
      </c>
      <c r="N131" s="88">
        <v>18.750612633917001</v>
      </c>
      <c r="O131" s="88">
        <v>0.32058156595971488</v>
      </c>
      <c r="P131" s="88">
        <v>0.84114097666666654</v>
      </c>
      <c r="Q131" s="2">
        <v>6.4999999999999863E-2</v>
      </c>
      <c r="R131" s="2">
        <f>LOG(Q131)</f>
        <v>-1.1870866433571454</v>
      </c>
      <c r="S131" s="2">
        <f>LOG(Q131+1)</f>
        <v>2.7349607774756507E-2</v>
      </c>
      <c r="T131" s="2"/>
    </row>
    <row r="132" spans="1:20">
      <c r="A132" s="211" t="s">
        <v>76</v>
      </c>
      <c r="B132" s="212" t="s">
        <v>77</v>
      </c>
      <c r="C132" s="92" t="s">
        <v>766</v>
      </c>
      <c r="D132" s="91" t="s">
        <v>1026</v>
      </c>
      <c r="E132" s="88">
        <v>5.2465680999999993</v>
      </c>
      <c r="F132" s="88">
        <v>1371.5330691862237</v>
      </c>
      <c r="G132" s="88">
        <f t="shared" ref="G132:G195" si="4">LOG(F132)</f>
        <v>3.137206283389296</v>
      </c>
      <c r="H132" s="88">
        <v>30.631667</v>
      </c>
      <c r="I132" s="88">
        <v>4.8022604758937684</v>
      </c>
      <c r="J132" s="88">
        <v>1.8750612633917001</v>
      </c>
      <c r="K132" s="88">
        <v>2.2547418967587437E-2</v>
      </c>
      <c r="L132" s="88">
        <v>0</v>
      </c>
      <c r="M132" s="88">
        <v>3.0631667</v>
      </c>
      <c r="N132" s="88">
        <v>18.750612633917001</v>
      </c>
      <c r="O132" s="88">
        <v>2.2547418967587438</v>
      </c>
      <c r="P132" s="88">
        <v>0.52465680999999997</v>
      </c>
      <c r="Q132" s="2">
        <v>5.3333333333333378E-2</v>
      </c>
      <c r="R132" s="2">
        <f>LOG(Q132)</f>
        <v>-1.2730012720637374</v>
      </c>
      <c r="S132" s="2">
        <f>LOG(Q132+1)</f>
        <v>2.2565827898741432E-2</v>
      </c>
      <c r="T132" s="2"/>
    </row>
    <row r="133" spans="1:20">
      <c r="A133" s="211" t="s">
        <v>76</v>
      </c>
      <c r="B133" s="212" t="s">
        <v>77</v>
      </c>
      <c r="C133" s="92" t="s">
        <v>766</v>
      </c>
      <c r="D133" s="91" t="s">
        <v>1254</v>
      </c>
      <c r="E133" s="88">
        <v>3.4936322000000004</v>
      </c>
      <c r="F133" s="88">
        <v>10</v>
      </c>
      <c r="G133" s="88">
        <f t="shared" si="4"/>
        <v>1</v>
      </c>
      <c r="H133" s="88">
        <v>12.372178999999999</v>
      </c>
      <c r="I133" s="88">
        <v>5.8088319143835454</v>
      </c>
      <c r="J133" s="88">
        <v>1.5185139398778875</v>
      </c>
      <c r="K133" s="88">
        <v>6.4721888755508118E-3</v>
      </c>
      <c r="L133" s="88">
        <v>0</v>
      </c>
      <c r="M133" s="88">
        <v>1.2372178999999999</v>
      </c>
      <c r="N133" s="88">
        <v>15.185139398778876</v>
      </c>
      <c r="O133" s="88">
        <v>0.64721888755508117</v>
      </c>
      <c r="P133" s="88">
        <v>0.34936322000000003</v>
      </c>
      <c r="Q133" s="2"/>
      <c r="R133" s="2"/>
      <c r="S133" s="2"/>
      <c r="T133" s="2"/>
    </row>
    <row r="134" spans="1:20">
      <c r="A134" s="211" t="s">
        <v>76</v>
      </c>
      <c r="B134" s="212" t="s">
        <v>77</v>
      </c>
      <c r="C134" s="92" t="s">
        <v>766</v>
      </c>
      <c r="D134" s="91" t="s">
        <v>1255</v>
      </c>
      <c r="E134" s="88">
        <v>4.9936322000000004</v>
      </c>
      <c r="F134" s="88">
        <v>10</v>
      </c>
      <c r="G134" s="88">
        <f t="shared" si="4"/>
        <v>1</v>
      </c>
      <c r="H134" s="88">
        <v>12.372178999999999</v>
      </c>
      <c r="I134" s="88">
        <v>5.4916515936938097</v>
      </c>
      <c r="J134" s="88">
        <v>1.8750612633917001</v>
      </c>
      <c r="K134" s="88">
        <v>6.4721888755508118E-3</v>
      </c>
      <c r="L134" s="88">
        <v>0</v>
      </c>
      <c r="M134" s="88">
        <v>1.2372178999999999</v>
      </c>
      <c r="N134" s="88">
        <v>18.750612633917001</v>
      </c>
      <c r="O134" s="88">
        <v>0.64721888755508117</v>
      </c>
      <c r="P134" s="88">
        <v>0.49936322000000005</v>
      </c>
      <c r="Q134" s="2"/>
      <c r="R134" s="2"/>
      <c r="S134" s="2"/>
      <c r="T134" s="2"/>
    </row>
    <row r="135" spans="1:20">
      <c r="A135" s="211" t="s">
        <v>76</v>
      </c>
      <c r="B135" s="212" t="s">
        <v>77</v>
      </c>
      <c r="C135" s="92" t="s">
        <v>766</v>
      </c>
      <c r="D135" s="91" t="s">
        <v>787</v>
      </c>
      <c r="E135" s="88">
        <v>4.8094028999999985</v>
      </c>
      <c r="F135" s="88">
        <v>790</v>
      </c>
      <c r="G135" s="88">
        <f t="shared" si="4"/>
        <v>2.8976270912904414</v>
      </c>
      <c r="H135" s="88">
        <v>17.266815000000001</v>
      </c>
      <c r="I135" s="88">
        <v>5.6181108817371745</v>
      </c>
      <c r="J135" s="88">
        <v>1.8750612633917001</v>
      </c>
      <c r="K135" s="88">
        <v>2.5786314525810738E-3</v>
      </c>
      <c r="L135" s="88">
        <v>0</v>
      </c>
      <c r="M135" s="88">
        <v>1.7266815000000002</v>
      </c>
      <c r="N135" s="88">
        <v>18.750612633917001</v>
      </c>
      <c r="O135" s="88">
        <v>0.25786314525810738</v>
      </c>
      <c r="P135" s="88">
        <v>0.48094028999999983</v>
      </c>
      <c r="Q135" s="2"/>
      <c r="R135" s="2"/>
      <c r="S135" s="2"/>
      <c r="T135" s="2"/>
    </row>
    <row r="136" spans="1:20">
      <c r="A136" s="211" t="s">
        <v>76</v>
      </c>
      <c r="B136" s="212" t="s">
        <v>77</v>
      </c>
      <c r="C136" s="92" t="s">
        <v>766</v>
      </c>
      <c r="D136" s="91" t="s">
        <v>1029</v>
      </c>
      <c r="E136" s="88">
        <v>6.9833839888888853</v>
      </c>
      <c r="F136" s="88">
        <v>474.11019675573175</v>
      </c>
      <c r="G136" s="88">
        <f t="shared" si="4"/>
        <v>2.6758792958528654</v>
      </c>
      <c r="H136" s="88">
        <v>35.447444777777775</v>
      </c>
      <c r="I136" s="88">
        <v>5.6815234370838521</v>
      </c>
      <c r="J136" s="88">
        <v>1.5185139398778877</v>
      </c>
      <c r="K136" s="88">
        <v>1.7457427415410585E-2</v>
      </c>
      <c r="L136" s="88">
        <v>0</v>
      </c>
      <c r="M136" s="88">
        <v>3.5447444777777775</v>
      </c>
      <c r="N136" s="88">
        <v>15.185139398778878</v>
      </c>
      <c r="O136" s="88">
        <v>1.7457427415410585</v>
      </c>
      <c r="P136" s="88">
        <v>0.69833839888888849</v>
      </c>
      <c r="Q136" s="2">
        <v>0.10944444444444441</v>
      </c>
      <c r="R136" s="2">
        <f>LOG(Q136)</f>
        <v>-0.96080627894171322</v>
      </c>
      <c r="S136" s="2">
        <f>LOG(Q136+1)</f>
        <v>4.5105559767396504E-2</v>
      </c>
      <c r="T136" s="2"/>
    </row>
    <row r="137" spans="1:20">
      <c r="A137" s="211" t="s">
        <v>76</v>
      </c>
      <c r="B137" s="212" t="s">
        <v>77</v>
      </c>
      <c r="C137" s="92" t="s">
        <v>766</v>
      </c>
      <c r="D137" s="91" t="s">
        <v>790</v>
      </c>
      <c r="E137" s="88">
        <v>9.1386849777777766</v>
      </c>
      <c r="F137" s="88">
        <v>220.79880795150532</v>
      </c>
      <c r="G137" s="88">
        <f t="shared" si="4"/>
        <v>2.3439967243946573</v>
      </c>
      <c r="H137" s="88">
        <v>25.529080888888888</v>
      </c>
      <c r="I137" s="88">
        <v>5.7605468728813261</v>
      </c>
      <c r="J137" s="88">
        <v>1.5185139398778877</v>
      </c>
      <c r="K137" s="88">
        <v>6.5464852607709217E-3</v>
      </c>
      <c r="L137" s="88">
        <v>0</v>
      </c>
      <c r="M137" s="88">
        <v>2.5529080888888886</v>
      </c>
      <c r="N137" s="88">
        <v>15.185139398778878</v>
      </c>
      <c r="O137" s="88">
        <v>0.65464852607709212</v>
      </c>
      <c r="P137" s="88">
        <v>0.91386849777777768</v>
      </c>
      <c r="Q137" s="2">
        <v>7.7500000000000027E-2</v>
      </c>
      <c r="R137" s="2">
        <f>LOG(Q137)</f>
        <v>-1.1106982974936896</v>
      </c>
      <c r="S137" s="2">
        <f>LOG(Q137+1)</f>
        <v>3.2417278832769257E-2</v>
      </c>
      <c r="T137" s="2"/>
    </row>
    <row r="138" spans="1:20">
      <c r="A138" s="211" t="s">
        <v>76</v>
      </c>
      <c r="B138" s="212" t="s">
        <v>77</v>
      </c>
      <c r="C138" s="92" t="s">
        <v>766</v>
      </c>
      <c r="D138" s="91" t="s">
        <v>791</v>
      </c>
      <c r="E138" s="88">
        <v>8.2106972500000008</v>
      </c>
      <c r="F138" s="88">
        <v>174.89256324291375</v>
      </c>
      <c r="G138" s="88">
        <f t="shared" si="4"/>
        <v>2.2427713428621403</v>
      </c>
      <c r="H138" s="88">
        <v>30.141342000000002</v>
      </c>
      <c r="I138" s="88">
        <v>4.7677048828739661</v>
      </c>
      <c r="J138" s="88">
        <v>1.5185139398778875</v>
      </c>
      <c r="K138" s="88">
        <v>7.7200880352142308E-3</v>
      </c>
      <c r="L138" s="88">
        <v>1</v>
      </c>
      <c r="M138" s="88">
        <v>3.0141342</v>
      </c>
      <c r="N138" s="88">
        <v>15.185139398778876</v>
      </c>
      <c r="O138" s="88">
        <v>0.77200880352142309</v>
      </c>
      <c r="P138" s="88">
        <v>0.82106972500000008</v>
      </c>
      <c r="Q138" s="2"/>
      <c r="R138" s="2"/>
      <c r="S138" s="2"/>
      <c r="T138" s="2"/>
    </row>
    <row r="139" spans="1:20">
      <c r="A139" s="211" t="s">
        <v>76</v>
      </c>
      <c r="B139" s="212" t="s">
        <v>77</v>
      </c>
      <c r="C139" s="92" t="s">
        <v>766</v>
      </c>
      <c r="D139" s="91" t="s">
        <v>793</v>
      </c>
      <c r="E139" s="88">
        <v>8.8730182241379296</v>
      </c>
      <c r="F139" s="88">
        <v>51.667426877844221</v>
      </c>
      <c r="G139" s="88">
        <f t="shared" si="4"/>
        <v>1.7132168335104472</v>
      </c>
      <c r="H139" s="88">
        <v>26.409100137931016</v>
      </c>
      <c r="I139" s="88">
        <v>5.5035959556748599</v>
      </c>
      <c r="J139" s="88">
        <v>1.5185139398778869</v>
      </c>
      <c r="K139" s="88">
        <v>-1.254598391080595E-3</v>
      </c>
      <c r="L139" s="88">
        <v>0</v>
      </c>
      <c r="M139" s="88">
        <v>2.6409100137931016</v>
      </c>
      <c r="N139" s="88">
        <v>15.185139398778869</v>
      </c>
      <c r="O139" s="88">
        <v>-0.1254598391080595</v>
      </c>
      <c r="P139" s="88">
        <v>0.88730182241379296</v>
      </c>
      <c r="Q139" s="2">
        <v>8.5295780769230764E-2</v>
      </c>
      <c r="R139" s="2">
        <f>LOG(Q139)</f>
        <v>-1.0690724510594474</v>
      </c>
      <c r="S139" s="2">
        <f>LOG(Q139+1)</f>
        <v>3.5548114636148639E-2</v>
      </c>
      <c r="T139" s="2"/>
    </row>
    <row r="140" spans="1:20">
      <c r="A140" s="211" t="s">
        <v>76</v>
      </c>
      <c r="B140" s="212" t="s">
        <v>77</v>
      </c>
      <c r="C140" s="92" t="s">
        <v>766</v>
      </c>
      <c r="D140" s="91" t="s">
        <v>1256</v>
      </c>
      <c r="E140" s="88">
        <v>2.1936321999999961</v>
      </c>
      <c r="F140" s="88">
        <v>10</v>
      </c>
      <c r="G140" s="88">
        <f t="shared" si="4"/>
        <v>1</v>
      </c>
      <c r="H140" s="88">
        <v>12.372178999999999</v>
      </c>
      <c r="I140" s="88">
        <v>6.2445076934626869</v>
      </c>
      <c r="J140" s="88">
        <v>1.5185139398778875</v>
      </c>
      <c r="K140" s="88">
        <v>6.4721888755508118E-3</v>
      </c>
      <c r="L140" s="88">
        <v>0</v>
      </c>
      <c r="M140" s="88">
        <v>1.2372178999999999</v>
      </c>
      <c r="N140" s="88">
        <v>15.185139398778876</v>
      </c>
      <c r="O140" s="88">
        <v>0.64721888755508117</v>
      </c>
      <c r="P140" s="88">
        <v>0.21936321999999961</v>
      </c>
      <c r="Q140" s="2"/>
      <c r="R140" s="2"/>
      <c r="S140" s="2"/>
      <c r="T140" s="2"/>
    </row>
    <row r="141" spans="1:20">
      <c r="A141" s="211" t="s">
        <v>76</v>
      </c>
      <c r="B141" s="212" t="s">
        <v>77</v>
      </c>
      <c r="C141" s="92" t="s">
        <v>766</v>
      </c>
      <c r="D141" s="91" t="s">
        <v>801</v>
      </c>
      <c r="E141" s="88">
        <v>6.4897019250000003</v>
      </c>
      <c r="F141" s="88">
        <v>257.83884486437063</v>
      </c>
      <c r="G141" s="88">
        <f t="shared" si="4"/>
        <v>2.4113483468397052</v>
      </c>
      <c r="H141" s="88">
        <v>29.800178249999998</v>
      </c>
      <c r="I141" s="88">
        <v>5.8843789891296909</v>
      </c>
      <c r="J141" s="88">
        <v>1.7403626894942439</v>
      </c>
      <c r="K141" s="88">
        <v>1.2804121648659522E-2</v>
      </c>
      <c r="L141" s="88">
        <v>0</v>
      </c>
      <c r="M141" s="88">
        <v>2.980017825</v>
      </c>
      <c r="N141" s="88">
        <v>17.403626894942438</v>
      </c>
      <c r="O141" s="88">
        <v>1.2804121648659521</v>
      </c>
      <c r="P141" s="88">
        <v>0.64897019249999999</v>
      </c>
      <c r="Q141" s="2">
        <v>0.15624999999999986</v>
      </c>
      <c r="R141" s="2">
        <f>LOG(Q141)</f>
        <v>-0.80617997398388752</v>
      </c>
      <c r="S141" s="2">
        <f>LOG(Q141+1)</f>
        <v>6.3051745747088939E-2</v>
      </c>
      <c r="T141" s="2"/>
    </row>
    <row r="142" spans="1:20">
      <c r="A142" s="211" t="s">
        <v>76</v>
      </c>
      <c r="B142" s="212" t="s">
        <v>77</v>
      </c>
      <c r="C142" s="92" t="s">
        <v>766</v>
      </c>
      <c r="D142" s="91" t="s">
        <v>802</v>
      </c>
      <c r="E142" s="88">
        <v>5.8577613500000005</v>
      </c>
      <c r="F142" s="88">
        <v>37</v>
      </c>
      <c r="G142" s="88">
        <f t="shared" si="4"/>
        <v>1.568201724066995</v>
      </c>
      <c r="H142" s="88">
        <v>19.962508499999998</v>
      </c>
      <c r="I142" s="88">
        <v>6.0511787723427428</v>
      </c>
      <c r="J142" s="88">
        <v>1.7403626894942439</v>
      </c>
      <c r="K142" s="88">
        <v>3.5942376950782004E-3</v>
      </c>
      <c r="L142" s="88">
        <v>0</v>
      </c>
      <c r="M142" s="88">
        <v>1.9962508499999998</v>
      </c>
      <c r="N142" s="88">
        <v>17.403626894942438</v>
      </c>
      <c r="O142" s="88">
        <v>0.35942376950782007</v>
      </c>
      <c r="P142" s="88">
        <v>0.58577613500000003</v>
      </c>
      <c r="Q142" s="2"/>
      <c r="R142" s="2"/>
      <c r="S142" s="2"/>
      <c r="T142" s="2"/>
    </row>
    <row r="143" spans="1:20">
      <c r="A143" s="211" t="s">
        <v>76</v>
      </c>
      <c r="B143" s="212" t="s">
        <v>77</v>
      </c>
      <c r="C143" s="92" t="s">
        <v>766</v>
      </c>
      <c r="D143" s="91" t="s">
        <v>803</v>
      </c>
      <c r="E143" s="88">
        <v>6.9811942000000009</v>
      </c>
      <c r="F143" s="88">
        <v>14</v>
      </c>
      <c r="G143" s="88">
        <f t="shared" si="4"/>
        <v>1.146128035678238</v>
      </c>
      <c r="H143" s="88">
        <v>20.401418</v>
      </c>
      <c r="I143" s="88">
        <v>5.2167410604540922</v>
      </c>
      <c r="J143" s="88">
        <v>1.5185139398778875</v>
      </c>
      <c r="K143" s="88">
        <v>7.4945978391355705E-3</v>
      </c>
      <c r="L143" s="88">
        <v>0</v>
      </c>
      <c r="M143" s="88">
        <v>2.0401417999999998</v>
      </c>
      <c r="N143" s="88">
        <v>15.185139398778876</v>
      </c>
      <c r="O143" s="88">
        <v>0.74945978391355705</v>
      </c>
      <c r="P143" s="88">
        <v>0.69811942000000005</v>
      </c>
      <c r="Q143" s="2"/>
      <c r="R143" s="2"/>
      <c r="S143" s="2"/>
      <c r="T143" s="2"/>
    </row>
    <row r="144" spans="1:20">
      <c r="A144" s="211" t="s">
        <v>76</v>
      </c>
      <c r="B144" s="212" t="s">
        <v>77</v>
      </c>
      <c r="C144" s="92" t="s">
        <v>766</v>
      </c>
      <c r="D144" s="91" t="s">
        <v>804</v>
      </c>
      <c r="E144" s="88">
        <v>6.4497520000000037</v>
      </c>
      <c r="F144" s="88">
        <v>412</v>
      </c>
      <c r="G144" s="88">
        <f t="shared" si="4"/>
        <v>2.6148972160331345</v>
      </c>
      <c r="H144" s="88">
        <v>27.33427</v>
      </c>
      <c r="I144" s="88">
        <v>4.5638369186645447</v>
      </c>
      <c r="J144" s="88">
        <v>1.5185139398778875</v>
      </c>
      <c r="K144" s="88">
        <v>8.5146058423372327E-3</v>
      </c>
      <c r="L144" s="88">
        <v>1</v>
      </c>
      <c r="M144" s="88">
        <v>2.7334269999999998</v>
      </c>
      <c r="N144" s="88">
        <v>15.185139398778876</v>
      </c>
      <c r="O144" s="88">
        <v>0.85146058423372328</v>
      </c>
      <c r="P144" s="88">
        <v>0.64497520000000041</v>
      </c>
      <c r="Q144" s="2"/>
      <c r="R144" s="2"/>
      <c r="S144" s="2"/>
      <c r="T144" s="2"/>
    </row>
    <row r="145" spans="1:20">
      <c r="A145" s="211" t="s">
        <v>76</v>
      </c>
      <c r="B145" s="212" t="s">
        <v>77</v>
      </c>
      <c r="C145" s="92" t="s">
        <v>766</v>
      </c>
      <c r="D145" s="91" t="s">
        <v>755</v>
      </c>
      <c r="E145" s="88">
        <v>8.8203275714285692</v>
      </c>
      <c r="F145" s="88">
        <v>392.30130186789745</v>
      </c>
      <c r="G145" s="88">
        <f t="shared" si="4"/>
        <v>2.5936197493559083</v>
      </c>
      <c r="H145" s="88">
        <v>32.336108428571428</v>
      </c>
      <c r="I145" s="88">
        <v>6.0115670605696367</v>
      </c>
      <c r="J145" s="88">
        <v>1.7403626894942439</v>
      </c>
      <c r="K145" s="88">
        <v>1.0708969302006571E-2</v>
      </c>
      <c r="L145" s="88">
        <v>0</v>
      </c>
      <c r="M145" s="88">
        <v>3.2336108428571428</v>
      </c>
      <c r="N145" s="88">
        <v>17.403626894942438</v>
      </c>
      <c r="O145" s="88">
        <v>1.0708969302006572</v>
      </c>
      <c r="P145" s="88">
        <v>0.88203275714285689</v>
      </c>
      <c r="Q145" s="2">
        <v>0.21249999999999999</v>
      </c>
      <c r="R145" s="2">
        <f>LOG(Q145)</f>
        <v>-0.67264106561366965</v>
      </c>
      <c r="S145" s="2">
        <f>LOG(Q145+1)</f>
        <v>8.3681747274301235E-2</v>
      </c>
      <c r="T145" s="2"/>
    </row>
    <row r="146" spans="1:20">
      <c r="A146" s="211" t="s">
        <v>76</v>
      </c>
      <c r="B146" s="212" t="s">
        <v>77</v>
      </c>
      <c r="C146" s="92" t="s">
        <v>766</v>
      </c>
      <c r="D146" s="91" t="s">
        <v>1030</v>
      </c>
      <c r="E146" s="88">
        <v>6.5645283249999986</v>
      </c>
      <c r="F146" s="88">
        <v>304.7851264858275</v>
      </c>
      <c r="G146" s="88">
        <f t="shared" si="4"/>
        <v>2.4839937696139525</v>
      </c>
      <c r="H146" s="88">
        <v>36.436273249999999</v>
      </c>
      <c r="I146" s="88">
        <v>5.2448508517515</v>
      </c>
      <c r="J146" s="88">
        <v>1.5185139398778875</v>
      </c>
      <c r="K146" s="88">
        <v>1.6103241296518644E-2</v>
      </c>
      <c r="L146" s="88">
        <v>0</v>
      </c>
      <c r="M146" s="88">
        <v>3.6436273249999998</v>
      </c>
      <c r="N146" s="88">
        <v>15.185139398778876</v>
      </c>
      <c r="O146" s="88">
        <v>1.6103241296518644</v>
      </c>
      <c r="P146" s="88">
        <v>0.65645283249999986</v>
      </c>
      <c r="Q146" s="2">
        <v>0.11333333333333329</v>
      </c>
      <c r="R146" s="2">
        <f>LOG(Q146)</f>
        <v>-0.94564233767740746</v>
      </c>
      <c r="S146" s="2">
        <f>LOG(Q146+1)</f>
        <v>4.662521209190202E-2</v>
      </c>
      <c r="T146" s="2"/>
    </row>
    <row r="147" spans="1:20">
      <c r="A147" s="211" t="s">
        <v>76</v>
      </c>
      <c r="B147" s="212" t="s">
        <v>77</v>
      </c>
      <c r="C147" s="92" t="s">
        <v>766</v>
      </c>
      <c r="D147" s="91" t="s">
        <v>1032</v>
      </c>
      <c r="E147" s="88">
        <v>6.0710652399999985</v>
      </c>
      <c r="F147" s="88">
        <v>245.828101188662</v>
      </c>
      <c r="G147" s="88">
        <f t="shared" si="4"/>
        <v>2.3906315266122715</v>
      </c>
      <c r="H147" s="88">
        <v>17.6524614</v>
      </c>
      <c r="I147" s="88">
        <v>6.1148944173071831</v>
      </c>
      <c r="J147" s="88">
        <v>1.5185139398778875</v>
      </c>
      <c r="K147" s="88">
        <v>8.9730292116846789E-3</v>
      </c>
      <c r="L147" s="88">
        <v>0</v>
      </c>
      <c r="M147" s="88">
        <v>1.7652461399999999</v>
      </c>
      <c r="N147" s="88">
        <v>15.185139398778876</v>
      </c>
      <c r="O147" s="88">
        <v>0.89730292116846788</v>
      </c>
      <c r="P147" s="88">
        <v>0.60710652399999987</v>
      </c>
      <c r="Q147" s="2">
        <v>0.25499999999999989</v>
      </c>
      <c r="R147" s="2">
        <f>LOG(Q147)</f>
        <v>-0.59345981956604499</v>
      </c>
      <c r="S147" s="2">
        <f>LOG(Q147+1)</f>
        <v>9.864372581705691E-2</v>
      </c>
      <c r="T147" s="2"/>
    </row>
    <row r="148" spans="1:20">
      <c r="A148" s="211" t="s">
        <v>76</v>
      </c>
      <c r="B148" s="212" t="s">
        <v>77</v>
      </c>
      <c r="C148" s="92" t="s">
        <v>766</v>
      </c>
      <c r="D148" s="91" t="s">
        <v>807</v>
      </c>
      <c r="E148" s="88">
        <v>7.7297295333333311</v>
      </c>
      <c r="F148" s="88">
        <v>297.91056249788346</v>
      </c>
      <c r="G148" s="88">
        <f t="shared" si="4"/>
        <v>2.4740859015138827</v>
      </c>
      <c r="H148" s="88">
        <v>19.067016333333331</v>
      </c>
      <c r="I148" s="88">
        <v>6.6790851412059302</v>
      </c>
      <c r="J148" s="88">
        <v>1.5185139398778877</v>
      </c>
      <c r="K148" s="88">
        <v>9.6826730692276403E-3</v>
      </c>
      <c r="L148" s="88">
        <v>0</v>
      </c>
      <c r="M148" s="88">
        <v>1.9067016333333331</v>
      </c>
      <c r="N148" s="88">
        <v>15.185139398778878</v>
      </c>
      <c r="O148" s="88">
        <v>0.96826730692276408</v>
      </c>
      <c r="P148" s="88">
        <v>0.77297295333333316</v>
      </c>
      <c r="Q148" s="2">
        <v>0.16833333333333336</v>
      </c>
      <c r="R148" s="2">
        <f>LOG(Q148)</f>
        <v>-0.773829876601001</v>
      </c>
      <c r="S148" s="2">
        <f>LOG(Q148+1)</f>
        <v>6.7566767583015067E-2</v>
      </c>
      <c r="T148" s="2"/>
    </row>
    <row r="149" spans="1:20">
      <c r="A149" s="211" t="s">
        <v>76</v>
      </c>
      <c r="B149" s="212" t="s">
        <v>77</v>
      </c>
      <c r="C149" s="92" t="s">
        <v>766</v>
      </c>
      <c r="D149" s="91" t="s">
        <v>1257</v>
      </c>
      <c r="E149" s="88">
        <v>4.5936321999999947</v>
      </c>
      <c r="F149" s="88">
        <v>10</v>
      </c>
      <c r="G149" s="88">
        <f t="shared" si="4"/>
        <v>1</v>
      </c>
      <c r="H149" s="88">
        <v>12.372178999999999</v>
      </c>
      <c r="I149" s="88">
        <v>5.7587613007836351</v>
      </c>
      <c r="J149" s="88">
        <v>1.5185139398778875</v>
      </c>
      <c r="K149" s="88">
        <v>6.4721888755508118E-3</v>
      </c>
      <c r="L149" s="88">
        <v>0</v>
      </c>
      <c r="M149" s="88">
        <v>1.2372178999999999</v>
      </c>
      <c r="N149" s="88">
        <v>15.185139398778876</v>
      </c>
      <c r="O149" s="88">
        <v>0.64721888755508117</v>
      </c>
      <c r="P149" s="88">
        <v>0.45936321999999946</v>
      </c>
      <c r="Q149" s="2"/>
      <c r="R149" s="2"/>
      <c r="S149" s="2"/>
      <c r="T149" s="2"/>
    </row>
    <row r="150" spans="1:20">
      <c r="A150" s="211" t="s">
        <v>76</v>
      </c>
      <c r="B150" s="212" t="s">
        <v>77</v>
      </c>
      <c r="C150" s="92" t="s">
        <v>766</v>
      </c>
      <c r="D150" s="91" t="s">
        <v>1034</v>
      </c>
      <c r="E150" s="88">
        <v>11.282272033333333</v>
      </c>
      <c r="F150" s="88">
        <v>1315.6557959971551</v>
      </c>
      <c r="G150" s="88">
        <f t="shared" si="4"/>
        <v>3.1191422833115605</v>
      </c>
      <c r="H150" s="88">
        <v>37.064706833333332</v>
      </c>
      <c r="I150" s="88">
        <v>5.3732320851570625</v>
      </c>
      <c r="J150" s="88">
        <v>1.5185139398778877</v>
      </c>
      <c r="K150" s="88">
        <v>1.911511271175111E-2</v>
      </c>
      <c r="L150" s="88">
        <v>0</v>
      </c>
      <c r="M150" s="88">
        <v>3.7064706833333334</v>
      </c>
      <c r="N150" s="88">
        <v>15.185139398778878</v>
      </c>
      <c r="O150" s="88">
        <v>1.911511271175111</v>
      </c>
      <c r="P150" s="88">
        <v>1.1282272033333334</v>
      </c>
      <c r="Q150" s="2">
        <v>0.16250000000000001</v>
      </c>
      <c r="R150" s="2">
        <f>LOG(Q150)</f>
        <v>-0.78914663468510682</v>
      </c>
      <c r="S150" s="2">
        <f>LOG(Q150+1)</f>
        <v>6.5392961561991564E-2</v>
      </c>
      <c r="T150" s="2"/>
    </row>
    <row r="151" spans="1:20">
      <c r="A151" s="211" t="s">
        <v>76</v>
      </c>
      <c r="B151" s="212" t="s">
        <v>77</v>
      </c>
      <c r="C151" s="92" t="s">
        <v>766</v>
      </c>
      <c r="D151" s="91" t="s">
        <v>1259</v>
      </c>
      <c r="E151" s="88">
        <v>3.0936321999999947</v>
      </c>
      <c r="F151" s="88">
        <v>10</v>
      </c>
      <c r="G151" s="88">
        <f t="shared" si="4"/>
        <v>1</v>
      </c>
      <c r="H151" s="88">
        <v>12.372178999999999</v>
      </c>
      <c r="I151" s="88">
        <v>5.7913319799848919</v>
      </c>
      <c r="J151" s="88">
        <v>1.7403626894942439</v>
      </c>
      <c r="K151" s="88">
        <v>6.4721888755508118E-3</v>
      </c>
      <c r="L151" s="88">
        <v>0</v>
      </c>
      <c r="M151" s="88">
        <v>1.2372178999999999</v>
      </c>
      <c r="N151" s="88">
        <v>17.403626894942438</v>
      </c>
      <c r="O151" s="88">
        <v>0.64721888755508117</v>
      </c>
      <c r="P151" s="88">
        <v>0.30936321999999949</v>
      </c>
      <c r="Q151" s="2"/>
      <c r="R151" s="2"/>
      <c r="S151" s="2"/>
      <c r="T151" s="2"/>
    </row>
    <row r="152" spans="1:20">
      <c r="A152" s="211" t="s">
        <v>76</v>
      </c>
      <c r="B152" s="212" t="s">
        <v>389</v>
      </c>
      <c r="C152" s="92" t="s">
        <v>415</v>
      </c>
      <c r="D152" s="91" t="s">
        <v>593</v>
      </c>
      <c r="E152" s="88"/>
      <c r="F152" s="88">
        <v>312</v>
      </c>
      <c r="G152" s="88">
        <f t="shared" si="4"/>
        <v>2.4941545940184429</v>
      </c>
      <c r="H152" s="88">
        <v>27.087367</v>
      </c>
      <c r="I152" s="88">
        <v>4.1073456654720948</v>
      </c>
      <c r="J152" s="88">
        <v>1.5185139398778875</v>
      </c>
      <c r="K152" s="88">
        <v>2.8247298919569274E-3</v>
      </c>
      <c r="L152" s="88">
        <v>1</v>
      </c>
      <c r="M152" s="88">
        <v>2.7087367000000002</v>
      </c>
      <c r="N152" s="88">
        <v>15.185139398778876</v>
      </c>
      <c r="O152" s="88">
        <v>0.28247298919569275</v>
      </c>
      <c r="P152" s="88"/>
      <c r="Q152" s="2"/>
      <c r="R152" s="2"/>
      <c r="S152" s="2"/>
      <c r="T152" s="2"/>
    </row>
    <row r="153" spans="1:20">
      <c r="A153" s="211" t="s">
        <v>76</v>
      </c>
      <c r="B153" s="212" t="s">
        <v>389</v>
      </c>
      <c r="C153" s="92" t="s">
        <v>415</v>
      </c>
      <c r="D153" s="91" t="s">
        <v>4169</v>
      </c>
      <c r="E153" s="88">
        <v>6.823532049999999</v>
      </c>
      <c r="F153" s="88">
        <v>1694</v>
      </c>
      <c r="G153" s="88">
        <f t="shared" si="4"/>
        <v>3.228913405994688</v>
      </c>
      <c r="H153" s="88">
        <v>23.84545</v>
      </c>
      <c r="I153" s="88">
        <v>4.5360910721141261</v>
      </c>
      <c r="J153" s="88">
        <v>1.5185139398778875</v>
      </c>
      <c r="K153" s="88">
        <v>6.1640656262505408E-3</v>
      </c>
      <c r="L153" s="88">
        <v>0</v>
      </c>
      <c r="M153" s="88">
        <v>2.3845450000000001</v>
      </c>
      <c r="N153" s="88">
        <v>15.185139398778876</v>
      </c>
      <c r="O153" s="88">
        <v>0.61640656262505411</v>
      </c>
      <c r="P153" s="88">
        <v>0.68235320499999985</v>
      </c>
      <c r="Q153" s="2"/>
      <c r="R153" s="2"/>
      <c r="S153" s="2"/>
      <c r="T153" s="2"/>
    </row>
    <row r="154" spans="1:20">
      <c r="A154" s="211" t="s">
        <v>76</v>
      </c>
      <c r="B154" s="212" t="s">
        <v>721</v>
      </c>
      <c r="C154" s="92" t="s">
        <v>808</v>
      </c>
      <c r="D154" s="91" t="s">
        <v>809</v>
      </c>
      <c r="E154" s="88">
        <v>3.6687562000000007</v>
      </c>
      <c r="F154" s="88">
        <v>358.39256324291375</v>
      </c>
      <c r="G154" s="88">
        <f t="shared" si="4"/>
        <v>2.5543589893380934</v>
      </c>
      <c r="H154" s="88">
        <v>30.379645000000004</v>
      </c>
      <c r="I154" s="88">
        <v>5.3299873872788028</v>
      </c>
      <c r="J154" s="88">
        <v>2.0530784434834195</v>
      </c>
      <c r="K154" s="88">
        <v>7.7825130052022358E-3</v>
      </c>
      <c r="L154" s="88">
        <v>0</v>
      </c>
      <c r="M154" s="88">
        <v>3.0379645000000002</v>
      </c>
      <c r="N154" s="88">
        <v>20.530784434834196</v>
      </c>
      <c r="O154" s="88">
        <v>0.77825130052022362</v>
      </c>
      <c r="P154" s="88">
        <v>0.36687562000000007</v>
      </c>
      <c r="Q154" s="2"/>
      <c r="R154" s="2"/>
      <c r="S154" s="2"/>
      <c r="T154" s="2"/>
    </row>
    <row r="155" spans="1:20">
      <c r="A155" s="211" t="s">
        <v>348</v>
      </c>
      <c r="B155" s="212" t="s">
        <v>888</v>
      </c>
      <c r="C155" s="92" t="s">
        <v>889</v>
      </c>
      <c r="D155" s="91" t="s">
        <v>890</v>
      </c>
      <c r="E155" s="88">
        <v>7.4835343857142869</v>
      </c>
      <c r="F155" s="88">
        <v>400.28571428571428</v>
      </c>
      <c r="G155" s="88">
        <f t="shared" si="4"/>
        <v>2.6023700909354988</v>
      </c>
      <c r="H155" s="88">
        <v>42.564976142857141</v>
      </c>
      <c r="I155" s="88">
        <v>6.2745630786691242</v>
      </c>
      <c r="J155" s="88">
        <v>2.4232458739368075</v>
      </c>
      <c r="K155" s="88">
        <v>1.393403075515919E-2</v>
      </c>
      <c r="L155" s="88">
        <v>0</v>
      </c>
      <c r="M155" s="88">
        <v>4.2564976142857143</v>
      </c>
      <c r="N155" s="88">
        <v>24.232458739368074</v>
      </c>
      <c r="O155" s="88">
        <v>1.393403075515919</v>
      </c>
      <c r="P155" s="88">
        <v>0.74835343857142866</v>
      </c>
      <c r="Q155" s="2">
        <v>0.1710000000000001</v>
      </c>
      <c r="R155" s="2">
        <f>LOG(Q155)</f>
        <v>-0.76700388960784593</v>
      </c>
      <c r="S155" s="2">
        <f>LOG(Q155+1)</f>
        <v>6.855689507236315E-2</v>
      </c>
      <c r="T155" s="2"/>
    </row>
    <row r="156" spans="1:20">
      <c r="A156" s="211" t="s">
        <v>76</v>
      </c>
      <c r="B156" s="212" t="s">
        <v>721</v>
      </c>
      <c r="C156" s="92" t="s">
        <v>810</v>
      </c>
      <c r="D156" s="91" t="s">
        <v>811</v>
      </c>
      <c r="E156" s="88">
        <v>3.4840805000000028</v>
      </c>
      <c r="F156" s="88">
        <v>329.7851264858275</v>
      </c>
      <c r="G156" s="88">
        <f t="shared" si="4"/>
        <v>2.5182310647991222</v>
      </c>
      <c r="H156" s="88">
        <v>33.0174685</v>
      </c>
      <c r="I156" s="88">
        <v>5.4916739933576304</v>
      </c>
      <c r="J156" s="88">
        <v>1.7403626894942439</v>
      </c>
      <c r="K156" s="88">
        <v>2.2569627851140583E-2</v>
      </c>
      <c r="L156" s="88">
        <v>0</v>
      </c>
      <c r="M156" s="88">
        <v>3.3017468499999998</v>
      </c>
      <c r="N156" s="88">
        <v>17.403626894942438</v>
      </c>
      <c r="O156" s="88">
        <v>2.2569627851140583</v>
      </c>
      <c r="P156" s="88">
        <v>0.3484080500000003</v>
      </c>
      <c r="Q156" s="2"/>
      <c r="R156" s="2"/>
      <c r="S156" s="2"/>
      <c r="T156" s="2"/>
    </row>
    <row r="157" spans="1:20">
      <c r="A157" s="211" t="s">
        <v>76</v>
      </c>
      <c r="B157" s="212" t="s">
        <v>721</v>
      </c>
      <c r="C157" s="92" t="s">
        <v>810</v>
      </c>
      <c r="D157" s="91" t="s">
        <v>812</v>
      </c>
      <c r="E157" s="88">
        <v>-1.3596013000000085</v>
      </c>
      <c r="F157" s="88">
        <v>44</v>
      </c>
      <c r="G157" s="88">
        <f t="shared" si="4"/>
        <v>1.6434526764861874</v>
      </c>
      <c r="H157" s="88">
        <v>29.646376</v>
      </c>
      <c r="I157" s="88">
        <v>5.9945063177756888</v>
      </c>
      <c r="J157" s="88">
        <v>1.5185139398778875</v>
      </c>
      <c r="K157" s="88">
        <v>2.8795118047218921E-2</v>
      </c>
      <c r="L157" s="88">
        <v>0</v>
      </c>
      <c r="M157" s="88">
        <v>2.9646376000000001</v>
      </c>
      <c r="N157" s="88">
        <v>15.185139398778876</v>
      </c>
      <c r="O157" s="88">
        <v>2.8795118047218922</v>
      </c>
      <c r="P157" s="88">
        <v>-0.13596013000000085</v>
      </c>
      <c r="Q157" s="2"/>
      <c r="R157" s="2"/>
      <c r="S157" s="2"/>
      <c r="T157" s="2"/>
    </row>
    <row r="158" spans="1:20">
      <c r="A158" s="211" t="s">
        <v>348</v>
      </c>
      <c r="B158" s="212" t="s">
        <v>622</v>
      </c>
      <c r="C158" s="92" t="s">
        <v>683</v>
      </c>
      <c r="D158" s="91" t="s">
        <v>682</v>
      </c>
      <c r="E158" s="88">
        <v>11.314503318749999</v>
      </c>
      <c r="F158" s="88">
        <v>512.5625</v>
      </c>
      <c r="G158" s="88">
        <f t="shared" si="4"/>
        <v>2.7097468292403146</v>
      </c>
      <c r="H158" s="88">
        <v>40.085827609374988</v>
      </c>
      <c r="I158" s="88">
        <v>6.5362173117130542</v>
      </c>
      <c r="J158" s="88">
        <v>1.892094602690479</v>
      </c>
      <c r="K158" s="88">
        <v>2.0534038615446105E-2</v>
      </c>
      <c r="L158" s="88">
        <v>0</v>
      </c>
      <c r="M158" s="88">
        <v>4.0085827609374984</v>
      </c>
      <c r="N158" s="88">
        <v>18.92094602690479</v>
      </c>
      <c r="O158" s="88">
        <v>2.0534038615446106</v>
      </c>
      <c r="P158" s="88">
        <v>1.131450331875</v>
      </c>
      <c r="Q158" s="2"/>
      <c r="R158" s="2"/>
      <c r="S158" s="2"/>
      <c r="T158" s="2"/>
    </row>
    <row r="159" spans="1:20">
      <c r="A159" s="211" t="s">
        <v>76</v>
      </c>
      <c r="B159" s="212" t="s">
        <v>582</v>
      </c>
      <c r="C159" s="92" t="s">
        <v>594</v>
      </c>
      <c r="D159" s="91" t="s">
        <v>595</v>
      </c>
      <c r="E159" s="88">
        <v>10.325074399999998</v>
      </c>
      <c r="F159" s="88">
        <v>1100</v>
      </c>
      <c r="G159" s="88">
        <f t="shared" si="4"/>
        <v>3.0413926851582249</v>
      </c>
      <c r="H159" s="88">
        <v>14.067500000000001</v>
      </c>
      <c r="I159" s="88">
        <v>5.7074194242045806</v>
      </c>
      <c r="J159" s="88">
        <v>1.5185139398778875</v>
      </c>
      <c r="K159" s="88">
        <v>-6.6590636254504464E-3</v>
      </c>
      <c r="L159" s="88">
        <v>0</v>
      </c>
      <c r="M159" s="88">
        <v>1.4067500000000002</v>
      </c>
      <c r="N159" s="88">
        <v>15.185139398778876</v>
      </c>
      <c r="O159" s="88">
        <v>-0.66590636254504465</v>
      </c>
      <c r="P159" s="88">
        <v>1.0325074399999998</v>
      </c>
      <c r="Q159" s="2"/>
      <c r="R159" s="2"/>
      <c r="S159" s="2"/>
      <c r="T159" s="2"/>
    </row>
    <row r="160" spans="1:20">
      <c r="A160" s="211" t="s">
        <v>76</v>
      </c>
      <c r="B160" s="212" t="s">
        <v>1080</v>
      </c>
      <c r="C160" s="92" t="s">
        <v>1081</v>
      </c>
      <c r="D160" s="91" t="s">
        <v>1082</v>
      </c>
      <c r="E160" s="88">
        <v>3.8309461999999996</v>
      </c>
      <c r="F160" s="88">
        <v>721.2</v>
      </c>
      <c r="G160" s="88">
        <f t="shared" si="4"/>
        <v>2.8580557180503643</v>
      </c>
      <c r="H160" s="88">
        <v>31.596679799999997</v>
      </c>
      <c r="I160" s="88">
        <v>5.8297102109023804</v>
      </c>
      <c r="J160" s="88">
        <v>1.6891303252130316</v>
      </c>
      <c r="K160" s="88">
        <v>4.5895158063222561E-3</v>
      </c>
      <c r="L160" s="88">
        <v>0</v>
      </c>
      <c r="M160" s="88">
        <v>3.1596679799999996</v>
      </c>
      <c r="N160" s="88">
        <v>16.891303252130317</v>
      </c>
      <c r="O160" s="88">
        <v>0.45895158063222563</v>
      </c>
      <c r="P160" s="88">
        <v>0.38309461999999994</v>
      </c>
      <c r="Q160" s="2"/>
      <c r="R160" s="2"/>
      <c r="S160" s="2"/>
      <c r="T160" s="2"/>
    </row>
    <row r="161" spans="1:20">
      <c r="A161" s="211" t="s">
        <v>76</v>
      </c>
      <c r="B161" s="212" t="s">
        <v>77</v>
      </c>
      <c r="C161" s="92" t="s">
        <v>814</v>
      </c>
      <c r="D161" s="91" t="s">
        <v>815</v>
      </c>
      <c r="E161" s="88">
        <v>8.4498512000000012</v>
      </c>
      <c r="F161" s="88">
        <v>11</v>
      </c>
      <c r="G161" s="88">
        <f t="shared" si="4"/>
        <v>1.0413926851582251</v>
      </c>
      <c r="H161" s="88">
        <v>25.761679999999998</v>
      </c>
      <c r="I161" s="88">
        <v>5.131278536991779</v>
      </c>
      <c r="J161" s="88">
        <v>1.9395192526186185</v>
      </c>
      <c r="K161" s="88">
        <v>2.0770308123249051E-2</v>
      </c>
      <c r="L161" s="88">
        <v>0</v>
      </c>
      <c r="M161" s="88">
        <v>2.576168</v>
      </c>
      <c r="N161" s="88">
        <v>19.395192526186186</v>
      </c>
      <c r="O161" s="88">
        <v>2.0770308123249053</v>
      </c>
      <c r="P161" s="88">
        <v>0.84498512000000014</v>
      </c>
      <c r="Q161" s="2"/>
      <c r="R161" s="2"/>
      <c r="S161" s="2"/>
      <c r="T161" s="2"/>
    </row>
    <row r="162" spans="1:20">
      <c r="A162" s="211" t="s">
        <v>348</v>
      </c>
      <c r="B162" s="212" t="s">
        <v>622</v>
      </c>
      <c r="C162" s="92" t="s">
        <v>1158</v>
      </c>
      <c r="D162" s="91" t="s">
        <v>1160</v>
      </c>
      <c r="E162" s="88">
        <v>4.3338324999999998</v>
      </c>
      <c r="F162" s="88">
        <v>500</v>
      </c>
      <c r="G162" s="88">
        <f t="shared" si="4"/>
        <v>2.6989700043360187</v>
      </c>
      <c r="H162" s="88">
        <v>24.6</v>
      </c>
      <c r="I162" s="88">
        <v>5.3615181911318599</v>
      </c>
      <c r="J162" s="88">
        <v>2.4232458739368079</v>
      </c>
      <c r="K162" s="88">
        <v>1.2480992396959108E-2</v>
      </c>
      <c r="L162" s="88">
        <v>0</v>
      </c>
      <c r="M162" s="88">
        <v>2.46</v>
      </c>
      <c r="N162" s="88">
        <v>24.232458739368077</v>
      </c>
      <c r="O162" s="88">
        <v>1.2480992396959107</v>
      </c>
      <c r="P162" s="88">
        <v>0.43338325</v>
      </c>
      <c r="Q162" s="2"/>
      <c r="R162" s="2"/>
      <c r="S162" s="2"/>
      <c r="T162" s="2"/>
    </row>
    <row r="163" spans="1:20">
      <c r="A163" s="211" t="s">
        <v>348</v>
      </c>
      <c r="B163" s="212" t="s">
        <v>622</v>
      </c>
      <c r="C163" s="92" t="s">
        <v>1161</v>
      </c>
      <c r="D163" s="91" t="s">
        <v>1162</v>
      </c>
      <c r="E163" s="88">
        <v>5.9338325000000012</v>
      </c>
      <c r="F163" s="88">
        <v>500</v>
      </c>
      <c r="G163" s="88">
        <f t="shared" si="4"/>
        <v>2.6989700043360187</v>
      </c>
      <c r="H163" s="88">
        <v>24.6</v>
      </c>
      <c r="I163" s="88">
        <v>5.3594768991614901</v>
      </c>
      <c r="J163" s="88">
        <v>2.0606978403536118</v>
      </c>
      <c r="K163" s="88">
        <v>1.2480992396959108E-2</v>
      </c>
      <c r="L163" s="88">
        <v>0</v>
      </c>
      <c r="M163" s="88">
        <v>2.46</v>
      </c>
      <c r="N163" s="88">
        <v>20.606978403536118</v>
      </c>
      <c r="O163" s="88">
        <v>1.2480992396959107</v>
      </c>
      <c r="P163" s="88">
        <v>0.59338325000000014</v>
      </c>
      <c r="Q163" s="2"/>
      <c r="R163" s="2"/>
      <c r="S163" s="2"/>
      <c r="T163" s="2"/>
    </row>
    <row r="164" spans="1:20">
      <c r="A164" s="211" t="s">
        <v>76</v>
      </c>
      <c r="B164" s="212" t="s">
        <v>596</v>
      </c>
      <c r="C164" s="92" t="s">
        <v>597</v>
      </c>
      <c r="D164" s="91" t="s">
        <v>598</v>
      </c>
      <c r="E164" s="88"/>
      <c r="F164" s="88">
        <v>1756</v>
      </c>
      <c r="G164" s="88">
        <f t="shared" si="4"/>
        <v>3.2445245115700838</v>
      </c>
      <c r="H164" s="88">
        <v>37.378830999999998</v>
      </c>
      <c r="I164" s="88">
        <v>5.6939440418958771</v>
      </c>
      <c r="J164" s="88">
        <v>1.8750612633917001</v>
      </c>
      <c r="K164" s="88">
        <v>3.0292917166866652E-2</v>
      </c>
      <c r="L164" s="88">
        <v>1</v>
      </c>
      <c r="M164" s="88">
        <v>3.7378830999999999</v>
      </c>
      <c r="N164" s="88">
        <v>18.750612633917001</v>
      </c>
      <c r="O164" s="88">
        <v>3.0292917166866653</v>
      </c>
      <c r="P164" s="88"/>
      <c r="Q164" s="2"/>
      <c r="R164" s="2"/>
      <c r="S164" s="2"/>
      <c r="T164" s="2"/>
    </row>
    <row r="165" spans="1:20">
      <c r="A165" s="211" t="s">
        <v>76</v>
      </c>
      <c r="B165" s="212" t="s">
        <v>599</v>
      </c>
      <c r="C165" s="92" t="s">
        <v>600</v>
      </c>
      <c r="D165" s="91" t="s">
        <v>601</v>
      </c>
      <c r="E165" s="88"/>
      <c r="F165" s="88">
        <v>1756</v>
      </c>
      <c r="G165" s="88">
        <f t="shared" si="4"/>
        <v>3.2445245115700838</v>
      </c>
      <c r="H165" s="88">
        <v>37.378830999999998</v>
      </c>
      <c r="I165" s="88">
        <v>5.0415979394933759</v>
      </c>
      <c r="J165" s="88">
        <v>1.5185139398778875</v>
      </c>
      <c r="K165" s="88">
        <v>3.0292917166866652E-2</v>
      </c>
      <c r="L165" s="88">
        <v>0</v>
      </c>
      <c r="M165" s="88">
        <v>3.7378830999999999</v>
      </c>
      <c r="N165" s="88">
        <v>15.185139398778876</v>
      </c>
      <c r="O165" s="88">
        <v>3.0292917166866653</v>
      </c>
      <c r="P165" s="88"/>
      <c r="Q165" s="2"/>
      <c r="R165" s="2"/>
      <c r="S165" s="2"/>
      <c r="T165" s="2"/>
    </row>
    <row r="166" spans="1:20">
      <c r="A166" s="211" t="s">
        <v>76</v>
      </c>
      <c r="B166" s="212" t="s">
        <v>369</v>
      </c>
      <c r="C166" s="92" t="s">
        <v>602</v>
      </c>
      <c r="D166" s="91" t="s">
        <v>603</v>
      </c>
      <c r="E166" s="88"/>
      <c r="F166" s="88">
        <v>1756</v>
      </c>
      <c r="G166" s="88">
        <f t="shared" si="4"/>
        <v>3.2445245115700838</v>
      </c>
      <c r="H166" s="88">
        <v>37.378830999999998</v>
      </c>
      <c r="I166" s="88">
        <v>6.5035853316697647</v>
      </c>
      <c r="J166" s="88">
        <v>1.7596678446896306</v>
      </c>
      <c r="K166" s="88">
        <v>3.0292917166866652E-2</v>
      </c>
      <c r="L166" s="88">
        <v>0</v>
      </c>
      <c r="M166" s="88">
        <v>3.7378830999999999</v>
      </c>
      <c r="N166" s="88">
        <v>17.596678446896306</v>
      </c>
      <c r="O166" s="88">
        <v>3.0292917166866653</v>
      </c>
      <c r="P166" s="88"/>
      <c r="Q166" s="2"/>
      <c r="R166" s="2"/>
      <c r="S166" s="2"/>
      <c r="T166" s="2"/>
    </row>
    <row r="167" spans="1:20">
      <c r="A167" s="211" t="s">
        <v>76</v>
      </c>
      <c r="B167" s="212" t="s">
        <v>369</v>
      </c>
      <c r="C167" s="92" t="s">
        <v>602</v>
      </c>
      <c r="D167" s="91" t="s">
        <v>605</v>
      </c>
      <c r="E167" s="88"/>
      <c r="F167" s="88">
        <v>1756</v>
      </c>
      <c r="G167" s="88">
        <f t="shared" si="4"/>
        <v>3.2445245115700838</v>
      </c>
      <c r="H167" s="88">
        <v>37.378830999999998</v>
      </c>
      <c r="I167" s="88">
        <v>5.8468595596332165</v>
      </c>
      <c r="J167" s="88">
        <v>1.7693773260761385</v>
      </c>
      <c r="K167" s="88">
        <v>3.0292917166866652E-2</v>
      </c>
      <c r="L167" s="88">
        <v>0</v>
      </c>
      <c r="M167" s="88">
        <v>3.7378830999999999</v>
      </c>
      <c r="N167" s="88">
        <v>17.693773260761386</v>
      </c>
      <c r="O167" s="88">
        <v>3.0292917166866653</v>
      </c>
      <c r="P167" s="88"/>
      <c r="Q167" s="2"/>
      <c r="R167" s="2"/>
      <c r="S167" s="2"/>
      <c r="T167" s="2"/>
    </row>
    <row r="168" spans="1:20">
      <c r="A168" s="211" t="s">
        <v>76</v>
      </c>
      <c r="B168" s="212" t="s">
        <v>606</v>
      </c>
      <c r="C168" s="92" t="s">
        <v>607</v>
      </c>
      <c r="D168" s="91" t="s">
        <v>608</v>
      </c>
      <c r="E168" s="88">
        <v>8.6250744000000026</v>
      </c>
      <c r="F168" s="88">
        <v>1100</v>
      </c>
      <c r="G168" s="88">
        <f t="shared" si="4"/>
        <v>3.0413926851582249</v>
      </c>
      <c r="H168" s="88">
        <v>14.067500000000001</v>
      </c>
      <c r="I168" s="88">
        <v>5.318582924626126</v>
      </c>
      <c r="J168" s="88">
        <v>1.5185139398778875</v>
      </c>
      <c r="K168" s="88">
        <v>-6.6590636254504464E-3</v>
      </c>
      <c r="L168" s="88">
        <v>0</v>
      </c>
      <c r="M168" s="88">
        <v>1.4067500000000002</v>
      </c>
      <c r="N168" s="88">
        <v>15.185139398778876</v>
      </c>
      <c r="O168" s="88">
        <v>-0.66590636254504465</v>
      </c>
      <c r="P168" s="88">
        <v>0.86250744000000024</v>
      </c>
      <c r="Q168" s="2"/>
      <c r="R168" s="2"/>
      <c r="S168" s="2"/>
      <c r="T168" s="2"/>
    </row>
    <row r="169" spans="1:20">
      <c r="A169" s="211" t="s">
        <v>76</v>
      </c>
      <c r="B169" s="212" t="s">
        <v>721</v>
      </c>
      <c r="C169" s="92" t="s">
        <v>1039</v>
      </c>
      <c r="D169" s="91" t="s">
        <v>1040</v>
      </c>
      <c r="E169" s="88">
        <v>7.9844111666666677</v>
      </c>
      <c r="F169" s="88">
        <v>929.59463578177383</v>
      </c>
      <c r="G169" s="88">
        <f t="shared" si="4"/>
        <v>2.9682936089607384</v>
      </c>
      <c r="H169" s="88">
        <v>37.833306</v>
      </c>
      <c r="I169" s="88">
        <v>2.012837224705172</v>
      </c>
      <c r="J169" s="88">
        <v>1.7403626894942439</v>
      </c>
      <c r="K169" s="88">
        <v>1.1807923169267357E-2</v>
      </c>
      <c r="L169" s="88">
        <v>1</v>
      </c>
      <c r="M169" s="88">
        <v>3.7833306000000002</v>
      </c>
      <c r="N169" s="88">
        <v>17.403626894942438</v>
      </c>
      <c r="O169" s="88">
        <v>1.1807923169267356</v>
      </c>
      <c r="P169" s="88">
        <v>0.79844111666666673</v>
      </c>
      <c r="Q169" s="2">
        <v>8.4999999999999964E-2</v>
      </c>
      <c r="R169" s="2">
        <f>LOG(Q169)</f>
        <v>-1.0705810742857074</v>
      </c>
      <c r="S169" s="2">
        <f>LOG(Q169+1)</f>
        <v>3.5429738184548303E-2</v>
      </c>
      <c r="T169" s="2"/>
    </row>
    <row r="170" spans="1:20">
      <c r="A170" s="211" t="s">
        <v>76</v>
      </c>
      <c r="B170" s="212" t="s">
        <v>721</v>
      </c>
      <c r="C170" s="92" t="s">
        <v>1039</v>
      </c>
      <c r="D170" s="91" t="s">
        <v>1041</v>
      </c>
      <c r="E170" s="88">
        <v>3.5183097999999973</v>
      </c>
      <c r="F170" s="88">
        <v>761.96281621456865</v>
      </c>
      <c r="G170" s="88">
        <f t="shared" si="4"/>
        <v>2.88193377828599</v>
      </c>
      <c r="H170" s="88">
        <v>28.241961</v>
      </c>
      <c r="I170" s="88">
        <v>2.6541765418779604</v>
      </c>
      <c r="J170" s="88">
        <v>1.5185139398778875</v>
      </c>
      <c r="K170" s="88">
        <v>1.3794317727090836E-2</v>
      </c>
      <c r="L170" s="88">
        <v>1</v>
      </c>
      <c r="M170" s="88">
        <v>2.8241961</v>
      </c>
      <c r="N170" s="88">
        <v>15.185139398778876</v>
      </c>
      <c r="O170" s="88">
        <v>1.3794317727090837</v>
      </c>
      <c r="P170" s="88">
        <v>0.35183097999999974</v>
      </c>
      <c r="Q170" s="2"/>
      <c r="R170" s="2"/>
      <c r="S170" s="2"/>
      <c r="T170" s="2"/>
    </row>
    <row r="171" spans="1:20">
      <c r="A171" s="211" t="s">
        <v>76</v>
      </c>
      <c r="B171" s="212" t="s">
        <v>721</v>
      </c>
      <c r="C171" s="92" t="s">
        <v>1039</v>
      </c>
      <c r="D171" s="91" t="s">
        <v>1043</v>
      </c>
      <c r="E171" s="88">
        <v>1.1182105999999976</v>
      </c>
      <c r="F171" s="88">
        <v>1447.7293508076805</v>
      </c>
      <c r="G171" s="88">
        <f t="shared" si="4"/>
        <v>3.1606873792388188</v>
      </c>
      <c r="H171" s="88">
        <v>30.631667</v>
      </c>
      <c r="I171" s="88">
        <v>3.9814561665221264</v>
      </c>
      <c r="J171" s="88">
        <v>1.5185139398778875</v>
      </c>
      <c r="K171" s="88">
        <v>2.2547418967587437E-2</v>
      </c>
      <c r="L171" s="88">
        <v>1</v>
      </c>
      <c r="M171" s="88">
        <v>3.0631667</v>
      </c>
      <c r="N171" s="88">
        <v>15.185139398778876</v>
      </c>
      <c r="O171" s="88">
        <v>2.2547418967587438</v>
      </c>
      <c r="P171" s="88">
        <v>0.11182105999999976</v>
      </c>
      <c r="Q171" s="2"/>
      <c r="R171" s="2"/>
      <c r="S171" s="2"/>
      <c r="T171" s="2"/>
    </row>
    <row r="172" spans="1:20">
      <c r="A172" s="211" t="s">
        <v>76</v>
      </c>
      <c r="B172" s="212" t="s">
        <v>77</v>
      </c>
      <c r="C172" s="92" t="s">
        <v>609</v>
      </c>
      <c r="D172" s="91" t="s">
        <v>610</v>
      </c>
      <c r="E172" s="88"/>
      <c r="F172" s="88">
        <v>102</v>
      </c>
      <c r="G172" s="88">
        <f t="shared" si="4"/>
        <v>2.0086001717619175</v>
      </c>
      <c r="H172" s="88">
        <v>25.316761</v>
      </c>
      <c r="I172" s="88">
        <v>6.0444260763809918</v>
      </c>
      <c r="J172" s="88">
        <v>1.8750612633917001</v>
      </c>
      <c r="K172" s="88">
        <v>1.251420568227286E-2</v>
      </c>
      <c r="L172" s="88">
        <v>0</v>
      </c>
      <c r="M172" s="88">
        <v>2.5316760999999999</v>
      </c>
      <c r="N172" s="88">
        <v>18.750612633917001</v>
      </c>
      <c r="O172" s="88">
        <v>1.2514205682272861</v>
      </c>
      <c r="P172" s="88"/>
      <c r="Q172" s="2"/>
      <c r="R172" s="2"/>
      <c r="S172" s="2"/>
      <c r="T172" s="2"/>
    </row>
    <row r="173" spans="1:20">
      <c r="A173" s="211" t="s">
        <v>76</v>
      </c>
      <c r="B173" s="212" t="s">
        <v>77</v>
      </c>
      <c r="C173" s="92" t="s">
        <v>609</v>
      </c>
      <c r="D173" s="91" t="s">
        <v>611</v>
      </c>
      <c r="E173" s="88"/>
      <c r="F173" s="88">
        <v>312</v>
      </c>
      <c r="G173" s="88">
        <f t="shared" si="4"/>
        <v>2.4941545940184429</v>
      </c>
      <c r="H173" s="88">
        <v>27.087367</v>
      </c>
      <c r="I173" s="88">
        <v>5.5761881105317057</v>
      </c>
      <c r="J173" s="88">
        <v>1.5185139398778875</v>
      </c>
      <c r="K173" s="88">
        <v>2.8247298919569274E-3</v>
      </c>
      <c r="L173" s="88">
        <v>0</v>
      </c>
      <c r="M173" s="88">
        <v>2.7087367000000002</v>
      </c>
      <c r="N173" s="88">
        <v>15.185139398778876</v>
      </c>
      <c r="O173" s="88">
        <v>0.28247298919569275</v>
      </c>
      <c r="P173" s="88"/>
      <c r="Q173" s="2"/>
      <c r="R173" s="2"/>
      <c r="S173" s="2"/>
      <c r="T173" s="2"/>
    </row>
    <row r="174" spans="1:20">
      <c r="A174" s="211" t="s">
        <v>76</v>
      </c>
      <c r="B174" s="212" t="s">
        <v>426</v>
      </c>
      <c r="C174" s="92" t="s">
        <v>488</v>
      </c>
      <c r="D174" s="91" t="s">
        <v>612</v>
      </c>
      <c r="E174" s="88"/>
      <c r="F174" s="88">
        <v>102</v>
      </c>
      <c r="G174" s="88">
        <f t="shared" si="4"/>
        <v>2.0086001717619175</v>
      </c>
      <c r="H174" s="88">
        <v>25.316761</v>
      </c>
      <c r="I174" s="88">
        <v>6.2500519159858587</v>
      </c>
      <c r="J174" s="88">
        <v>1.5185139398778875</v>
      </c>
      <c r="K174" s="88">
        <v>1.251420568227286E-2</v>
      </c>
      <c r="L174" s="88">
        <v>0</v>
      </c>
      <c r="M174" s="88">
        <v>2.5316760999999999</v>
      </c>
      <c r="N174" s="88">
        <v>15.185139398778876</v>
      </c>
      <c r="O174" s="88">
        <v>1.2514205682272861</v>
      </c>
      <c r="P174" s="88"/>
      <c r="Q174" s="2"/>
      <c r="R174" s="2"/>
      <c r="S174" s="2"/>
      <c r="T174" s="2"/>
    </row>
    <row r="175" spans="1:20">
      <c r="A175" s="211" t="s">
        <v>76</v>
      </c>
      <c r="B175" s="212" t="s">
        <v>426</v>
      </c>
      <c r="C175" s="92" t="s">
        <v>488</v>
      </c>
      <c r="D175" s="91" t="s">
        <v>489</v>
      </c>
      <c r="E175" s="88"/>
      <c r="F175" s="88">
        <v>785</v>
      </c>
      <c r="G175" s="88">
        <f t="shared" si="4"/>
        <v>2.8948696567452528</v>
      </c>
      <c r="H175" s="88">
        <v>23.550519999999999</v>
      </c>
      <c r="I175" s="88">
        <v>6.8638696672964725</v>
      </c>
      <c r="J175" s="88">
        <v>1.5185139398778875</v>
      </c>
      <c r="K175" s="88">
        <v>3.5503801520608322E-2</v>
      </c>
      <c r="L175" s="88">
        <v>0</v>
      </c>
      <c r="M175" s="88">
        <v>2.3550519999999997</v>
      </c>
      <c r="N175" s="88">
        <v>15.185139398778876</v>
      </c>
      <c r="O175" s="88">
        <v>3.550380152060832</v>
      </c>
      <c r="P175" s="88"/>
      <c r="Q175" s="2">
        <v>0.17499999999999999</v>
      </c>
      <c r="R175" s="2">
        <f>LOG(Q175)</f>
        <v>-0.75696195131370558</v>
      </c>
      <c r="S175" s="2">
        <f>LOG(Q175+1)</f>
        <v>7.0037866607755087E-2</v>
      </c>
      <c r="T175" s="2"/>
    </row>
    <row r="176" spans="1:20">
      <c r="A176" s="211" t="s">
        <v>76</v>
      </c>
      <c r="B176" s="212" t="s">
        <v>613</v>
      </c>
      <c r="C176" s="92" t="s">
        <v>614</v>
      </c>
      <c r="D176" s="91" t="s">
        <v>615</v>
      </c>
      <c r="E176" s="88">
        <v>8.8250743999999983</v>
      </c>
      <c r="F176" s="88">
        <v>1100</v>
      </c>
      <c r="G176" s="88">
        <f t="shared" si="4"/>
        <v>3.0413926851582249</v>
      </c>
      <c r="H176" s="88">
        <v>14.067500000000001</v>
      </c>
      <c r="I176" s="88">
        <v>2.0718820073061255</v>
      </c>
      <c r="J176" s="88">
        <v>1.5185139398778875</v>
      </c>
      <c r="K176" s="88">
        <v>-6.6590636254504464E-3</v>
      </c>
      <c r="L176" s="88">
        <v>1</v>
      </c>
      <c r="M176" s="88">
        <v>1.4067500000000002</v>
      </c>
      <c r="N176" s="88">
        <v>15.185139398778876</v>
      </c>
      <c r="O176" s="88">
        <v>-0.66590636254504465</v>
      </c>
      <c r="P176" s="88">
        <v>0.88250743999999981</v>
      </c>
      <c r="Q176" s="2"/>
      <c r="R176" s="2"/>
      <c r="S176" s="2"/>
      <c r="T176" s="2"/>
    </row>
    <row r="177" spans="1:20">
      <c r="A177" s="211" t="s">
        <v>76</v>
      </c>
      <c r="B177" s="212" t="s">
        <v>613</v>
      </c>
      <c r="C177" s="92" t="s">
        <v>614</v>
      </c>
      <c r="D177" s="91" t="s">
        <v>616</v>
      </c>
      <c r="E177" s="88">
        <v>8.725074400000004</v>
      </c>
      <c r="F177" s="88">
        <v>1100</v>
      </c>
      <c r="G177" s="88">
        <f t="shared" si="4"/>
        <v>3.0413926851582249</v>
      </c>
      <c r="H177" s="88">
        <v>14.067500000000001</v>
      </c>
      <c r="I177" s="88">
        <v>5.4191524694967024</v>
      </c>
      <c r="J177" s="88">
        <v>1.5185139398778875</v>
      </c>
      <c r="K177" s="88">
        <v>-6.6590636254504464E-3</v>
      </c>
      <c r="L177" s="88">
        <v>0</v>
      </c>
      <c r="M177" s="88">
        <v>1.4067500000000002</v>
      </c>
      <c r="N177" s="88">
        <v>15.185139398778876</v>
      </c>
      <c r="O177" s="88">
        <v>-0.66590636254504465</v>
      </c>
      <c r="P177" s="88">
        <v>0.87250744000000036</v>
      </c>
      <c r="Q177" s="2"/>
      <c r="R177" s="2"/>
      <c r="S177" s="2"/>
      <c r="T177" s="2"/>
    </row>
    <row r="178" spans="1:20">
      <c r="A178" s="211" t="s">
        <v>76</v>
      </c>
      <c r="B178" s="212" t="s">
        <v>613</v>
      </c>
      <c r="C178" s="92" t="s">
        <v>614</v>
      </c>
      <c r="D178" s="91" t="s">
        <v>618</v>
      </c>
      <c r="E178" s="88">
        <v>7.9250743999999997</v>
      </c>
      <c r="F178" s="88">
        <v>1100</v>
      </c>
      <c r="G178" s="88">
        <f t="shared" si="4"/>
        <v>3.0413926851582249</v>
      </c>
      <c r="H178" s="88">
        <v>14.067500000000001</v>
      </c>
      <c r="I178" s="88">
        <v>4.7981463225752199</v>
      </c>
      <c r="J178" s="88">
        <v>1.5185139398778875</v>
      </c>
      <c r="K178" s="88">
        <v>-6.6590636254504464E-3</v>
      </c>
      <c r="L178" s="88">
        <v>0</v>
      </c>
      <c r="M178" s="88">
        <v>1.4067500000000002</v>
      </c>
      <c r="N178" s="88">
        <v>15.185139398778876</v>
      </c>
      <c r="O178" s="88">
        <v>-0.66590636254504465</v>
      </c>
      <c r="P178" s="88">
        <v>0.79250743999999995</v>
      </c>
      <c r="Q178" s="2"/>
      <c r="R178" s="2"/>
      <c r="S178" s="2"/>
      <c r="T178" s="2"/>
    </row>
    <row r="179" spans="1:20">
      <c r="A179" s="211" t="s">
        <v>76</v>
      </c>
      <c r="B179" s="212" t="s">
        <v>613</v>
      </c>
      <c r="C179" s="92" t="s">
        <v>614</v>
      </c>
      <c r="D179" s="91" t="s">
        <v>619</v>
      </c>
      <c r="E179" s="88">
        <v>9.725074400000004</v>
      </c>
      <c r="F179" s="88">
        <v>1100</v>
      </c>
      <c r="G179" s="88">
        <f t="shared" si="4"/>
        <v>3.0413926851582249</v>
      </c>
      <c r="H179" s="88">
        <v>14.067500000000001</v>
      </c>
      <c r="I179" s="88">
        <v>3.2734642726213461</v>
      </c>
      <c r="J179" s="88">
        <v>1.5185139398778875</v>
      </c>
      <c r="K179" s="88">
        <v>-6.6590636254504464E-3</v>
      </c>
      <c r="L179" s="88">
        <v>1</v>
      </c>
      <c r="M179" s="88">
        <v>1.4067500000000002</v>
      </c>
      <c r="N179" s="88">
        <v>15.185139398778876</v>
      </c>
      <c r="O179" s="88">
        <v>-0.66590636254504465</v>
      </c>
      <c r="P179" s="88">
        <v>0.97250744000000044</v>
      </c>
      <c r="Q179" s="2"/>
      <c r="R179" s="2"/>
      <c r="S179" s="2"/>
      <c r="T179" s="2"/>
    </row>
    <row r="180" spans="1:20">
      <c r="A180" s="211" t="s">
        <v>76</v>
      </c>
      <c r="B180" s="212" t="s">
        <v>613</v>
      </c>
      <c r="C180" s="92" t="s">
        <v>614</v>
      </c>
      <c r="D180" s="91" t="s">
        <v>620</v>
      </c>
      <c r="E180" s="88"/>
      <c r="F180" s="88">
        <v>1100</v>
      </c>
      <c r="G180" s="88">
        <f t="shared" si="4"/>
        <v>3.0413926851582249</v>
      </c>
      <c r="H180" s="88">
        <v>14.067500000000001</v>
      </c>
      <c r="I180" s="88">
        <v>2.0934216851622351</v>
      </c>
      <c r="J180" s="88">
        <v>1.5185139398778875</v>
      </c>
      <c r="K180" s="88">
        <v>-6.6590636254504464E-3</v>
      </c>
      <c r="L180" s="88">
        <v>1</v>
      </c>
      <c r="M180" s="88">
        <v>1.4067500000000002</v>
      </c>
      <c r="N180" s="88">
        <v>15.185139398778876</v>
      </c>
      <c r="O180" s="88">
        <v>-0.66590636254504465</v>
      </c>
      <c r="P180" s="88"/>
      <c r="Q180" s="2"/>
      <c r="R180" s="2"/>
      <c r="S180" s="2"/>
      <c r="T180" s="2"/>
    </row>
    <row r="181" spans="1:20">
      <c r="A181" s="211" t="s">
        <v>76</v>
      </c>
      <c r="B181" s="212" t="s">
        <v>721</v>
      </c>
      <c r="C181" s="92" t="s">
        <v>1284</v>
      </c>
      <c r="D181" s="91" t="s">
        <v>1285</v>
      </c>
      <c r="E181" s="88"/>
      <c r="F181" s="88">
        <v>342</v>
      </c>
      <c r="G181" s="88">
        <f t="shared" si="4"/>
        <v>2.5340261060561349</v>
      </c>
      <c r="H181" s="88">
        <v>27.183285999999999</v>
      </c>
      <c r="I181" s="88">
        <v>6.3509965309087981</v>
      </c>
      <c r="J181" s="88">
        <v>1.7403626894942439</v>
      </c>
      <c r="K181" s="88">
        <v>1.7613445378151162E-2</v>
      </c>
      <c r="L181" s="88">
        <v>0</v>
      </c>
      <c r="M181" s="88">
        <v>2.7183286</v>
      </c>
      <c r="N181" s="88">
        <v>17.403626894942438</v>
      </c>
      <c r="O181" s="88">
        <v>1.7613445378151162</v>
      </c>
      <c r="P181" s="88"/>
      <c r="Q181" s="2"/>
      <c r="R181" s="2"/>
      <c r="S181" s="2"/>
      <c r="T181" s="2"/>
    </row>
    <row r="182" spans="1:20">
      <c r="A182" s="211" t="s">
        <v>348</v>
      </c>
      <c r="B182" s="212" t="s">
        <v>349</v>
      </c>
      <c r="C182" s="92" t="s">
        <v>817</v>
      </c>
      <c r="D182" s="91" t="s">
        <v>1163</v>
      </c>
      <c r="E182" s="88">
        <v>8.039069299999996</v>
      </c>
      <c r="F182" s="88">
        <v>616.5</v>
      </c>
      <c r="G182" s="88">
        <f t="shared" si="4"/>
        <v>2.7899330809317506</v>
      </c>
      <c r="H182" s="88">
        <v>38.663850999999994</v>
      </c>
      <c r="I182" s="88">
        <v>6.2617195302100948</v>
      </c>
      <c r="J182" s="88">
        <v>1.8920946026904804</v>
      </c>
      <c r="K182" s="88">
        <v>1.9886554621848771E-2</v>
      </c>
      <c r="L182" s="88">
        <v>0</v>
      </c>
      <c r="M182" s="88">
        <v>3.8663850999999996</v>
      </c>
      <c r="N182" s="88">
        <v>18.920946026904804</v>
      </c>
      <c r="O182" s="88">
        <v>1.9886554621848771</v>
      </c>
      <c r="P182" s="88">
        <v>0.80390692999999958</v>
      </c>
      <c r="Q182" s="2"/>
      <c r="R182" s="2"/>
      <c r="S182" s="2"/>
      <c r="T182" s="2"/>
    </row>
    <row r="183" spans="1:20">
      <c r="A183" s="211" t="s">
        <v>348</v>
      </c>
      <c r="B183" s="212" t="s">
        <v>349</v>
      </c>
      <c r="C183" s="92" t="s">
        <v>817</v>
      </c>
      <c r="D183" s="91" t="s">
        <v>818</v>
      </c>
      <c r="E183" s="88">
        <v>10.299900799999996</v>
      </c>
      <c r="F183" s="88">
        <v>390</v>
      </c>
      <c r="G183" s="88">
        <f t="shared" si="4"/>
        <v>2.5910646070264991</v>
      </c>
      <c r="H183" s="88">
        <v>46.5926635</v>
      </c>
      <c r="I183" s="88">
        <v>4.865897185168377</v>
      </c>
      <c r="J183" s="88">
        <v>2.1875207208364631</v>
      </c>
      <c r="K183" s="88"/>
      <c r="L183" s="88">
        <v>0</v>
      </c>
      <c r="M183" s="88">
        <v>4.6592663500000002</v>
      </c>
      <c r="N183" s="88">
        <v>21.875207208364632</v>
      </c>
      <c r="O183" s="88">
        <v>0</v>
      </c>
      <c r="P183" s="88">
        <v>1.0299900799999997</v>
      </c>
      <c r="Q183" s="2"/>
      <c r="R183" s="2"/>
      <c r="S183" s="2"/>
      <c r="T183" s="2"/>
    </row>
    <row r="184" spans="1:20">
      <c r="A184" s="211" t="s">
        <v>348</v>
      </c>
      <c r="B184" s="212" t="s">
        <v>349</v>
      </c>
      <c r="C184" s="92" t="s">
        <v>817</v>
      </c>
      <c r="D184" s="91" t="s">
        <v>1168</v>
      </c>
      <c r="E184" s="88">
        <v>10.154758099999999</v>
      </c>
      <c r="F184" s="88">
        <v>1128</v>
      </c>
      <c r="G184" s="88">
        <f t="shared" si="4"/>
        <v>3.0523090996473234</v>
      </c>
      <c r="H184" s="88">
        <v>37.375135999999998</v>
      </c>
      <c r="I184" s="88">
        <v>6.1273850547297366</v>
      </c>
      <c r="J184" s="88">
        <v>2.1875207208364631</v>
      </c>
      <c r="K184" s="88">
        <v>1.7852340936374687E-2</v>
      </c>
      <c r="L184" s="88">
        <v>0</v>
      </c>
      <c r="M184" s="88">
        <v>3.7375135999999998</v>
      </c>
      <c r="N184" s="88">
        <v>21.875207208364632</v>
      </c>
      <c r="O184" s="88">
        <v>1.7852340936374687</v>
      </c>
      <c r="P184" s="88">
        <v>1.0154758099999999</v>
      </c>
      <c r="Q184" s="2"/>
      <c r="R184" s="2"/>
      <c r="S184" s="2"/>
      <c r="T184" s="2"/>
    </row>
    <row r="185" spans="1:20">
      <c r="A185" s="211" t="s">
        <v>348</v>
      </c>
      <c r="B185" s="212" t="s">
        <v>349</v>
      </c>
      <c r="C185" s="92" t="s">
        <v>817</v>
      </c>
      <c r="D185" s="91" t="s">
        <v>1169</v>
      </c>
      <c r="E185" s="88">
        <v>7.5276852166666659</v>
      </c>
      <c r="F185" s="88">
        <v>762.33333333333337</v>
      </c>
      <c r="G185" s="88">
        <f t="shared" si="4"/>
        <v>2.8821449098870859</v>
      </c>
      <c r="H185" s="88">
        <v>35.414872333333335</v>
      </c>
      <c r="I185" s="88">
        <v>3.2884728005997825</v>
      </c>
      <c r="J185" s="88">
        <v>1.8920946026904806</v>
      </c>
      <c r="K185" s="88">
        <v>5.4428438041884547E-3</v>
      </c>
      <c r="L185" s="88">
        <v>1</v>
      </c>
      <c r="M185" s="88">
        <v>3.5414872333333336</v>
      </c>
      <c r="N185" s="88">
        <v>18.920946026904804</v>
      </c>
      <c r="O185" s="88">
        <v>0.54428438041884553</v>
      </c>
      <c r="P185" s="88">
        <v>0.75276852166666663</v>
      </c>
      <c r="Q185" s="2"/>
      <c r="R185" s="2"/>
      <c r="S185" s="2"/>
      <c r="T185" s="2"/>
    </row>
    <row r="186" spans="1:20">
      <c r="A186" s="211" t="s">
        <v>348</v>
      </c>
      <c r="B186" s="212" t="s">
        <v>349</v>
      </c>
      <c r="C186" s="92" t="s">
        <v>817</v>
      </c>
      <c r="D186" s="91" t="s">
        <v>1044</v>
      </c>
      <c r="E186" s="88">
        <v>1.960648599999999</v>
      </c>
      <c r="F186" s="88">
        <v>340</v>
      </c>
      <c r="G186" s="88">
        <f t="shared" si="4"/>
        <v>2.5314789170422549</v>
      </c>
      <c r="H186" s="88">
        <v>35.254964000000001</v>
      </c>
      <c r="I186" s="88">
        <v>4.0771861540858971</v>
      </c>
      <c r="J186" s="88">
        <v>2.0606978403536118</v>
      </c>
      <c r="K186" s="88">
        <v>3.0460984393757294E-2</v>
      </c>
      <c r="L186" s="88">
        <v>1</v>
      </c>
      <c r="M186" s="88">
        <v>3.5254964000000002</v>
      </c>
      <c r="N186" s="88">
        <v>20.606978403536118</v>
      </c>
      <c r="O186" s="88">
        <v>3.0460984393757293</v>
      </c>
      <c r="P186" s="88">
        <v>0.1960648599999999</v>
      </c>
      <c r="Q186" s="2"/>
      <c r="R186" s="2"/>
      <c r="S186" s="2"/>
      <c r="T186" s="2"/>
    </row>
    <row r="187" spans="1:20">
      <c r="A187" s="211" t="s">
        <v>348</v>
      </c>
      <c r="B187" s="212" t="s">
        <v>349</v>
      </c>
      <c r="C187" s="92" t="s">
        <v>817</v>
      </c>
      <c r="D187" s="91" t="s">
        <v>739</v>
      </c>
      <c r="E187" s="88">
        <v>2.1106485999999975</v>
      </c>
      <c r="F187" s="88">
        <v>340</v>
      </c>
      <c r="G187" s="88">
        <f t="shared" si="4"/>
        <v>2.5314789170422549</v>
      </c>
      <c r="H187" s="88">
        <v>35.254964000000001</v>
      </c>
      <c r="I187" s="88">
        <v>5.003227812010036</v>
      </c>
      <c r="J187" s="88">
        <v>1.8920946026904804</v>
      </c>
      <c r="K187" s="88">
        <v>3.0460984393757294E-2</v>
      </c>
      <c r="L187" s="88">
        <v>0</v>
      </c>
      <c r="M187" s="88">
        <v>3.5254964000000002</v>
      </c>
      <c r="N187" s="88">
        <v>18.920946026904804</v>
      </c>
      <c r="O187" s="88">
        <v>3.0460984393757293</v>
      </c>
      <c r="P187" s="88">
        <v>0.21106485999999974</v>
      </c>
      <c r="Q187" s="2"/>
      <c r="R187" s="2"/>
      <c r="S187" s="2"/>
      <c r="T187" s="2"/>
    </row>
    <row r="188" spans="1:20">
      <c r="A188" s="211" t="s">
        <v>348</v>
      </c>
      <c r="B188" s="212" t="s">
        <v>349</v>
      </c>
      <c r="C188" s="92" t="s">
        <v>817</v>
      </c>
      <c r="D188" s="91" t="s">
        <v>819</v>
      </c>
      <c r="E188" s="88">
        <v>9.5999007999999968</v>
      </c>
      <c r="F188" s="88">
        <v>390</v>
      </c>
      <c r="G188" s="88">
        <f t="shared" si="4"/>
        <v>2.5910646070264991</v>
      </c>
      <c r="H188" s="88">
        <v>46.5926635</v>
      </c>
      <c r="I188" s="88">
        <v>5.2192229001939836</v>
      </c>
      <c r="J188" s="88">
        <v>1.8920946026904804</v>
      </c>
      <c r="K188" s="88"/>
      <c r="L188" s="88">
        <v>0</v>
      </c>
      <c r="M188" s="88">
        <v>4.6592663500000002</v>
      </c>
      <c r="N188" s="88">
        <v>18.920946026904804</v>
      </c>
      <c r="O188" s="88">
        <v>0</v>
      </c>
      <c r="P188" s="88">
        <v>0.95999007999999963</v>
      </c>
      <c r="Q188" s="2"/>
      <c r="R188" s="2"/>
      <c r="S188" s="2"/>
      <c r="T188" s="2"/>
    </row>
    <row r="189" spans="1:20">
      <c r="A189" s="211" t="s">
        <v>348</v>
      </c>
      <c r="B189" s="212" t="s">
        <v>349</v>
      </c>
      <c r="C189" s="92" t="s">
        <v>817</v>
      </c>
      <c r="D189" s="91" t="s">
        <v>1173</v>
      </c>
      <c r="E189" s="88">
        <v>6.7444440999999991</v>
      </c>
      <c r="F189" s="88">
        <v>594</v>
      </c>
      <c r="G189" s="88">
        <f t="shared" si="4"/>
        <v>2.7737864449811935</v>
      </c>
      <c r="H189" s="88">
        <v>37.246712000000002</v>
      </c>
      <c r="I189" s="88">
        <v>5.0583083238155604</v>
      </c>
      <c r="J189" s="88">
        <v>2.1875207208364631</v>
      </c>
      <c r="K189" s="88">
        <v>1.2297318927571417E-2</v>
      </c>
      <c r="L189" s="88">
        <v>0</v>
      </c>
      <c r="M189" s="88">
        <v>3.7246712000000004</v>
      </c>
      <c r="N189" s="88">
        <v>21.875207208364632</v>
      </c>
      <c r="O189" s="88">
        <v>1.2297318927571417</v>
      </c>
      <c r="P189" s="88">
        <v>0.67444440999999988</v>
      </c>
      <c r="Q189" s="2"/>
      <c r="R189" s="2"/>
      <c r="S189" s="2"/>
      <c r="T189" s="2"/>
    </row>
    <row r="190" spans="1:20">
      <c r="A190" s="211" t="s">
        <v>348</v>
      </c>
      <c r="B190" s="212" t="s">
        <v>622</v>
      </c>
      <c r="C190" s="92" t="s">
        <v>623</v>
      </c>
      <c r="D190" s="91" t="s">
        <v>624</v>
      </c>
      <c r="E190" s="88"/>
      <c r="F190" s="88">
        <v>1756</v>
      </c>
      <c r="G190" s="88">
        <f t="shared" si="4"/>
        <v>3.2445245115700838</v>
      </c>
      <c r="H190" s="88">
        <v>37.378830999999998</v>
      </c>
      <c r="I190" s="88">
        <v>5.6028572751580645</v>
      </c>
      <c r="J190" s="88">
        <v>2.2787536009528289</v>
      </c>
      <c r="K190" s="88">
        <v>3.0292917166866652E-2</v>
      </c>
      <c r="L190" s="88">
        <v>1</v>
      </c>
      <c r="M190" s="88">
        <v>3.7378830999999999</v>
      </c>
      <c r="N190" s="88">
        <v>22.787536009528289</v>
      </c>
      <c r="O190" s="88">
        <v>3.0292917166866653</v>
      </c>
      <c r="P190" s="88"/>
      <c r="Q190" s="2"/>
      <c r="R190" s="2"/>
      <c r="S190" s="2"/>
      <c r="T190" s="2"/>
    </row>
    <row r="191" spans="1:20">
      <c r="A191" s="211" t="s">
        <v>76</v>
      </c>
      <c r="B191" s="212" t="s">
        <v>426</v>
      </c>
      <c r="C191" s="92" t="s">
        <v>427</v>
      </c>
      <c r="D191" s="91" t="s">
        <v>1096</v>
      </c>
      <c r="E191" s="88"/>
      <c r="F191" s="88">
        <v>899</v>
      </c>
      <c r="G191" s="88">
        <f t="shared" si="4"/>
        <v>2.9537596917332287</v>
      </c>
      <c r="H191" s="88">
        <v>41.181389000000003</v>
      </c>
      <c r="I191" s="88">
        <v>5.8125149593324492</v>
      </c>
      <c r="J191" s="88">
        <v>1.3010299956639813</v>
      </c>
      <c r="K191" s="88">
        <v>2.3605042016806591E-2</v>
      </c>
      <c r="L191" s="88">
        <v>0</v>
      </c>
      <c r="M191" s="88">
        <v>4.1181388999999999</v>
      </c>
      <c r="N191" s="88">
        <v>13.010299956639813</v>
      </c>
      <c r="O191" s="88">
        <v>2.360504201680659</v>
      </c>
      <c r="P191" s="88"/>
      <c r="Q191" s="2"/>
      <c r="R191" s="2"/>
      <c r="S191" s="2"/>
      <c r="T191" s="2"/>
    </row>
    <row r="192" spans="1:20">
      <c r="A192" s="211" t="s">
        <v>76</v>
      </c>
      <c r="B192" s="212" t="s">
        <v>426</v>
      </c>
      <c r="C192" s="92" t="s">
        <v>427</v>
      </c>
      <c r="D192" s="91" t="s">
        <v>493</v>
      </c>
      <c r="E192" s="88"/>
      <c r="F192" s="88">
        <v>785</v>
      </c>
      <c r="G192" s="88">
        <f t="shared" si="4"/>
        <v>2.8948696567452528</v>
      </c>
      <c r="H192" s="88">
        <v>23.550520000000002</v>
      </c>
      <c r="I192" s="88">
        <v>6.1443415876316241</v>
      </c>
      <c r="J192" s="88">
        <v>1.5289167002776549</v>
      </c>
      <c r="K192" s="88">
        <v>3.5503801520608329E-2</v>
      </c>
      <c r="L192" s="88">
        <v>0</v>
      </c>
      <c r="M192" s="88">
        <v>2.3550520000000001</v>
      </c>
      <c r="N192" s="88">
        <v>15.28916700277655</v>
      </c>
      <c r="O192" s="88">
        <v>3.5503801520608329</v>
      </c>
      <c r="P192" s="88"/>
      <c r="Q192" s="2">
        <v>0.11600000000000037</v>
      </c>
      <c r="R192" s="2">
        <f>LOG(Q192)</f>
        <v>-0.93554201077308019</v>
      </c>
      <c r="S192" s="2">
        <f>LOG(Q192+1)</f>
        <v>4.7664194601560073E-2</v>
      </c>
      <c r="T192" s="2"/>
    </row>
    <row r="193" spans="1:38">
      <c r="A193" s="211" t="s">
        <v>76</v>
      </c>
      <c r="B193" s="212" t="s">
        <v>426</v>
      </c>
      <c r="C193" s="92" t="s">
        <v>427</v>
      </c>
      <c r="D193" s="91" t="s">
        <v>428</v>
      </c>
      <c r="E193" s="88">
        <v>9.5092540999999997</v>
      </c>
      <c r="F193" s="88">
        <v>547</v>
      </c>
      <c r="G193" s="88">
        <f t="shared" si="4"/>
        <v>2.7379873263334309</v>
      </c>
      <c r="H193" s="88">
        <v>32.13664</v>
      </c>
      <c r="I193" s="88">
        <v>5.6149404325084626</v>
      </c>
      <c r="J193" s="88">
        <v>1.1760912590556813</v>
      </c>
      <c r="K193" s="88">
        <v>6.2741096438576989E-3</v>
      </c>
      <c r="L193" s="88">
        <v>0</v>
      </c>
      <c r="M193" s="88">
        <v>3.2136640000000001</v>
      </c>
      <c r="N193" s="88">
        <v>11.760912590556813</v>
      </c>
      <c r="O193" s="88">
        <v>0.62741096438576993</v>
      </c>
      <c r="P193" s="88">
        <v>0.95092540999999997</v>
      </c>
      <c r="Q193" s="2"/>
      <c r="R193" s="2"/>
      <c r="S193" s="2"/>
      <c r="T193" s="2"/>
    </row>
    <row r="194" spans="1:38">
      <c r="A194" s="211" t="s">
        <v>76</v>
      </c>
      <c r="B194" s="212" t="s">
        <v>450</v>
      </c>
      <c r="C194" s="92" t="s">
        <v>495</v>
      </c>
      <c r="D194" s="91" t="s">
        <v>496</v>
      </c>
      <c r="E194" s="88">
        <v>-1.2690538000000018</v>
      </c>
      <c r="F194" s="88">
        <v>1682.5</v>
      </c>
      <c r="G194" s="88">
        <f t="shared" si="4"/>
        <v>3.2259550728960145</v>
      </c>
      <c r="H194" s="88">
        <v>11.183299999999999</v>
      </c>
      <c r="I194" s="88">
        <v>4.6807342646884287</v>
      </c>
      <c r="J194" s="88">
        <v>1.505149978319906</v>
      </c>
      <c r="K194" s="88">
        <v>7.0736294517803316E-3</v>
      </c>
      <c r="L194" s="88">
        <v>0</v>
      </c>
      <c r="M194" s="88">
        <v>1.1183299999999998</v>
      </c>
      <c r="N194" s="88">
        <v>15.051499783199061</v>
      </c>
      <c r="O194" s="88">
        <v>0.70736294517803311</v>
      </c>
      <c r="P194" s="88">
        <v>-0.12690538000000018</v>
      </c>
      <c r="Q194" s="2"/>
      <c r="R194" s="2"/>
      <c r="S194" s="2"/>
      <c r="T194" s="2"/>
    </row>
    <row r="195" spans="1:38">
      <c r="A195" s="211" t="s">
        <v>76</v>
      </c>
      <c r="B195" s="212" t="s">
        <v>450</v>
      </c>
      <c r="C195" s="92" t="s">
        <v>495</v>
      </c>
      <c r="D195" s="91" t="s">
        <v>498</v>
      </c>
      <c r="E195" s="88">
        <v>-3.4690538000000011</v>
      </c>
      <c r="F195" s="88">
        <v>2407.5</v>
      </c>
      <c r="G195" s="88">
        <f t="shared" si="4"/>
        <v>3.381566295796572</v>
      </c>
      <c r="H195" s="88">
        <v>11.183299999999999</v>
      </c>
      <c r="I195" s="88">
        <v>5.020493871408287</v>
      </c>
      <c r="J195" s="88">
        <v>1.5185139398778875</v>
      </c>
      <c r="K195" s="88">
        <v>7.0736294517803316E-3</v>
      </c>
      <c r="L195" s="88">
        <v>0</v>
      </c>
      <c r="M195" s="88">
        <v>1.1183299999999998</v>
      </c>
      <c r="N195" s="88">
        <v>15.185139398778876</v>
      </c>
      <c r="O195" s="88">
        <v>0.70736294517803311</v>
      </c>
      <c r="P195" s="88">
        <v>-0.3469053800000001</v>
      </c>
      <c r="Q195" s="2"/>
      <c r="R195" s="2"/>
      <c r="S195" s="2"/>
      <c r="T195" s="2"/>
    </row>
    <row r="196" spans="1:38">
      <c r="A196" s="211" t="s">
        <v>76</v>
      </c>
      <c r="B196" s="212" t="s">
        <v>450</v>
      </c>
      <c r="C196" s="92" t="s">
        <v>495</v>
      </c>
      <c r="D196" s="91" t="s">
        <v>499</v>
      </c>
      <c r="E196" s="88">
        <v>-1.1690538000000004</v>
      </c>
      <c r="F196" s="88">
        <v>1777.5</v>
      </c>
      <c r="G196" s="88">
        <f t="shared" ref="G196:G254" si="5">LOG(F196)</f>
        <v>3.2498096094018041</v>
      </c>
      <c r="H196" s="88">
        <v>11.183299999999999</v>
      </c>
      <c r="I196" s="88">
        <v>1.4471580313422192</v>
      </c>
      <c r="J196" s="88">
        <v>1.5185139398778875</v>
      </c>
      <c r="K196" s="88">
        <v>7.0736294517803316E-3</v>
      </c>
      <c r="L196" s="88"/>
      <c r="M196" s="88">
        <v>1.1183299999999998</v>
      </c>
      <c r="N196" s="88">
        <v>15.185139398778876</v>
      </c>
      <c r="O196" s="88">
        <v>0.70736294517803311</v>
      </c>
      <c r="P196" s="88">
        <v>-0.11690538000000003</v>
      </c>
      <c r="Q196" s="2"/>
      <c r="R196" s="2"/>
      <c r="S196" s="2"/>
      <c r="T196" s="2"/>
    </row>
    <row r="197" spans="1:38">
      <c r="A197" s="211" t="s">
        <v>76</v>
      </c>
      <c r="B197" s="212" t="s">
        <v>450</v>
      </c>
      <c r="C197" s="92" t="s">
        <v>495</v>
      </c>
      <c r="D197" s="91" t="s">
        <v>500</v>
      </c>
      <c r="E197" s="88">
        <v>-0.46905380000000108</v>
      </c>
      <c r="F197" s="88">
        <v>1498.5</v>
      </c>
      <c r="G197" s="88">
        <f t="shared" si="5"/>
        <v>3.1756567472816637</v>
      </c>
      <c r="H197" s="88">
        <v>11.183299999999999</v>
      </c>
      <c r="I197" s="88">
        <v>5.3222482467343237</v>
      </c>
      <c r="J197" s="88">
        <v>1.5185139398778875</v>
      </c>
      <c r="K197" s="88">
        <v>7.0736294517803316E-3</v>
      </c>
      <c r="L197" s="88">
        <v>0</v>
      </c>
      <c r="M197" s="88">
        <v>1.1183299999999998</v>
      </c>
      <c r="N197" s="88">
        <v>15.185139398778876</v>
      </c>
      <c r="O197" s="88">
        <v>0.70736294517803311</v>
      </c>
      <c r="P197" s="88">
        <v>-4.6905380000000108E-2</v>
      </c>
      <c r="Q197" s="2"/>
      <c r="R197" s="2"/>
      <c r="S197" s="2"/>
      <c r="T197" s="2"/>
    </row>
    <row r="198" spans="1:38">
      <c r="A198" s="211" t="s">
        <v>76</v>
      </c>
      <c r="B198" s="212" t="s">
        <v>77</v>
      </c>
      <c r="C198" s="92" t="s">
        <v>503</v>
      </c>
      <c r="D198" s="91" t="s">
        <v>1046</v>
      </c>
      <c r="E198" s="88">
        <v>0.37776229999999344</v>
      </c>
      <c r="F198" s="88">
        <v>610</v>
      </c>
      <c r="G198" s="88">
        <f t="shared" si="5"/>
        <v>2.7853298350107671</v>
      </c>
      <c r="H198" s="88">
        <v>33.953296999999999</v>
      </c>
      <c r="I198" s="88">
        <v>4.8046708961772033</v>
      </c>
      <c r="J198" s="88">
        <v>1.5185139398778875</v>
      </c>
      <c r="K198" s="88">
        <v>-1.308603441376539E-2</v>
      </c>
      <c r="L198" s="88">
        <v>0</v>
      </c>
      <c r="M198" s="88">
        <v>3.3953297</v>
      </c>
      <c r="N198" s="88">
        <v>15.185139398778876</v>
      </c>
      <c r="O198" s="88">
        <v>-1.3086034413765391</v>
      </c>
      <c r="P198" s="88">
        <v>3.7776229999999342E-2</v>
      </c>
      <c r="Q198" s="2">
        <v>0.3239999999999999</v>
      </c>
      <c r="R198" s="2">
        <f>LOG(Q198)</f>
        <v>-0.48945498979338797</v>
      </c>
      <c r="S198" s="2">
        <f>LOG(Q198+1)</f>
        <v>0.12188798510368108</v>
      </c>
      <c r="T198" s="2"/>
    </row>
    <row r="199" spans="1:38">
      <c r="A199" s="211" t="s">
        <v>76</v>
      </c>
      <c r="B199" s="212" t="s">
        <v>77</v>
      </c>
      <c r="C199" s="92" t="s">
        <v>503</v>
      </c>
      <c r="D199" s="91" t="s">
        <v>643</v>
      </c>
      <c r="E199" s="88">
        <v>8.2608460499999996</v>
      </c>
      <c r="F199" s="88">
        <v>257</v>
      </c>
      <c r="G199" s="88">
        <f t="shared" si="5"/>
        <v>2.4099331233312946</v>
      </c>
      <c r="H199" s="88">
        <v>43.565114000000001</v>
      </c>
      <c r="I199" s="88">
        <v>6.6056864758031582</v>
      </c>
      <c r="J199" s="88">
        <v>1.5185139398778875</v>
      </c>
      <c r="K199" s="88">
        <v>2.7794317727090952E-2</v>
      </c>
      <c r="L199" s="88">
        <v>0</v>
      </c>
      <c r="M199" s="88">
        <v>4.3565114000000005</v>
      </c>
      <c r="N199" s="88">
        <v>15.185139398778876</v>
      </c>
      <c r="O199" s="88">
        <v>2.7794317727090951</v>
      </c>
      <c r="P199" s="88">
        <v>0.82608460499999992</v>
      </c>
      <c r="Q199" s="2"/>
      <c r="R199" s="2"/>
      <c r="S199" s="2"/>
      <c r="T199" s="2"/>
    </row>
    <row r="200" spans="1:38">
      <c r="A200" s="211" t="s">
        <v>76</v>
      </c>
      <c r="B200" s="212" t="s">
        <v>77</v>
      </c>
      <c r="C200" s="92" t="s">
        <v>503</v>
      </c>
      <c r="D200" s="91" t="s">
        <v>502</v>
      </c>
      <c r="E200" s="88">
        <v>8.3970583714285709</v>
      </c>
      <c r="F200" s="88">
        <v>1371</v>
      </c>
      <c r="G200" s="88">
        <f t="shared" si="5"/>
        <v>3.1370374547895126</v>
      </c>
      <c r="H200" s="88">
        <v>40.893845428571424</v>
      </c>
      <c r="I200" s="88">
        <v>6.1877981294726148</v>
      </c>
      <c r="J200" s="88">
        <v>1.5185139398778877</v>
      </c>
      <c r="K200" s="88">
        <v>9.2236894757903899E-3</v>
      </c>
      <c r="L200" s="88">
        <v>0</v>
      </c>
      <c r="M200" s="88">
        <v>4.0893845428571423</v>
      </c>
      <c r="N200" s="88">
        <v>15.185139398778878</v>
      </c>
      <c r="O200" s="88">
        <v>0.92236894757903898</v>
      </c>
      <c r="P200" s="88">
        <v>0.83970583714285707</v>
      </c>
      <c r="Q200" s="2">
        <v>0.14033337500020837</v>
      </c>
      <c r="R200" s="2">
        <f>LOG(Q200)</f>
        <v>-0.85283902993607574</v>
      </c>
      <c r="S200" s="2">
        <f>LOG(Q200+1)</f>
        <v>5.7031835334175489E-2</v>
      </c>
      <c r="T200" s="2"/>
    </row>
    <row r="201" spans="1:38">
      <c r="A201" s="211" t="s">
        <v>76</v>
      </c>
      <c r="B201" s="212" t="s">
        <v>77</v>
      </c>
      <c r="C201" s="92" t="s">
        <v>503</v>
      </c>
      <c r="D201" s="91" t="s">
        <v>507</v>
      </c>
      <c r="E201" s="88">
        <v>13.281232299999999</v>
      </c>
      <c r="F201" s="88">
        <v>1309.3174603174602</v>
      </c>
      <c r="G201" s="88">
        <f t="shared" si="5"/>
        <v>3.117044959421988</v>
      </c>
      <c r="H201" s="88">
        <v>38.531068476190484</v>
      </c>
      <c r="I201" s="88">
        <v>6.5347031789784316</v>
      </c>
      <c r="J201" s="88">
        <v>1.518513939877888</v>
      </c>
      <c r="K201" s="88">
        <v>1.7976498535922564E-2</v>
      </c>
      <c r="L201" s="88">
        <v>0</v>
      </c>
      <c r="M201" s="88">
        <v>3.8531068476190482</v>
      </c>
      <c r="N201" s="88">
        <v>15.18513939877888</v>
      </c>
      <c r="O201" s="88">
        <v>1.7976498535922563</v>
      </c>
      <c r="P201" s="88">
        <v>1.3281232299999999</v>
      </c>
      <c r="Q201" s="2">
        <v>0.12281713765022137</v>
      </c>
      <c r="R201" s="2">
        <f>LOG(Q201)</f>
        <v>-0.91074102840963778</v>
      </c>
      <c r="S201" s="2">
        <f>LOG(Q201+1)</f>
        <v>5.0309032685347484E-2</v>
      </c>
      <c r="T201" s="2"/>
    </row>
    <row r="202" spans="1:38">
      <c r="A202" s="211" t="s">
        <v>76</v>
      </c>
      <c r="B202" s="212" t="s">
        <v>77</v>
      </c>
      <c r="C202" s="92" t="s">
        <v>634</v>
      </c>
      <c r="D202" s="91" t="s">
        <v>635</v>
      </c>
      <c r="E202" s="88"/>
      <c r="F202" s="88">
        <v>102</v>
      </c>
      <c r="G202" s="88">
        <f t="shared" si="5"/>
        <v>2.0086001717619175</v>
      </c>
      <c r="H202" s="88">
        <v>25.316761</v>
      </c>
      <c r="I202" s="88">
        <v>5.9106270725375314</v>
      </c>
      <c r="J202" s="88">
        <v>1.5185139398778875</v>
      </c>
      <c r="K202" s="88">
        <v>1.251420568227286E-2</v>
      </c>
      <c r="L202" s="88">
        <v>0</v>
      </c>
      <c r="M202" s="88">
        <v>2.5316760999999999</v>
      </c>
      <c r="N202" s="88">
        <v>15.185139398778876</v>
      </c>
      <c r="O202" s="88">
        <v>1.2514205682272861</v>
      </c>
      <c r="P202" s="88"/>
      <c r="Q202" s="2"/>
      <c r="R202" s="2"/>
      <c r="S202" s="2"/>
      <c r="T202" s="2"/>
    </row>
    <row r="203" spans="1:38">
      <c r="A203" s="211" t="s">
        <v>76</v>
      </c>
      <c r="B203" s="212" t="s">
        <v>77</v>
      </c>
      <c r="C203" s="92" t="s">
        <v>634</v>
      </c>
      <c r="D203" s="91" t="s">
        <v>638</v>
      </c>
      <c r="E203" s="88"/>
      <c r="F203" s="88">
        <v>102</v>
      </c>
      <c r="G203" s="88">
        <f t="shared" si="5"/>
        <v>2.0086001717619175</v>
      </c>
      <c r="H203" s="88">
        <v>25.316761</v>
      </c>
      <c r="I203" s="88">
        <v>6.8907097258531618</v>
      </c>
      <c r="J203" s="88">
        <v>1.8750612633917001</v>
      </c>
      <c r="K203" s="88">
        <v>1.251420568227286E-2</v>
      </c>
      <c r="L203" s="88">
        <v>0</v>
      </c>
      <c r="M203" s="88">
        <v>2.5316760999999999</v>
      </c>
      <c r="N203" s="88">
        <v>18.750612633917001</v>
      </c>
      <c r="O203" s="88">
        <v>1.2514205682272861</v>
      </c>
      <c r="P203" s="88"/>
      <c r="Q203" s="2"/>
      <c r="R203" s="2"/>
      <c r="S203" s="2"/>
      <c r="T203" s="2"/>
    </row>
    <row r="204" spans="1:38">
      <c r="A204" s="211" t="s">
        <v>76</v>
      </c>
      <c r="B204" s="212" t="s">
        <v>721</v>
      </c>
      <c r="C204" s="92" t="s">
        <v>821</v>
      </c>
      <c r="D204" s="91" t="s">
        <v>823</v>
      </c>
      <c r="T204" s="2"/>
      <c r="X204" s="88">
        <v>7.0822469571428561</v>
      </c>
      <c r="Y204" s="88">
        <v>379.23908216136198</v>
      </c>
      <c r="Z204" s="88">
        <f>LOG(Y204)</f>
        <v>2.5789130868211254</v>
      </c>
      <c r="AA204" s="88">
        <v>33.570340999999999</v>
      </c>
      <c r="AB204" s="88">
        <v>5.8251468850792136</v>
      </c>
      <c r="AC204" s="88">
        <v>1.5185139398778877</v>
      </c>
      <c r="AD204" s="88">
        <v>1.0862459269421976E-2</v>
      </c>
      <c r="AE204" s="88">
        <v>1</v>
      </c>
      <c r="AF204" s="88">
        <v>3.3570340999999999</v>
      </c>
      <c r="AG204" s="88">
        <v>15.185139398778878</v>
      </c>
      <c r="AH204" s="88">
        <v>1.0862459269421976</v>
      </c>
      <c r="AI204" s="88">
        <v>0.70822469571428559</v>
      </c>
      <c r="AJ204" s="2">
        <v>0.23750000000000018</v>
      </c>
      <c r="AK204" s="2">
        <f>LOG(AJ204)</f>
        <v>-0.62433638603911434</v>
      </c>
      <c r="AL204" s="2">
        <f>LOG(AJ204+1)</f>
        <v>9.2545207605606417E-2</v>
      </c>
    </row>
    <row r="205" spans="1:38">
      <c r="A205" s="211" t="s">
        <v>76</v>
      </c>
      <c r="B205" s="212" t="s">
        <v>721</v>
      </c>
      <c r="C205" s="92" t="s">
        <v>821</v>
      </c>
      <c r="D205" s="91" t="s">
        <v>1048</v>
      </c>
      <c r="E205" s="88">
        <v>10.450049600000002</v>
      </c>
      <c r="F205" s="88">
        <v>1752.514477293508</v>
      </c>
      <c r="G205" s="88">
        <f t="shared" si="5"/>
        <v>3.2436616143035826</v>
      </c>
      <c r="H205" s="88">
        <v>36.391784999999999</v>
      </c>
      <c r="I205" s="88">
        <v>3.0330214446829107</v>
      </c>
      <c r="J205" s="88">
        <v>1.5185139398778875</v>
      </c>
      <c r="K205" s="88">
        <v>2.5041216486594114E-2</v>
      </c>
      <c r="L205" s="88">
        <v>1</v>
      </c>
      <c r="M205" s="88">
        <v>3.6391784999999999</v>
      </c>
      <c r="N205" s="88">
        <v>15.185139398778876</v>
      </c>
      <c r="O205" s="88">
        <v>2.5041216486594116</v>
      </c>
      <c r="P205" s="88">
        <v>1.0450049600000002</v>
      </c>
      <c r="Q205" s="2">
        <v>0.6100000000000001</v>
      </c>
      <c r="R205" s="2">
        <f>LOG(Q205)</f>
        <v>-0.21467016498923289</v>
      </c>
      <c r="S205" s="2">
        <f>LOG(Q205+1)</f>
        <v>0.20682587603184974</v>
      </c>
      <c r="T205" s="2"/>
    </row>
    <row r="206" spans="1:38">
      <c r="A206" s="211" t="s">
        <v>76</v>
      </c>
      <c r="B206" s="212" t="s">
        <v>721</v>
      </c>
      <c r="C206" s="92" t="s">
        <v>821</v>
      </c>
      <c r="D206" s="91" t="s">
        <v>1050</v>
      </c>
      <c r="E206" s="88">
        <v>11.215125899999997</v>
      </c>
      <c r="F206" s="88">
        <v>1066.7479427003962</v>
      </c>
      <c r="G206" s="88">
        <f t="shared" si="5"/>
        <v>3.0280618139642281</v>
      </c>
      <c r="H206" s="88">
        <v>30.514343</v>
      </c>
      <c r="I206" s="88">
        <v>3.8227563329513905</v>
      </c>
      <c r="J206" s="88">
        <v>1.5185139398778875</v>
      </c>
      <c r="K206" s="88">
        <v>1.6987194877951452E-2</v>
      </c>
      <c r="L206" s="88">
        <v>0</v>
      </c>
      <c r="M206" s="88">
        <v>3.0514342999999999</v>
      </c>
      <c r="N206" s="88">
        <v>15.185139398778876</v>
      </c>
      <c r="O206" s="88">
        <v>1.6987194877951453</v>
      </c>
      <c r="P206" s="88">
        <v>1.1215125899999996</v>
      </c>
      <c r="Q206" s="2"/>
      <c r="R206" s="2"/>
      <c r="S206" s="2"/>
      <c r="T206" s="2"/>
    </row>
    <row r="207" spans="1:38">
      <c r="A207" s="211" t="s">
        <v>76</v>
      </c>
      <c r="B207" s="212" t="s">
        <v>721</v>
      </c>
      <c r="C207" s="92" t="s">
        <v>821</v>
      </c>
      <c r="D207" s="91" t="s">
        <v>824</v>
      </c>
      <c r="E207" s="88">
        <v>4.9840804999999975</v>
      </c>
      <c r="F207" s="88">
        <v>64</v>
      </c>
      <c r="G207" s="88">
        <f t="shared" si="5"/>
        <v>1.8061799739838871</v>
      </c>
      <c r="H207" s="88">
        <v>27.552838000000001</v>
      </c>
      <c r="I207" s="88">
        <v>5.1031192535457137</v>
      </c>
      <c r="J207" s="88">
        <v>1.5185139398778875</v>
      </c>
      <c r="K207" s="88">
        <v>7.1628651460558916E-4</v>
      </c>
      <c r="L207" s="88">
        <v>0</v>
      </c>
      <c r="M207" s="88">
        <v>2.7552837999999999</v>
      </c>
      <c r="N207" s="88">
        <v>15.185139398778876</v>
      </c>
      <c r="O207" s="88">
        <v>7.1628651460558912E-2</v>
      </c>
      <c r="P207" s="88">
        <v>0.49840804999999977</v>
      </c>
      <c r="Q207" s="2"/>
      <c r="R207" s="2"/>
      <c r="S207" s="2"/>
      <c r="T207" s="2"/>
    </row>
    <row r="208" spans="1:38">
      <c r="A208" s="211" t="s">
        <v>76</v>
      </c>
      <c r="B208" s="212" t="s">
        <v>721</v>
      </c>
      <c r="C208" s="92" t="s">
        <v>821</v>
      </c>
      <c r="D208" s="91" t="s">
        <v>825</v>
      </c>
      <c r="E208" s="88">
        <v>6.4434833999999981</v>
      </c>
      <c r="F208" s="88">
        <v>50</v>
      </c>
      <c r="G208" s="88">
        <f t="shared" si="5"/>
        <v>1.6989700043360187</v>
      </c>
      <c r="H208" s="88">
        <v>34.928621</v>
      </c>
      <c r="I208" s="88">
        <v>5.0360297306565434</v>
      </c>
      <c r="J208" s="88">
        <v>1.5185139398778875</v>
      </c>
      <c r="K208" s="88">
        <v>1.5214085634253638E-2</v>
      </c>
      <c r="L208" s="88">
        <v>0</v>
      </c>
      <c r="M208" s="88">
        <v>3.4928621</v>
      </c>
      <c r="N208" s="88">
        <v>15.185139398778876</v>
      </c>
      <c r="O208" s="88">
        <v>1.5214085634253638</v>
      </c>
      <c r="P208" s="88">
        <v>0.64434833999999985</v>
      </c>
      <c r="Q208" s="2"/>
      <c r="R208" s="2"/>
      <c r="S208" s="2"/>
      <c r="T208" s="2"/>
    </row>
    <row r="209" spans="1:20">
      <c r="A209" s="211" t="s">
        <v>348</v>
      </c>
      <c r="B209" s="212" t="s">
        <v>349</v>
      </c>
      <c r="C209" s="92" t="s">
        <v>1175</v>
      </c>
      <c r="D209" s="91" t="s">
        <v>620</v>
      </c>
      <c r="E209" s="88">
        <v>5.1472572999999997</v>
      </c>
      <c r="F209" s="88">
        <v>111</v>
      </c>
      <c r="G209" s="88">
        <f t="shared" si="5"/>
        <v>2.0453229787866576</v>
      </c>
      <c r="H209" s="88">
        <v>35.994033000000002</v>
      </c>
      <c r="I209" s="88">
        <v>5.8803258801212754</v>
      </c>
      <c r="J209" s="88">
        <v>2.0606978403536118</v>
      </c>
      <c r="K209" s="88">
        <v>2.4533813525410383E-2</v>
      </c>
      <c r="L209" s="88">
        <v>0</v>
      </c>
      <c r="M209" s="88">
        <v>3.5994033000000001</v>
      </c>
      <c r="N209" s="88">
        <v>20.606978403536118</v>
      </c>
      <c r="O209" s="88">
        <v>2.4533813525410384</v>
      </c>
      <c r="P209" s="88">
        <v>0.51472572999999999</v>
      </c>
      <c r="Q209" s="2"/>
      <c r="R209" s="2"/>
      <c r="S209" s="2"/>
      <c r="T209" s="2"/>
    </row>
    <row r="210" spans="1:20">
      <c r="A210" s="211" t="s">
        <v>348</v>
      </c>
      <c r="B210" s="212" t="s">
        <v>349</v>
      </c>
      <c r="C210" s="92" t="s">
        <v>1175</v>
      </c>
      <c r="D210" s="91" t="s">
        <v>1294</v>
      </c>
      <c r="E210" s="88">
        <v>10.071940099999996</v>
      </c>
      <c r="F210" s="88">
        <v>1158</v>
      </c>
      <c r="G210" s="88">
        <f t="shared" si="5"/>
        <v>3.0637085593914173</v>
      </c>
      <c r="H210" s="88">
        <v>37.375135999999998</v>
      </c>
      <c r="I210" s="88">
        <v>6.0288098864268918</v>
      </c>
      <c r="J210" s="88">
        <v>2.1875207208364631</v>
      </c>
      <c r="K210" s="88">
        <v>1.7852340936374687E-2</v>
      </c>
      <c r="L210" s="88">
        <v>0</v>
      </c>
      <c r="M210" s="88">
        <v>3.7375135999999998</v>
      </c>
      <c r="N210" s="88">
        <v>21.875207208364632</v>
      </c>
      <c r="O210" s="88">
        <v>1.7852340936374687</v>
      </c>
      <c r="P210" s="88">
        <v>1.0071940099999996</v>
      </c>
      <c r="Q210" s="2"/>
      <c r="R210" s="2"/>
      <c r="S210" s="2"/>
      <c r="T210" s="2"/>
    </row>
    <row r="211" spans="1:20">
      <c r="A211" s="211" t="s">
        <v>76</v>
      </c>
      <c r="B211" s="212" t="s">
        <v>450</v>
      </c>
      <c r="C211" s="92" t="s">
        <v>508</v>
      </c>
      <c r="D211" s="91" t="s">
        <v>509</v>
      </c>
      <c r="E211" s="88">
        <v>-2.0690538000000025</v>
      </c>
      <c r="F211" s="88">
        <v>3135.5</v>
      </c>
      <c r="G211" s="88">
        <f t="shared" si="5"/>
        <v>3.4963068051113688</v>
      </c>
      <c r="H211" s="88">
        <v>11.183299999999999</v>
      </c>
      <c r="I211" s="88">
        <v>3.4051755462179893</v>
      </c>
      <c r="J211" s="88">
        <v>1.3424226808222062</v>
      </c>
      <c r="K211" s="88">
        <v>7.0736294517803316E-3</v>
      </c>
      <c r="L211" s="88">
        <v>1</v>
      </c>
      <c r="M211" s="88">
        <v>1.1183299999999998</v>
      </c>
      <c r="N211" s="88">
        <v>13.424226808222063</v>
      </c>
      <c r="O211" s="88">
        <v>0.70736294517803311</v>
      </c>
      <c r="P211" s="88">
        <v>-0.20690538000000025</v>
      </c>
      <c r="Q211" s="2"/>
      <c r="R211" s="2"/>
      <c r="S211" s="2"/>
      <c r="T211" s="2"/>
    </row>
    <row r="212" spans="1:20">
      <c r="A212" s="211" t="s">
        <v>76</v>
      </c>
      <c r="B212" s="212" t="s">
        <v>582</v>
      </c>
      <c r="C212" s="92" t="s">
        <v>828</v>
      </c>
      <c r="D212" s="91" t="s">
        <v>827</v>
      </c>
      <c r="E212" s="88">
        <v>12.430498216666669</v>
      </c>
      <c r="F212" s="88">
        <v>449.16666666666669</v>
      </c>
      <c r="G212" s="88">
        <f t="shared" si="5"/>
        <v>2.6524075191391141</v>
      </c>
      <c r="H212" s="88">
        <v>26.816666666666666</v>
      </c>
      <c r="I212" s="88">
        <v>6.0637040589071463</v>
      </c>
      <c r="J212" s="88">
        <v>2.0530784434834195</v>
      </c>
      <c r="K212" s="88">
        <v>1.7124116313191943E-2</v>
      </c>
      <c r="L212" s="88">
        <v>1</v>
      </c>
      <c r="M212" s="88">
        <v>2.6816666666666666</v>
      </c>
      <c r="N212" s="88">
        <v>20.530784434834196</v>
      </c>
      <c r="O212" s="88">
        <v>1.7124116313191944</v>
      </c>
      <c r="P212" s="88">
        <v>1.2430498216666668</v>
      </c>
      <c r="Q212" s="2"/>
      <c r="R212" s="2"/>
      <c r="S212" s="2"/>
      <c r="T212" s="2"/>
    </row>
    <row r="213" spans="1:20">
      <c r="A213" s="211" t="s">
        <v>76</v>
      </c>
      <c r="B213" s="212" t="s">
        <v>369</v>
      </c>
      <c r="C213" s="92" t="s">
        <v>370</v>
      </c>
      <c r="D213" s="91" t="s">
        <v>639</v>
      </c>
      <c r="E213" s="88"/>
      <c r="F213" s="88">
        <v>1756</v>
      </c>
      <c r="G213" s="88">
        <f t="shared" si="5"/>
        <v>3.2445245115700838</v>
      </c>
      <c r="H213" s="88">
        <v>37.378830999999998</v>
      </c>
      <c r="I213" s="88">
        <v>6.993513514811224</v>
      </c>
      <c r="J213" s="88">
        <v>1.7201593034059568</v>
      </c>
      <c r="K213" s="88">
        <v>3.0292917166866652E-2</v>
      </c>
      <c r="L213" s="88">
        <v>0</v>
      </c>
      <c r="M213" s="88">
        <v>3.7378830999999999</v>
      </c>
      <c r="N213" s="88">
        <v>17.201593034059567</v>
      </c>
      <c r="O213" s="88">
        <v>3.0292917166866653</v>
      </c>
      <c r="P213" s="88"/>
      <c r="Q213" s="2"/>
      <c r="R213" s="2"/>
      <c r="S213" s="2"/>
      <c r="T213" s="2"/>
    </row>
    <row r="214" spans="1:20">
      <c r="A214" s="211" t="s">
        <v>76</v>
      </c>
      <c r="B214" s="212" t="s">
        <v>369</v>
      </c>
      <c r="C214" s="92" t="s">
        <v>370</v>
      </c>
      <c r="D214" s="91" t="s">
        <v>1053</v>
      </c>
      <c r="E214" s="88">
        <v>7.1780764333333318</v>
      </c>
      <c r="F214" s="88">
        <v>914</v>
      </c>
      <c r="G214" s="88">
        <f t="shared" si="5"/>
        <v>2.9609461957338312</v>
      </c>
      <c r="H214" s="88">
        <v>39.722932999999998</v>
      </c>
      <c r="I214" s="88">
        <v>5.3180278382900781</v>
      </c>
      <c r="J214" s="88">
        <v>1.7403626894942439</v>
      </c>
      <c r="K214" s="88">
        <v>-3.0836334533811184E-3</v>
      </c>
      <c r="L214" s="88">
        <v>1</v>
      </c>
      <c r="M214" s="88">
        <v>3.9722932999999996</v>
      </c>
      <c r="N214" s="88">
        <v>17.403626894942438</v>
      </c>
      <c r="O214" s="88">
        <v>-0.30836334533811183</v>
      </c>
      <c r="P214" s="88">
        <v>0.71780764333333313</v>
      </c>
      <c r="Q214" s="2">
        <v>0.12</v>
      </c>
      <c r="R214" s="2">
        <f>LOG(Q214)</f>
        <v>-0.92081875395237522</v>
      </c>
      <c r="S214" s="2">
        <f>LOG(Q214+1)</f>
        <v>4.9218022670181653E-2</v>
      </c>
      <c r="T214" s="2"/>
    </row>
    <row r="215" spans="1:20">
      <c r="A215" s="211" t="s">
        <v>76</v>
      </c>
      <c r="B215" s="212" t="s">
        <v>369</v>
      </c>
      <c r="C215" s="92" t="s">
        <v>370</v>
      </c>
      <c r="D215" s="91" t="s">
        <v>1055</v>
      </c>
      <c r="E215" s="88">
        <v>6.5916087999999959</v>
      </c>
      <c r="F215" s="88">
        <v>2134</v>
      </c>
      <c r="G215" s="88">
        <f t="shared" si="5"/>
        <v>3.3291944150884509</v>
      </c>
      <c r="H215" s="88">
        <v>39.992683</v>
      </c>
      <c r="I215" s="88">
        <v>5.0555006506215214</v>
      </c>
      <c r="J215" s="88">
        <v>1.8750612633917001</v>
      </c>
      <c r="K215" s="88">
        <v>1.8295318127250985E-2</v>
      </c>
      <c r="L215" s="88">
        <v>1</v>
      </c>
      <c r="M215" s="88">
        <v>3.9992682999999998</v>
      </c>
      <c r="N215" s="88">
        <v>18.750612633917001</v>
      </c>
      <c r="O215" s="88">
        <v>1.8295318127250986</v>
      </c>
      <c r="P215" s="88">
        <v>0.65916087999999962</v>
      </c>
      <c r="Q215" s="2">
        <v>0.11200000000000003</v>
      </c>
      <c r="R215" s="2">
        <f>LOG(Q215)</f>
        <v>-0.95078197732981828</v>
      </c>
      <c r="S215" s="2">
        <f>LOG(Q215+1)</f>
        <v>4.6104787246038705E-2</v>
      </c>
      <c r="T215" s="2"/>
    </row>
    <row r="216" spans="1:20">
      <c r="A216" s="211" t="s">
        <v>76</v>
      </c>
      <c r="B216" s="212" t="s">
        <v>369</v>
      </c>
      <c r="C216" s="92" t="s">
        <v>370</v>
      </c>
      <c r="D216" s="91" t="s">
        <v>1057</v>
      </c>
      <c r="E216" s="88"/>
      <c r="F216" s="88">
        <v>420</v>
      </c>
      <c r="G216" s="88">
        <f t="shared" si="5"/>
        <v>2.6232492903979003</v>
      </c>
      <c r="H216" s="88">
        <v>36.1</v>
      </c>
      <c r="I216" s="88">
        <v>6.4522942477187515</v>
      </c>
      <c r="J216" s="88">
        <v>1.6434526764861874</v>
      </c>
      <c r="K216" s="88">
        <v>3.0003601440576427E-2</v>
      </c>
      <c r="L216" s="88">
        <v>0</v>
      </c>
      <c r="M216" s="88">
        <v>3.6100000000000003</v>
      </c>
      <c r="N216" s="88">
        <v>16.434526764861875</v>
      </c>
      <c r="O216" s="88">
        <v>3.0003601440576428</v>
      </c>
      <c r="P216" s="88"/>
      <c r="Q216" s="2">
        <v>0.28666666666666674</v>
      </c>
      <c r="R216" s="2">
        <f>LOG(Q216)</f>
        <v>-0.5426228034760946</v>
      </c>
      <c r="S216" s="2">
        <f>LOG(Q216+1)</f>
        <v>0.1094660499520925</v>
      </c>
      <c r="T216" s="2"/>
    </row>
    <row r="217" spans="1:20">
      <c r="A217" s="211" t="s">
        <v>76</v>
      </c>
      <c r="B217" s="212" t="s">
        <v>369</v>
      </c>
      <c r="C217" s="92" t="s">
        <v>370</v>
      </c>
      <c r="D217" s="91" t="s">
        <v>371</v>
      </c>
      <c r="E217" s="88">
        <v>7.302713728571427</v>
      </c>
      <c r="F217" s="88">
        <v>326.375</v>
      </c>
      <c r="G217" s="88">
        <f t="shared" si="5"/>
        <v>2.513716884831001</v>
      </c>
      <c r="H217" s="88">
        <v>39.536978437500011</v>
      </c>
      <c r="I217" s="88">
        <v>6.5827999017171539</v>
      </c>
      <c r="J217" s="88">
        <v>1.9395192526186191</v>
      </c>
      <c r="K217" s="88">
        <v>2.4128476390556319E-2</v>
      </c>
      <c r="L217" s="88">
        <v>0</v>
      </c>
      <c r="M217" s="88">
        <v>3.953697843750001</v>
      </c>
      <c r="N217" s="88">
        <v>19.395192526186193</v>
      </c>
      <c r="O217" s="88">
        <v>2.4128476390556317</v>
      </c>
      <c r="P217" s="88">
        <v>0.73027137285714272</v>
      </c>
      <c r="Q217" s="2">
        <v>0.17666666666666669</v>
      </c>
      <c r="R217" s="2">
        <f>LOG(Q217)</f>
        <v>-0.75284538511887333</v>
      </c>
      <c r="S217" s="2">
        <f>LOG(Q217+1)</f>
        <v>7.0653450668160159E-2</v>
      </c>
      <c r="T217" s="2"/>
    </row>
    <row r="218" spans="1:20">
      <c r="A218" s="211" t="s">
        <v>76</v>
      </c>
      <c r="B218" s="212" t="s">
        <v>369</v>
      </c>
      <c r="C218" s="92" t="s">
        <v>370</v>
      </c>
      <c r="D218" s="91" t="s">
        <v>640</v>
      </c>
      <c r="E218" s="88"/>
      <c r="F218" s="88">
        <v>1756</v>
      </c>
      <c r="G218" s="88">
        <f t="shared" si="5"/>
        <v>3.2445245115700838</v>
      </c>
      <c r="H218" s="88">
        <v>37.378830999999998</v>
      </c>
      <c r="I218" s="88">
        <v>5.0045535087820108</v>
      </c>
      <c r="J218" s="88">
        <v>1.8750612633917001</v>
      </c>
      <c r="K218" s="88">
        <v>3.0292917166866652E-2</v>
      </c>
      <c r="L218" s="88">
        <v>1</v>
      </c>
      <c r="M218" s="88">
        <v>3.7378830999999999</v>
      </c>
      <c r="N218" s="88">
        <v>18.750612633917001</v>
      </c>
      <c r="O218" s="88">
        <v>3.0292917166866653</v>
      </c>
      <c r="P218" s="88"/>
      <c r="Q218" s="2"/>
      <c r="R218" s="2"/>
      <c r="S218" s="2"/>
      <c r="T218" s="2"/>
    </row>
    <row r="219" spans="1:20">
      <c r="A219" s="211" t="s">
        <v>76</v>
      </c>
      <c r="B219" s="212" t="s">
        <v>369</v>
      </c>
      <c r="C219" s="92" t="s">
        <v>370</v>
      </c>
      <c r="D219" s="91" t="s">
        <v>1061</v>
      </c>
      <c r="E219" s="88">
        <v>10.729220400000001</v>
      </c>
      <c r="F219" s="88">
        <v>610</v>
      </c>
      <c r="G219" s="88">
        <f t="shared" si="5"/>
        <v>2.7853298350107671</v>
      </c>
      <c r="H219" s="88">
        <v>51.091388999999999</v>
      </c>
      <c r="I219" s="88">
        <v>4.977408055741174</v>
      </c>
      <c r="J219" s="88">
        <v>1.9395192526186185</v>
      </c>
      <c r="K219" s="88">
        <v>2.165706282513008E-2</v>
      </c>
      <c r="L219" s="88">
        <v>1</v>
      </c>
      <c r="M219" s="88">
        <v>5.1091388999999996</v>
      </c>
      <c r="N219" s="88">
        <v>19.395192526186186</v>
      </c>
      <c r="O219" s="88">
        <v>2.1657062825130078</v>
      </c>
      <c r="P219" s="88">
        <v>1.0729220400000001</v>
      </c>
      <c r="Q219" s="2">
        <v>0.11999999999999986</v>
      </c>
      <c r="R219" s="2">
        <f>LOG(Q219)</f>
        <v>-0.92081875395237567</v>
      </c>
      <c r="S219" s="2">
        <f>LOG(Q219+1)</f>
        <v>4.921802267018157E-2</v>
      </c>
      <c r="T219" s="2"/>
    </row>
    <row r="220" spans="1:20">
      <c r="A220" s="211" t="s">
        <v>76</v>
      </c>
      <c r="B220" s="212" t="s">
        <v>369</v>
      </c>
      <c r="C220" s="92" t="s">
        <v>370</v>
      </c>
      <c r="D220" s="91" t="s">
        <v>641</v>
      </c>
      <c r="E220" s="88"/>
      <c r="F220" s="88">
        <v>1756</v>
      </c>
      <c r="G220" s="88">
        <f t="shared" si="5"/>
        <v>3.2445245115700838</v>
      </c>
      <c r="H220" s="88">
        <v>37.378830999999998</v>
      </c>
      <c r="I220" s="88">
        <v>6.8904054800588463</v>
      </c>
      <c r="J220" s="88">
        <v>1.8750612633917001</v>
      </c>
      <c r="K220" s="88">
        <v>3.0292917166866652E-2</v>
      </c>
      <c r="L220" s="88">
        <v>0</v>
      </c>
      <c r="M220" s="88">
        <v>3.7378830999999999</v>
      </c>
      <c r="N220" s="88">
        <v>18.750612633917001</v>
      </c>
      <c r="O220" s="88">
        <v>3.0292917166866653</v>
      </c>
      <c r="P220" s="88"/>
      <c r="Q220" s="2"/>
      <c r="R220" s="2"/>
      <c r="S220" s="2"/>
      <c r="T220" s="2"/>
    </row>
    <row r="221" spans="1:20">
      <c r="A221" s="211" t="s">
        <v>76</v>
      </c>
      <c r="B221" s="212" t="s">
        <v>369</v>
      </c>
      <c r="C221" s="92" t="s">
        <v>370</v>
      </c>
      <c r="D221" s="91" t="s">
        <v>589</v>
      </c>
      <c r="E221" s="88">
        <v>8.3375124000000014</v>
      </c>
      <c r="F221" s="88">
        <v>32</v>
      </c>
      <c r="G221" s="88">
        <f t="shared" si="5"/>
        <v>1.505149978319906</v>
      </c>
      <c r="H221" s="88">
        <v>39.855848999999999</v>
      </c>
      <c r="I221" s="88">
        <v>5.2215472446115729</v>
      </c>
      <c r="J221" s="88">
        <v>1.7403626894942439</v>
      </c>
      <c r="K221" s="88">
        <v>2.2967987194878095E-2</v>
      </c>
      <c r="L221" s="88">
        <v>0</v>
      </c>
      <c r="M221" s="88">
        <v>3.9855849000000001</v>
      </c>
      <c r="N221" s="88">
        <v>17.403626894942438</v>
      </c>
      <c r="O221" s="88">
        <v>2.2967987194878097</v>
      </c>
      <c r="P221" s="88">
        <v>0.83375124000000012</v>
      </c>
      <c r="Q221" s="2"/>
      <c r="R221" s="2"/>
      <c r="S221" s="2"/>
      <c r="T221" s="2"/>
    </row>
    <row r="222" spans="1:20">
      <c r="A222" s="211" t="s">
        <v>76</v>
      </c>
      <c r="B222" s="212" t="s">
        <v>389</v>
      </c>
      <c r="C222" s="92" t="s">
        <v>1063</v>
      </c>
      <c r="D222" s="91" t="s">
        <v>1064</v>
      </c>
      <c r="E222" s="88">
        <v>8.0501487999999952</v>
      </c>
      <c r="F222" s="88">
        <v>579</v>
      </c>
      <c r="G222" s="88">
        <f t="shared" si="5"/>
        <v>2.762678563727436</v>
      </c>
      <c r="H222" s="88">
        <v>9.9130559999999992</v>
      </c>
      <c r="I222" s="88">
        <v>5.4968618707158843</v>
      </c>
      <c r="J222" s="88">
        <v>1.7403626894942439</v>
      </c>
      <c r="K222" s="88">
        <v>2.087034813925567E-2</v>
      </c>
      <c r="L222" s="88">
        <v>0</v>
      </c>
      <c r="M222" s="88">
        <v>0.9913055999999999</v>
      </c>
      <c r="N222" s="88">
        <v>17.403626894942438</v>
      </c>
      <c r="O222" s="88">
        <v>2.087034813925567</v>
      </c>
      <c r="P222" s="88">
        <v>0.80501487999999954</v>
      </c>
      <c r="Q222" s="2">
        <v>0.25</v>
      </c>
      <c r="R222" s="2">
        <f>LOG(Q222)</f>
        <v>-0.6020599913279624</v>
      </c>
      <c r="S222" s="2">
        <f>LOG(Q222+1)</f>
        <v>9.691001300805642E-2</v>
      </c>
      <c r="T222" s="2"/>
    </row>
    <row r="223" spans="1:20">
      <c r="A223" s="211" t="s">
        <v>76</v>
      </c>
      <c r="B223" s="212" t="s">
        <v>389</v>
      </c>
      <c r="C223" s="92" t="s">
        <v>405</v>
      </c>
      <c r="D223" s="91" t="s">
        <v>1295</v>
      </c>
      <c r="E223" s="88">
        <v>5.1309461999999968</v>
      </c>
      <c r="F223" s="88">
        <v>849</v>
      </c>
      <c r="G223" s="88">
        <f t="shared" si="5"/>
        <v>2.9289076902439528</v>
      </c>
      <c r="H223" s="88">
        <v>31.700790000000001</v>
      </c>
      <c r="I223" s="88">
        <v>6.2209207137698659</v>
      </c>
      <c r="J223" s="88">
        <v>1.8750612633917001</v>
      </c>
      <c r="K223" s="88">
        <v>5.107643057222359E-3</v>
      </c>
      <c r="L223" s="88">
        <v>0</v>
      </c>
      <c r="M223" s="88">
        <v>3.1700790000000003</v>
      </c>
      <c r="N223" s="88">
        <v>18.750612633917001</v>
      </c>
      <c r="O223" s="88">
        <v>0.51076430572223586</v>
      </c>
      <c r="P223" s="88">
        <v>0.51309461999999972</v>
      </c>
      <c r="Q223" s="2"/>
      <c r="R223" s="2"/>
      <c r="S223" s="2"/>
      <c r="T223" s="2"/>
    </row>
    <row r="224" spans="1:20">
      <c r="A224" s="211" t="s">
        <v>76</v>
      </c>
      <c r="B224" s="212" t="s">
        <v>389</v>
      </c>
      <c r="C224" s="92" t="s">
        <v>405</v>
      </c>
      <c r="D224" s="91" t="s">
        <v>643</v>
      </c>
      <c r="E224" s="88"/>
      <c r="F224" s="88">
        <v>312</v>
      </c>
      <c r="G224" s="88">
        <f t="shared" si="5"/>
        <v>2.4941545940184429</v>
      </c>
      <c r="H224" s="88">
        <v>27.087367</v>
      </c>
      <c r="I224" s="88">
        <v>6.1025688442318549</v>
      </c>
      <c r="J224" s="88">
        <v>1.8750612633917001</v>
      </c>
      <c r="K224" s="88">
        <v>2.8247298919569274E-3</v>
      </c>
      <c r="L224" s="88">
        <v>0</v>
      </c>
      <c r="M224" s="88">
        <v>2.7087367000000002</v>
      </c>
      <c r="N224" s="88">
        <v>18.750612633917001</v>
      </c>
      <c r="O224" s="88">
        <v>0.28247298919569275</v>
      </c>
      <c r="P224" s="88"/>
      <c r="Q224" s="2"/>
      <c r="R224" s="2"/>
      <c r="S224" s="2"/>
      <c r="T224" s="2"/>
    </row>
    <row r="225" spans="1:20">
      <c r="A225" s="211" t="s">
        <v>76</v>
      </c>
      <c r="B225" s="212" t="s">
        <v>389</v>
      </c>
      <c r="C225" s="92" t="s">
        <v>405</v>
      </c>
      <c r="D225" s="91" t="s">
        <v>646</v>
      </c>
      <c r="E225" s="88">
        <v>10.8562686</v>
      </c>
      <c r="F225" s="88">
        <v>178</v>
      </c>
      <c r="G225" s="88">
        <f t="shared" si="5"/>
        <v>2.2504200023088941</v>
      </c>
      <c r="H225" s="88">
        <v>12.801333</v>
      </c>
      <c r="I225" s="88">
        <v>7.0423852553013191</v>
      </c>
      <c r="J225" s="88">
        <v>1.5185139398778873</v>
      </c>
      <c r="K225" s="88">
        <v>1.2911431239162455E-2</v>
      </c>
      <c r="L225" s="88">
        <v>0</v>
      </c>
      <c r="M225" s="88">
        <v>1.2801332999999999</v>
      </c>
      <c r="N225" s="88">
        <v>15.185139398778873</v>
      </c>
      <c r="O225" s="88">
        <v>1.2911431239162454</v>
      </c>
      <c r="P225" s="88">
        <v>1.0856268600000001</v>
      </c>
      <c r="Q225" s="2"/>
      <c r="R225" s="2"/>
      <c r="S225" s="2"/>
      <c r="T225" s="2"/>
    </row>
    <row r="226" spans="1:20">
      <c r="A226" s="211" t="s">
        <v>76</v>
      </c>
      <c r="B226" s="212" t="s">
        <v>389</v>
      </c>
      <c r="C226" s="92" t="s">
        <v>405</v>
      </c>
      <c r="D226" s="91" t="s">
        <v>510</v>
      </c>
      <c r="E226" s="88"/>
      <c r="F226" s="88">
        <v>785</v>
      </c>
      <c r="G226" s="88">
        <f t="shared" si="5"/>
        <v>2.8948696567452528</v>
      </c>
      <c r="H226" s="88">
        <v>23.550519999999999</v>
      </c>
      <c r="I226" s="88">
        <v>6.1902162445502631</v>
      </c>
      <c r="J226" s="88">
        <v>1.5185139398778875</v>
      </c>
      <c r="K226" s="88">
        <v>3.5503801520608322E-2</v>
      </c>
      <c r="L226" s="88">
        <v>0</v>
      </c>
      <c r="M226" s="88">
        <v>2.3550519999999997</v>
      </c>
      <c r="N226" s="88">
        <v>15.185139398778876</v>
      </c>
      <c r="O226" s="88">
        <v>3.550380152060832</v>
      </c>
      <c r="P226" s="88"/>
      <c r="Q226" s="2">
        <v>8.9999999999999858E-2</v>
      </c>
      <c r="R226" s="2">
        <f>LOG(Q226)</f>
        <v>-1.0457574905606759</v>
      </c>
      <c r="S226" s="2">
        <f>LOG(Q226+1)</f>
        <v>3.7426497940623582E-2</v>
      </c>
      <c r="T226" s="2"/>
    </row>
    <row r="227" spans="1:20">
      <c r="A227" s="211" t="s">
        <v>76</v>
      </c>
      <c r="B227" s="212" t="s">
        <v>389</v>
      </c>
      <c r="C227" s="92" t="s">
        <v>405</v>
      </c>
      <c r="D227" s="91" t="s">
        <v>406</v>
      </c>
      <c r="E227" s="88">
        <v>9.3891649909090891</v>
      </c>
      <c r="F227" s="88">
        <v>160.59574468085106</v>
      </c>
      <c r="G227" s="88">
        <f t="shared" si="5"/>
        <v>2.2057340335571762</v>
      </c>
      <c r="H227" s="88">
        <v>23.287268063829771</v>
      </c>
      <c r="I227" s="88">
        <v>7.0538666832249381</v>
      </c>
      <c r="J227" s="88">
        <v>2.1643528557844389</v>
      </c>
      <c r="K227" s="88">
        <v>1.9654329817030982E-3</v>
      </c>
      <c r="L227" s="88">
        <v>0</v>
      </c>
      <c r="M227" s="88">
        <v>2.3287268063829769</v>
      </c>
      <c r="N227" s="88">
        <v>21.643528557844391</v>
      </c>
      <c r="O227" s="88">
        <v>0.19654329817030983</v>
      </c>
      <c r="P227" s="88">
        <v>0.93891649909090891</v>
      </c>
      <c r="Q227" s="2">
        <v>0.18485396273291893</v>
      </c>
      <c r="R227" s="2">
        <f>LOG(Q227)</f>
        <v>-0.73317123497676417</v>
      </c>
      <c r="S227" s="2">
        <f>LOG(Q227+1)</f>
        <v>7.3664825377645113E-2</v>
      </c>
      <c r="T227" s="2"/>
    </row>
    <row r="228" spans="1:20">
      <c r="A228" s="211" t="s">
        <v>76</v>
      </c>
      <c r="B228" s="212" t="s">
        <v>389</v>
      </c>
      <c r="C228" s="92" t="s">
        <v>405</v>
      </c>
      <c r="D228" s="91" t="s">
        <v>647</v>
      </c>
      <c r="E228" s="88"/>
      <c r="F228" s="88">
        <v>102</v>
      </c>
      <c r="G228" s="88">
        <f t="shared" si="5"/>
        <v>2.0086001717619175</v>
      </c>
      <c r="H228" s="88">
        <v>25.316761</v>
      </c>
      <c r="I228" s="88">
        <v>6.8152144890710114</v>
      </c>
      <c r="J228" s="88">
        <v>1.8750612633917001</v>
      </c>
      <c r="K228" s="88">
        <v>1.251420568227286E-2</v>
      </c>
      <c r="L228" s="88">
        <v>0</v>
      </c>
      <c r="M228" s="88">
        <v>2.5316760999999999</v>
      </c>
      <c r="N228" s="88">
        <v>18.750612633917001</v>
      </c>
      <c r="O228" s="88">
        <v>1.2514205682272861</v>
      </c>
      <c r="P228" s="88"/>
      <c r="Q228" s="2"/>
      <c r="R228" s="2"/>
      <c r="S228" s="2"/>
      <c r="T228" s="2"/>
    </row>
    <row r="229" spans="1:20">
      <c r="A229" s="211" t="s">
        <v>76</v>
      </c>
      <c r="B229" s="212" t="s">
        <v>389</v>
      </c>
      <c r="C229" s="92" t="s">
        <v>1100</v>
      </c>
      <c r="D229" s="91" t="s">
        <v>1098</v>
      </c>
      <c r="E229" s="88"/>
      <c r="F229" s="88">
        <v>899</v>
      </c>
      <c r="G229" s="88">
        <f t="shared" si="5"/>
        <v>2.9537596917332287</v>
      </c>
      <c r="H229" s="88">
        <v>41.181389000000003</v>
      </c>
      <c r="I229" s="88">
        <v>6.0679838864130815</v>
      </c>
      <c r="J229" s="88">
        <v>1.8750612633917001</v>
      </c>
      <c r="K229" s="88">
        <v>2.3605042016806591E-2</v>
      </c>
      <c r="L229" s="88">
        <v>0</v>
      </c>
      <c r="M229" s="88">
        <v>4.1181388999999999</v>
      </c>
      <c r="N229" s="88">
        <v>18.750612633917001</v>
      </c>
      <c r="O229" s="88">
        <v>2.360504201680659</v>
      </c>
      <c r="P229" s="88"/>
      <c r="Q229" s="2"/>
      <c r="R229" s="2"/>
      <c r="S229" s="2"/>
      <c r="T229" s="2"/>
    </row>
    <row r="230" spans="1:20">
      <c r="A230" s="211" t="s">
        <v>348</v>
      </c>
      <c r="B230" s="212" t="s">
        <v>850</v>
      </c>
      <c r="C230" s="92" t="s">
        <v>851</v>
      </c>
      <c r="D230" s="91" t="s">
        <v>852</v>
      </c>
      <c r="E230" s="88">
        <v>8.1968160999999995</v>
      </c>
      <c r="F230" s="88">
        <v>661</v>
      </c>
      <c r="G230" s="88">
        <f t="shared" si="5"/>
        <v>2.8202014594856402</v>
      </c>
      <c r="H230" s="88">
        <v>47.590189000000002</v>
      </c>
      <c r="I230" s="88">
        <v>4.2083069623536629</v>
      </c>
      <c r="J230" s="88">
        <v>2.0606978403536118</v>
      </c>
      <c r="K230" s="88">
        <v>8.9179671868751774E-3</v>
      </c>
      <c r="L230" s="88">
        <v>1</v>
      </c>
      <c r="M230" s="88">
        <v>4.7590189000000001</v>
      </c>
      <c r="N230" s="88">
        <v>20.606978403536118</v>
      </c>
      <c r="O230" s="88">
        <v>0.89179671868751775</v>
      </c>
      <c r="P230" s="88">
        <v>0.81968160999999995</v>
      </c>
      <c r="Q230" s="2"/>
      <c r="R230" s="2"/>
      <c r="S230" s="2"/>
      <c r="T230" s="2"/>
    </row>
    <row r="231" spans="1:20">
      <c r="A231" s="211" t="s">
        <v>348</v>
      </c>
      <c r="B231" s="212" t="s">
        <v>850</v>
      </c>
      <c r="C231" s="92" t="s">
        <v>851</v>
      </c>
      <c r="D231" s="91" t="s">
        <v>853</v>
      </c>
      <c r="E231" s="88">
        <v>6.8373139999999992</v>
      </c>
      <c r="F231" s="88">
        <v>700</v>
      </c>
      <c r="G231" s="88">
        <f t="shared" si="5"/>
        <v>2.8450980400142569</v>
      </c>
      <c r="H231" s="88">
        <v>44.504286999999998</v>
      </c>
      <c r="I231" s="88">
        <v>4.6783544634005372</v>
      </c>
      <c r="J231" s="88">
        <v>2.0606978403536118</v>
      </c>
      <c r="K231" s="88">
        <v>4.3057222889152863E-3</v>
      </c>
      <c r="L231" s="88">
        <v>0</v>
      </c>
      <c r="M231" s="88">
        <v>4.4504286999999998</v>
      </c>
      <c r="N231" s="88">
        <v>20.606978403536118</v>
      </c>
      <c r="O231" s="88">
        <v>0.43057222889152863</v>
      </c>
      <c r="P231" s="88">
        <v>0.68373139999999988</v>
      </c>
      <c r="Q231" s="2"/>
      <c r="R231" s="2"/>
      <c r="S231" s="2"/>
      <c r="T231" s="2"/>
    </row>
    <row r="232" spans="1:20">
      <c r="A232" s="211" t="s">
        <v>348</v>
      </c>
      <c r="B232" s="212" t="s">
        <v>622</v>
      </c>
      <c r="C232" s="92" t="s">
        <v>648</v>
      </c>
      <c r="D232" s="91" t="s">
        <v>649</v>
      </c>
      <c r="E232" s="88"/>
      <c r="F232" s="88">
        <v>1756</v>
      </c>
      <c r="G232" s="88">
        <f t="shared" si="5"/>
        <v>3.2445245115700838</v>
      </c>
      <c r="H232" s="88">
        <v>37.378830999999998</v>
      </c>
      <c r="I232" s="88">
        <v>6.341669711973446</v>
      </c>
      <c r="J232" s="88">
        <v>2.2787536009528289</v>
      </c>
      <c r="K232" s="88">
        <v>3.0292917166866652E-2</v>
      </c>
      <c r="L232" s="88">
        <v>0</v>
      </c>
      <c r="M232" s="88">
        <v>3.7378830999999999</v>
      </c>
      <c r="N232" s="88">
        <v>22.787536009528289</v>
      </c>
      <c r="O232" s="88">
        <v>3.0292917166866653</v>
      </c>
      <c r="P232" s="88"/>
      <c r="Q232" s="2"/>
      <c r="R232" s="2"/>
      <c r="S232" s="2"/>
      <c r="T232" s="2"/>
    </row>
    <row r="233" spans="1:20">
      <c r="A233" s="211" t="s">
        <v>76</v>
      </c>
      <c r="B233" s="212" t="s">
        <v>369</v>
      </c>
      <c r="C233" s="92" t="s">
        <v>650</v>
      </c>
      <c r="D233" s="91" t="s">
        <v>651</v>
      </c>
      <c r="E233" s="88"/>
      <c r="F233" s="88">
        <v>1100</v>
      </c>
      <c r="G233" s="88">
        <f t="shared" si="5"/>
        <v>3.0413926851582249</v>
      </c>
      <c r="H233" s="88">
        <v>14.067500000000001</v>
      </c>
      <c r="I233" s="88">
        <v>4.4894522102998096</v>
      </c>
      <c r="J233" s="88">
        <v>1.8750612633917001</v>
      </c>
      <c r="K233" s="88">
        <v>-6.6590636254504464E-3</v>
      </c>
      <c r="L233" s="88"/>
      <c r="M233" s="88">
        <v>1.4067500000000002</v>
      </c>
      <c r="N233" s="88">
        <v>18.750612633917001</v>
      </c>
      <c r="O233" s="88">
        <v>-0.66590636254504465</v>
      </c>
      <c r="P233" s="88"/>
      <c r="Q233" s="2"/>
      <c r="R233" s="2"/>
      <c r="S233" s="2"/>
      <c r="T233" s="2"/>
    </row>
    <row r="234" spans="1:20">
      <c r="A234" s="211" t="s">
        <v>76</v>
      </c>
      <c r="B234" s="212" t="s">
        <v>369</v>
      </c>
      <c r="C234" s="92" t="s">
        <v>650</v>
      </c>
      <c r="D234" s="91" t="s">
        <v>652</v>
      </c>
      <c r="E234" s="88">
        <v>9.1250744000000026</v>
      </c>
      <c r="F234" s="88">
        <v>1100</v>
      </c>
      <c r="G234" s="88">
        <f t="shared" si="5"/>
        <v>3.0413926851582249</v>
      </c>
      <c r="H234" s="88">
        <v>14.067500000000001</v>
      </c>
      <c r="I234" s="88">
        <v>4.2932078166458618</v>
      </c>
      <c r="J234" s="88">
        <v>1.8750612633917001</v>
      </c>
      <c r="K234" s="88">
        <v>-6.6590636254504464E-3</v>
      </c>
      <c r="L234" s="88">
        <v>1</v>
      </c>
      <c r="M234" s="88">
        <v>1.4067500000000002</v>
      </c>
      <c r="N234" s="88">
        <v>18.750612633917001</v>
      </c>
      <c r="O234" s="88">
        <v>-0.66590636254504465</v>
      </c>
      <c r="P234" s="88">
        <v>0.91250744000000028</v>
      </c>
      <c r="Q234" s="2"/>
      <c r="R234" s="2"/>
      <c r="S234" s="2"/>
      <c r="T234" s="2"/>
    </row>
    <row r="235" spans="1:20">
      <c r="A235" s="211" t="s">
        <v>76</v>
      </c>
      <c r="B235" s="212" t="s">
        <v>411</v>
      </c>
      <c r="C235" s="92" t="s">
        <v>412</v>
      </c>
      <c r="D235" s="91" t="s">
        <v>413</v>
      </c>
      <c r="E235" s="88">
        <v>6.4596490999999983</v>
      </c>
      <c r="F235" s="88">
        <v>375.2</v>
      </c>
      <c r="G235" s="88">
        <f t="shared" si="5"/>
        <v>2.5742628297070267</v>
      </c>
      <c r="H235" s="88">
        <v>42</v>
      </c>
      <c r="I235" s="88">
        <v>6.0501418539747238</v>
      </c>
      <c r="J235" s="88">
        <v>1.7403626894942437</v>
      </c>
      <c r="K235" s="88">
        <v>2.6780712284914233E-2</v>
      </c>
      <c r="L235" s="88">
        <v>0</v>
      </c>
      <c r="M235" s="88">
        <v>4.2</v>
      </c>
      <c r="N235" s="88">
        <v>17.403626894942438</v>
      </c>
      <c r="O235" s="88">
        <v>2.6780712284914232</v>
      </c>
      <c r="P235" s="88">
        <v>0.64596490999999978</v>
      </c>
      <c r="Q235" s="2">
        <v>0.32777777777777772</v>
      </c>
      <c r="R235" s="2">
        <f>LOG(Q235)</f>
        <v>-0.48442049346116195</v>
      </c>
      <c r="S235" s="2">
        <f>LOG(Q235+1)</f>
        <v>0.12312539584483159</v>
      </c>
      <c r="T235" s="2"/>
    </row>
    <row r="236" spans="1:20">
      <c r="A236" s="211" t="s">
        <v>76</v>
      </c>
      <c r="B236" s="212" t="s">
        <v>77</v>
      </c>
      <c r="C236" s="92" t="s">
        <v>653</v>
      </c>
      <c r="D236" s="91" t="s">
        <v>654</v>
      </c>
      <c r="E236" s="88"/>
      <c r="F236" s="88">
        <v>102</v>
      </c>
      <c r="G236" s="88">
        <f t="shared" si="5"/>
        <v>2.0086001717619175</v>
      </c>
      <c r="H236" s="88">
        <v>25.316761</v>
      </c>
      <c r="I236" s="88">
        <v>6.0038537180218992</v>
      </c>
      <c r="J236" s="88">
        <v>1.5185139398778875</v>
      </c>
      <c r="K236" s="88">
        <v>1.251420568227286E-2</v>
      </c>
      <c r="L236" s="88">
        <v>0</v>
      </c>
      <c r="M236" s="88">
        <v>2.5316760999999999</v>
      </c>
      <c r="N236" s="88">
        <v>15.185139398778876</v>
      </c>
      <c r="O236" s="88">
        <v>1.2514205682272861</v>
      </c>
      <c r="P236" s="88"/>
      <c r="Q236" s="2"/>
      <c r="R236" s="2"/>
      <c r="S236" s="2"/>
      <c r="T236" s="2"/>
    </row>
    <row r="237" spans="1:20">
      <c r="A237" s="211" t="s">
        <v>76</v>
      </c>
      <c r="B237" s="212" t="s">
        <v>77</v>
      </c>
      <c r="C237" s="92" t="s">
        <v>653</v>
      </c>
      <c r="D237" s="91" t="s">
        <v>655</v>
      </c>
      <c r="E237" s="88"/>
      <c r="F237" s="88">
        <v>312</v>
      </c>
      <c r="G237" s="88">
        <f t="shared" si="5"/>
        <v>2.4941545940184429</v>
      </c>
      <c r="H237" s="88">
        <v>27.087367</v>
      </c>
      <c r="I237" s="88">
        <v>6.69670979730983</v>
      </c>
      <c r="J237" s="88">
        <v>1.5185139398778875</v>
      </c>
      <c r="K237" s="88">
        <v>2.8247298919569274E-3</v>
      </c>
      <c r="L237" s="88">
        <v>0</v>
      </c>
      <c r="M237" s="88">
        <v>2.7087367000000002</v>
      </c>
      <c r="N237" s="88">
        <v>15.185139398778876</v>
      </c>
      <c r="O237" s="88">
        <v>0.28247298919569275</v>
      </c>
      <c r="P237" s="88"/>
      <c r="Q237" s="2"/>
      <c r="R237" s="2"/>
      <c r="S237" s="2"/>
      <c r="T237" s="2"/>
    </row>
    <row r="238" spans="1:20">
      <c r="A238" s="211" t="s">
        <v>76</v>
      </c>
      <c r="B238" s="212" t="s">
        <v>77</v>
      </c>
      <c r="C238" s="92" t="s">
        <v>653</v>
      </c>
      <c r="D238" s="91" t="s">
        <v>656</v>
      </c>
      <c r="E238" s="88"/>
      <c r="F238" s="88">
        <v>102</v>
      </c>
      <c r="G238" s="88">
        <f t="shared" si="5"/>
        <v>2.0086001717619175</v>
      </c>
      <c r="H238" s="88">
        <v>25.316761</v>
      </c>
      <c r="I238" s="88">
        <v>6.4114693601858646</v>
      </c>
      <c r="J238" s="88">
        <v>1.5185139398778875</v>
      </c>
      <c r="K238" s="88">
        <v>1.251420568227286E-2</v>
      </c>
      <c r="L238" s="88">
        <v>0</v>
      </c>
      <c r="M238" s="88">
        <v>2.5316760999999999</v>
      </c>
      <c r="N238" s="88">
        <v>15.185139398778876</v>
      </c>
      <c r="O238" s="88">
        <v>1.2514205682272861</v>
      </c>
      <c r="P238" s="88"/>
      <c r="Q238" s="2"/>
      <c r="R238" s="2"/>
      <c r="S238" s="2"/>
      <c r="T238" s="2"/>
    </row>
    <row r="239" spans="1:20">
      <c r="A239" s="211" t="s">
        <v>76</v>
      </c>
      <c r="B239" s="212" t="s">
        <v>77</v>
      </c>
      <c r="C239" s="92" t="s">
        <v>1069</v>
      </c>
      <c r="D239" s="91" t="s">
        <v>1072</v>
      </c>
      <c r="E239" s="88">
        <v>3.2403490999999995</v>
      </c>
      <c r="F239" s="88">
        <v>305</v>
      </c>
      <c r="G239" s="88">
        <f t="shared" si="5"/>
        <v>2.4842998393467859</v>
      </c>
      <c r="H239" s="88">
        <v>24</v>
      </c>
      <c r="I239" s="88">
        <v>6.01896415683707</v>
      </c>
      <c r="J239" s="88">
        <v>1.7403626894942439</v>
      </c>
      <c r="K239" s="88">
        <v>2.8510604241696637E-2</v>
      </c>
      <c r="L239" s="88">
        <v>0</v>
      </c>
      <c r="M239" s="88">
        <v>2.4</v>
      </c>
      <c r="N239" s="88">
        <v>17.403626894942438</v>
      </c>
      <c r="O239" s="88">
        <v>2.8510604241696638</v>
      </c>
      <c r="P239" s="88">
        <v>0.32403490999999995</v>
      </c>
      <c r="Q239" s="2">
        <v>0.32</v>
      </c>
      <c r="R239" s="2">
        <f>LOG(Q239)</f>
        <v>-0.49485002168009401</v>
      </c>
      <c r="S239" s="2">
        <f>LOG(Q239+1)</f>
        <v>0.12057393120584989</v>
      </c>
      <c r="T239" s="2"/>
    </row>
    <row r="240" spans="1:20">
      <c r="A240" s="211" t="s">
        <v>76</v>
      </c>
      <c r="B240" s="212" t="s">
        <v>77</v>
      </c>
      <c r="C240" s="92" t="s">
        <v>1069</v>
      </c>
      <c r="D240" s="91" t="s">
        <v>1068</v>
      </c>
      <c r="E240" s="88">
        <v>3.7043294499999977</v>
      </c>
      <c r="F240" s="88">
        <v>305</v>
      </c>
      <c r="G240" s="88">
        <f t="shared" si="5"/>
        <v>2.4842998393467859</v>
      </c>
      <c r="H240" s="88">
        <v>27</v>
      </c>
      <c r="I240" s="88">
        <v>5.3726303563428734</v>
      </c>
      <c r="J240" s="88">
        <v>1.7403626894942439</v>
      </c>
      <c r="K240" s="88">
        <v>4.2442577030811918E-2</v>
      </c>
      <c r="L240" s="88">
        <v>0</v>
      </c>
      <c r="M240" s="88">
        <v>2.7</v>
      </c>
      <c r="N240" s="88">
        <v>17.403626894942438</v>
      </c>
      <c r="O240" s="88">
        <v>4.2442577030811917</v>
      </c>
      <c r="P240" s="88">
        <v>0.37043294499999979</v>
      </c>
      <c r="Q240" s="2">
        <v>0.28666666666666646</v>
      </c>
      <c r="R240" s="2">
        <f>LOG(Q240)</f>
        <v>-0.54262280347609504</v>
      </c>
      <c r="S240" s="2">
        <f>LOG(Q240+1)</f>
        <v>0.10946604995209243</v>
      </c>
      <c r="T240" s="2"/>
    </row>
    <row r="241" spans="1:20">
      <c r="A241" s="211" t="s">
        <v>76</v>
      </c>
      <c r="B241" s="212" t="s">
        <v>411</v>
      </c>
      <c r="C241" s="92" t="s">
        <v>1075</v>
      </c>
      <c r="D241" s="91" t="s">
        <v>1074</v>
      </c>
      <c r="E241" s="88">
        <v>8.5871899999999997</v>
      </c>
      <c r="F241" s="88">
        <v>305</v>
      </c>
      <c r="G241" s="88">
        <f t="shared" si="5"/>
        <v>2.4842998393467859</v>
      </c>
      <c r="H241" s="88">
        <v>32.323482999999996</v>
      </c>
      <c r="I241" s="88">
        <v>5.0862921893815916</v>
      </c>
      <c r="J241" s="88">
        <v>1.7403626894942439</v>
      </c>
      <c r="K241" s="88">
        <v>7.9051620648262766E-4</v>
      </c>
      <c r="L241" s="88">
        <v>1</v>
      </c>
      <c r="M241" s="88">
        <v>3.2323482999999995</v>
      </c>
      <c r="N241" s="88">
        <v>17.403626894942438</v>
      </c>
      <c r="O241" s="88">
        <v>7.9051620648262766E-2</v>
      </c>
      <c r="P241" s="88">
        <v>0.85871900000000001</v>
      </c>
      <c r="Q241" s="2">
        <v>0.20399999999999976</v>
      </c>
      <c r="R241" s="2">
        <f>LOG(Q241)</f>
        <v>-0.69036983257410178</v>
      </c>
      <c r="S241" s="2">
        <f>LOG(Q241+1)</f>
        <v>8.0626486921805657E-2</v>
      </c>
      <c r="T241" s="2"/>
    </row>
    <row r="242" spans="1:20">
      <c r="A242" s="211" t="s">
        <v>348</v>
      </c>
      <c r="B242" s="212" t="s">
        <v>622</v>
      </c>
      <c r="C242" s="92" t="s">
        <v>1176</v>
      </c>
      <c r="D242" s="91" t="s">
        <v>646</v>
      </c>
      <c r="E242" s="88">
        <v>12.286503400000001</v>
      </c>
      <c r="F242" s="88">
        <v>66</v>
      </c>
      <c r="G242" s="88">
        <f t="shared" si="5"/>
        <v>1.8195439355418688</v>
      </c>
      <c r="H242" s="88">
        <v>47.606209</v>
      </c>
      <c r="I242" s="88">
        <v>5.761702367541413</v>
      </c>
      <c r="J242" s="88">
        <v>2.1875207208364631</v>
      </c>
      <c r="K242" s="88">
        <v>8.7919167667069621E-3</v>
      </c>
      <c r="L242" s="88">
        <v>0</v>
      </c>
      <c r="M242" s="88">
        <v>4.7606209000000002</v>
      </c>
      <c r="N242" s="88">
        <v>21.875207208364632</v>
      </c>
      <c r="O242" s="88">
        <v>0.8791916766706962</v>
      </c>
      <c r="P242" s="88">
        <v>1.2286503400000002</v>
      </c>
      <c r="Q242" s="2"/>
      <c r="R242" s="2"/>
      <c r="S242" s="2"/>
      <c r="T242" s="2"/>
    </row>
    <row r="243" spans="1:20">
      <c r="A243" s="211" t="s">
        <v>76</v>
      </c>
      <c r="B243" s="212" t="s">
        <v>721</v>
      </c>
      <c r="C243" s="92" t="s">
        <v>859</v>
      </c>
      <c r="D243" s="91" t="s">
        <v>860</v>
      </c>
      <c r="E243" s="88">
        <v>4.3497520000000023</v>
      </c>
      <c r="F243" s="88">
        <v>511</v>
      </c>
      <c r="G243" s="88">
        <f t="shared" si="5"/>
        <v>2.7084209001347128</v>
      </c>
      <c r="H243" s="88">
        <v>27.33427</v>
      </c>
      <c r="I243" s="88">
        <v>3.5830853663476878</v>
      </c>
      <c r="J243" s="88">
        <v>1.5185139398778875</v>
      </c>
      <c r="K243" s="88">
        <v>8.5146058423372327E-3</v>
      </c>
      <c r="L243" s="88">
        <v>1</v>
      </c>
      <c r="M243" s="88">
        <v>2.7334269999999998</v>
      </c>
      <c r="N243" s="88">
        <v>15.185139398778876</v>
      </c>
      <c r="O243" s="88">
        <v>0.85146058423372328</v>
      </c>
      <c r="P243" s="88">
        <v>0.43497520000000023</v>
      </c>
      <c r="Q243" s="2"/>
      <c r="R243" s="2"/>
      <c r="S243" s="2"/>
      <c r="T243" s="2"/>
    </row>
    <row r="244" spans="1:20">
      <c r="A244" s="211" t="s">
        <v>76</v>
      </c>
      <c r="B244" s="212" t="s">
        <v>77</v>
      </c>
      <c r="C244" s="92" t="s">
        <v>1077</v>
      </c>
      <c r="D244" s="91" t="s">
        <v>1078</v>
      </c>
      <c r="E244" s="88">
        <v>6.6465185000000027</v>
      </c>
      <c r="F244" s="88">
        <v>305</v>
      </c>
      <c r="G244" s="88">
        <f t="shared" si="5"/>
        <v>2.4842998393467859</v>
      </c>
      <c r="H244" s="88">
        <v>21.751384000000002</v>
      </c>
      <c r="I244" s="88">
        <v>5.4124000612012342</v>
      </c>
      <c r="J244" s="88">
        <v>1.5185139398778875</v>
      </c>
      <c r="K244" s="88">
        <v>2.6244097639055351E-2</v>
      </c>
      <c r="L244" s="88">
        <v>0</v>
      </c>
      <c r="M244" s="88">
        <v>2.1751384000000002</v>
      </c>
      <c r="N244" s="88">
        <v>15.185139398778876</v>
      </c>
      <c r="O244" s="88">
        <v>2.6244097639055353</v>
      </c>
      <c r="P244" s="88">
        <v>0.66465185000000027</v>
      </c>
      <c r="Q244" s="2">
        <v>0.29199999999999987</v>
      </c>
      <c r="R244" s="2">
        <f>LOG(Q244)</f>
        <v>-0.53461714855158193</v>
      </c>
      <c r="S244" s="2">
        <f>LOG(Q244+1)</f>
        <v>0.11126251365906521</v>
      </c>
      <c r="T244" s="2"/>
    </row>
    <row r="245" spans="1:20">
      <c r="A245" s="211" t="s">
        <v>76</v>
      </c>
      <c r="B245" s="212" t="s">
        <v>77</v>
      </c>
      <c r="C245" s="92" t="s">
        <v>657</v>
      </c>
      <c r="D245" s="91" t="s">
        <v>658</v>
      </c>
      <c r="E245" s="88"/>
      <c r="F245" s="88">
        <v>102</v>
      </c>
      <c r="G245" s="88">
        <f t="shared" si="5"/>
        <v>2.0086001717619175</v>
      </c>
      <c r="H245" s="88">
        <v>25.316761</v>
      </c>
      <c r="I245" s="88">
        <v>7.0852800865193037</v>
      </c>
      <c r="J245" s="88">
        <v>2.0530784434834195</v>
      </c>
      <c r="K245" s="88">
        <v>1.251420568227286E-2</v>
      </c>
      <c r="L245" s="88">
        <v>0</v>
      </c>
      <c r="M245" s="88">
        <v>2.5316760999999999</v>
      </c>
      <c r="N245" s="88">
        <v>20.530784434834196</v>
      </c>
      <c r="O245" s="88">
        <v>1.2514205682272861</v>
      </c>
      <c r="P245" s="88"/>
      <c r="Q245" s="2"/>
      <c r="R245" s="2"/>
      <c r="S245" s="2"/>
      <c r="T245" s="2"/>
    </row>
    <row r="246" spans="1:20">
      <c r="A246" s="211" t="s">
        <v>348</v>
      </c>
      <c r="B246" s="212" t="s">
        <v>622</v>
      </c>
      <c r="C246" s="92" t="s">
        <v>661</v>
      </c>
      <c r="D246" s="91" t="s">
        <v>660</v>
      </c>
      <c r="E246" s="88"/>
      <c r="F246" s="88">
        <v>1756</v>
      </c>
      <c r="G246" s="88">
        <f t="shared" si="5"/>
        <v>3.2445245115700838</v>
      </c>
      <c r="H246" s="88">
        <v>37.378830999999998</v>
      </c>
      <c r="I246" s="88">
        <v>5.3556526245086724</v>
      </c>
      <c r="J246" s="88">
        <v>2.0606978403536118</v>
      </c>
      <c r="K246" s="88">
        <v>3.0292917166866652E-2</v>
      </c>
      <c r="L246" s="88">
        <v>0</v>
      </c>
      <c r="M246" s="88">
        <v>3.7378830999999999</v>
      </c>
      <c r="N246" s="88">
        <v>20.606978403536118</v>
      </c>
      <c r="O246" s="88">
        <v>3.0292917166866653</v>
      </c>
      <c r="P246" s="88"/>
      <c r="Q246" s="2"/>
      <c r="R246" s="2"/>
      <c r="S246" s="2"/>
      <c r="T246" s="2"/>
    </row>
    <row r="247" spans="1:20">
      <c r="A247" s="211" t="s">
        <v>348</v>
      </c>
      <c r="B247" s="212" t="s">
        <v>622</v>
      </c>
      <c r="C247" s="92" t="s">
        <v>661</v>
      </c>
      <c r="D247" s="91" t="s">
        <v>662</v>
      </c>
      <c r="E247" s="88"/>
      <c r="F247" s="88">
        <v>1756</v>
      </c>
      <c r="G247" s="88">
        <f t="shared" si="5"/>
        <v>3.2445245115700838</v>
      </c>
      <c r="H247" s="88">
        <v>37.378830999999998</v>
      </c>
      <c r="I247" s="88">
        <v>6.6393121388304737</v>
      </c>
      <c r="J247" s="88">
        <v>2.1875207208364631</v>
      </c>
      <c r="K247" s="88">
        <v>3.0292917166866652E-2</v>
      </c>
      <c r="L247" s="88">
        <v>0</v>
      </c>
      <c r="M247" s="88">
        <v>3.7378830999999999</v>
      </c>
      <c r="N247" s="88">
        <v>21.875207208364632</v>
      </c>
      <c r="O247" s="88">
        <v>3.0292917166866653</v>
      </c>
      <c r="P247" s="88"/>
      <c r="Q247" s="2"/>
      <c r="R247" s="2"/>
      <c r="S247" s="2"/>
      <c r="T247" s="2"/>
    </row>
    <row r="248" spans="1:20">
      <c r="A248" s="211" t="s">
        <v>348</v>
      </c>
      <c r="B248" s="212" t="s">
        <v>622</v>
      </c>
      <c r="C248" s="92" t="s">
        <v>661</v>
      </c>
      <c r="D248" s="91" t="s">
        <v>1184</v>
      </c>
      <c r="E248" s="88">
        <v>10.662437999999998</v>
      </c>
      <c r="F248" s="88">
        <v>105</v>
      </c>
      <c r="G248" s="88">
        <f t="shared" si="5"/>
        <v>2.0211892990699383</v>
      </c>
      <c r="H248" s="88">
        <v>46.891401999999999</v>
      </c>
      <c r="I248" s="88">
        <v>5.4257607640026926</v>
      </c>
      <c r="J248" s="88">
        <v>2.1875207208364631</v>
      </c>
      <c r="K248" s="88">
        <v>3.5348939575830012E-2</v>
      </c>
      <c r="L248" s="88">
        <v>1</v>
      </c>
      <c r="M248" s="88">
        <v>4.6891401999999998</v>
      </c>
      <c r="N248" s="88">
        <v>21.875207208364632</v>
      </c>
      <c r="O248" s="88">
        <v>3.5348939575830012</v>
      </c>
      <c r="P248" s="88">
        <v>1.0662437999999999</v>
      </c>
      <c r="Q248" s="2">
        <v>0.11000000000000014</v>
      </c>
      <c r="R248" s="2">
        <f>LOG(Q248)</f>
        <v>-0.95860731484177442</v>
      </c>
      <c r="S248" s="2">
        <f>LOG(Q248+1)</f>
        <v>4.5322978786657475E-2</v>
      </c>
      <c r="T248" s="2"/>
    </row>
    <row r="249" spans="1:20">
      <c r="A249" s="211" t="s">
        <v>348</v>
      </c>
      <c r="B249" s="212" t="s">
        <v>622</v>
      </c>
      <c r="C249" s="92" t="s">
        <v>661</v>
      </c>
      <c r="D249" s="91" t="s">
        <v>663</v>
      </c>
      <c r="E249" s="88"/>
      <c r="F249" s="88">
        <v>1756</v>
      </c>
      <c r="G249" s="88">
        <f t="shared" si="5"/>
        <v>3.2445245115700838</v>
      </c>
      <c r="H249" s="88">
        <v>37.378830999999998</v>
      </c>
      <c r="I249" s="88">
        <v>5.2405891815713872</v>
      </c>
      <c r="J249" s="88">
        <v>2.0606978403536118</v>
      </c>
      <c r="K249" s="88">
        <v>3.0292917166866652E-2</v>
      </c>
      <c r="L249" s="88">
        <v>1</v>
      </c>
      <c r="M249" s="88">
        <v>3.7378830999999999</v>
      </c>
      <c r="N249" s="88">
        <v>20.606978403536118</v>
      </c>
      <c r="O249" s="88">
        <v>3.0292917166866653</v>
      </c>
      <c r="P249" s="88"/>
      <c r="Q249" s="2"/>
      <c r="R249" s="2"/>
      <c r="S249" s="2"/>
      <c r="T249" s="2"/>
    </row>
    <row r="250" spans="1:20">
      <c r="A250" s="211" t="s">
        <v>348</v>
      </c>
      <c r="B250" s="212" t="s">
        <v>622</v>
      </c>
      <c r="C250" s="92" t="s">
        <v>1178</v>
      </c>
      <c r="D250" s="91" t="s">
        <v>1179</v>
      </c>
      <c r="E250" s="88">
        <v>13.396617699999997</v>
      </c>
      <c r="F250" s="88">
        <v>2000</v>
      </c>
      <c r="G250" s="88">
        <f t="shared" si="5"/>
        <v>3.3010299956639813</v>
      </c>
      <c r="H250" s="88">
        <v>27.166667</v>
      </c>
      <c r="I250" s="88">
        <v>4.5356611526594435</v>
      </c>
      <c r="J250" s="88">
        <v>2.1875207208364631</v>
      </c>
      <c r="K250" s="88">
        <v>8.9687875150062622E-3</v>
      </c>
      <c r="L250" s="88">
        <v>1</v>
      </c>
      <c r="M250" s="88">
        <v>2.7166667000000002</v>
      </c>
      <c r="N250" s="88">
        <v>21.875207208364632</v>
      </c>
      <c r="O250" s="88">
        <v>0.89687875150062624</v>
      </c>
      <c r="P250" s="88">
        <v>1.3396617699999998</v>
      </c>
      <c r="Q250" s="2"/>
      <c r="R250" s="2"/>
      <c r="S250" s="2"/>
      <c r="T250" s="2"/>
    </row>
    <row r="251" spans="1:20">
      <c r="A251" s="211" t="s">
        <v>76</v>
      </c>
      <c r="B251" s="212" t="s">
        <v>721</v>
      </c>
      <c r="C251" s="92" t="s">
        <v>864</v>
      </c>
      <c r="D251" s="91" t="s">
        <v>865</v>
      </c>
      <c r="E251" s="88">
        <v>4.8218905000000021</v>
      </c>
      <c r="F251" s="88">
        <v>64</v>
      </c>
      <c r="G251" s="88">
        <f t="shared" si="5"/>
        <v>1.8061799739838871</v>
      </c>
      <c r="H251" s="88">
        <v>27.552838000000001</v>
      </c>
      <c r="I251" s="88">
        <v>5.6458583099942059</v>
      </c>
      <c r="J251" s="88">
        <v>1.5185139398778875</v>
      </c>
      <c r="K251" s="88">
        <v>7.1628651460558916E-4</v>
      </c>
      <c r="L251" s="88">
        <v>0</v>
      </c>
      <c r="M251" s="88">
        <v>2.7552837999999999</v>
      </c>
      <c r="N251" s="88">
        <v>15.185139398778876</v>
      </c>
      <c r="O251" s="88">
        <v>7.1628651460558912E-2</v>
      </c>
      <c r="P251" s="88">
        <v>0.48218905000000023</v>
      </c>
      <c r="Q251" s="2"/>
      <c r="R251" s="2"/>
      <c r="S251" s="2"/>
      <c r="T251" s="2"/>
    </row>
    <row r="252" spans="1:20">
      <c r="A252" s="211" t="s">
        <v>76</v>
      </c>
      <c r="B252" s="212" t="s">
        <v>721</v>
      </c>
      <c r="C252" s="92" t="s">
        <v>864</v>
      </c>
      <c r="D252" s="91" t="s">
        <v>866</v>
      </c>
      <c r="E252" s="88">
        <v>4.8218905000000021</v>
      </c>
      <c r="F252" s="88">
        <v>64</v>
      </c>
      <c r="G252" s="88">
        <f t="shared" si="5"/>
        <v>1.8061799739838871</v>
      </c>
      <c r="H252" s="88">
        <v>27.552838000000001</v>
      </c>
      <c r="I252" s="88">
        <v>3.8888531669829365</v>
      </c>
      <c r="J252" s="88">
        <v>1.5185139398778875</v>
      </c>
      <c r="K252" s="88">
        <v>7.1628651460558916E-4</v>
      </c>
      <c r="L252" s="88"/>
      <c r="M252" s="88">
        <v>2.7552837999999999</v>
      </c>
      <c r="N252" s="88">
        <v>15.185139398778876</v>
      </c>
      <c r="O252" s="88">
        <v>7.1628651460558912E-2</v>
      </c>
      <c r="P252" s="88">
        <v>0.48218905000000023</v>
      </c>
      <c r="Q252" s="2"/>
      <c r="R252" s="2"/>
      <c r="S252" s="2"/>
      <c r="T252" s="2"/>
    </row>
    <row r="253" spans="1:20">
      <c r="A253" s="211" t="s">
        <v>76</v>
      </c>
      <c r="B253" s="212" t="s">
        <v>721</v>
      </c>
      <c r="C253" s="92" t="s">
        <v>864</v>
      </c>
      <c r="D253" s="91" t="s">
        <v>867</v>
      </c>
      <c r="E253" s="88">
        <v>6.4218905000000035</v>
      </c>
      <c r="F253" s="88">
        <v>64</v>
      </c>
      <c r="G253" s="88">
        <f t="shared" si="5"/>
        <v>1.8061799739838871</v>
      </c>
      <c r="H253" s="88">
        <v>27.552838000000001</v>
      </c>
      <c r="I253" s="88">
        <v>5.9835699108692593</v>
      </c>
      <c r="J253" s="88">
        <v>1.5185139398778875</v>
      </c>
      <c r="K253" s="88">
        <v>7.1628651460558916E-4</v>
      </c>
      <c r="L253" s="88">
        <v>0</v>
      </c>
      <c r="M253" s="88">
        <v>2.7552837999999999</v>
      </c>
      <c r="N253" s="88">
        <v>15.185139398778876</v>
      </c>
      <c r="O253" s="88">
        <v>7.1628651460558912E-2</v>
      </c>
      <c r="P253" s="88">
        <v>0.64218905000000037</v>
      </c>
      <c r="Q253" s="2"/>
      <c r="R253" s="2"/>
      <c r="S253" s="2"/>
      <c r="T253" s="2"/>
    </row>
    <row r="254" spans="1:20">
      <c r="A254" s="211" t="s">
        <v>76</v>
      </c>
      <c r="B254" s="212" t="s">
        <v>873</v>
      </c>
      <c r="C254" s="92" t="s">
        <v>874</v>
      </c>
      <c r="D254" s="91" t="s">
        <v>595</v>
      </c>
      <c r="E254" s="88">
        <v>4.9863887499999997</v>
      </c>
      <c r="F254" s="88">
        <v>993</v>
      </c>
      <c r="G254" s="88">
        <f t="shared" si="5"/>
        <v>2.996949248495381</v>
      </c>
      <c r="H254" s="88">
        <v>22.088820999999999</v>
      </c>
      <c r="I254" s="88">
        <v>6.7740369328633072</v>
      </c>
      <c r="J254" s="88">
        <v>2.0530784434834195</v>
      </c>
      <c r="K254" s="88">
        <v>3.6160064025610339E-2</v>
      </c>
      <c r="L254" s="88">
        <v>0</v>
      </c>
      <c r="M254" s="88">
        <v>2.2088820999999998</v>
      </c>
      <c r="N254" s="88">
        <v>20.530784434834196</v>
      </c>
      <c r="O254" s="88">
        <v>3.6160064025610339</v>
      </c>
      <c r="P254" s="88">
        <v>0.49863887499999998</v>
      </c>
      <c r="Q254" s="2"/>
      <c r="R254" s="2"/>
      <c r="S254" s="2"/>
      <c r="T254" s="2"/>
    </row>
    <row r="255" spans="1:20">
      <c r="A255" s="211"/>
      <c r="B255" s="212"/>
      <c r="C255" s="92"/>
      <c r="D255" s="91"/>
      <c r="E255" s="88"/>
      <c r="F255" s="88"/>
      <c r="G255" s="88"/>
      <c r="H255" s="88"/>
      <c r="I255" s="88"/>
      <c r="J255" s="88"/>
      <c r="K255" s="88"/>
      <c r="L255" s="88"/>
      <c r="M255" s="88"/>
      <c r="N255" s="88"/>
      <c r="O255" s="88"/>
      <c r="P255" s="88"/>
      <c r="Q255" s="88"/>
    </row>
    <row r="256" spans="1:20">
      <c r="A256" s="211"/>
      <c r="B256" s="212"/>
      <c r="C256" s="92"/>
      <c r="D256" s="91"/>
      <c r="E256" s="88"/>
      <c r="F256" s="88"/>
      <c r="G256" s="88"/>
      <c r="H256" s="88"/>
      <c r="I256" s="88"/>
      <c r="J256" s="88"/>
      <c r="K256" s="88"/>
      <c r="L256" s="88"/>
      <c r="M256" s="88"/>
      <c r="N256" s="88"/>
      <c r="O256" s="88"/>
      <c r="P256" s="88"/>
      <c r="Q256" s="88"/>
    </row>
    <row r="257" spans="4:4">
      <c r="D257" s="84"/>
    </row>
    <row r="258" spans="4:4">
      <c r="D258" s="84"/>
    </row>
    <row r="259" spans="4:4">
      <c r="D259" s="84"/>
    </row>
    <row r="260" spans="4:4">
      <c r="D260" s="84"/>
    </row>
  </sheetData>
  <sortState ref="A4:S254">
    <sortCondition ref="C4:C254"/>
    <sortCondition ref="D4:D254"/>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L29" sqref="L29"/>
    </sheetView>
  </sheetViews>
  <sheetFormatPr defaultRowHeight="15"/>
  <sheetData>
    <row r="1" spans="1:1">
      <c r="A1" t="s">
        <v>1375</v>
      </c>
    </row>
    <row r="3" spans="1:1">
      <c r="A3" t="s">
        <v>1376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66"/>
  <sheetViews>
    <sheetView workbookViewId="0">
      <pane xSplit="7" ySplit="7" topLeftCell="H8" activePane="bottomRight" state="frozen"/>
      <selection pane="topRight" activeCell="H1" sqref="H1"/>
      <selection pane="bottomLeft" activeCell="A8" sqref="A8"/>
      <selection pane="bottomRight" activeCell="A7" sqref="A7"/>
    </sheetView>
  </sheetViews>
  <sheetFormatPr defaultColWidth="12.5703125" defaultRowHeight="15"/>
  <cols>
    <col min="1" max="1" width="12.5703125" style="73"/>
    <col min="2" max="2" width="15.42578125" style="73" bestFit="1" customWidth="1"/>
    <col min="3" max="6" width="12.5703125" style="73"/>
    <col min="7" max="7" width="25.140625" style="73" bestFit="1" customWidth="1"/>
    <col min="8" max="8" width="15.42578125" style="73" bestFit="1" customWidth="1"/>
    <col min="9" max="10" width="23" style="98" bestFit="1" customWidth="1"/>
    <col min="11" max="11" width="15.5703125" style="98" customWidth="1"/>
    <col min="12" max="45" width="12.5703125" style="73"/>
    <col min="46" max="46" width="12.5703125" style="182"/>
    <col min="47" max="55" width="12.5703125" style="73"/>
    <col min="56" max="56" width="39.7109375" style="73" bestFit="1" customWidth="1"/>
    <col min="57" max="16384" width="12.5703125" style="73"/>
  </cols>
  <sheetData>
    <row r="1" spans="1:56" ht="18.75">
      <c r="A1" s="181" t="s">
        <v>2379</v>
      </c>
      <c r="BD1" s="188"/>
    </row>
    <row r="2" spans="1:56" ht="15.75">
      <c r="A2" s="95"/>
      <c r="B2" s="95"/>
      <c r="C2" s="95"/>
      <c r="D2" s="95"/>
      <c r="E2" s="95"/>
      <c r="F2" s="95"/>
      <c r="G2" s="95"/>
      <c r="H2" s="95"/>
      <c r="I2" s="96"/>
      <c r="J2" s="96"/>
      <c r="K2" s="96"/>
      <c r="L2" s="95"/>
      <c r="M2" s="95"/>
      <c r="N2" s="95" t="s">
        <v>30</v>
      </c>
      <c r="O2" s="101"/>
      <c r="P2" s="97" t="s">
        <v>2380</v>
      </c>
      <c r="Q2" s="101"/>
      <c r="R2" s="95"/>
      <c r="S2" s="95"/>
      <c r="T2" s="95"/>
      <c r="U2" s="95" t="s">
        <v>2381</v>
      </c>
      <c r="V2" s="95"/>
      <c r="W2" s="95"/>
      <c r="X2" s="95"/>
      <c r="Y2" s="95"/>
      <c r="Z2" s="95"/>
      <c r="AA2" s="95" t="s">
        <v>2382</v>
      </c>
      <c r="AB2" s="95"/>
      <c r="AC2" s="95" t="s">
        <v>2383</v>
      </c>
      <c r="AD2" s="95"/>
      <c r="AE2" s="95"/>
      <c r="AF2" s="95"/>
      <c r="AG2" s="95"/>
      <c r="AH2" s="95"/>
      <c r="AI2" s="95"/>
      <c r="AJ2" s="95"/>
      <c r="AK2" s="95"/>
      <c r="AL2" s="95"/>
      <c r="AM2" s="95"/>
      <c r="AN2" s="95"/>
      <c r="AO2" s="95"/>
      <c r="AP2" s="95"/>
      <c r="AQ2" s="95"/>
      <c r="AR2" s="95"/>
      <c r="AS2" s="95"/>
      <c r="AT2" s="183"/>
      <c r="AU2" s="95"/>
      <c r="AV2" s="95"/>
      <c r="AX2" s="95"/>
      <c r="BD2" s="188"/>
    </row>
    <row r="3" spans="1:56" ht="15.75">
      <c r="A3" s="95"/>
      <c r="B3" s="95"/>
      <c r="C3" s="95"/>
      <c r="D3" s="95"/>
      <c r="E3" s="95"/>
      <c r="F3" s="95"/>
      <c r="G3" s="95"/>
      <c r="H3" s="95"/>
      <c r="I3" s="96"/>
      <c r="J3" s="96"/>
      <c r="K3" s="96"/>
      <c r="L3" s="95"/>
      <c r="M3" s="95"/>
      <c r="N3" s="95" t="s">
        <v>19</v>
      </c>
      <c r="O3" s="95" t="s">
        <v>2384</v>
      </c>
      <c r="P3" s="97" t="s">
        <v>2385</v>
      </c>
      <c r="Q3" s="101"/>
      <c r="R3" s="95"/>
      <c r="S3" s="95"/>
      <c r="T3" s="95"/>
      <c r="U3" s="95"/>
      <c r="V3" s="95"/>
      <c r="W3" s="95"/>
      <c r="X3" s="95"/>
      <c r="Y3" s="95"/>
      <c r="Z3" s="95"/>
      <c r="AA3" s="95"/>
      <c r="AB3" s="95"/>
      <c r="AC3" s="95"/>
      <c r="AD3" s="95"/>
      <c r="AE3" s="95"/>
      <c r="AF3" s="95"/>
      <c r="AG3" s="95"/>
      <c r="AH3" s="95"/>
      <c r="AI3" s="95"/>
      <c r="AJ3" s="95"/>
      <c r="AK3" s="95"/>
      <c r="AL3" s="95"/>
      <c r="AM3" s="95"/>
      <c r="AN3" s="95"/>
      <c r="AO3" s="95"/>
      <c r="AP3" s="95"/>
      <c r="AQ3" s="95"/>
      <c r="AR3" s="95"/>
      <c r="AS3" s="95"/>
      <c r="AT3" s="183"/>
      <c r="AU3" s="95"/>
      <c r="AV3" s="95"/>
      <c r="AX3" s="95"/>
      <c r="BD3" s="188"/>
    </row>
    <row r="4" spans="1:56" ht="15.75">
      <c r="A4" s="95"/>
      <c r="B4" s="95"/>
      <c r="C4" s="95"/>
      <c r="D4" s="95"/>
      <c r="E4" s="95"/>
      <c r="F4" s="95"/>
      <c r="G4" s="95"/>
      <c r="H4" s="95"/>
      <c r="I4" s="96"/>
      <c r="J4" s="96"/>
      <c r="K4" s="96"/>
      <c r="L4" s="95"/>
      <c r="M4" s="95"/>
      <c r="N4" s="95" t="s">
        <v>41</v>
      </c>
      <c r="O4" s="97" t="s">
        <v>2386</v>
      </c>
      <c r="P4" s="97" t="s">
        <v>380</v>
      </c>
      <c r="Q4" s="101"/>
      <c r="R4" s="95"/>
      <c r="S4" s="95"/>
      <c r="T4" s="95"/>
      <c r="U4" s="95"/>
      <c r="V4" s="95"/>
      <c r="W4" s="95"/>
      <c r="X4" s="95"/>
      <c r="Y4" s="95"/>
      <c r="Z4" s="95" t="s">
        <v>2387</v>
      </c>
      <c r="AA4" s="95"/>
      <c r="AB4" s="95"/>
      <c r="AC4" s="95"/>
      <c r="AD4" s="95"/>
      <c r="AE4" s="95"/>
      <c r="AF4" s="95"/>
      <c r="AG4" s="95"/>
      <c r="AH4" s="95"/>
      <c r="AI4" s="95"/>
      <c r="AJ4" s="95"/>
      <c r="AK4" s="95"/>
      <c r="AL4" s="95"/>
      <c r="AM4" s="95"/>
      <c r="AN4" s="95"/>
      <c r="AO4" s="95"/>
      <c r="AP4" s="95"/>
      <c r="AQ4" s="95"/>
      <c r="AR4" s="95"/>
      <c r="AS4" s="95"/>
      <c r="AT4" s="183"/>
      <c r="AU4" s="95"/>
      <c r="AV4" s="95"/>
      <c r="AX4" s="95"/>
      <c r="BD4" s="188"/>
    </row>
    <row r="5" spans="1:56" ht="15.75">
      <c r="A5" s="95"/>
      <c r="B5" s="95"/>
      <c r="C5" s="95"/>
      <c r="D5" s="95"/>
      <c r="E5" s="95"/>
      <c r="F5" s="95"/>
      <c r="G5" s="95"/>
      <c r="H5" s="95"/>
      <c r="I5" s="96"/>
      <c r="J5" s="96"/>
      <c r="K5" s="96"/>
      <c r="L5" s="95"/>
      <c r="M5" s="95"/>
      <c r="P5" s="97"/>
      <c r="Q5" s="97" t="s">
        <v>2388</v>
      </c>
      <c r="R5" s="95" t="s">
        <v>2389</v>
      </c>
      <c r="S5" s="95"/>
      <c r="T5" s="95"/>
      <c r="U5" s="95" t="s">
        <v>2390</v>
      </c>
      <c r="V5" s="95" t="s">
        <v>2391</v>
      </c>
      <c r="W5" s="95"/>
      <c r="X5" s="95"/>
      <c r="Y5" s="95"/>
      <c r="Z5" s="95" t="s">
        <v>2392</v>
      </c>
      <c r="AA5" s="95"/>
      <c r="AB5" s="95" t="s">
        <v>2393</v>
      </c>
      <c r="AC5" s="95"/>
      <c r="AD5" s="95"/>
      <c r="AE5" s="95"/>
      <c r="AF5" s="95"/>
      <c r="AG5" s="95"/>
      <c r="AH5" s="95"/>
      <c r="AI5" s="95"/>
      <c r="AJ5" s="95"/>
      <c r="AK5" s="95"/>
      <c r="AL5" s="95"/>
      <c r="AM5" s="95"/>
      <c r="AN5" s="95"/>
      <c r="AO5" s="95"/>
      <c r="AP5" s="95" t="s">
        <v>4144</v>
      </c>
      <c r="AQ5" s="95" t="s">
        <v>4145</v>
      </c>
      <c r="AR5" s="95" t="s">
        <v>4146</v>
      </c>
      <c r="AS5" s="95"/>
      <c r="AT5" s="183"/>
      <c r="AU5" s="95"/>
      <c r="AV5" s="95" t="s">
        <v>2394</v>
      </c>
      <c r="AX5" s="95"/>
      <c r="BD5" s="188"/>
    </row>
    <row r="6" spans="1:56" ht="15.75">
      <c r="A6" s="95"/>
      <c r="B6" s="95"/>
      <c r="C6" s="95"/>
      <c r="D6" s="95"/>
      <c r="E6" s="95"/>
      <c r="F6" s="95"/>
      <c r="G6" s="95"/>
      <c r="H6" s="95"/>
      <c r="I6" s="96"/>
      <c r="J6" s="96"/>
      <c r="K6" s="96"/>
      <c r="L6" s="95"/>
      <c r="M6" s="95"/>
      <c r="P6" s="97"/>
      <c r="Q6" s="97"/>
      <c r="R6" s="95"/>
      <c r="S6" s="95"/>
      <c r="T6" s="95"/>
      <c r="U6" s="95"/>
      <c r="V6" s="95"/>
      <c r="W6" s="95"/>
      <c r="X6" s="95"/>
      <c r="Y6" s="95"/>
      <c r="Z6" s="95"/>
      <c r="AA6" s="95"/>
      <c r="AB6" s="95"/>
      <c r="AC6" s="95"/>
      <c r="AD6" s="95"/>
      <c r="AE6" s="95"/>
      <c r="AF6" s="95"/>
      <c r="AG6" s="95"/>
      <c r="AH6" s="95"/>
      <c r="AI6" s="95"/>
      <c r="AJ6" s="95"/>
      <c r="AK6" s="95"/>
      <c r="AL6" s="95"/>
      <c r="AM6" s="95"/>
      <c r="AN6" s="95"/>
      <c r="AO6" s="95"/>
      <c r="AP6" s="95"/>
      <c r="AQ6" s="95"/>
      <c r="AR6" s="95"/>
      <c r="AS6" s="95"/>
      <c r="AT6" s="183"/>
      <c r="AU6" s="95"/>
      <c r="AV6" s="95"/>
      <c r="AX6" s="95"/>
      <c r="BD6" s="188"/>
    </row>
    <row r="7" spans="1:56" ht="15.75">
      <c r="A7" s="95" t="s">
        <v>6</v>
      </c>
      <c r="B7" s="95" t="s">
        <v>7</v>
      </c>
      <c r="C7" s="95" t="s">
        <v>8</v>
      </c>
      <c r="D7" s="95" t="s">
        <v>9</v>
      </c>
      <c r="E7" s="95" t="s">
        <v>1466</v>
      </c>
      <c r="F7" s="95" t="s">
        <v>10</v>
      </c>
      <c r="G7" s="95" t="s">
        <v>309</v>
      </c>
      <c r="H7" s="95" t="s">
        <v>4179</v>
      </c>
      <c r="I7" s="96" t="s">
        <v>1467</v>
      </c>
      <c r="J7" s="96" t="s">
        <v>1468</v>
      </c>
      <c r="K7" s="96" t="s">
        <v>14</v>
      </c>
      <c r="L7" s="95" t="s">
        <v>1469</v>
      </c>
      <c r="M7" s="95" t="s">
        <v>1470</v>
      </c>
      <c r="N7" s="95" t="s">
        <v>0</v>
      </c>
      <c r="O7" s="97" t="s">
        <v>1471</v>
      </c>
      <c r="P7" s="97" t="s">
        <v>1472</v>
      </c>
      <c r="Q7" s="95" t="s">
        <v>1473</v>
      </c>
      <c r="R7" s="95" t="s">
        <v>1474</v>
      </c>
      <c r="S7" s="95" t="s">
        <v>2</v>
      </c>
      <c r="T7" s="95" t="s">
        <v>1475</v>
      </c>
      <c r="U7" s="95" t="s">
        <v>1476</v>
      </c>
      <c r="V7" s="95" t="s">
        <v>1477</v>
      </c>
      <c r="W7" s="95" t="s">
        <v>1478</v>
      </c>
      <c r="X7" s="95" t="s">
        <v>1479</v>
      </c>
      <c r="Y7" s="95" t="s">
        <v>1480</v>
      </c>
      <c r="Z7" s="95">
        <v>1</v>
      </c>
      <c r="AA7" s="95">
        <v>2</v>
      </c>
      <c r="AB7" s="95" t="s">
        <v>1481</v>
      </c>
      <c r="AC7" s="95" t="s">
        <v>1482</v>
      </c>
      <c r="AD7" s="95" t="s">
        <v>1198</v>
      </c>
      <c r="AE7" s="95" t="s">
        <v>1483</v>
      </c>
      <c r="AF7" s="95" t="s">
        <v>1482</v>
      </c>
      <c r="AG7" s="95" t="s">
        <v>1198</v>
      </c>
      <c r="AH7" s="95" t="s">
        <v>1484</v>
      </c>
      <c r="AI7" s="95" t="s">
        <v>1482</v>
      </c>
      <c r="AJ7" s="95" t="s">
        <v>1198</v>
      </c>
      <c r="AK7" s="95" t="s">
        <v>1485</v>
      </c>
      <c r="AL7" s="95" t="s">
        <v>1482</v>
      </c>
      <c r="AM7" s="95" t="s">
        <v>1198</v>
      </c>
      <c r="AN7" s="95" t="s">
        <v>1486</v>
      </c>
      <c r="AO7" s="95" t="s">
        <v>1487</v>
      </c>
      <c r="AP7" s="95" t="s">
        <v>4144</v>
      </c>
      <c r="AQ7" s="95" t="s">
        <v>4142</v>
      </c>
      <c r="AR7" s="95" t="s">
        <v>4143</v>
      </c>
      <c r="AS7" s="95" t="s">
        <v>1490</v>
      </c>
      <c r="AT7" s="183" t="s">
        <v>1491</v>
      </c>
      <c r="AU7" s="95" t="s">
        <v>1492</v>
      </c>
      <c r="AV7" s="95" t="s">
        <v>1493</v>
      </c>
      <c r="AW7" s="95" t="s">
        <v>1494</v>
      </c>
      <c r="AX7" s="95" t="s">
        <v>1495</v>
      </c>
      <c r="AY7" s="95" t="s">
        <v>558</v>
      </c>
      <c r="BD7" s="188"/>
    </row>
    <row r="8" spans="1:56">
      <c r="A8" s="7" t="s">
        <v>33</v>
      </c>
      <c r="B8" s="7" t="s">
        <v>34</v>
      </c>
      <c r="C8" s="7" t="s">
        <v>1496</v>
      </c>
      <c r="D8" s="7" t="s">
        <v>1497</v>
      </c>
      <c r="E8" s="7" t="s">
        <v>1498</v>
      </c>
      <c r="F8" s="7" t="s">
        <v>1499</v>
      </c>
      <c r="G8" s="7" t="s">
        <v>1500</v>
      </c>
      <c r="H8" s="7" t="s">
        <v>4180</v>
      </c>
      <c r="I8" s="100">
        <f>(AVERAGE(180,164)/1000)</f>
        <v>0.17199999999999999</v>
      </c>
      <c r="J8" s="100">
        <f t="shared" ref="J8:J71" si="0">I8*1000</f>
        <v>172</v>
      </c>
      <c r="K8" s="100">
        <f t="shared" ref="K8:K71" si="1">LOG(J8)</f>
        <v>2.2355284469075487</v>
      </c>
      <c r="L8" s="73" t="s">
        <v>1502</v>
      </c>
      <c r="M8" s="7" t="s">
        <v>1503</v>
      </c>
      <c r="N8" s="7" t="s">
        <v>1504</v>
      </c>
      <c r="O8" s="7" t="s">
        <v>1505</v>
      </c>
      <c r="P8" s="108" t="s">
        <v>1492</v>
      </c>
      <c r="Q8" s="7" t="s">
        <v>1506</v>
      </c>
      <c r="R8" s="7">
        <v>56.340400000000002</v>
      </c>
      <c r="S8" s="7">
        <f t="shared" ref="S8:S39" si="2">ABS(R8)</f>
        <v>56.340400000000002</v>
      </c>
      <c r="T8" s="7">
        <v>-2.7955000000000001</v>
      </c>
      <c r="U8" s="7">
        <v>1</v>
      </c>
      <c r="V8" s="7">
        <v>50</v>
      </c>
      <c r="W8" s="7">
        <f t="shared" ref="W8:W71" si="3">LOG(V8)</f>
        <v>1.6989700043360187</v>
      </c>
      <c r="X8" s="7" t="s">
        <v>1501</v>
      </c>
      <c r="Y8" s="7" t="s">
        <v>1507</v>
      </c>
      <c r="Z8" s="7">
        <v>5</v>
      </c>
      <c r="AA8" s="7">
        <v>15</v>
      </c>
      <c r="AB8" s="7">
        <v>3.5</v>
      </c>
      <c r="AC8" s="7">
        <v>0.8</v>
      </c>
      <c r="AD8" s="7">
        <v>10</v>
      </c>
      <c r="AE8" s="7">
        <v>4.0999999999999996</v>
      </c>
      <c r="AF8" s="7">
        <v>0.2</v>
      </c>
      <c r="AG8" s="7">
        <v>10</v>
      </c>
      <c r="AH8" s="7">
        <v>2.8</v>
      </c>
      <c r="AI8" s="7">
        <v>1</v>
      </c>
      <c r="AJ8" s="7">
        <v>10</v>
      </c>
      <c r="AK8" s="7">
        <v>6.2</v>
      </c>
      <c r="AL8" s="7">
        <v>0.8</v>
      </c>
      <c r="AM8" s="7">
        <v>10</v>
      </c>
      <c r="AN8" s="7">
        <f t="shared" ref="AN8:AN71" si="4">(AE8/AB8)^(10/(AA8-Z8))</f>
        <v>1.1714285714285713</v>
      </c>
      <c r="AO8" s="7">
        <f t="shared" ref="AO8:AO71" si="5">(AK8/AB8)^(10/(AA8-Z8))</f>
        <v>1.7714285714285716</v>
      </c>
      <c r="AP8" s="7">
        <f t="shared" ref="AP8:AP71" si="6">ABS(AO8-1)</f>
        <v>0.77142857142857157</v>
      </c>
      <c r="AQ8" s="7">
        <f t="shared" ref="AQ8:AQ71" si="7">LOG(AP8+0.001)</f>
        <v>-0.1121416704386321</v>
      </c>
      <c r="AR8" s="7">
        <f t="shared" ref="AR8:AR71" si="8">AQ8*-1</f>
        <v>0.1121416704386321</v>
      </c>
      <c r="AS8" s="7">
        <f t="shared" ref="AS8:AS71" si="9">AVERAGE(AD8,AG8,AM8)</f>
        <v>10</v>
      </c>
      <c r="AT8" s="184">
        <f t="shared" ref="AT8:AT39" si="10">AVERAGE(AC8,AF8,AL8)</f>
        <v>0.6</v>
      </c>
      <c r="AU8" s="7"/>
      <c r="AV8" s="7" t="s">
        <v>1508</v>
      </c>
      <c r="AW8" s="7"/>
      <c r="AX8" s="7" t="s">
        <v>1503</v>
      </c>
      <c r="AY8" s="7" t="s">
        <v>1509</v>
      </c>
      <c r="BD8" s="188"/>
    </row>
    <row r="9" spans="1:56">
      <c r="A9" s="7" t="s">
        <v>33</v>
      </c>
      <c r="B9" s="7" t="s">
        <v>34</v>
      </c>
      <c r="C9" s="7" t="s">
        <v>1496</v>
      </c>
      <c r="D9" s="7" t="s">
        <v>1497</v>
      </c>
      <c r="E9" s="7" t="s">
        <v>1498</v>
      </c>
      <c r="F9" s="7" t="s">
        <v>1499</v>
      </c>
      <c r="G9" s="7" t="s">
        <v>1500</v>
      </c>
      <c r="H9" s="7" t="s">
        <v>4180</v>
      </c>
      <c r="I9" s="100">
        <f>(AVERAGE(180,164)/1000)</f>
        <v>0.17199999999999999</v>
      </c>
      <c r="J9" s="100">
        <f t="shared" si="0"/>
        <v>172</v>
      </c>
      <c r="K9" s="100">
        <f t="shared" si="1"/>
        <v>2.2355284469075487</v>
      </c>
      <c r="L9" s="73" t="s">
        <v>1502</v>
      </c>
      <c r="M9" s="7" t="s">
        <v>1503</v>
      </c>
      <c r="N9" s="7" t="s">
        <v>1504</v>
      </c>
      <c r="O9" s="7" t="s">
        <v>1505</v>
      </c>
      <c r="P9" s="108" t="s">
        <v>1492</v>
      </c>
      <c r="Q9" s="7" t="s">
        <v>1506</v>
      </c>
      <c r="R9" s="7">
        <v>56.340400000000002</v>
      </c>
      <c r="S9" s="7">
        <f t="shared" si="2"/>
        <v>56.340400000000002</v>
      </c>
      <c r="T9" s="7">
        <v>-2.7955000000000001</v>
      </c>
      <c r="U9" s="7">
        <v>1</v>
      </c>
      <c r="V9" s="7">
        <v>50</v>
      </c>
      <c r="W9" s="7">
        <f t="shared" si="3"/>
        <v>1.6989700043360187</v>
      </c>
      <c r="X9" s="7" t="s">
        <v>1510</v>
      </c>
      <c r="Y9" s="7" t="s">
        <v>1507</v>
      </c>
      <c r="Z9" s="7">
        <v>5</v>
      </c>
      <c r="AA9" s="7">
        <v>15</v>
      </c>
      <c r="AB9" s="7">
        <v>97</v>
      </c>
      <c r="AC9" s="7">
        <v>15</v>
      </c>
      <c r="AD9" s="7">
        <v>10</v>
      </c>
      <c r="AE9" s="7">
        <v>147</v>
      </c>
      <c r="AF9" s="7">
        <v>15</v>
      </c>
      <c r="AG9" s="7">
        <v>10</v>
      </c>
      <c r="AH9" s="7">
        <v>110</v>
      </c>
      <c r="AI9" s="7">
        <v>12</v>
      </c>
      <c r="AJ9" s="7">
        <v>10</v>
      </c>
      <c r="AK9" s="7">
        <v>108</v>
      </c>
      <c r="AL9" s="7">
        <v>10</v>
      </c>
      <c r="AM9" s="7">
        <v>10</v>
      </c>
      <c r="AN9" s="7">
        <f t="shared" si="4"/>
        <v>1.5154639175257731</v>
      </c>
      <c r="AO9" s="7">
        <f t="shared" si="5"/>
        <v>1.1134020618556701</v>
      </c>
      <c r="AP9" s="7">
        <f t="shared" si="6"/>
        <v>0.11340206185567014</v>
      </c>
      <c r="AQ9" s="7">
        <f t="shared" si="7"/>
        <v>-0.94156614823118823</v>
      </c>
      <c r="AR9" s="7">
        <f t="shared" si="8"/>
        <v>0.94156614823118823</v>
      </c>
      <c r="AS9" s="7">
        <f t="shared" si="9"/>
        <v>10</v>
      </c>
      <c r="AT9" s="184">
        <f t="shared" si="10"/>
        <v>13.333333333333334</v>
      </c>
      <c r="AU9" s="7"/>
      <c r="AV9" s="7" t="s">
        <v>1511</v>
      </c>
      <c r="AW9" s="7"/>
      <c r="AX9" s="7" t="s">
        <v>1503</v>
      </c>
      <c r="AY9" s="7" t="s">
        <v>1509</v>
      </c>
      <c r="BD9" s="188"/>
    </row>
    <row r="10" spans="1:56">
      <c r="A10" s="7" t="s">
        <v>33</v>
      </c>
      <c r="B10" s="7" t="s">
        <v>34</v>
      </c>
      <c r="C10" s="7" t="s">
        <v>1512</v>
      </c>
      <c r="D10" s="7" t="s">
        <v>1513</v>
      </c>
      <c r="E10" s="7" t="s">
        <v>1514</v>
      </c>
      <c r="F10" s="7" t="s">
        <v>1515</v>
      </c>
      <c r="G10" s="7" t="s">
        <v>1516</v>
      </c>
      <c r="H10" s="7" t="s">
        <v>4180</v>
      </c>
      <c r="I10" s="100">
        <f>AVERAGE(0.71, 0.96, 0.9, 1.07)</f>
        <v>0.90999999999999992</v>
      </c>
      <c r="J10" s="100">
        <f t="shared" si="0"/>
        <v>909.99999999999989</v>
      </c>
      <c r="K10" s="100">
        <f t="shared" si="1"/>
        <v>2.9590413923210934</v>
      </c>
      <c r="L10" s="73" t="s">
        <v>1517</v>
      </c>
      <c r="M10" s="7" t="s">
        <v>1518</v>
      </c>
      <c r="N10" s="7" t="s">
        <v>1504</v>
      </c>
      <c r="O10" s="7" t="s">
        <v>1505</v>
      </c>
      <c r="P10" s="108" t="s">
        <v>1492</v>
      </c>
      <c r="Q10" s="7" t="s">
        <v>1519</v>
      </c>
      <c r="R10" s="7">
        <v>54.15</v>
      </c>
      <c r="S10" s="7">
        <f t="shared" si="2"/>
        <v>54.15</v>
      </c>
      <c r="T10" s="7">
        <v>7.9</v>
      </c>
      <c r="U10" s="7">
        <v>1</v>
      </c>
      <c r="V10" s="7">
        <v>365</v>
      </c>
      <c r="W10" s="7">
        <f t="shared" si="3"/>
        <v>2.5622928644564746</v>
      </c>
      <c r="X10" s="7" t="s">
        <v>1520</v>
      </c>
      <c r="Y10" s="7" t="s">
        <v>1521</v>
      </c>
      <c r="Z10" s="7">
        <v>4</v>
      </c>
      <c r="AA10" s="7">
        <v>10</v>
      </c>
      <c r="AB10" s="108">
        <v>0.7</v>
      </c>
      <c r="AC10" s="108">
        <v>0.05</v>
      </c>
      <c r="AD10" s="108">
        <v>6</v>
      </c>
      <c r="AE10" s="108">
        <v>0.76</v>
      </c>
      <c r="AF10" s="108">
        <v>0.03</v>
      </c>
      <c r="AG10" s="108">
        <v>6</v>
      </c>
      <c r="AH10" s="108">
        <v>0.76</v>
      </c>
      <c r="AI10" s="108">
        <v>0.02</v>
      </c>
      <c r="AJ10" s="108">
        <v>6</v>
      </c>
      <c r="AK10" s="108">
        <v>0.9</v>
      </c>
      <c r="AL10" s="108">
        <v>0.05</v>
      </c>
      <c r="AM10" s="108">
        <v>6</v>
      </c>
      <c r="AN10" s="7">
        <f t="shared" si="4"/>
        <v>1.1469009710499967</v>
      </c>
      <c r="AO10" s="7">
        <f t="shared" si="5"/>
        <v>1.5202235257610259</v>
      </c>
      <c r="AP10" s="7">
        <f t="shared" si="6"/>
        <v>0.52022352576102593</v>
      </c>
      <c r="AQ10" s="7">
        <f t="shared" si="7"/>
        <v>-0.28297599035466631</v>
      </c>
      <c r="AR10" s="7">
        <f t="shared" si="8"/>
        <v>0.28297599035466631</v>
      </c>
      <c r="AS10" s="7">
        <f t="shared" si="9"/>
        <v>6</v>
      </c>
      <c r="AT10" s="184">
        <f t="shared" si="10"/>
        <v>4.3333333333333335E-2</v>
      </c>
      <c r="AU10" s="108"/>
      <c r="AV10" s="7" t="s">
        <v>1522</v>
      </c>
      <c r="AW10" s="7"/>
      <c r="AX10" s="7" t="s">
        <v>1523</v>
      </c>
      <c r="AY10" s="7" t="s">
        <v>1509</v>
      </c>
      <c r="BD10" s="188"/>
    </row>
    <row r="11" spans="1:56">
      <c r="A11" s="7" t="s">
        <v>33</v>
      </c>
      <c r="B11" s="7" t="s">
        <v>34</v>
      </c>
      <c r="C11" s="7" t="s">
        <v>1512</v>
      </c>
      <c r="D11" s="7" t="s">
        <v>1513</v>
      </c>
      <c r="E11" s="7" t="s">
        <v>1514</v>
      </c>
      <c r="F11" s="7" t="s">
        <v>1515</v>
      </c>
      <c r="G11" s="7" t="s">
        <v>1516</v>
      </c>
      <c r="H11" s="7" t="s">
        <v>4180</v>
      </c>
      <c r="I11" s="100">
        <f>AVERAGE(0.71, 0.96, 0.9, 1.07)</f>
        <v>0.90999999999999992</v>
      </c>
      <c r="J11" s="100">
        <f t="shared" si="0"/>
        <v>909.99999999999989</v>
      </c>
      <c r="K11" s="100">
        <f t="shared" si="1"/>
        <v>2.9590413923210934</v>
      </c>
      <c r="L11" s="73" t="s">
        <v>1517</v>
      </c>
      <c r="M11" s="7" t="s">
        <v>1518</v>
      </c>
      <c r="N11" s="7" t="s">
        <v>1504</v>
      </c>
      <c r="O11" s="7" t="s">
        <v>1505</v>
      </c>
      <c r="P11" s="108" t="s">
        <v>1492</v>
      </c>
      <c r="Q11" s="7" t="s">
        <v>1524</v>
      </c>
      <c r="R11" s="7">
        <v>69.650000000000006</v>
      </c>
      <c r="S11" s="7">
        <f t="shared" si="2"/>
        <v>69.650000000000006</v>
      </c>
      <c r="T11" s="7">
        <v>18.899999999999999</v>
      </c>
      <c r="U11" s="7">
        <v>1</v>
      </c>
      <c r="V11" s="7">
        <v>365</v>
      </c>
      <c r="W11" s="7">
        <f t="shared" si="3"/>
        <v>2.5622928644564746</v>
      </c>
      <c r="X11" s="7" t="s">
        <v>1520</v>
      </c>
      <c r="Y11" s="7" t="s">
        <v>1521</v>
      </c>
      <c r="Z11" s="7">
        <v>4</v>
      </c>
      <c r="AA11" s="7">
        <v>10</v>
      </c>
      <c r="AB11" s="108">
        <v>0.72</v>
      </c>
      <c r="AC11" s="108">
        <v>0.01</v>
      </c>
      <c r="AD11" s="108">
        <v>6</v>
      </c>
      <c r="AE11" s="108">
        <v>0.77</v>
      </c>
      <c r="AF11" s="108">
        <v>3.5000000000000003E-2</v>
      </c>
      <c r="AG11" s="108">
        <v>6</v>
      </c>
      <c r="AH11" s="108">
        <v>0.72</v>
      </c>
      <c r="AI11" s="108">
        <v>0.01</v>
      </c>
      <c r="AJ11" s="108">
        <v>6</v>
      </c>
      <c r="AK11" s="108">
        <v>0.8</v>
      </c>
      <c r="AL11" s="108">
        <v>0.05</v>
      </c>
      <c r="AM11" s="108">
        <v>6</v>
      </c>
      <c r="AN11" s="7">
        <f t="shared" si="4"/>
        <v>1.1183997154402738</v>
      </c>
      <c r="AO11" s="7">
        <f t="shared" si="5"/>
        <v>1.1919622032168269</v>
      </c>
      <c r="AP11" s="7">
        <f t="shared" si="6"/>
        <v>0.19196220321682689</v>
      </c>
      <c r="AQ11" s="7">
        <f t="shared" si="7"/>
        <v>-0.71452775079487763</v>
      </c>
      <c r="AR11" s="7">
        <f t="shared" si="8"/>
        <v>0.71452775079487763</v>
      </c>
      <c r="AS11" s="7">
        <f t="shared" si="9"/>
        <v>6</v>
      </c>
      <c r="AT11" s="184">
        <f t="shared" si="10"/>
        <v>3.1666666666666669E-2</v>
      </c>
      <c r="AU11" s="108"/>
      <c r="AV11" s="7" t="s">
        <v>1522</v>
      </c>
      <c r="AW11" s="7"/>
      <c r="AX11" s="7" t="s">
        <v>1525</v>
      </c>
      <c r="AY11" s="7" t="s">
        <v>1509</v>
      </c>
      <c r="BD11" s="188"/>
    </row>
    <row r="12" spans="1:56">
      <c r="A12" s="7" t="s">
        <v>33</v>
      </c>
      <c r="B12" s="7" t="s">
        <v>34</v>
      </c>
      <c r="C12" s="7" t="s">
        <v>1496</v>
      </c>
      <c r="D12" s="7" t="s">
        <v>1497</v>
      </c>
      <c r="E12" s="7" t="s">
        <v>1498</v>
      </c>
      <c r="F12" s="7" t="s">
        <v>1499</v>
      </c>
      <c r="G12" s="7" t="s">
        <v>1500</v>
      </c>
      <c r="H12" s="7" t="s">
        <v>4180</v>
      </c>
      <c r="I12" s="100">
        <f>400/1000</f>
        <v>0.4</v>
      </c>
      <c r="J12" s="100">
        <f t="shared" si="0"/>
        <v>400</v>
      </c>
      <c r="K12" s="100">
        <f t="shared" si="1"/>
        <v>2.6020599913279625</v>
      </c>
      <c r="L12" s="73" t="s">
        <v>1517</v>
      </c>
      <c r="M12" s="7" t="s">
        <v>1526</v>
      </c>
      <c r="N12" s="7" t="s">
        <v>1504</v>
      </c>
      <c r="O12" s="7" t="s">
        <v>1505</v>
      </c>
      <c r="P12" s="108" t="s">
        <v>1492</v>
      </c>
      <c r="Q12" s="7" t="s">
        <v>1506</v>
      </c>
      <c r="R12" s="7">
        <v>56.340400000000002</v>
      </c>
      <c r="S12" s="7">
        <f t="shared" si="2"/>
        <v>56.340400000000002</v>
      </c>
      <c r="T12" s="7">
        <v>-2.7955000000000001</v>
      </c>
      <c r="U12" s="7">
        <v>1</v>
      </c>
      <c r="V12" s="7">
        <v>50</v>
      </c>
      <c r="W12" s="7">
        <f t="shared" si="3"/>
        <v>1.6989700043360187</v>
      </c>
      <c r="X12" s="7" t="s">
        <v>1527</v>
      </c>
      <c r="Y12" s="7" t="s">
        <v>1501</v>
      </c>
      <c r="Z12" s="7">
        <v>5</v>
      </c>
      <c r="AA12" s="7">
        <v>15</v>
      </c>
      <c r="AB12" s="7">
        <v>0.8</v>
      </c>
      <c r="AC12" s="7">
        <v>0.1</v>
      </c>
      <c r="AD12" s="7">
        <v>6</v>
      </c>
      <c r="AE12" s="7">
        <v>0.98</v>
      </c>
      <c r="AF12" s="7">
        <v>0.06</v>
      </c>
      <c r="AG12" s="7">
        <v>8</v>
      </c>
      <c r="AH12" s="7"/>
      <c r="AI12" s="7"/>
      <c r="AJ12" s="7"/>
      <c r="AK12" s="7">
        <v>1.3</v>
      </c>
      <c r="AL12" s="7">
        <v>7.0000000000000007E-2</v>
      </c>
      <c r="AM12" s="7">
        <v>5</v>
      </c>
      <c r="AN12" s="7">
        <f t="shared" si="4"/>
        <v>1.2249999999999999</v>
      </c>
      <c r="AO12" s="7">
        <f t="shared" si="5"/>
        <v>1.625</v>
      </c>
      <c r="AP12" s="7">
        <f t="shared" si="6"/>
        <v>0.625</v>
      </c>
      <c r="AQ12" s="7">
        <f t="shared" si="7"/>
        <v>-0.20342566678957033</v>
      </c>
      <c r="AR12" s="7">
        <f t="shared" si="8"/>
        <v>0.20342566678957033</v>
      </c>
      <c r="AS12" s="7">
        <f t="shared" si="9"/>
        <v>6.333333333333333</v>
      </c>
      <c r="AT12" s="184">
        <f t="shared" si="10"/>
        <v>7.6666666666666675E-2</v>
      </c>
      <c r="AU12" s="7"/>
      <c r="AV12" s="7" t="s">
        <v>1528</v>
      </c>
      <c r="AW12" s="7"/>
      <c r="AX12" s="7" t="s">
        <v>1529</v>
      </c>
      <c r="AY12" s="7" t="s">
        <v>1509</v>
      </c>
      <c r="BD12" s="188"/>
    </row>
    <row r="13" spans="1:56">
      <c r="A13" s="7" t="s">
        <v>33</v>
      </c>
      <c r="B13" s="7" t="s">
        <v>34</v>
      </c>
      <c r="C13" s="7" t="s">
        <v>1496</v>
      </c>
      <c r="D13" s="7" t="s">
        <v>1497</v>
      </c>
      <c r="E13" s="7" t="s">
        <v>1498</v>
      </c>
      <c r="F13" s="7" t="s">
        <v>1499</v>
      </c>
      <c r="G13" s="7" t="s">
        <v>1500</v>
      </c>
      <c r="H13" s="7" t="s">
        <v>4180</v>
      </c>
      <c r="I13" s="100">
        <f>400/1000</f>
        <v>0.4</v>
      </c>
      <c r="J13" s="100">
        <f t="shared" si="0"/>
        <v>400</v>
      </c>
      <c r="K13" s="100">
        <f t="shared" si="1"/>
        <v>2.6020599913279625</v>
      </c>
      <c r="L13" s="73" t="s">
        <v>1517</v>
      </c>
      <c r="M13" s="7" t="s">
        <v>1526</v>
      </c>
      <c r="N13" s="7" t="s">
        <v>1504</v>
      </c>
      <c r="O13" s="7" t="s">
        <v>1505</v>
      </c>
      <c r="P13" s="108" t="s">
        <v>1492</v>
      </c>
      <c r="Q13" s="7" t="s">
        <v>1506</v>
      </c>
      <c r="R13" s="7">
        <v>56.340400000000002</v>
      </c>
      <c r="S13" s="7">
        <f t="shared" si="2"/>
        <v>56.340400000000002</v>
      </c>
      <c r="T13" s="7">
        <v>-2.7955000000000001</v>
      </c>
      <c r="U13" s="7">
        <v>1</v>
      </c>
      <c r="V13" s="7">
        <v>50</v>
      </c>
      <c r="W13" s="7">
        <f t="shared" si="3"/>
        <v>1.6989700043360187</v>
      </c>
      <c r="X13" s="7" t="s">
        <v>1527</v>
      </c>
      <c r="Y13" s="7" t="s">
        <v>1530</v>
      </c>
      <c r="Z13" s="7">
        <v>5</v>
      </c>
      <c r="AA13" s="7">
        <v>15</v>
      </c>
      <c r="AB13" s="7">
        <v>16.16</v>
      </c>
      <c r="AC13" s="7">
        <v>4.17</v>
      </c>
      <c r="AD13" s="7">
        <v>6</v>
      </c>
      <c r="AE13" s="7">
        <v>18.41</v>
      </c>
      <c r="AF13" s="7">
        <v>1.88</v>
      </c>
      <c r="AG13" s="7">
        <v>8</v>
      </c>
      <c r="AH13" s="7"/>
      <c r="AI13" s="7"/>
      <c r="AJ13" s="7"/>
      <c r="AK13" s="7">
        <v>22.04</v>
      </c>
      <c r="AL13" s="7">
        <v>2.88</v>
      </c>
      <c r="AM13" s="7">
        <v>5</v>
      </c>
      <c r="AN13" s="7">
        <f t="shared" si="4"/>
        <v>1.1392326732673268</v>
      </c>
      <c r="AO13" s="7">
        <f t="shared" si="5"/>
        <v>1.3638613861386137</v>
      </c>
      <c r="AP13" s="7">
        <f t="shared" si="6"/>
        <v>0.36386138613861374</v>
      </c>
      <c r="AQ13" s="7">
        <f t="shared" si="7"/>
        <v>-0.43787209627985801</v>
      </c>
      <c r="AR13" s="7">
        <f t="shared" si="8"/>
        <v>0.43787209627985801</v>
      </c>
      <c r="AS13" s="7">
        <f t="shared" si="9"/>
        <v>6.333333333333333</v>
      </c>
      <c r="AT13" s="184">
        <f t="shared" si="10"/>
        <v>2.9766666666666666</v>
      </c>
      <c r="AU13" s="7"/>
      <c r="AV13" s="7" t="s">
        <v>1531</v>
      </c>
      <c r="AW13" s="7"/>
      <c r="AX13" s="7" t="s">
        <v>1529</v>
      </c>
      <c r="AY13" s="7" t="s">
        <v>1509</v>
      </c>
      <c r="BD13" s="188"/>
    </row>
    <row r="14" spans="1:56">
      <c r="A14" s="7" t="s">
        <v>33</v>
      </c>
      <c r="B14" s="7" t="s">
        <v>43</v>
      </c>
      <c r="C14" s="7" t="s">
        <v>1532</v>
      </c>
      <c r="D14" s="7" t="s">
        <v>1533</v>
      </c>
      <c r="E14" s="7" t="s">
        <v>1534</v>
      </c>
      <c r="F14" s="7" t="s">
        <v>1535</v>
      </c>
      <c r="G14" s="7" t="s">
        <v>1536</v>
      </c>
      <c r="H14" s="7" t="s">
        <v>4184</v>
      </c>
      <c r="I14" s="100">
        <f>177/1000</f>
        <v>0.17699999999999999</v>
      </c>
      <c r="J14" s="100">
        <f t="shared" si="0"/>
        <v>177</v>
      </c>
      <c r="K14" s="100">
        <f t="shared" si="1"/>
        <v>2.2479732663618068</v>
      </c>
      <c r="L14" s="73" t="s">
        <v>1517</v>
      </c>
      <c r="M14" s="7" t="s">
        <v>1537</v>
      </c>
      <c r="N14" s="7" t="s">
        <v>1538</v>
      </c>
      <c r="O14" s="7" t="s">
        <v>1494</v>
      </c>
      <c r="P14" s="108" t="s">
        <v>1539</v>
      </c>
      <c r="Q14" s="7" t="s">
        <v>1540</v>
      </c>
      <c r="R14" s="7">
        <v>12.45</v>
      </c>
      <c r="S14" s="7">
        <f t="shared" si="2"/>
        <v>12.45</v>
      </c>
      <c r="T14" s="7">
        <v>130.86000000000001</v>
      </c>
      <c r="U14" s="7">
        <v>1</v>
      </c>
      <c r="V14" s="7">
        <v>33</v>
      </c>
      <c r="W14" s="7">
        <f t="shared" si="3"/>
        <v>1.5185139398778875</v>
      </c>
      <c r="X14" s="7" t="s">
        <v>1520</v>
      </c>
      <c r="Y14" s="7" t="s">
        <v>1521</v>
      </c>
      <c r="Z14" s="7">
        <v>20</v>
      </c>
      <c r="AA14" s="7">
        <v>29</v>
      </c>
      <c r="AB14" s="7">
        <v>1.03</v>
      </c>
      <c r="AC14" s="7">
        <v>0.02</v>
      </c>
      <c r="AD14" s="7">
        <v>8</v>
      </c>
      <c r="AE14" s="7">
        <v>0.68</v>
      </c>
      <c r="AF14" s="7">
        <v>0.01</v>
      </c>
      <c r="AG14" s="7">
        <v>8</v>
      </c>
      <c r="AH14" s="7">
        <v>0.65</v>
      </c>
      <c r="AI14" s="7">
        <v>1.4999999999999999E-2</v>
      </c>
      <c r="AJ14" s="7">
        <v>9</v>
      </c>
      <c r="AK14" s="108">
        <v>1.1100000000000001</v>
      </c>
      <c r="AL14" s="108">
        <v>0.01</v>
      </c>
      <c r="AM14" s="7">
        <v>9</v>
      </c>
      <c r="AN14" s="7">
        <f t="shared" si="4"/>
        <v>0.63042758644604835</v>
      </c>
      <c r="AO14" s="7">
        <f t="shared" si="5"/>
        <v>1.0866640068036146</v>
      </c>
      <c r="AP14" s="7">
        <f t="shared" si="6"/>
        <v>8.6664006803614635E-2</v>
      </c>
      <c r="AQ14" s="7">
        <f t="shared" si="7"/>
        <v>-1.0571786832037147</v>
      </c>
      <c r="AR14" s="7">
        <f t="shared" si="8"/>
        <v>1.0571786832037147</v>
      </c>
      <c r="AS14" s="7">
        <f t="shared" si="9"/>
        <v>8.3333333333333339</v>
      </c>
      <c r="AT14" s="184">
        <f t="shared" si="10"/>
        <v>1.3333333333333334E-2</v>
      </c>
      <c r="AU14" s="7"/>
      <c r="AV14" s="7"/>
      <c r="AW14" s="7"/>
      <c r="AX14" s="7" t="s">
        <v>1537</v>
      </c>
      <c r="AY14" s="7" t="s">
        <v>1509</v>
      </c>
      <c r="BD14" s="188"/>
    </row>
    <row r="15" spans="1:56">
      <c r="A15" s="7" t="s">
        <v>33</v>
      </c>
      <c r="B15" s="7" t="s">
        <v>34</v>
      </c>
      <c r="C15" s="7" t="s">
        <v>282</v>
      </c>
      <c r="D15" s="7" t="s">
        <v>1541</v>
      </c>
      <c r="E15" s="7" t="s">
        <v>1542</v>
      </c>
      <c r="F15" s="7" t="s">
        <v>1543</v>
      </c>
      <c r="G15" s="7" t="s">
        <v>1544</v>
      </c>
      <c r="H15" s="7" t="s">
        <v>4180</v>
      </c>
      <c r="I15" s="100">
        <f>93.3/1000</f>
        <v>9.3299999999999994E-2</v>
      </c>
      <c r="J15" s="100">
        <f t="shared" si="0"/>
        <v>93.3</v>
      </c>
      <c r="K15" s="100">
        <f t="shared" si="1"/>
        <v>1.9698816437464999</v>
      </c>
      <c r="L15" s="73" t="s">
        <v>1517</v>
      </c>
      <c r="M15" s="7" t="s">
        <v>1545</v>
      </c>
      <c r="N15" s="7" t="s">
        <v>1504</v>
      </c>
      <c r="O15" s="7" t="s">
        <v>1505</v>
      </c>
      <c r="P15" s="108" t="s">
        <v>1492</v>
      </c>
      <c r="Q15" s="7" t="s">
        <v>1546</v>
      </c>
      <c r="R15" s="7">
        <v>77.849999999999994</v>
      </c>
      <c r="S15" s="7">
        <f t="shared" si="2"/>
        <v>77.849999999999994</v>
      </c>
      <c r="T15" s="7">
        <v>166.75</v>
      </c>
      <c r="U15" s="7">
        <v>1</v>
      </c>
      <c r="V15" s="7">
        <v>26</v>
      </c>
      <c r="W15" s="7">
        <f t="shared" si="3"/>
        <v>1.414973347970818</v>
      </c>
      <c r="X15" s="7" t="s">
        <v>1520</v>
      </c>
      <c r="Y15" s="7" t="s">
        <v>1521</v>
      </c>
      <c r="Z15" s="7">
        <v>-1</v>
      </c>
      <c r="AA15" s="7">
        <v>4</v>
      </c>
      <c r="AB15" s="108">
        <v>1.88</v>
      </c>
      <c r="AC15" s="108">
        <v>0.06</v>
      </c>
      <c r="AD15" s="7">
        <v>8</v>
      </c>
      <c r="AE15" s="7">
        <v>1.56</v>
      </c>
      <c r="AF15" s="7">
        <v>0.05</v>
      </c>
      <c r="AG15" s="7">
        <v>16</v>
      </c>
      <c r="AH15" s="7">
        <v>1.71</v>
      </c>
      <c r="AI15" s="7">
        <v>0.11</v>
      </c>
      <c r="AJ15" s="7">
        <v>16</v>
      </c>
      <c r="AK15" s="108">
        <v>2.04</v>
      </c>
      <c r="AL15" s="108">
        <v>0.11</v>
      </c>
      <c r="AM15" s="108">
        <v>8</v>
      </c>
      <c r="AN15" s="7">
        <f t="shared" si="4"/>
        <v>0.68854685377999114</v>
      </c>
      <c r="AO15" s="7">
        <f t="shared" si="5"/>
        <v>1.1774558623811682</v>
      </c>
      <c r="AP15" s="7">
        <f t="shared" si="6"/>
        <v>0.17745586238116817</v>
      </c>
      <c r="AQ15" s="7">
        <f t="shared" si="7"/>
        <v>-0.74846918064206758</v>
      </c>
      <c r="AR15" s="7">
        <f t="shared" si="8"/>
        <v>0.74846918064206758</v>
      </c>
      <c r="AS15" s="7">
        <f t="shared" si="9"/>
        <v>10.666666666666666</v>
      </c>
      <c r="AT15" s="184">
        <f t="shared" si="10"/>
        <v>7.3333333333333334E-2</v>
      </c>
      <c r="AU15" s="108"/>
      <c r="AV15" s="7"/>
      <c r="AW15" s="7"/>
      <c r="AX15" s="7" t="s">
        <v>1547</v>
      </c>
      <c r="AY15" s="7" t="s">
        <v>1509</v>
      </c>
      <c r="BD15" s="188"/>
    </row>
    <row r="16" spans="1:56">
      <c r="A16" s="7" t="s">
        <v>33</v>
      </c>
      <c r="B16" s="7" t="s">
        <v>34</v>
      </c>
      <c r="C16" s="7" t="s">
        <v>282</v>
      </c>
      <c r="D16" s="7" t="s">
        <v>1541</v>
      </c>
      <c r="E16" s="7" t="s">
        <v>1542</v>
      </c>
      <c r="F16" s="7" t="s">
        <v>1543</v>
      </c>
      <c r="G16" s="7" t="s">
        <v>1544</v>
      </c>
      <c r="H16" s="7" t="s">
        <v>4180</v>
      </c>
      <c r="I16" s="100">
        <f>90/1000</f>
        <v>0.09</v>
      </c>
      <c r="J16" s="100">
        <f t="shared" si="0"/>
        <v>90</v>
      </c>
      <c r="K16" s="100">
        <f t="shared" si="1"/>
        <v>1.954242509439325</v>
      </c>
      <c r="L16" s="73" t="s">
        <v>1517</v>
      </c>
      <c r="M16" s="7" t="s">
        <v>1548</v>
      </c>
      <c r="N16" s="7" t="s">
        <v>1504</v>
      </c>
      <c r="O16" s="7" t="s">
        <v>1505</v>
      </c>
      <c r="P16" s="108" t="s">
        <v>1492</v>
      </c>
      <c r="Q16" s="7" t="s">
        <v>1546</v>
      </c>
      <c r="R16" s="7">
        <v>77.849999999999994</v>
      </c>
      <c r="S16" s="7">
        <f t="shared" si="2"/>
        <v>77.849999999999994</v>
      </c>
      <c r="T16" s="7">
        <v>166.75</v>
      </c>
      <c r="U16" s="7">
        <v>1</v>
      </c>
      <c r="V16" s="7">
        <v>42</v>
      </c>
      <c r="W16" s="7">
        <f t="shared" si="3"/>
        <v>1.6232492903979006</v>
      </c>
      <c r="X16" s="7" t="s">
        <v>1520</v>
      </c>
      <c r="Y16" s="7" t="s">
        <v>1521</v>
      </c>
      <c r="Z16" s="7">
        <v>-1</v>
      </c>
      <c r="AA16" s="7">
        <v>4</v>
      </c>
      <c r="AB16" s="108">
        <v>2.0299999999999998</v>
      </c>
      <c r="AC16" s="108">
        <v>7.0000000000000007E-2</v>
      </c>
      <c r="AD16" s="7">
        <v>10</v>
      </c>
      <c r="AE16" s="7">
        <v>1.5</v>
      </c>
      <c r="AF16" s="7">
        <v>0.08</v>
      </c>
      <c r="AG16" s="7">
        <v>10</v>
      </c>
      <c r="AH16" s="7">
        <v>1.9</v>
      </c>
      <c r="AI16" s="7">
        <v>0.03</v>
      </c>
      <c r="AJ16" s="7">
        <v>10</v>
      </c>
      <c r="AK16" s="108">
        <v>1.98</v>
      </c>
      <c r="AL16" s="108">
        <v>0.02</v>
      </c>
      <c r="AM16" s="108">
        <v>10</v>
      </c>
      <c r="AN16" s="7">
        <f t="shared" si="4"/>
        <v>0.54599723361401653</v>
      </c>
      <c r="AO16" s="7">
        <f t="shared" si="5"/>
        <v>0.95134557984906221</v>
      </c>
      <c r="AP16" s="7">
        <f t="shared" si="6"/>
        <v>4.8654420150937794E-2</v>
      </c>
      <c r="AQ16" s="7">
        <f t="shared" si="7"/>
        <v>-1.3040420853011865</v>
      </c>
      <c r="AR16" s="7">
        <f t="shared" si="8"/>
        <v>1.3040420853011865</v>
      </c>
      <c r="AS16" s="7">
        <f t="shared" si="9"/>
        <v>10</v>
      </c>
      <c r="AT16" s="184">
        <f t="shared" si="10"/>
        <v>5.6666666666666671E-2</v>
      </c>
      <c r="AU16" s="108"/>
      <c r="AV16" s="7"/>
      <c r="AW16" s="7"/>
      <c r="AX16" s="7" t="s">
        <v>1549</v>
      </c>
      <c r="AY16" s="7" t="s">
        <v>1509</v>
      </c>
      <c r="BD16" s="188"/>
    </row>
    <row r="17" spans="1:56">
      <c r="A17" s="7" t="s">
        <v>33</v>
      </c>
      <c r="B17" s="7" t="s">
        <v>43</v>
      </c>
      <c r="C17" s="7" t="s">
        <v>1550</v>
      </c>
      <c r="D17" s="7" t="s">
        <v>1551</v>
      </c>
      <c r="E17" s="7" t="s">
        <v>1552</v>
      </c>
      <c r="F17" s="7" t="s">
        <v>1553</v>
      </c>
      <c r="G17" s="7" t="s">
        <v>1554</v>
      </c>
      <c r="H17" s="7" t="s">
        <v>4184</v>
      </c>
      <c r="I17" s="100">
        <f>30/1000</f>
        <v>0.03</v>
      </c>
      <c r="J17" s="100">
        <f t="shared" si="0"/>
        <v>30</v>
      </c>
      <c r="K17" s="100">
        <f t="shared" si="1"/>
        <v>1.4771212547196624</v>
      </c>
      <c r="L17" s="73" t="s">
        <v>1517</v>
      </c>
      <c r="M17" s="7" t="s">
        <v>1555</v>
      </c>
      <c r="N17" s="7" t="s">
        <v>1538</v>
      </c>
      <c r="O17" s="7" t="s">
        <v>1505</v>
      </c>
      <c r="P17" s="108" t="s">
        <v>1539</v>
      </c>
      <c r="Q17" s="7" t="s">
        <v>1556</v>
      </c>
      <c r="R17" s="7">
        <v>25.72</v>
      </c>
      <c r="S17" s="7">
        <f t="shared" si="2"/>
        <v>25.72</v>
      </c>
      <c r="T17" s="7">
        <v>152.58000000000001</v>
      </c>
      <c r="U17" s="7">
        <v>1</v>
      </c>
      <c r="V17" s="7">
        <v>56</v>
      </c>
      <c r="W17" s="7">
        <f t="shared" si="3"/>
        <v>1.7481880270062005</v>
      </c>
      <c r="X17" s="7" t="s">
        <v>1520</v>
      </c>
      <c r="Y17" s="7" t="s">
        <v>1557</v>
      </c>
      <c r="Z17" s="7">
        <v>17</v>
      </c>
      <c r="AA17" s="7">
        <v>28</v>
      </c>
      <c r="AB17" s="108">
        <v>0.68</v>
      </c>
      <c r="AC17" s="108">
        <v>2.5000000000000001E-2</v>
      </c>
      <c r="AD17" s="7">
        <v>6</v>
      </c>
      <c r="AE17" s="7">
        <v>0.79</v>
      </c>
      <c r="AF17" s="7">
        <v>2.9000000000000001E-2</v>
      </c>
      <c r="AG17" s="7">
        <v>6</v>
      </c>
      <c r="AH17" s="7">
        <v>0.67</v>
      </c>
      <c r="AI17" s="7">
        <v>1.4999999999999999E-2</v>
      </c>
      <c r="AJ17" s="7">
        <v>7</v>
      </c>
      <c r="AK17" s="108">
        <v>0.79</v>
      </c>
      <c r="AL17" s="108">
        <v>1.6E-2</v>
      </c>
      <c r="AM17" s="7">
        <v>7</v>
      </c>
      <c r="AN17" s="7">
        <f t="shared" si="4"/>
        <v>1.1460362216413282</v>
      </c>
      <c r="AO17" s="7">
        <f t="shared" si="5"/>
        <v>1.1460362216413282</v>
      </c>
      <c r="AP17" s="7">
        <f t="shared" si="6"/>
        <v>0.14603622164132823</v>
      </c>
      <c r="AQ17" s="7">
        <f t="shared" si="7"/>
        <v>-0.83257566578797493</v>
      </c>
      <c r="AR17" s="7">
        <f t="shared" si="8"/>
        <v>0.83257566578797493</v>
      </c>
      <c r="AS17" s="7">
        <f t="shared" si="9"/>
        <v>6.333333333333333</v>
      </c>
      <c r="AT17" s="184">
        <f t="shared" si="10"/>
        <v>2.3333333333333334E-2</v>
      </c>
      <c r="AU17" s="7"/>
      <c r="AV17" s="7" t="s">
        <v>1558</v>
      </c>
      <c r="AW17" s="7"/>
      <c r="AX17" s="7" t="s">
        <v>1559</v>
      </c>
      <c r="AY17" s="7" t="s">
        <v>1509</v>
      </c>
      <c r="BD17" s="188"/>
    </row>
    <row r="18" spans="1:56">
      <c r="A18" s="7" t="s">
        <v>33</v>
      </c>
      <c r="B18" s="7" t="s">
        <v>34</v>
      </c>
      <c r="C18" s="7" t="s">
        <v>282</v>
      </c>
      <c r="D18" s="7" t="s">
        <v>1560</v>
      </c>
      <c r="E18" s="7" t="s">
        <v>1561</v>
      </c>
      <c r="F18" s="7" t="s">
        <v>1562</v>
      </c>
      <c r="G18" s="7" t="s">
        <v>1563</v>
      </c>
      <c r="H18" s="7" t="s">
        <v>4180</v>
      </c>
      <c r="I18" s="100">
        <f>8.99/1000</f>
        <v>8.9899999999999997E-3</v>
      </c>
      <c r="J18" s="100">
        <f t="shared" si="0"/>
        <v>8.99</v>
      </c>
      <c r="K18" s="100">
        <f t="shared" si="1"/>
        <v>0.95375969173322883</v>
      </c>
      <c r="L18" s="73" t="s">
        <v>1517</v>
      </c>
      <c r="M18" s="7" t="s">
        <v>1564</v>
      </c>
      <c r="N18" s="7" t="s">
        <v>1538</v>
      </c>
      <c r="O18" s="7" t="s">
        <v>1505</v>
      </c>
      <c r="P18" s="108" t="s">
        <v>1539</v>
      </c>
      <c r="Q18" s="7" t="s">
        <v>1565</v>
      </c>
      <c r="R18" s="7">
        <v>28</v>
      </c>
      <c r="S18" s="7">
        <f t="shared" si="2"/>
        <v>28</v>
      </c>
      <c r="T18" s="7">
        <v>153</v>
      </c>
      <c r="U18" s="7">
        <v>1</v>
      </c>
      <c r="V18" s="7">
        <v>28</v>
      </c>
      <c r="W18" s="7">
        <f t="shared" si="3"/>
        <v>1.4471580313422192</v>
      </c>
      <c r="X18" s="7" t="s">
        <v>1520</v>
      </c>
      <c r="Y18" s="7" t="s">
        <v>1521</v>
      </c>
      <c r="Z18" s="7">
        <v>14</v>
      </c>
      <c r="AA18" s="7">
        <v>22</v>
      </c>
      <c r="AB18" s="108">
        <v>3.5</v>
      </c>
      <c r="AC18" s="108">
        <v>0.08</v>
      </c>
      <c r="AD18" s="7">
        <v>15</v>
      </c>
      <c r="AE18" s="7">
        <v>2.7</v>
      </c>
      <c r="AF18" s="7">
        <v>0.1</v>
      </c>
      <c r="AG18" s="7">
        <v>15</v>
      </c>
      <c r="AH18" s="7">
        <v>1.95</v>
      </c>
      <c r="AI18" s="7">
        <v>0.05</v>
      </c>
      <c r="AJ18" s="7">
        <v>15</v>
      </c>
      <c r="AK18" s="108">
        <v>4.8499999999999996</v>
      </c>
      <c r="AL18" s="108">
        <v>0.2</v>
      </c>
      <c r="AM18" s="108">
        <v>15</v>
      </c>
      <c r="AN18" s="7">
        <f t="shared" si="4"/>
        <v>0.72296895683011642</v>
      </c>
      <c r="AO18" s="7">
        <f t="shared" si="5"/>
        <v>1.5034608300067962</v>
      </c>
      <c r="AP18" s="7">
        <f t="shared" si="6"/>
        <v>0.5034608300067962</v>
      </c>
      <c r="AQ18" s="7">
        <f t="shared" si="7"/>
        <v>-0.29717254988758257</v>
      </c>
      <c r="AR18" s="7">
        <f t="shared" si="8"/>
        <v>0.29717254988758257</v>
      </c>
      <c r="AS18" s="7">
        <f t="shared" si="9"/>
        <v>15</v>
      </c>
      <c r="AT18" s="184">
        <f t="shared" si="10"/>
        <v>0.12666666666666668</v>
      </c>
      <c r="AU18" s="108"/>
      <c r="AV18" s="7"/>
      <c r="AW18" s="7"/>
      <c r="AX18" s="7" t="s">
        <v>1566</v>
      </c>
      <c r="AY18" s="7" t="s">
        <v>1509</v>
      </c>
      <c r="BD18" s="188"/>
    </row>
    <row r="19" spans="1:56">
      <c r="A19" s="7" t="s">
        <v>33</v>
      </c>
      <c r="B19" s="7" t="s">
        <v>75</v>
      </c>
      <c r="C19" s="7" t="s">
        <v>348</v>
      </c>
      <c r="D19" s="7" t="s">
        <v>622</v>
      </c>
      <c r="E19" s="7" t="s">
        <v>661</v>
      </c>
      <c r="F19" s="7" t="s">
        <v>1184</v>
      </c>
      <c r="G19" s="7" t="s">
        <v>1567</v>
      </c>
      <c r="H19" s="7" t="s">
        <v>4181</v>
      </c>
      <c r="I19" s="100">
        <f>8.5/1000</f>
        <v>8.5000000000000006E-3</v>
      </c>
      <c r="J19" s="100">
        <f t="shared" si="0"/>
        <v>8.5</v>
      </c>
      <c r="K19" s="100">
        <f t="shared" si="1"/>
        <v>0.92941892571429274</v>
      </c>
      <c r="L19" s="73" t="s">
        <v>1517</v>
      </c>
      <c r="M19" s="7" t="s">
        <v>1568</v>
      </c>
      <c r="N19" s="7" t="s">
        <v>1538</v>
      </c>
      <c r="O19" s="7" t="s">
        <v>1505</v>
      </c>
      <c r="P19" s="108" t="s">
        <v>1492</v>
      </c>
      <c r="Q19" s="7" t="s">
        <v>1569</v>
      </c>
      <c r="R19" s="7">
        <v>46.9</v>
      </c>
      <c r="S19" s="7">
        <f t="shared" si="2"/>
        <v>46.9</v>
      </c>
      <c r="T19" s="7">
        <v>19.399999999999999</v>
      </c>
      <c r="U19" s="7">
        <v>1</v>
      </c>
      <c r="V19" s="7">
        <v>70</v>
      </c>
      <c r="W19" s="7">
        <f t="shared" si="3"/>
        <v>1.8450980400142569</v>
      </c>
      <c r="X19" s="7" t="s">
        <v>1520</v>
      </c>
      <c r="Y19" s="7" t="s">
        <v>1557</v>
      </c>
      <c r="Z19" s="7">
        <v>15</v>
      </c>
      <c r="AA19" s="7">
        <v>25</v>
      </c>
      <c r="AB19" s="108">
        <v>2.9135802469135799</v>
      </c>
      <c r="AC19" s="108">
        <v>0.18518518518518517</v>
      </c>
      <c r="AD19" s="7">
        <v>8</v>
      </c>
      <c r="AE19" s="108">
        <v>3.481481481481481</v>
      </c>
      <c r="AF19" s="108">
        <v>0.2839506172839506</v>
      </c>
      <c r="AG19" s="108">
        <v>8</v>
      </c>
      <c r="AH19" s="108">
        <v>3.2098765432098766</v>
      </c>
      <c r="AI19" s="108">
        <v>0.12345679012345678</v>
      </c>
      <c r="AJ19" s="108">
        <v>8</v>
      </c>
      <c r="AK19" s="108">
        <v>3.4567901234567904</v>
      </c>
      <c r="AL19" s="108">
        <v>0.18518518518518517</v>
      </c>
      <c r="AM19" s="7">
        <v>8</v>
      </c>
      <c r="AN19" s="7">
        <f t="shared" si="4"/>
        <v>1.1949152542372881</v>
      </c>
      <c r="AO19" s="7">
        <f t="shared" si="5"/>
        <v>1.1864406779661019</v>
      </c>
      <c r="AP19" s="7">
        <f t="shared" si="6"/>
        <v>0.18644067796610186</v>
      </c>
      <c r="AQ19" s="7">
        <f t="shared" si="7"/>
        <v>-0.72713615358093753</v>
      </c>
      <c r="AR19" s="7">
        <f t="shared" si="8"/>
        <v>0.72713615358093753</v>
      </c>
      <c r="AS19" s="7">
        <f t="shared" si="9"/>
        <v>8</v>
      </c>
      <c r="AT19" s="184">
        <f t="shared" si="10"/>
        <v>0.21810699588477367</v>
      </c>
      <c r="AU19" s="7"/>
      <c r="AV19" s="7"/>
      <c r="AW19" s="7"/>
      <c r="AX19" s="7" t="s">
        <v>1568</v>
      </c>
      <c r="AY19" s="7" t="s">
        <v>1509</v>
      </c>
      <c r="BD19" s="188"/>
    </row>
    <row r="20" spans="1:56">
      <c r="A20" s="7" t="s">
        <v>33</v>
      </c>
      <c r="B20" s="7" t="s">
        <v>75</v>
      </c>
      <c r="C20" s="7" t="s">
        <v>76</v>
      </c>
      <c r="D20" s="7" t="s">
        <v>721</v>
      </c>
      <c r="E20" s="7" t="s">
        <v>752</v>
      </c>
      <c r="F20" s="7" t="s">
        <v>755</v>
      </c>
      <c r="G20" s="7" t="s">
        <v>1570</v>
      </c>
      <c r="H20" s="7" t="s">
        <v>4181</v>
      </c>
      <c r="I20" s="100">
        <f>6.75/1000</f>
        <v>6.7499999999999999E-3</v>
      </c>
      <c r="J20" s="100">
        <f t="shared" si="0"/>
        <v>6.75</v>
      </c>
      <c r="K20" s="100">
        <f t="shared" si="1"/>
        <v>0.82930377283102497</v>
      </c>
      <c r="L20" s="73" t="s">
        <v>1517</v>
      </c>
      <c r="M20" s="7" t="s">
        <v>1571</v>
      </c>
      <c r="N20" s="110" t="s">
        <v>1538</v>
      </c>
      <c r="O20" s="110" t="s">
        <v>1505</v>
      </c>
      <c r="P20" s="108" t="s">
        <v>1492</v>
      </c>
      <c r="Q20" s="110" t="s">
        <v>1572</v>
      </c>
      <c r="R20" s="110">
        <v>33.85</v>
      </c>
      <c r="S20" s="7">
        <f t="shared" si="2"/>
        <v>33.85</v>
      </c>
      <c r="T20" s="110">
        <v>151.19999999999999</v>
      </c>
      <c r="U20" s="7">
        <v>1</v>
      </c>
      <c r="V20" s="7">
        <v>56</v>
      </c>
      <c r="W20" s="7">
        <f t="shared" si="3"/>
        <v>1.7481880270062005</v>
      </c>
      <c r="X20" s="7" t="s">
        <v>1520</v>
      </c>
      <c r="Y20" s="7" t="s">
        <v>1557</v>
      </c>
      <c r="Z20" s="7">
        <v>18</v>
      </c>
      <c r="AA20" s="7">
        <v>30</v>
      </c>
      <c r="AB20" s="108">
        <v>0.92</v>
      </c>
      <c r="AC20" s="108">
        <v>0.03</v>
      </c>
      <c r="AD20" s="110">
        <v>12</v>
      </c>
      <c r="AE20" s="7">
        <v>1</v>
      </c>
      <c r="AF20" s="7">
        <v>0.02</v>
      </c>
      <c r="AG20" s="110">
        <v>12</v>
      </c>
      <c r="AH20" s="7">
        <v>0.9</v>
      </c>
      <c r="AI20" s="7">
        <v>0.03</v>
      </c>
      <c r="AJ20" s="110">
        <v>12</v>
      </c>
      <c r="AK20" s="7">
        <v>0.94</v>
      </c>
      <c r="AL20" s="7">
        <v>0.04</v>
      </c>
      <c r="AM20" s="110">
        <v>12</v>
      </c>
      <c r="AN20" s="7">
        <f t="shared" si="4"/>
        <v>1.0719556324110697</v>
      </c>
      <c r="AO20" s="7">
        <f t="shared" si="5"/>
        <v>1.0180833975237071</v>
      </c>
      <c r="AP20" s="7">
        <f t="shared" si="6"/>
        <v>1.8083397523707134E-2</v>
      </c>
      <c r="AQ20" s="7">
        <f t="shared" si="7"/>
        <v>-1.7193443028791824</v>
      </c>
      <c r="AR20" s="7">
        <f t="shared" si="8"/>
        <v>1.7193443028791824</v>
      </c>
      <c r="AS20" s="7">
        <f t="shared" si="9"/>
        <v>12</v>
      </c>
      <c r="AT20" s="184">
        <f t="shared" si="10"/>
        <v>0.03</v>
      </c>
      <c r="AU20" s="110"/>
      <c r="AV20" s="7" t="s">
        <v>1528</v>
      </c>
      <c r="AW20" s="7"/>
      <c r="AX20" s="7" t="s">
        <v>1571</v>
      </c>
      <c r="AY20" s="7" t="s">
        <v>1509</v>
      </c>
      <c r="BD20" s="188"/>
    </row>
    <row r="21" spans="1:56">
      <c r="A21" s="7" t="s">
        <v>33</v>
      </c>
      <c r="B21" s="7" t="s">
        <v>34</v>
      </c>
      <c r="C21" s="7" t="s">
        <v>1573</v>
      </c>
      <c r="D21" s="7" t="s">
        <v>1574</v>
      </c>
      <c r="E21" s="7" t="s">
        <v>1575</v>
      </c>
      <c r="F21" s="7" t="s">
        <v>1576</v>
      </c>
      <c r="G21" s="7" t="s">
        <v>1577</v>
      </c>
      <c r="H21" s="7" t="s">
        <v>4180</v>
      </c>
      <c r="I21" s="100">
        <f>(AVERAGE(6.78,3.12)/1000)</f>
        <v>4.9500000000000004E-3</v>
      </c>
      <c r="J21" s="100">
        <f t="shared" si="0"/>
        <v>4.95</v>
      </c>
      <c r="K21" s="100">
        <f t="shared" si="1"/>
        <v>0.69460519893356876</v>
      </c>
      <c r="L21" s="73" t="s">
        <v>1517</v>
      </c>
      <c r="M21" s="7" t="s">
        <v>1578</v>
      </c>
      <c r="N21" s="7" t="s">
        <v>1538</v>
      </c>
      <c r="O21" s="7" t="s">
        <v>1505</v>
      </c>
      <c r="P21" s="108" t="s">
        <v>1492</v>
      </c>
      <c r="Q21" s="7" t="s">
        <v>1579</v>
      </c>
      <c r="R21" s="7">
        <v>27.45</v>
      </c>
      <c r="S21" s="7">
        <f t="shared" si="2"/>
        <v>27.45</v>
      </c>
      <c r="T21" s="7">
        <v>153.65</v>
      </c>
      <c r="U21" s="7">
        <v>1</v>
      </c>
      <c r="V21" s="7">
        <v>42</v>
      </c>
      <c r="W21" s="7">
        <f t="shared" si="3"/>
        <v>1.6232492903979006</v>
      </c>
      <c r="X21" s="7" t="s">
        <v>1520</v>
      </c>
      <c r="Y21" s="7" t="s">
        <v>1557</v>
      </c>
      <c r="Z21" s="7">
        <v>15</v>
      </c>
      <c r="AA21" s="7">
        <v>25</v>
      </c>
      <c r="AB21" s="7">
        <v>20.5</v>
      </c>
      <c r="AC21" s="7">
        <v>0.7</v>
      </c>
      <c r="AD21" s="7">
        <v>40</v>
      </c>
      <c r="AE21" s="7">
        <v>28</v>
      </c>
      <c r="AF21" s="7">
        <v>0.6</v>
      </c>
      <c r="AG21" s="7">
        <v>40</v>
      </c>
      <c r="AH21" s="108">
        <v>21</v>
      </c>
      <c r="AI21" s="7">
        <v>0.5</v>
      </c>
      <c r="AJ21" s="7">
        <v>40</v>
      </c>
      <c r="AK21" s="108">
        <v>26</v>
      </c>
      <c r="AL21" s="7">
        <v>1.2</v>
      </c>
      <c r="AM21" s="7">
        <v>40</v>
      </c>
      <c r="AN21" s="7">
        <f t="shared" si="4"/>
        <v>1.3658536585365855</v>
      </c>
      <c r="AO21" s="7">
        <f t="shared" si="5"/>
        <v>1.2682926829268293</v>
      </c>
      <c r="AP21" s="7">
        <f t="shared" si="6"/>
        <v>0.26829268292682928</v>
      </c>
      <c r="AQ21" s="7">
        <f t="shared" si="7"/>
        <v>-0.56977544683978387</v>
      </c>
      <c r="AR21" s="7">
        <f t="shared" si="8"/>
        <v>0.56977544683978387</v>
      </c>
      <c r="AS21" s="7">
        <f t="shared" si="9"/>
        <v>40</v>
      </c>
      <c r="AT21" s="184">
        <f t="shared" si="10"/>
        <v>0.83333333333333337</v>
      </c>
      <c r="AU21" s="7"/>
      <c r="AV21" s="7"/>
      <c r="AW21" s="7"/>
      <c r="AX21" s="7" t="s">
        <v>1580</v>
      </c>
      <c r="AY21" s="7" t="s">
        <v>1509</v>
      </c>
      <c r="BD21" s="188"/>
    </row>
    <row r="22" spans="1:56">
      <c r="A22" s="7" t="s">
        <v>33</v>
      </c>
      <c r="B22" s="7" t="s">
        <v>34</v>
      </c>
      <c r="C22" s="7" t="s">
        <v>282</v>
      </c>
      <c r="D22" s="7" t="s">
        <v>1581</v>
      </c>
      <c r="E22" s="7" t="s">
        <v>1582</v>
      </c>
      <c r="F22" s="7" t="s">
        <v>1583</v>
      </c>
      <c r="G22" s="7" t="s">
        <v>1584</v>
      </c>
      <c r="H22" s="7" t="s">
        <v>4180</v>
      </c>
      <c r="I22" s="100">
        <f>3.216/1000</f>
        <v>3.2160000000000001E-3</v>
      </c>
      <c r="J22" s="100">
        <f t="shared" si="0"/>
        <v>3.2160000000000002</v>
      </c>
      <c r="K22" s="100">
        <f t="shared" si="1"/>
        <v>0.50731604007641373</v>
      </c>
      <c r="L22" s="73" t="s">
        <v>1517</v>
      </c>
      <c r="M22" s="7" t="s">
        <v>1585</v>
      </c>
      <c r="N22" s="7" t="s">
        <v>1538</v>
      </c>
      <c r="O22" s="7" t="s">
        <v>1494</v>
      </c>
      <c r="P22" s="108" t="s">
        <v>1539</v>
      </c>
      <c r="Q22" s="7" t="s">
        <v>1586</v>
      </c>
      <c r="R22" s="7">
        <v>29.45</v>
      </c>
      <c r="S22" s="7">
        <f t="shared" si="2"/>
        <v>29.45</v>
      </c>
      <c r="T22" s="7">
        <v>153.35</v>
      </c>
      <c r="U22" s="7">
        <v>1</v>
      </c>
      <c r="V22" s="7">
        <v>28</v>
      </c>
      <c r="W22" s="7">
        <f t="shared" si="3"/>
        <v>1.4471580313422192</v>
      </c>
      <c r="X22" s="7" t="s">
        <v>1520</v>
      </c>
      <c r="Y22" s="7" t="s">
        <v>1521</v>
      </c>
      <c r="Z22" s="7">
        <v>15</v>
      </c>
      <c r="AA22" s="7">
        <v>25</v>
      </c>
      <c r="AB22" s="7">
        <v>5.45</v>
      </c>
      <c r="AC22" s="7">
        <v>0.34</v>
      </c>
      <c r="AD22" s="108">
        <v>14</v>
      </c>
      <c r="AE22" s="7">
        <v>6.55</v>
      </c>
      <c r="AF22" s="7">
        <v>0.21</v>
      </c>
      <c r="AG22" s="108">
        <v>14</v>
      </c>
      <c r="AH22" s="7">
        <v>4.47</v>
      </c>
      <c r="AI22" s="7">
        <v>0.36</v>
      </c>
      <c r="AJ22" s="108">
        <v>14</v>
      </c>
      <c r="AK22" s="108">
        <v>7.4</v>
      </c>
      <c r="AL22" s="108">
        <v>0.38</v>
      </c>
      <c r="AM22" s="108">
        <v>14</v>
      </c>
      <c r="AN22" s="7">
        <f t="shared" si="4"/>
        <v>1.201834862385321</v>
      </c>
      <c r="AO22" s="7">
        <f t="shared" si="5"/>
        <v>1.3577981651376148</v>
      </c>
      <c r="AP22" s="7">
        <f t="shared" si="6"/>
        <v>0.35779816513761475</v>
      </c>
      <c r="AQ22" s="7">
        <f t="shared" si="7"/>
        <v>-0.4451497865662023</v>
      </c>
      <c r="AR22" s="7">
        <f t="shared" si="8"/>
        <v>0.4451497865662023</v>
      </c>
      <c r="AS22" s="7">
        <f t="shared" si="9"/>
        <v>14</v>
      </c>
      <c r="AT22" s="184">
        <f t="shared" si="10"/>
        <v>0.31</v>
      </c>
      <c r="AU22" s="108"/>
      <c r="AV22" s="7"/>
      <c r="AW22" s="7"/>
      <c r="AX22" s="7" t="s">
        <v>1585</v>
      </c>
      <c r="AY22" s="7" t="s">
        <v>1509</v>
      </c>
      <c r="BD22" s="188"/>
    </row>
    <row r="23" spans="1:56">
      <c r="A23" s="7" t="s">
        <v>33</v>
      </c>
      <c r="B23" s="7" t="s">
        <v>34</v>
      </c>
      <c r="C23" s="7" t="s">
        <v>282</v>
      </c>
      <c r="D23" s="7" t="s">
        <v>1581</v>
      </c>
      <c r="E23" s="7" t="s">
        <v>1582</v>
      </c>
      <c r="F23" s="7" t="s">
        <v>1583</v>
      </c>
      <c r="G23" s="7" t="s">
        <v>1584</v>
      </c>
      <c r="H23" s="7" t="s">
        <v>4180</v>
      </c>
      <c r="I23" s="100">
        <f>3.216/1000</f>
        <v>3.2160000000000001E-3</v>
      </c>
      <c r="J23" s="100">
        <f t="shared" si="0"/>
        <v>3.2160000000000002</v>
      </c>
      <c r="K23" s="100">
        <f t="shared" si="1"/>
        <v>0.50731604007641373</v>
      </c>
      <c r="L23" s="73" t="s">
        <v>1517</v>
      </c>
      <c r="M23" s="7" t="s">
        <v>1585</v>
      </c>
      <c r="N23" s="7" t="s">
        <v>1538</v>
      </c>
      <c r="O23" s="7" t="s">
        <v>1494</v>
      </c>
      <c r="P23" s="108" t="s">
        <v>1539</v>
      </c>
      <c r="Q23" s="7" t="s">
        <v>1586</v>
      </c>
      <c r="R23" s="7">
        <v>29.45</v>
      </c>
      <c r="S23" s="7">
        <f t="shared" si="2"/>
        <v>29.45</v>
      </c>
      <c r="T23" s="7">
        <v>153.35</v>
      </c>
      <c r="U23" s="7">
        <v>1</v>
      </c>
      <c r="V23" s="7">
        <v>28</v>
      </c>
      <c r="W23" s="7">
        <f t="shared" si="3"/>
        <v>1.4471580313422192</v>
      </c>
      <c r="X23" s="7" t="s">
        <v>1520</v>
      </c>
      <c r="Y23" s="7" t="s">
        <v>1557</v>
      </c>
      <c r="Z23" s="7">
        <v>15</v>
      </c>
      <c r="AA23" s="7">
        <v>25</v>
      </c>
      <c r="AB23" s="7">
        <v>23.2</v>
      </c>
      <c r="AC23" s="7">
        <v>1.42</v>
      </c>
      <c r="AD23" s="108">
        <v>14</v>
      </c>
      <c r="AE23" s="7">
        <v>26.3</v>
      </c>
      <c r="AF23" s="7">
        <v>1.7</v>
      </c>
      <c r="AG23" s="108">
        <v>14</v>
      </c>
      <c r="AH23" s="7">
        <v>16.22</v>
      </c>
      <c r="AI23" s="7">
        <v>0.99</v>
      </c>
      <c r="AJ23" s="108">
        <v>14</v>
      </c>
      <c r="AK23" s="108">
        <v>27.95</v>
      </c>
      <c r="AL23" s="108">
        <v>1.69</v>
      </c>
      <c r="AM23" s="108">
        <v>14</v>
      </c>
      <c r="AN23" s="7">
        <f t="shared" si="4"/>
        <v>1.1336206896551724</v>
      </c>
      <c r="AO23" s="7">
        <f t="shared" si="5"/>
        <v>1.2047413793103448</v>
      </c>
      <c r="AP23" s="7">
        <f t="shared" si="6"/>
        <v>0.20474137931034475</v>
      </c>
      <c r="AQ23" s="7">
        <f t="shared" si="7"/>
        <v>-0.68667835293893731</v>
      </c>
      <c r="AR23" s="7">
        <f t="shared" si="8"/>
        <v>0.68667835293893731</v>
      </c>
      <c r="AS23" s="7">
        <f t="shared" si="9"/>
        <v>14</v>
      </c>
      <c r="AT23" s="184">
        <f t="shared" si="10"/>
        <v>1.6033333333333335</v>
      </c>
      <c r="AU23" s="108"/>
      <c r="AV23" s="7"/>
      <c r="AW23" s="7"/>
      <c r="AX23" s="7" t="s">
        <v>1585</v>
      </c>
      <c r="AY23" s="7" t="s">
        <v>1509</v>
      </c>
      <c r="BD23" s="188"/>
    </row>
    <row r="24" spans="1:56">
      <c r="A24" s="7" t="s">
        <v>33</v>
      </c>
      <c r="B24" s="7" t="s">
        <v>75</v>
      </c>
      <c r="C24" s="7" t="s">
        <v>76</v>
      </c>
      <c r="D24" s="7" t="s">
        <v>873</v>
      </c>
      <c r="E24" s="7" t="s">
        <v>874</v>
      </c>
      <c r="F24" s="7" t="s">
        <v>595</v>
      </c>
      <c r="G24" s="7" t="s">
        <v>1587</v>
      </c>
      <c r="H24" s="7" t="s">
        <v>4181</v>
      </c>
      <c r="I24" s="100">
        <f>3.2/1000</f>
        <v>3.2000000000000002E-3</v>
      </c>
      <c r="J24" s="100">
        <f t="shared" si="0"/>
        <v>3.2</v>
      </c>
      <c r="K24" s="100">
        <f t="shared" si="1"/>
        <v>0.50514997831990605</v>
      </c>
      <c r="L24" s="73" t="s">
        <v>1517</v>
      </c>
      <c r="M24" s="7" t="s">
        <v>1588</v>
      </c>
      <c r="N24" s="110" t="s">
        <v>1538</v>
      </c>
      <c r="O24" s="110" t="s">
        <v>1494</v>
      </c>
      <c r="P24" s="108" t="s">
        <v>1492</v>
      </c>
      <c r="Q24" s="110" t="s">
        <v>1506</v>
      </c>
      <c r="R24" s="110">
        <v>15</v>
      </c>
      <c r="S24" s="7">
        <f t="shared" si="2"/>
        <v>15</v>
      </c>
      <c r="T24" s="110">
        <v>25</v>
      </c>
      <c r="U24" s="7">
        <v>1</v>
      </c>
      <c r="V24" s="7">
        <v>42</v>
      </c>
      <c r="W24" s="7">
        <f t="shared" si="3"/>
        <v>1.6232492903979006</v>
      </c>
      <c r="X24" s="7" t="s">
        <v>1520</v>
      </c>
      <c r="Y24" s="7" t="s">
        <v>1557</v>
      </c>
      <c r="Z24" s="7">
        <v>10</v>
      </c>
      <c r="AA24" s="7">
        <v>25</v>
      </c>
      <c r="AB24" s="108">
        <v>0.98</v>
      </c>
      <c r="AC24" s="108">
        <v>0.04</v>
      </c>
      <c r="AD24" s="110">
        <v>10</v>
      </c>
      <c r="AE24" s="7">
        <v>1.27</v>
      </c>
      <c r="AF24" s="7">
        <v>0.05</v>
      </c>
      <c r="AG24" s="110">
        <v>10</v>
      </c>
      <c r="AH24" s="7">
        <v>0.6</v>
      </c>
      <c r="AI24" s="7">
        <v>0.02</v>
      </c>
      <c r="AJ24" s="110">
        <v>10</v>
      </c>
      <c r="AK24" s="7">
        <v>1.32</v>
      </c>
      <c r="AL24" s="7">
        <v>0.04</v>
      </c>
      <c r="AM24" s="110">
        <v>10</v>
      </c>
      <c r="AN24" s="7">
        <f t="shared" si="4"/>
        <v>1.1886438933221928</v>
      </c>
      <c r="AO24" s="7">
        <f t="shared" si="5"/>
        <v>1.2196406863052374</v>
      </c>
      <c r="AP24" s="7">
        <f t="shared" si="6"/>
        <v>0.21964068630523736</v>
      </c>
      <c r="AQ24" s="7">
        <f t="shared" si="7"/>
        <v>-0.65631440028844878</v>
      </c>
      <c r="AR24" s="7">
        <f t="shared" si="8"/>
        <v>0.65631440028844878</v>
      </c>
      <c r="AS24" s="7">
        <f t="shared" si="9"/>
        <v>10</v>
      </c>
      <c r="AT24" s="184">
        <f t="shared" si="10"/>
        <v>4.3333333333333335E-2</v>
      </c>
      <c r="AU24" s="110"/>
      <c r="AV24" s="7" t="s">
        <v>1528</v>
      </c>
      <c r="AW24" s="7" t="s">
        <v>1589</v>
      </c>
      <c r="AX24" s="7" t="s">
        <v>1590</v>
      </c>
      <c r="AY24" s="7" t="s">
        <v>1509</v>
      </c>
      <c r="BD24" s="188"/>
    </row>
    <row r="25" spans="1:56">
      <c r="A25" s="7" t="s">
        <v>33</v>
      </c>
      <c r="B25" s="7" t="s">
        <v>75</v>
      </c>
      <c r="C25" s="7" t="s">
        <v>348</v>
      </c>
      <c r="D25" s="7" t="s">
        <v>349</v>
      </c>
      <c r="E25" s="7" t="s">
        <v>393</v>
      </c>
      <c r="F25" s="7" t="s">
        <v>1591</v>
      </c>
      <c r="G25" s="7" t="s">
        <v>1592</v>
      </c>
      <c r="H25" s="7" t="s">
        <v>4181</v>
      </c>
      <c r="I25" s="100">
        <f>2.28/1000</f>
        <v>2.2799999999999999E-3</v>
      </c>
      <c r="J25" s="100">
        <f t="shared" si="0"/>
        <v>2.2799999999999998</v>
      </c>
      <c r="K25" s="100">
        <f t="shared" si="1"/>
        <v>0.35793484700045375</v>
      </c>
      <c r="L25" s="73" t="s">
        <v>1517</v>
      </c>
      <c r="M25" s="7" t="s">
        <v>1593</v>
      </c>
      <c r="N25" s="7" t="s">
        <v>1538</v>
      </c>
      <c r="O25" s="7" t="s">
        <v>1505</v>
      </c>
      <c r="P25" s="108" t="s">
        <v>1492</v>
      </c>
      <c r="Q25" s="7" t="s">
        <v>1594</v>
      </c>
      <c r="R25" s="7">
        <v>33.25</v>
      </c>
      <c r="S25" s="7">
        <f t="shared" si="2"/>
        <v>33.25</v>
      </c>
      <c r="T25" s="7">
        <v>86.65</v>
      </c>
      <c r="U25" s="7">
        <v>1</v>
      </c>
      <c r="V25" s="7">
        <v>17</v>
      </c>
      <c r="W25" s="7">
        <f t="shared" si="3"/>
        <v>1.2304489213782739</v>
      </c>
      <c r="X25" s="7" t="s">
        <v>1520</v>
      </c>
      <c r="Y25" s="7" t="s">
        <v>1557</v>
      </c>
      <c r="Z25" s="7">
        <v>8</v>
      </c>
      <c r="AA25" s="7">
        <v>18</v>
      </c>
      <c r="AB25" s="108">
        <v>5.0999999999999996</v>
      </c>
      <c r="AC25" s="108">
        <v>0.9</v>
      </c>
      <c r="AD25" s="108">
        <v>22</v>
      </c>
      <c r="AE25" s="108">
        <v>7.25</v>
      </c>
      <c r="AF25" s="108">
        <v>1</v>
      </c>
      <c r="AG25" s="108">
        <v>22</v>
      </c>
      <c r="AH25" s="108">
        <v>4.4000000000000004</v>
      </c>
      <c r="AI25" s="108">
        <v>0.7</v>
      </c>
      <c r="AJ25" s="108">
        <v>22</v>
      </c>
      <c r="AK25" s="108">
        <v>6.8</v>
      </c>
      <c r="AL25" s="108">
        <v>1.3</v>
      </c>
      <c r="AM25" s="108">
        <v>22</v>
      </c>
      <c r="AN25" s="7">
        <f t="shared" si="4"/>
        <v>1.4215686274509804</v>
      </c>
      <c r="AO25" s="7">
        <f t="shared" si="5"/>
        <v>1.3333333333333335</v>
      </c>
      <c r="AP25" s="7">
        <f t="shared" si="6"/>
        <v>0.33333333333333348</v>
      </c>
      <c r="AQ25" s="7">
        <f t="shared" si="7"/>
        <v>-0.4758203216992441</v>
      </c>
      <c r="AR25" s="7">
        <f t="shared" si="8"/>
        <v>0.4758203216992441</v>
      </c>
      <c r="AS25" s="7">
        <f t="shared" si="9"/>
        <v>22</v>
      </c>
      <c r="AT25" s="184">
        <f t="shared" si="10"/>
        <v>1.0666666666666667</v>
      </c>
      <c r="AU25" s="108"/>
      <c r="AV25" s="7"/>
      <c r="AW25" s="7"/>
      <c r="AX25" s="7" t="s">
        <v>1595</v>
      </c>
      <c r="AY25" s="7" t="s">
        <v>1509</v>
      </c>
      <c r="BD25" s="188"/>
    </row>
    <row r="26" spans="1:56">
      <c r="A26" s="7" t="s">
        <v>33</v>
      </c>
      <c r="B26" s="7" t="s">
        <v>34</v>
      </c>
      <c r="C26" s="7" t="s">
        <v>1601</v>
      </c>
      <c r="D26" s="7" t="s">
        <v>1602</v>
      </c>
      <c r="E26" s="7" t="s">
        <v>1603</v>
      </c>
      <c r="F26" s="7" t="s">
        <v>1604</v>
      </c>
      <c r="G26" s="7" t="s">
        <v>1605</v>
      </c>
      <c r="H26" s="7" t="s">
        <v>4180</v>
      </c>
      <c r="I26" s="100">
        <f>(AVERAGE(410, 465, 783, 788, 734, 725, 829, 807))/1000000</f>
        <v>6.9262499999999999E-4</v>
      </c>
      <c r="J26" s="100">
        <f t="shared" si="0"/>
        <v>0.69262499999999994</v>
      </c>
      <c r="K26" s="100">
        <f t="shared" si="1"/>
        <v>-0.15950183683203978</v>
      </c>
      <c r="L26" s="73" t="s">
        <v>1517</v>
      </c>
      <c r="M26" s="7" t="s">
        <v>1606</v>
      </c>
      <c r="N26" s="7" t="s">
        <v>1538</v>
      </c>
      <c r="O26" s="7" t="s">
        <v>1505</v>
      </c>
      <c r="P26" s="108" t="s">
        <v>1539</v>
      </c>
      <c r="Q26" s="7" t="s">
        <v>1607</v>
      </c>
      <c r="R26" s="7">
        <v>48</v>
      </c>
      <c r="S26" s="7">
        <f t="shared" si="2"/>
        <v>48</v>
      </c>
      <c r="T26" s="7">
        <v>69.349999999999994</v>
      </c>
      <c r="U26" s="7">
        <v>1</v>
      </c>
      <c r="V26" s="7">
        <v>77</v>
      </c>
      <c r="W26" s="7">
        <f t="shared" si="3"/>
        <v>1.8864907251724818</v>
      </c>
      <c r="X26" s="7" t="s">
        <v>1520</v>
      </c>
      <c r="Y26" s="7" t="s">
        <v>1557</v>
      </c>
      <c r="Z26" s="7">
        <v>8</v>
      </c>
      <c r="AA26" s="7">
        <v>23</v>
      </c>
      <c r="AB26" s="7">
        <v>15.1</v>
      </c>
      <c r="AC26" s="7">
        <f>2/SQRT(10)</f>
        <v>0.63245553203367588</v>
      </c>
      <c r="AD26" s="7">
        <v>10</v>
      </c>
      <c r="AE26" s="7">
        <v>22.8</v>
      </c>
      <c r="AF26" s="7">
        <f>3.7/SQRT(10)</f>
        <v>1.1700427342623003</v>
      </c>
      <c r="AG26" s="7">
        <v>10</v>
      </c>
      <c r="AH26" s="7">
        <v>15.4</v>
      </c>
      <c r="AI26" s="7">
        <f>3.2/SQRT(10)</f>
        <v>1.0119288512538813</v>
      </c>
      <c r="AJ26" s="7">
        <v>10</v>
      </c>
      <c r="AK26" s="108">
        <v>17.5</v>
      </c>
      <c r="AL26" s="7">
        <f>4.3/SQRT(10)</f>
        <v>1.359779393872403</v>
      </c>
      <c r="AM26" s="7">
        <v>10</v>
      </c>
      <c r="AN26" s="7">
        <f t="shared" si="4"/>
        <v>1.316149631375912</v>
      </c>
      <c r="AO26" s="7">
        <f t="shared" si="5"/>
        <v>1.103335014834693</v>
      </c>
      <c r="AP26" s="7">
        <f t="shared" si="6"/>
        <v>0.10333501483469298</v>
      </c>
      <c r="AQ26" s="7">
        <f t="shared" si="7"/>
        <v>-0.98156991786768211</v>
      </c>
      <c r="AR26" s="7">
        <f t="shared" si="8"/>
        <v>0.98156991786768211</v>
      </c>
      <c r="AS26" s="7">
        <f t="shared" si="9"/>
        <v>10</v>
      </c>
      <c r="AT26" s="184">
        <f t="shared" si="10"/>
        <v>1.0540925533894596</v>
      </c>
      <c r="AU26" s="7"/>
      <c r="AV26" s="7" t="s">
        <v>1608</v>
      </c>
      <c r="AW26" s="7"/>
      <c r="AX26" s="7" t="s">
        <v>1609</v>
      </c>
      <c r="AY26" s="7" t="s">
        <v>1509</v>
      </c>
      <c r="BD26" s="188"/>
    </row>
    <row r="27" spans="1:56">
      <c r="A27" s="7" t="s">
        <v>33</v>
      </c>
      <c r="B27" s="7" t="s">
        <v>34</v>
      </c>
      <c r="C27" s="7" t="s">
        <v>66</v>
      </c>
      <c r="D27" s="7" t="s">
        <v>67</v>
      </c>
      <c r="E27" s="7" t="s">
        <v>1610</v>
      </c>
      <c r="F27" s="7" t="s">
        <v>1611</v>
      </c>
      <c r="G27" s="7" t="s">
        <v>1612</v>
      </c>
      <c r="H27" s="7" t="s">
        <v>4180</v>
      </c>
      <c r="I27" s="100">
        <f>0.6/1000</f>
        <v>5.9999999999999995E-4</v>
      </c>
      <c r="J27" s="100">
        <f t="shared" si="0"/>
        <v>0.6</v>
      </c>
      <c r="K27" s="100">
        <f t="shared" si="1"/>
        <v>-0.22184874961635639</v>
      </c>
      <c r="L27" s="73" t="s">
        <v>1517</v>
      </c>
      <c r="M27" s="7" t="s">
        <v>1613</v>
      </c>
      <c r="N27" s="7" t="s">
        <v>1538</v>
      </c>
      <c r="O27" s="7" t="s">
        <v>1494</v>
      </c>
      <c r="P27" s="108" t="s">
        <v>1492</v>
      </c>
      <c r="Q27" s="7" t="s">
        <v>1614</v>
      </c>
      <c r="R27" s="7">
        <v>27.5</v>
      </c>
      <c r="S27" s="7">
        <f t="shared" si="2"/>
        <v>27.5</v>
      </c>
      <c r="T27" s="7">
        <v>153</v>
      </c>
      <c r="U27" s="7">
        <v>1</v>
      </c>
      <c r="V27" s="7">
        <v>56</v>
      </c>
      <c r="W27" s="7">
        <f t="shared" si="3"/>
        <v>1.7481880270062005</v>
      </c>
      <c r="X27" s="7" t="s">
        <v>1520</v>
      </c>
      <c r="Y27" s="7" t="s">
        <v>1557</v>
      </c>
      <c r="Z27" s="7">
        <v>16</v>
      </c>
      <c r="AA27" s="7">
        <v>30</v>
      </c>
      <c r="AB27" s="108">
        <v>0.82</v>
      </c>
      <c r="AC27" s="108">
        <v>0.02</v>
      </c>
      <c r="AD27" s="7">
        <v>15</v>
      </c>
      <c r="AE27" s="7">
        <v>1.35</v>
      </c>
      <c r="AF27" s="7">
        <v>0.02</v>
      </c>
      <c r="AG27" s="7">
        <v>15</v>
      </c>
      <c r="AH27" s="7">
        <v>0.68</v>
      </c>
      <c r="AI27" s="7">
        <v>0.03</v>
      </c>
      <c r="AJ27" s="7">
        <v>16</v>
      </c>
      <c r="AK27" s="108">
        <v>1.25</v>
      </c>
      <c r="AL27" s="108">
        <v>0.01</v>
      </c>
      <c r="AM27" s="7">
        <v>16</v>
      </c>
      <c r="AN27" s="7">
        <f t="shared" si="4"/>
        <v>1.4277661552725474</v>
      </c>
      <c r="AO27" s="7">
        <f t="shared" si="5"/>
        <v>1.3513970665459769</v>
      </c>
      <c r="AP27" s="7">
        <f t="shared" si="6"/>
        <v>0.35139706654597691</v>
      </c>
      <c r="AQ27" s="7">
        <f t="shared" si="7"/>
        <v>-0.45296771543648695</v>
      </c>
      <c r="AR27" s="7">
        <f t="shared" si="8"/>
        <v>0.45296771543648695</v>
      </c>
      <c r="AS27" s="7">
        <f t="shared" si="9"/>
        <v>15.333333333333334</v>
      </c>
      <c r="AT27" s="184">
        <f t="shared" si="10"/>
        <v>1.6666666666666666E-2</v>
      </c>
      <c r="AU27" s="7"/>
      <c r="AV27" s="7" t="s">
        <v>1558</v>
      </c>
      <c r="AW27" s="7"/>
      <c r="AX27" s="7" t="s">
        <v>1615</v>
      </c>
      <c r="AY27" s="7" t="s">
        <v>1509</v>
      </c>
      <c r="BD27" s="188"/>
    </row>
    <row r="28" spans="1:56">
      <c r="A28" s="7" t="s">
        <v>33</v>
      </c>
      <c r="B28" s="7" t="s">
        <v>34</v>
      </c>
      <c r="C28" s="7" t="s">
        <v>66</v>
      </c>
      <c r="D28" s="7" t="s">
        <v>67</v>
      </c>
      <c r="E28" s="7" t="s">
        <v>1616</v>
      </c>
      <c r="F28" s="7" t="s">
        <v>1611</v>
      </c>
      <c r="G28" s="7" t="s">
        <v>68</v>
      </c>
      <c r="H28" s="7" t="s">
        <v>4180</v>
      </c>
      <c r="I28" s="100">
        <f>AVERAGE(0.55, 0.41, 0.58, 0.52, 0.48, 0.54)/1000</f>
        <v>5.1333333333333331E-4</v>
      </c>
      <c r="J28" s="100">
        <f t="shared" si="0"/>
        <v>0.51333333333333331</v>
      </c>
      <c r="K28" s="100">
        <f t="shared" si="1"/>
        <v>-0.2896005338831994</v>
      </c>
      <c r="L28" s="73" t="s">
        <v>1517</v>
      </c>
      <c r="M28" s="7" t="s">
        <v>1617</v>
      </c>
      <c r="N28" s="7" t="s">
        <v>1538</v>
      </c>
      <c r="O28" s="7" t="s">
        <v>1494</v>
      </c>
      <c r="P28" s="108" t="s">
        <v>1492</v>
      </c>
      <c r="Q28" s="7" t="s">
        <v>1618</v>
      </c>
      <c r="R28" s="7">
        <v>43.2</v>
      </c>
      <c r="S28" s="7">
        <f t="shared" si="2"/>
        <v>43.2</v>
      </c>
      <c r="T28" s="7">
        <v>80</v>
      </c>
      <c r="U28" s="7">
        <v>1</v>
      </c>
      <c r="V28" s="7">
        <v>21</v>
      </c>
      <c r="W28" s="7">
        <f t="shared" si="3"/>
        <v>1.3222192947339193</v>
      </c>
      <c r="X28" s="7" t="s">
        <v>1520</v>
      </c>
      <c r="Y28" s="7" t="s">
        <v>1521</v>
      </c>
      <c r="Z28" s="7">
        <v>18</v>
      </c>
      <c r="AA28" s="7">
        <v>28</v>
      </c>
      <c r="AB28" s="7">
        <v>13.5</v>
      </c>
      <c r="AC28" s="7">
        <v>0.8</v>
      </c>
      <c r="AD28" s="7">
        <v>10</v>
      </c>
      <c r="AE28" s="108">
        <v>20.05</v>
      </c>
      <c r="AF28" s="108">
        <v>1.5</v>
      </c>
      <c r="AG28" s="108">
        <v>15</v>
      </c>
      <c r="AH28" s="108">
        <v>13.8</v>
      </c>
      <c r="AI28" s="108">
        <v>0.05</v>
      </c>
      <c r="AJ28" s="108">
        <v>10</v>
      </c>
      <c r="AK28" s="108">
        <v>20.8</v>
      </c>
      <c r="AL28" s="108">
        <v>1</v>
      </c>
      <c r="AM28" s="108">
        <v>15</v>
      </c>
      <c r="AN28" s="7">
        <f t="shared" si="4"/>
        <v>1.4851851851851852</v>
      </c>
      <c r="AO28" s="7">
        <f t="shared" si="5"/>
        <v>1.5407407407407407</v>
      </c>
      <c r="AP28" s="7">
        <f t="shared" si="6"/>
        <v>0.54074074074074074</v>
      </c>
      <c r="AQ28" s="7">
        <f t="shared" si="7"/>
        <v>-0.2662085027669216</v>
      </c>
      <c r="AR28" s="7">
        <f t="shared" si="8"/>
        <v>0.2662085027669216</v>
      </c>
      <c r="AS28" s="7">
        <f t="shared" si="9"/>
        <v>13.333333333333334</v>
      </c>
      <c r="AT28" s="184">
        <f t="shared" si="10"/>
        <v>1.0999999999999999</v>
      </c>
      <c r="AU28" s="108"/>
      <c r="AV28" s="7"/>
      <c r="AW28" s="7"/>
      <c r="AX28" s="7" t="s">
        <v>1619</v>
      </c>
      <c r="AY28" s="7" t="s">
        <v>1509</v>
      </c>
      <c r="BD28" s="188"/>
    </row>
    <row r="29" spans="1:56">
      <c r="A29" s="7" t="s">
        <v>33</v>
      </c>
      <c r="B29" s="7" t="s">
        <v>75</v>
      </c>
      <c r="C29" s="7" t="s">
        <v>76</v>
      </c>
      <c r="D29" s="7" t="s">
        <v>721</v>
      </c>
      <c r="E29" s="7" t="s">
        <v>752</v>
      </c>
      <c r="F29" s="7" t="s">
        <v>755</v>
      </c>
      <c r="G29" s="7" t="s">
        <v>1570</v>
      </c>
      <c r="H29" s="7" t="s">
        <v>4181</v>
      </c>
      <c r="I29" s="100">
        <f>0.47/1000</f>
        <v>4.6999999999999999E-4</v>
      </c>
      <c r="J29" s="100">
        <f t="shared" si="0"/>
        <v>0.47</v>
      </c>
      <c r="K29" s="100">
        <f t="shared" si="1"/>
        <v>-0.32790214206428259</v>
      </c>
      <c r="L29" s="73" t="s">
        <v>1517</v>
      </c>
      <c r="M29" s="7" t="s">
        <v>1620</v>
      </c>
      <c r="N29" s="110" t="s">
        <v>1538</v>
      </c>
      <c r="O29" s="110" t="s">
        <v>1505</v>
      </c>
      <c r="P29" s="108" t="s">
        <v>1539</v>
      </c>
      <c r="Q29" s="110" t="s">
        <v>1572</v>
      </c>
      <c r="R29" s="110">
        <v>33.85</v>
      </c>
      <c r="S29" s="7">
        <f t="shared" si="2"/>
        <v>33.85</v>
      </c>
      <c r="T29" s="110">
        <v>151.19999999999999</v>
      </c>
      <c r="U29" s="7">
        <v>1</v>
      </c>
      <c r="V29" s="7">
        <v>42</v>
      </c>
      <c r="W29" s="7">
        <f t="shared" si="3"/>
        <v>1.6232492903979006</v>
      </c>
      <c r="X29" s="7" t="s">
        <v>1520</v>
      </c>
      <c r="Y29" s="7" t="s">
        <v>1557</v>
      </c>
      <c r="Z29" s="7">
        <v>10</v>
      </c>
      <c r="AA29" s="7">
        <v>24</v>
      </c>
      <c r="AB29" s="108">
        <v>0.25</v>
      </c>
      <c r="AC29" s="108">
        <v>0.01</v>
      </c>
      <c r="AD29" s="110">
        <v>15</v>
      </c>
      <c r="AE29" s="7">
        <v>0.52</v>
      </c>
      <c r="AF29" s="7">
        <v>1.4999999999999999E-2</v>
      </c>
      <c r="AG29" s="110">
        <v>15</v>
      </c>
      <c r="AH29" s="7">
        <v>0.16500000000000001</v>
      </c>
      <c r="AI29" s="7">
        <v>0.01</v>
      </c>
      <c r="AJ29" s="110">
        <v>15</v>
      </c>
      <c r="AK29" s="7">
        <v>0.45</v>
      </c>
      <c r="AL29" s="7">
        <v>0.02</v>
      </c>
      <c r="AM29" s="110">
        <v>15</v>
      </c>
      <c r="AN29" s="7">
        <f t="shared" si="4"/>
        <v>1.6872836431547036</v>
      </c>
      <c r="AO29" s="7">
        <f t="shared" si="5"/>
        <v>1.5217296534183684</v>
      </c>
      <c r="AP29" s="7">
        <f t="shared" si="6"/>
        <v>0.52172965341836841</v>
      </c>
      <c r="AQ29" s="7">
        <f t="shared" si="7"/>
        <v>-0.28172286253726114</v>
      </c>
      <c r="AR29" s="7">
        <f t="shared" si="8"/>
        <v>0.28172286253726114</v>
      </c>
      <c r="AS29" s="7">
        <f t="shared" si="9"/>
        <v>15</v>
      </c>
      <c r="AT29" s="184">
        <f t="shared" si="10"/>
        <v>1.4999999999999999E-2</v>
      </c>
      <c r="AU29" s="110"/>
      <c r="AV29" s="7" t="s">
        <v>1528</v>
      </c>
      <c r="AW29" s="7"/>
      <c r="AX29" s="7" t="s">
        <v>1620</v>
      </c>
      <c r="AY29" s="7" t="s">
        <v>1509</v>
      </c>
      <c r="BD29" s="188"/>
    </row>
    <row r="30" spans="1:56">
      <c r="A30" s="7" t="s">
        <v>33</v>
      </c>
      <c r="B30" s="7" t="s">
        <v>34</v>
      </c>
      <c r="C30" s="7" t="s">
        <v>1621</v>
      </c>
      <c r="D30" s="7" t="s">
        <v>1622</v>
      </c>
      <c r="E30" s="7" t="s">
        <v>1623</v>
      </c>
      <c r="F30" s="7" t="s">
        <v>1624</v>
      </c>
      <c r="G30" s="7" t="s">
        <v>1625</v>
      </c>
      <c r="H30" s="7" t="s">
        <v>4180</v>
      </c>
      <c r="I30" s="100">
        <f>0.236/1000</f>
        <v>2.3599999999999999E-4</v>
      </c>
      <c r="J30" s="100">
        <f t="shared" si="0"/>
        <v>0.23599999999999999</v>
      </c>
      <c r="K30" s="100">
        <f t="shared" si="1"/>
        <v>-0.62708799702989348</v>
      </c>
      <c r="L30" s="73" t="s">
        <v>1517</v>
      </c>
      <c r="M30" s="7" t="s">
        <v>1585</v>
      </c>
      <c r="N30" s="7" t="s">
        <v>1538</v>
      </c>
      <c r="O30" s="7" t="s">
        <v>1505</v>
      </c>
      <c r="P30" s="108" t="s">
        <v>1492</v>
      </c>
      <c r="Q30" s="7" t="s">
        <v>1572</v>
      </c>
      <c r="R30" s="7">
        <v>33.35</v>
      </c>
      <c r="S30" s="7">
        <f t="shared" si="2"/>
        <v>33.35</v>
      </c>
      <c r="T30" s="7">
        <v>151.19999999999999</v>
      </c>
      <c r="U30" s="7">
        <v>1</v>
      </c>
      <c r="V30" s="7">
        <v>28</v>
      </c>
      <c r="W30" s="7">
        <f t="shared" si="3"/>
        <v>1.4471580313422192</v>
      </c>
      <c r="X30" s="7" t="s">
        <v>1520</v>
      </c>
      <c r="Y30" s="7" t="s">
        <v>1521</v>
      </c>
      <c r="Z30" s="7">
        <v>15</v>
      </c>
      <c r="AA30" s="7">
        <v>25</v>
      </c>
      <c r="AB30" s="7">
        <v>4.8099999999999996</v>
      </c>
      <c r="AC30" s="7">
        <v>0.34</v>
      </c>
      <c r="AD30" s="7">
        <v>15</v>
      </c>
      <c r="AE30" s="7">
        <v>6.38</v>
      </c>
      <c r="AF30" s="7">
        <v>0.56999999999999995</v>
      </c>
      <c r="AG30" s="7">
        <v>15</v>
      </c>
      <c r="AH30" s="7">
        <v>3.87</v>
      </c>
      <c r="AI30" s="7">
        <v>0.2</v>
      </c>
      <c r="AJ30" s="7">
        <v>15</v>
      </c>
      <c r="AK30" s="108">
        <v>7.62</v>
      </c>
      <c r="AL30" s="108">
        <v>0.75</v>
      </c>
      <c r="AM30" s="7">
        <v>15</v>
      </c>
      <c r="AN30" s="7">
        <f t="shared" si="4"/>
        <v>1.3264033264033266</v>
      </c>
      <c r="AO30" s="7">
        <f t="shared" si="5"/>
        <v>1.5841995841995844</v>
      </c>
      <c r="AP30" s="7">
        <f t="shared" si="6"/>
        <v>0.5841995841995844</v>
      </c>
      <c r="AQ30" s="7">
        <f t="shared" si="7"/>
        <v>-0.23269599112480302</v>
      </c>
      <c r="AR30" s="7">
        <f t="shared" si="8"/>
        <v>0.23269599112480302</v>
      </c>
      <c r="AS30" s="7">
        <f t="shared" si="9"/>
        <v>15</v>
      </c>
      <c r="AT30" s="184">
        <f t="shared" si="10"/>
        <v>0.55333333333333334</v>
      </c>
      <c r="AU30" s="7"/>
      <c r="AV30" s="7"/>
      <c r="AW30" s="7"/>
      <c r="AX30" s="7" t="s">
        <v>1585</v>
      </c>
      <c r="AY30" s="7" t="s">
        <v>1509</v>
      </c>
      <c r="BD30" s="188"/>
    </row>
    <row r="31" spans="1:56">
      <c r="A31" s="7" t="s">
        <v>33</v>
      </c>
      <c r="B31" s="7" t="s">
        <v>34</v>
      </c>
      <c r="C31" s="7" t="s">
        <v>1621</v>
      </c>
      <c r="D31" s="7" t="s">
        <v>1622</v>
      </c>
      <c r="E31" s="7" t="s">
        <v>1623</v>
      </c>
      <c r="F31" s="7" t="s">
        <v>1624</v>
      </c>
      <c r="G31" s="7" t="s">
        <v>1625</v>
      </c>
      <c r="H31" s="7" t="s">
        <v>4180</v>
      </c>
      <c r="I31" s="100">
        <f>0.236/1000</f>
        <v>2.3599999999999999E-4</v>
      </c>
      <c r="J31" s="100">
        <f t="shared" si="0"/>
        <v>0.23599999999999999</v>
      </c>
      <c r="K31" s="100">
        <f t="shared" si="1"/>
        <v>-0.62708799702989348</v>
      </c>
      <c r="L31" s="73" t="s">
        <v>1517</v>
      </c>
      <c r="M31" s="7" t="s">
        <v>1585</v>
      </c>
      <c r="N31" s="7" t="s">
        <v>1538</v>
      </c>
      <c r="O31" s="7" t="s">
        <v>1505</v>
      </c>
      <c r="P31" s="108" t="s">
        <v>1492</v>
      </c>
      <c r="Q31" s="7" t="s">
        <v>1572</v>
      </c>
      <c r="R31" s="7">
        <v>33.35</v>
      </c>
      <c r="S31" s="7">
        <f t="shared" si="2"/>
        <v>33.35</v>
      </c>
      <c r="T31" s="7">
        <v>151.19999999999999</v>
      </c>
      <c r="U31" s="7">
        <v>1</v>
      </c>
      <c r="V31" s="7">
        <v>28</v>
      </c>
      <c r="W31" s="7">
        <f t="shared" si="3"/>
        <v>1.4471580313422192</v>
      </c>
      <c r="X31" s="7" t="s">
        <v>1520</v>
      </c>
      <c r="Y31" s="7" t="s">
        <v>1557</v>
      </c>
      <c r="Z31" s="7">
        <v>15</v>
      </c>
      <c r="AA31" s="7">
        <v>25</v>
      </c>
      <c r="AB31" s="7">
        <v>20.9</v>
      </c>
      <c r="AC31" s="7">
        <v>1.6</v>
      </c>
      <c r="AD31" s="7">
        <v>25</v>
      </c>
      <c r="AE31" s="7">
        <v>20.64</v>
      </c>
      <c r="AF31" s="7">
        <v>1.24</v>
      </c>
      <c r="AG31" s="7">
        <v>25</v>
      </c>
      <c r="AH31" s="7">
        <v>13.88</v>
      </c>
      <c r="AI31" s="7">
        <v>0.95</v>
      </c>
      <c r="AJ31" s="7">
        <v>25</v>
      </c>
      <c r="AK31" s="108">
        <v>19.66</v>
      </c>
      <c r="AL31" s="108">
        <v>1.08</v>
      </c>
      <c r="AM31" s="7">
        <v>25</v>
      </c>
      <c r="AN31" s="7">
        <f t="shared" si="4"/>
        <v>0.9875598086124403</v>
      </c>
      <c r="AO31" s="7">
        <f t="shared" si="5"/>
        <v>0.94066985645933021</v>
      </c>
      <c r="AP31" s="7">
        <f t="shared" si="6"/>
        <v>5.9330143540669789E-2</v>
      </c>
      <c r="AQ31" s="7">
        <f t="shared" si="7"/>
        <v>-1.219465641385955</v>
      </c>
      <c r="AR31" s="7">
        <f t="shared" si="8"/>
        <v>1.219465641385955</v>
      </c>
      <c r="AS31" s="7">
        <f t="shared" si="9"/>
        <v>25</v>
      </c>
      <c r="AT31" s="184">
        <f t="shared" si="10"/>
        <v>1.3066666666666666</v>
      </c>
      <c r="AU31" s="7"/>
      <c r="AV31" s="7"/>
      <c r="AW31" s="7"/>
      <c r="AX31" s="7" t="s">
        <v>1585</v>
      </c>
      <c r="AY31" s="7" t="s">
        <v>1509</v>
      </c>
      <c r="BD31" s="188"/>
    </row>
    <row r="32" spans="1:56">
      <c r="A32" s="7" t="s">
        <v>33</v>
      </c>
      <c r="B32" s="7" t="s">
        <v>34</v>
      </c>
      <c r="C32" s="7" t="s">
        <v>1621</v>
      </c>
      <c r="D32" s="7" t="s">
        <v>1622</v>
      </c>
      <c r="E32" s="7" t="s">
        <v>1623</v>
      </c>
      <c r="F32" s="7" t="s">
        <v>1624</v>
      </c>
      <c r="G32" s="7" t="s">
        <v>1625</v>
      </c>
      <c r="H32" s="7" t="s">
        <v>4180</v>
      </c>
      <c r="I32" s="100">
        <f>0.236/1000</f>
        <v>2.3599999999999999E-4</v>
      </c>
      <c r="J32" s="100">
        <f t="shared" si="0"/>
        <v>0.23599999999999999</v>
      </c>
      <c r="K32" s="100">
        <f t="shared" si="1"/>
        <v>-0.62708799702989348</v>
      </c>
      <c r="L32" s="73" t="s">
        <v>1517</v>
      </c>
      <c r="M32" s="7" t="s">
        <v>1585</v>
      </c>
      <c r="N32" s="110" t="s">
        <v>1538</v>
      </c>
      <c r="O32" s="110" t="s">
        <v>1505</v>
      </c>
      <c r="P32" s="108" t="s">
        <v>1492</v>
      </c>
      <c r="Q32" s="110" t="s">
        <v>1626</v>
      </c>
      <c r="R32" s="110">
        <v>27.5</v>
      </c>
      <c r="S32" s="7">
        <f t="shared" si="2"/>
        <v>27.5</v>
      </c>
      <c r="T32" s="110">
        <v>153.44999999999999</v>
      </c>
      <c r="U32" s="7">
        <v>1</v>
      </c>
      <c r="V32" s="7">
        <v>42</v>
      </c>
      <c r="W32" s="7">
        <f t="shared" si="3"/>
        <v>1.6232492903979006</v>
      </c>
      <c r="X32" s="7" t="s">
        <v>1520</v>
      </c>
      <c r="Y32" s="7" t="s">
        <v>1521</v>
      </c>
      <c r="Z32" s="7">
        <v>18</v>
      </c>
      <c r="AA32" s="7">
        <v>30</v>
      </c>
      <c r="AB32" s="108">
        <v>0.28000000000000003</v>
      </c>
      <c r="AC32" s="108">
        <v>0.02</v>
      </c>
      <c r="AD32" s="110">
        <v>13</v>
      </c>
      <c r="AE32" s="7">
        <v>0.32</v>
      </c>
      <c r="AF32" s="7">
        <v>0.03</v>
      </c>
      <c r="AG32" s="110">
        <v>13</v>
      </c>
      <c r="AH32" s="7">
        <v>0.18</v>
      </c>
      <c r="AI32" s="7">
        <v>2.5000000000000001E-2</v>
      </c>
      <c r="AJ32" s="110">
        <v>13</v>
      </c>
      <c r="AK32" s="7">
        <v>0.33</v>
      </c>
      <c r="AL32" s="7">
        <v>0.03</v>
      </c>
      <c r="AM32" s="110">
        <v>13</v>
      </c>
      <c r="AN32" s="7">
        <f t="shared" si="4"/>
        <v>1.1177035298262459</v>
      </c>
      <c r="AO32" s="7">
        <f t="shared" si="5"/>
        <v>1.1467354993396004</v>
      </c>
      <c r="AP32" s="7">
        <f t="shared" si="6"/>
        <v>0.14673549933960039</v>
      </c>
      <c r="AQ32" s="7">
        <f t="shared" si="7"/>
        <v>-0.83051513559626344</v>
      </c>
      <c r="AR32" s="7">
        <f t="shared" si="8"/>
        <v>0.83051513559626344</v>
      </c>
      <c r="AS32" s="7">
        <f t="shared" si="9"/>
        <v>13</v>
      </c>
      <c r="AT32" s="184">
        <f t="shared" si="10"/>
        <v>2.6666666666666668E-2</v>
      </c>
      <c r="AU32" s="110"/>
      <c r="AV32" s="7" t="s">
        <v>1528</v>
      </c>
      <c r="AW32" s="7"/>
      <c r="AX32" s="7" t="s">
        <v>1627</v>
      </c>
      <c r="AY32" s="7" t="s">
        <v>1509</v>
      </c>
      <c r="BD32" s="188"/>
    </row>
    <row r="33" spans="1:56">
      <c r="A33" s="7" t="s">
        <v>33</v>
      </c>
      <c r="B33" s="7" t="s">
        <v>34</v>
      </c>
      <c r="C33" s="7" t="s">
        <v>1621</v>
      </c>
      <c r="D33" s="7" t="s">
        <v>1622</v>
      </c>
      <c r="E33" s="7" t="s">
        <v>1623</v>
      </c>
      <c r="F33" s="7" t="s">
        <v>1624</v>
      </c>
      <c r="G33" s="7" t="s">
        <v>1625</v>
      </c>
      <c r="H33" s="7" t="s">
        <v>4180</v>
      </c>
      <c r="I33" s="100">
        <f>0.236/1000</f>
        <v>2.3599999999999999E-4</v>
      </c>
      <c r="J33" s="100">
        <f t="shared" si="0"/>
        <v>0.23599999999999999</v>
      </c>
      <c r="K33" s="100">
        <f t="shared" si="1"/>
        <v>-0.62708799702989348</v>
      </c>
      <c r="L33" s="73" t="s">
        <v>1517</v>
      </c>
      <c r="M33" s="7" t="s">
        <v>1585</v>
      </c>
      <c r="N33" s="110" t="s">
        <v>1538</v>
      </c>
      <c r="O33" s="110" t="s">
        <v>1505</v>
      </c>
      <c r="P33" s="108" t="s">
        <v>1492</v>
      </c>
      <c r="Q33" s="110" t="s">
        <v>1626</v>
      </c>
      <c r="R33" s="110">
        <v>27.5</v>
      </c>
      <c r="S33" s="7">
        <f t="shared" si="2"/>
        <v>27.5</v>
      </c>
      <c r="T33" s="110">
        <v>153.44999999999999</v>
      </c>
      <c r="U33" s="7">
        <v>1</v>
      </c>
      <c r="V33" s="7">
        <v>42</v>
      </c>
      <c r="W33" s="7">
        <f t="shared" si="3"/>
        <v>1.6232492903979006</v>
      </c>
      <c r="X33" s="7" t="s">
        <v>1520</v>
      </c>
      <c r="Y33" s="7" t="s">
        <v>1557</v>
      </c>
      <c r="Z33" s="7">
        <v>18</v>
      </c>
      <c r="AA33" s="7">
        <v>30</v>
      </c>
      <c r="AB33" s="108">
        <v>0.69</v>
      </c>
      <c r="AC33" s="108">
        <v>7.0000000000000007E-2</v>
      </c>
      <c r="AD33" s="110">
        <v>10</v>
      </c>
      <c r="AE33" s="7">
        <v>0.7</v>
      </c>
      <c r="AF33" s="7">
        <v>0.05</v>
      </c>
      <c r="AG33" s="110">
        <v>13</v>
      </c>
      <c r="AH33" s="7">
        <v>0.64</v>
      </c>
      <c r="AI33" s="7">
        <v>0.04</v>
      </c>
      <c r="AJ33" s="110">
        <v>13</v>
      </c>
      <c r="AK33" s="7">
        <v>0.71</v>
      </c>
      <c r="AL33" s="7">
        <v>7.0000000000000007E-2</v>
      </c>
      <c r="AM33" s="110">
        <v>13</v>
      </c>
      <c r="AN33" s="7">
        <f t="shared" si="4"/>
        <v>1.012062790150126</v>
      </c>
      <c r="AO33" s="7">
        <f t="shared" si="5"/>
        <v>1.0240968924798994</v>
      </c>
      <c r="AP33" s="7">
        <f t="shared" si="6"/>
        <v>2.4096892479899434E-2</v>
      </c>
      <c r="AQ33" s="7">
        <f t="shared" si="7"/>
        <v>-1.6003800499285903</v>
      </c>
      <c r="AR33" s="7">
        <f t="shared" si="8"/>
        <v>1.6003800499285903</v>
      </c>
      <c r="AS33" s="7">
        <f t="shared" si="9"/>
        <v>12</v>
      </c>
      <c r="AT33" s="184">
        <f t="shared" si="10"/>
        <v>6.3333333333333339E-2</v>
      </c>
      <c r="AU33" s="110"/>
      <c r="AV33" s="7"/>
      <c r="AW33" s="7"/>
      <c r="AX33" s="7" t="s">
        <v>1628</v>
      </c>
      <c r="AY33" s="7" t="s">
        <v>1509</v>
      </c>
      <c r="BD33" s="188"/>
    </row>
    <row r="34" spans="1:56">
      <c r="A34" s="7" t="s">
        <v>23</v>
      </c>
      <c r="B34" s="7" t="s">
        <v>24</v>
      </c>
      <c r="C34" s="7" t="s">
        <v>119</v>
      </c>
      <c r="D34" s="7" t="s">
        <v>194</v>
      </c>
      <c r="E34" s="7" t="s">
        <v>1629</v>
      </c>
      <c r="F34" s="7" t="s">
        <v>1630</v>
      </c>
      <c r="G34" s="7" t="s">
        <v>1631</v>
      </c>
      <c r="H34" s="7" t="s">
        <v>4185</v>
      </c>
      <c r="I34" s="100">
        <v>7.6999999999999893E-5</v>
      </c>
      <c r="J34" s="100">
        <f t="shared" si="0"/>
        <v>7.6999999999999888E-2</v>
      </c>
      <c r="K34" s="100">
        <f t="shared" si="1"/>
        <v>-1.1135092748275188</v>
      </c>
      <c r="L34" s="73" t="s">
        <v>1517</v>
      </c>
      <c r="M34" s="7" t="s">
        <v>1632</v>
      </c>
      <c r="N34" s="7" t="s">
        <v>1538</v>
      </c>
      <c r="O34" s="7" t="s">
        <v>1505</v>
      </c>
      <c r="P34" s="108" t="s">
        <v>1492</v>
      </c>
      <c r="Q34" s="7" t="s">
        <v>1579</v>
      </c>
      <c r="R34" s="7">
        <v>27.45</v>
      </c>
      <c r="S34" s="7">
        <f t="shared" si="2"/>
        <v>27.45</v>
      </c>
      <c r="T34" s="7">
        <v>153.65</v>
      </c>
      <c r="U34" s="7">
        <v>1</v>
      </c>
      <c r="V34" s="7">
        <v>42</v>
      </c>
      <c r="W34" s="7">
        <f t="shared" si="3"/>
        <v>1.6232492903979006</v>
      </c>
      <c r="X34" s="7" t="s">
        <v>1520</v>
      </c>
      <c r="Y34" s="7" t="s">
        <v>1557</v>
      </c>
      <c r="Z34" s="7">
        <v>15</v>
      </c>
      <c r="AA34" s="7">
        <v>25</v>
      </c>
      <c r="AB34" s="7">
        <v>50</v>
      </c>
      <c r="AC34" s="7">
        <v>2</v>
      </c>
      <c r="AD34" s="7">
        <v>80</v>
      </c>
      <c r="AE34" s="7">
        <v>63</v>
      </c>
      <c r="AF34" s="7">
        <v>3</v>
      </c>
      <c r="AG34" s="7">
        <v>80</v>
      </c>
      <c r="AH34" s="7">
        <v>52</v>
      </c>
      <c r="AI34" s="7">
        <v>2</v>
      </c>
      <c r="AJ34" s="7">
        <v>80</v>
      </c>
      <c r="AK34" s="108">
        <v>62</v>
      </c>
      <c r="AL34" s="7">
        <v>1</v>
      </c>
      <c r="AM34" s="7">
        <v>80</v>
      </c>
      <c r="AN34" s="7">
        <f t="shared" si="4"/>
        <v>1.26</v>
      </c>
      <c r="AO34" s="7">
        <f t="shared" si="5"/>
        <v>1.24</v>
      </c>
      <c r="AP34" s="7">
        <f t="shared" si="6"/>
        <v>0.24</v>
      </c>
      <c r="AQ34" s="7">
        <f t="shared" si="7"/>
        <v>-0.61798295742513165</v>
      </c>
      <c r="AR34" s="7">
        <f t="shared" si="8"/>
        <v>0.61798295742513165</v>
      </c>
      <c r="AS34" s="7">
        <f t="shared" si="9"/>
        <v>80</v>
      </c>
      <c r="AT34" s="184">
        <f t="shared" si="10"/>
        <v>2</v>
      </c>
      <c r="AU34" s="7"/>
      <c r="AV34" s="7" t="s">
        <v>1633</v>
      </c>
      <c r="AW34" s="7"/>
      <c r="AX34" s="7" t="s">
        <v>1634</v>
      </c>
      <c r="AY34" s="7" t="s">
        <v>1509</v>
      </c>
      <c r="BD34" s="188"/>
    </row>
    <row r="35" spans="1:56">
      <c r="A35" s="7" t="s">
        <v>33</v>
      </c>
      <c r="B35" s="7" t="s">
        <v>75</v>
      </c>
      <c r="C35" s="7" t="s">
        <v>76</v>
      </c>
      <c r="D35" s="7" t="s">
        <v>873</v>
      </c>
      <c r="E35" s="7" t="s">
        <v>874</v>
      </c>
      <c r="F35" s="7" t="s">
        <v>595</v>
      </c>
      <c r="G35" s="7" t="s">
        <v>1587</v>
      </c>
      <c r="H35" s="7" t="s">
        <v>4181</v>
      </c>
      <c r="I35" s="100">
        <f>8.9/1000000</f>
        <v>8.9000000000000012E-6</v>
      </c>
      <c r="J35" s="100">
        <f t="shared" si="0"/>
        <v>8.9000000000000017E-3</v>
      </c>
      <c r="K35" s="100">
        <f t="shared" si="1"/>
        <v>-2.0506099933550872</v>
      </c>
      <c r="L35" s="73" t="s">
        <v>1517</v>
      </c>
      <c r="M35" s="7" t="s">
        <v>1588</v>
      </c>
      <c r="N35" s="110" t="s">
        <v>1538</v>
      </c>
      <c r="O35" s="110" t="s">
        <v>1494</v>
      </c>
      <c r="P35" s="108" t="s">
        <v>1635</v>
      </c>
      <c r="Q35" s="110" t="s">
        <v>1506</v>
      </c>
      <c r="R35" s="110">
        <v>15</v>
      </c>
      <c r="S35" s="7">
        <f t="shared" si="2"/>
        <v>15</v>
      </c>
      <c r="T35" s="110">
        <v>25</v>
      </c>
      <c r="U35" s="7">
        <v>1</v>
      </c>
      <c r="V35" s="7">
        <v>28</v>
      </c>
      <c r="W35" s="7">
        <f t="shared" si="3"/>
        <v>1.4471580313422192</v>
      </c>
      <c r="X35" s="7" t="s">
        <v>1520</v>
      </c>
      <c r="Y35" s="7" t="s">
        <v>1557</v>
      </c>
      <c r="Z35" s="7">
        <v>12</v>
      </c>
      <c r="AA35" s="7">
        <v>30</v>
      </c>
      <c r="AB35" s="108">
        <v>0.22</v>
      </c>
      <c r="AC35" s="108">
        <v>0.01</v>
      </c>
      <c r="AD35" s="110">
        <v>12</v>
      </c>
      <c r="AE35" s="7">
        <v>0.375</v>
      </c>
      <c r="AF35" s="7">
        <v>1.4999999999999999E-2</v>
      </c>
      <c r="AG35" s="110">
        <v>12</v>
      </c>
      <c r="AH35" s="7">
        <v>0.16</v>
      </c>
      <c r="AI35" s="7">
        <v>0.01</v>
      </c>
      <c r="AJ35" s="110">
        <v>12</v>
      </c>
      <c r="AK35" s="7">
        <v>0.52</v>
      </c>
      <c r="AL35" s="7">
        <v>0.06</v>
      </c>
      <c r="AM35" s="110">
        <v>12</v>
      </c>
      <c r="AN35" s="7">
        <f t="shared" si="4"/>
        <v>1.3448425367086427</v>
      </c>
      <c r="AO35" s="7">
        <f t="shared" si="5"/>
        <v>1.6126674218317016</v>
      </c>
      <c r="AP35" s="7">
        <f t="shared" si="6"/>
        <v>0.61266742183170164</v>
      </c>
      <c r="AQ35" s="7">
        <f t="shared" si="7"/>
        <v>-0.21206693178250408</v>
      </c>
      <c r="AR35" s="7">
        <f t="shared" si="8"/>
        <v>0.21206693178250408</v>
      </c>
      <c r="AS35" s="7">
        <f t="shared" si="9"/>
        <v>12</v>
      </c>
      <c r="AT35" s="184">
        <f t="shared" si="10"/>
        <v>2.8333333333333332E-2</v>
      </c>
      <c r="AU35" s="110"/>
      <c r="AV35" s="7" t="s">
        <v>1528</v>
      </c>
      <c r="AW35" s="7"/>
      <c r="AX35" s="7" t="s">
        <v>1588</v>
      </c>
      <c r="AY35" s="7" t="s">
        <v>1509</v>
      </c>
      <c r="BD35" s="188"/>
    </row>
    <row r="36" spans="1:56">
      <c r="A36" s="7" t="s">
        <v>33</v>
      </c>
      <c r="B36" s="7" t="s">
        <v>43</v>
      </c>
      <c r="C36" s="7" t="s">
        <v>44</v>
      </c>
      <c r="D36" s="7" t="s">
        <v>202</v>
      </c>
      <c r="E36" s="7" t="s">
        <v>1636</v>
      </c>
      <c r="F36" s="7" t="s">
        <v>1637</v>
      </c>
      <c r="G36" s="7" t="s">
        <v>1638</v>
      </c>
      <c r="H36" s="7" t="s">
        <v>4184</v>
      </c>
      <c r="I36" s="100">
        <f>1.4/1000</f>
        <v>1.4E-3</v>
      </c>
      <c r="J36" s="100">
        <f t="shared" si="0"/>
        <v>1.4</v>
      </c>
      <c r="K36" s="100">
        <f t="shared" si="1"/>
        <v>0.14612803567823801</v>
      </c>
      <c r="L36" s="73" t="s">
        <v>1517</v>
      </c>
      <c r="M36" s="7" t="s">
        <v>1639</v>
      </c>
      <c r="N36" s="7" t="s">
        <v>1640</v>
      </c>
      <c r="O36" s="7" t="s">
        <v>1505</v>
      </c>
      <c r="P36" s="108" t="s">
        <v>1492</v>
      </c>
      <c r="Q36" s="7" t="s">
        <v>1641</v>
      </c>
      <c r="R36" s="7">
        <v>34.536110999999998</v>
      </c>
      <c r="S36" s="7">
        <f t="shared" si="2"/>
        <v>34.536110999999998</v>
      </c>
      <c r="T36" s="7">
        <v>-117.28833299999999</v>
      </c>
      <c r="U36" s="7">
        <v>1</v>
      </c>
      <c r="V36" s="7">
        <v>50</v>
      </c>
      <c r="W36" s="7">
        <f t="shared" si="3"/>
        <v>1.6989700043360187</v>
      </c>
      <c r="X36" s="7" t="s">
        <v>1642</v>
      </c>
      <c r="Y36" s="7"/>
      <c r="Z36" s="7">
        <v>20</v>
      </c>
      <c r="AA36" s="7">
        <v>30</v>
      </c>
      <c r="AB36" s="7">
        <v>70</v>
      </c>
      <c r="AC36" s="7">
        <v>1</v>
      </c>
      <c r="AD36" s="7">
        <v>26</v>
      </c>
      <c r="AE36" s="7">
        <v>67</v>
      </c>
      <c r="AF36" s="7">
        <v>1</v>
      </c>
      <c r="AG36" s="7">
        <v>26</v>
      </c>
      <c r="AH36" s="7">
        <v>102</v>
      </c>
      <c r="AI36" s="7">
        <v>1</v>
      </c>
      <c r="AJ36" s="7">
        <v>26</v>
      </c>
      <c r="AK36" s="7">
        <v>110</v>
      </c>
      <c r="AL36" s="7">
        <v>1</v>
      </c>
      <c r="AM36" s="7">
        <v>26</v>
      </c>
      <c r="AN36" s="7">
        <f t="shared" si="4"/>
        <v>0.95714285714285718</v>
      </c>
      <c r="AO36" s="7">
        <f t="shared" si="5"/>
        <v>1.5714285714285714</v>
      </c>
      <c r="AP36" s="7">
        <f t="shared" si="6"/>
        <v>0.5714285714285714</v>
      </c>
      <c r="AQ36" s="7">
        <f t="shared" si="7"/>
        <v>-0.24227869758155707</v>
      </c>
      <c r="AR36" s="7">
        <f t="shared" si="8"/>
        <v>0.24227869758155707</v>
      </c>
      <c r="AS36" s="7">
        <f t="shared" si="9"/>
        <v>26</v>
      </c>
      <c r="AT36" s="184">
        <f t="shared" si="10"/>
        <v>1</v>
      </c>
      <c r="AU36" s="7"/>
      <c r="AV36" s="7" t="s">
        <v>1633</v>
      </c>
      <c r="AW36" s="7"/>
      <c r="AX36" s="7" t="s">
        <v>1639</v>
      </c>
      <c r="AY36" s="7" t="s">
        <v>1509</v>
      </c>
      <c r="BD36" s="188"/>
    </row>
    <row r="37" spans="1:56">
      <c r="A37" s="7" t="s">
        <v>33</v>
      </c>
      <c r="B37" s="7" t="s">
        <v>75</v>
      </c>
      <c r="C37" s="7" t="s">
        <v>348</v>
      </c>
      <c r="D37" s="7" t="s">
        <v>622</v>
      </c>
      <c r="E37" s="7" t="s">
        <v>661</v>
      </c>
      <c r="F37" s="7" t="s">
        <v>1184</v>
      </c>
      <c r="G37" s="7" t="s">
        <v>1567</v>
      </c>
      <c r="H37" s="7" t="s">
        <v>4181</v>
      </c>
      <c r="I37" s="100">
        <f>8.5/1000</f>
        <v>8.5000000000000006E-3</v>
      </c>
      <c r="J37" s="100">
        <f t="shared" si="0"/>
        <v>8.5</v>
      </c>
      <c r="K37" s="100">
        <f t="shared" si="1"/>
        <v>0.92941892571429274</v>
      </c>
      <c r="L37" s="73" t="s">
        <v>1517</v>
      </c>
      <c r="M37" s="7" t="s">
        <v>1568</v>
      </c>
      <c r="N37" s="7" t="s">
        <v>1538</v>
      </c>
      <c r="O37" s="7" t="s">
        <v>1505</v>
      </c>
      <c r="P37" s="108" t="s">
        <v>1492</v>
      </c>
      <c r="Q37" s="7" t="s">
        <v>1569</v>
      </c>
      <c r="R37" s="7">
        <v>46.9</v>
      </c>
      <c r="S37" s="7">
        <f t="shared" si="2"/>
        <v>46.9</v>
      </c>
      <c r="T37" s="7">
        <v>19.399999999999999</v>
      </c>
      <c r="U37" s="7">
        <v>1</v>
      </c>
      <c r="V37" s="7">
        <v>70</v>
      </c>
      <c r="W37" s="7">
        <f t="shared" si="3"/>
        <v>1.8450980400142569</v>
      </c>
      <c r="X37" s="7" t="s">
        <v>1643</v>
      </c>
      <c r="Y37" s="7" t="s">
        <v>1557</v>
      </c>
      <c r="Z37" s="7">
        <v>15</v>
      </c>
      <c r="AA37" s="7">
        <v>25</v>
      </c>
      <c r="AB37" s="108">
        <v>0.6543209876543209</v>
      </c>
      <c r="AC37" s="108">
        <v>4.9382716049382713E-2</v>
      </c>
      <c r="AD37" s="7">
        <v>8</v>
      </c>
      <c r="AE37" s="108">
        <v>0.92592592592592582</v>
      </c>
      <c r="AF37" s="108">
        <v>0.12345679012345678</v>
      </c>
      <c r="AG37" s="108">
        <v>8</v>
      </c>
      <c r="AH37" s="108">
        <v>0.6543209876543209</v>
      </c>
      <c r="AI37" s="108">
        <v>3.7037037037037035E-2</v>
      </c>
      <c r="AJ37" s="108">
        <v>8</v>
      </c>
      <c r="AK37" s="108">
        <v>1.1851851851851851</v>
      </c>
      <c r="AL37" s="108">
        <v>0.13580246913580246</v>
      </c>
      <c r="AM37" s="7">
        <v>8</v>
      </c>
      <c r="AN37" s="7">
        <f t="shared" si="4"/>
        <v>1.4150943396226416</v>
      </c>
      <c r="AO37" s="7">
        <f t="shared" si="5"/>
        <v>1.8113207547169814</v>
      </c>
      <c r="AP37" s="7">
        <f t="shared" si="6"/>
        <v>0.8113207547169814</v>
      </c>
      <c r="AQ37" s="7">
        <f t="shared" si="7"/>
        <v>-9.0272450441749877E-2</v>
      </c>
      <c r="AR37" s="7">
        <f t="shared" si="8"/>
        <v>9.0272450441749877E-2</v>
      </c>
      <c r="AS37" s="7">
        <f t="shared" si="9"/>
        <v>8</v>
      </c>
      <c r="AT37" s="184">
        <f t="shared" si="10"/>
        <v>0.10288065843621398</v>
      </c>
      <c r="AU37" s="7"/>
      <c r="AV37" s="7"/>
      <c r="AW37" s="7"/>
      <c r="AX37" s="7" t="s">
        <v>1568</v>
      </c>
      <c r="AY37" s="7" t="s">
        <v>1509</v>
      </c>
      <c r="BD37" s="188"/>
    </row>
    <row r="38" spans="1:56">
      <c r="A38" s="7" t="s">
        <v>33</v>
      </c>
      <c r="B38" s="7" t="s">
        <v>75</v>
      </c>
      <c r="C38" s="7" t="s">
        <v>348</v>
      </c>
      <c r="D38" s="7" t="s">
        <v>349</v>
      </c>
      <c r="E38" s="7" t="s">
        <v>393</v>
      </c>
      <c r="F38" s="7" t="s">
        <v>1591</v>
      </c>
      <c r="G38" s="7" t="s">
        <v>1592</v>
      </c>
      <c r="H38" s="7" t="s">
        <v>4181</v>
      </c>
      <c r="I38" s="100">
        <f>2.28/1000</f>
        <v>2.2799999999999999E-3</v>
      </c>
      <c r="J38" s="100">
        <f t="shared" si="0"/>
        <v>2.2799999999999998</v>
      </c>
      <c r="K38" s="100">
        <f t="shared" si="1"/>
        <v>0.35793484700045375</v>
      </c>
      <c r="L38" s="73" t="s">
        <v>1517</v>
      </c>
      <c r="M38" s="7" t="s">
        <v>1593</v>
      </c>
      <c r="N38" s="7" t="s">
        <v>1538</v>
      </c>
      <c r="O38" s="7" t="s">
        <v>1505</v>
      </c>
      <c r="P38" s="108" t="s">
        <v>1492</v>
      </c>
      <c r="Q38" s="7" t="s">
        <v>1594</v>
      </c>
      <c r="R38" s="7">
        <v>33.25</v>
      </c>
      <c r="S38" s="7">
        <f t="shared" si="2"/>
        <v>33.25</v>
      </c>
      <c r="T38" s="7">
        <v>86.65</v>
      </c>
      <c r="U38" s="7">
        <v>1</v>
      </c>
      <c r="V38" s="7">
        <v>17</v>
      </c>
      <c r="W38" s="7">
        <f t="shared" si="3"/>
        <v>1.2304489213782739</v>
      </c>
      <c r="X38" s="7" t="s">
        <v>1643</v>
      </c>
      <c r="Y38" s="7" t="s">
        <v>1557</v>
      </c>
      <c r="Z38" s="7">
        <v>8</v>
      </c>
      <c r="AA38" s="7">
        <v>18</v>
      </c>
      <c r="AB38" s="108">
        <v>4.7</v>
      </c>
      <c r="AC38" s="108">
        <v>1</v>
      </c>
      <c r="AD38" s="108">
        <v>22</v>
      </c>
      <c r="AE38" s="108">
        <v>6.3</v>
      </c>
      <c r="AF38" s="108">
        <v>1</v>
      </c>
      <c r="AG38" s="108">
        <v>22</v>
      </c>
      <c r="AH38" s="108">
        <v>4.6500000000000004</v>
      </c>
      <c r="AI38" s="108">
        <v>1.2</v>
      </c>
      <c r="AJ38" s="108">
        <v>22</v>
      </c>
      <c r="AK38" s="108">
        <v>7</v>
      </c>
      <c r="AL38" s="108">
        <v>2.1</v>
      </c>
      <c r="AM38" s="108">
        <v>22</v>
      </c>
      <c r="AN38" s="7">
        <f t="shared" si="4"/>
        <v>1.3404255319148934</v>
      </c>
      <c r="AO38" s="7">
        <f t="shared" si="5"/>
        <v>1.4893617021276595</v>
      </c>
      <c r="AP38" s="7">
        <f t="shared" si="6"/>
        <v>0.4893617021276595</v>
      </c>
      <c r="AQ38" s="7">
        <f t="shared" si="7"/>
        <v>-0.30948345611631561</v>
      </c>
      <c r="AR38" s="7">
        <f t="shared" si="8"/>
        <v>0.30948345611631561</v>
      </c>
      <c r="AS38" s="7">
        <f t="shared" si="9"/>
        <v>22</v>
      </c>
      <c r="AT38" s="184">
        <f t="shared" si="10"/>
        <v>1.3666666666666665</v>
      </c>
      <c r="AU38" s="108"/>
      <c r="AV38" s="7"/>
      <c r="AW38" s="7"/>
      <c r="AX38" s="7" t="s">
        <v>1593</v>
      </c>
      <c r="AY38" s="7" t="s">
        <v>1509</v>
      </c>
      <c r="BD38" s="188"/>
    </row>
    <row r="39" spans="1:56">
      <c r="A39" s="7" t="s">
        <v>23</v>
      </c>
      <c r="B39" s="7" t="s">
        <v>24</v>
      </c>
      <c r="C39" s="7" t="s">
        <v>1644</v>
      </c>
      <c r="D39" s="7" t="s">
        <v>1645</v>
      </c>
      <c r="E39" s="7" t="s">
        <v>1646</v>
      </c>
      <c r="F39" s="7" t="s">
        <v>1647</v>
      </c>
      <c r="G39" s="7" t="s">
        <v>1648</v>
      </c>
      <c r="H39" s="7" t="s">
        <v>4185</v>
      </c>
      <c r="I39" s="100">
        <f>322/1000000</f>
        <v>3.2200000000000002E-4</v>
      </c>
      <c r="J39" s="100">
        <f t="shared" si="0"/>
        <v>0.32200000000000001</v>
      </c>
      <c r="K39" s="100">
        <f t="shared" si="1"/>
        <v>-0.49214412830416909</v>
      </c>
      <c r="L39" s="73" t="s">
        <v>1517</v>
      </c>
      <c r="M39" s="7" t="s">
        <v>1649</v>
      </c>
      <c r="N39" s="7" t="s">
        <v>1640</v>
      </c>
      <c r="O39" s="7" t="s">
        <v>1494</v>
      </c>
      <c r="P39" s="108" t="s">
        <v>1492</v>
      </c>
      <c r="Q39" s="7" t="s">
        <v>1650</v>
      </c>
      <c r="R39" s="7">
        <v>29.9</v>
      </c>
      <c r="S39" s="7">
        <f t="shared" si="2"/>
        <v>29.9</v>
      </c>
      <c r="T39" s="7">
        <v>31.05</v>
      </c>
      <c r="U39" s="7">
        <v>1</v>
      </c>
      <c r="V39" s="7">
        <v>8</v>
      </c>
      <c r="W39" s="7">
        <f t="shared" si="3"/>
        <v>0.90308998699194354</v>
      </c>
      <c r="X39" s="7" t="s">
        <v>1643</v>
      </c>
      <c r="Y39" s="7" t="s">
        <v>1557</v>
      </c>
      <c r="Z39" s="7">
        <v>25</v>
      </c>
      <c r="AA39" s="7">
        <v>33</v>
      </c>
      <c r="AB39" s="108">
        <v>21</v>
      </c>
      <c r="AC39" s="108">
        <v>2.67</v>
      </c>
      <c r="AD39" s="108">
        <v>12</v>
      </c>
      <c r="AE39" s="108">
        <v>27</v>
      </c>
      <c r="AF39" s="108">
        <v>2.67</v>
      </c>
      <c r="AG39" s="108">
        <v>12</v>
      </c>
      <c r="AH39" s="108">
        <v>20</v>
      </c>
      <c r="AI39" s="108">
        <v>2.99</v>
      </c>
      <c r="AJ39" s="7">
        <v>12</v>
      </c>
      <c r="AK39" s="108">
        <v>29</v>
      </c>
      <c r="AL39" s="108">
        <v>2.99</v>
      </c>
      <c r="AM39" s="108">
        <v>12</v>
      </c>
      <c r="AN39" s="7">
        <f t="shared" si="4"/>
        <v>1.3690855501753063</v>
      </c>
      <c r="AO39" s="7">
        <f t="shared" si="5"/>
        <v>1.4970054414421994</v>
      </c>
      <c r="AP39" s="7">
        <f t="shared" si="6"/>
        <v>0.49700544144219938</v>
      </c>
      <c r="AQ39" s="7">
        <f t="shared" si="7"/>
        <v>-0.30276591190813368</v>
      </c>
      <c r="AR39" s="7">
        <f t="shared" si="8"/>
        <v>0.30276591190813368</v>
      </c>
      <c r="AS39" s="7">
        <f t="shared" si="9"/>
        <v>12</v>
      </c>
      <c r="AT39" s="184">
        <f t="shared" si="10"/>
        <v>2.7766666666666668</v>
      </c>
      <c r="AU39" s="108"/>
      <c r="AV39" s="7" t="s">
        <v>1651</v>
      </c>
      <c r="AW39" s="7"/>
      <c r="AX39" s="7" t="s">
        <v>1652</v>
      </c>
      <c r="AY39" s="7" t="s">
        <v>1509</v>
      </c>
      <c r="BD39" s="188"/>
    </row>
    <row r="40" spans="1:56">
      <c r="A40" s="7" t="s">
        <v>23</v>
      </c>
      <c r="B40" s="7" t="s">
        <v>1713</v>
      </c>
      <c r="C40" s="7" t="s">
        <v>1653</v>
      </c>
      <c r="D40" s="7" t="s">
        <v>1654</v>
      </c>
      <c r="E40" s="7" t="s">
        <v>1655</v>
      </c>
      <c r="F40" s="7" t="s">
        <v>1656</v>
      </c>
      <c r="G40" s="7" t="s">
        <v>1657</v>
      </c>
      <c r="H40" s="7" t="s">
        <v>4185</v>
      </c>
      <c r="I40" s="100">
        <f>20/1000000</f>
        <v>2.0000000000000002E-5</v>
      </c>
      <c r="J40" s="100">
        <f t="shared" si="0"/>
        <v>0.02</v>
      </c>
      <c r="K40" s="100">
        <f t="shared" si="1"/>
        <v>-1.6989700043360187</v>
      </c>
      <c r="L40" s="73" t="s">
        <v>1517</v>
      </c>
      <c r="M40" s="7" t="s">
        <v>1658</v>
      </c>
      <c r="N40" s="7" t="s">
        <v>1640</v>
      </c>
      <c r="O40" s="7" t="s">
        <v>1505</v>
      </c>
      <c r="P40" s="108" t="s">
        <v>1492</v>
      </c>
      <c r="Q40" s="7" t="s">
        <v>1659</v>
      </c>
      <c r="R40" s="7">
        <v>39.47</v>
      </c>
      <c r="S40" s="7">
        <f t="shared" ref="S40:S56" si="11">ABS(R40)</f>
        <v>39.47</v>
      </c>
      <c r="T40" s="7">
        <v>87.39</v>
      </c>
      <c r="U40" s="7">
        <v>1</v>
      </c>
      <c r="V40" s="7">
        <v>46</v>
      </c>
      <c r="W40" s="7">
        <f t="shared" si="3"/>
        <v>1.6627578316815741</v>
      </c>
      <c r="X40" s="7" t="s">
        <v>1643</v>
      </c>
      <c r="Y40" s="7" t="s">
        <v>1557</v>
      </c>
      <c r="Z40" s="7">
        <v>10</v>
      </c>
      <c r="AA40" s="7">
        <v>20</v>
      </c>
      <c r="AB40" s="108">
        <v>1.1000000000000001</v>
      </c>
      <c r="AC40" s="108">
        <v>0.2</v>
      </c>
      <c r="AD40" s="7">
        <v>25</v>
      </c>
      <c r="AE40" s="7">
        <v>3.4</v>
      </c>
      <c r="AF40" s="7">
        <v>0.4</v>
      </c>
      <c r="AG40" s="7">
        <v>25</v>
      </c>
      <c r="AH40" s="7">
        <v>1.1000000000000001</v>
      </c>
      <c r="AI40" s="7">
        <v>0.25</v>
      </c>
      <c r="AJ40" s="7">
        <v>25</v>
      </c>
      <c r="AK40" s="108">
        <v>4</v>
      </c>
      <c r="AL40" s="108">
        <v>0.9</v>
      </c>
      <c r="AM40" s="108">
        <v>25</v>
      </c>
      <c r="AN40" s="7">
        <f t="shared" si="4"/>
        <v>3.0909090909090904</v>
      </c>
      <c r="AO40" s="7">
        <f t="shared" si="5"/>
        <v>3.6363636363636362</v>
      </c>
      <c r="AP40" s="7">
        <f t="shared" si="6"/>
        <v>2.6363636363636362</v>
      </c>
      <c r="AQ40" s="7">
        <f t="shared" si="7"/>
        <v>0.42117001389596681</v>
      </c>
      <c r="AR40" s="7">
        <f t="shared" si="8"/>
        <v>-0.42117001389596681</v>
      </c>
      <c r="AS40" s="7">
        <f t="shared" si="9"/>
        <v>25</v>
      </c>
      <c r="AT40" s="184">
        <f t="shared" ref="AT40:AT71" si="12">AVERAGE(AC40,AF40,AL40)</f>
        <v>0.5</v>
      </c>
      <c r="AU40" s="108"/>
      <c r="AV40" s="7" t="s">
        <v>1633</v>
      </c>
      <c r="AW40" s="7"/>
      <c r="AX40" s="7" t="s">
        <v>1660</v>
      </c>
      <c r="AY40" s="7" t="s">
        <v>1509</v>
      </c>
      <c r="BD40" s="188"/>
    </row>
    <row r="41" spans="1:56">
      <c r="A41" s="7" t="s">
        <v>23</v>
      </c>
      <c r="B41" s="7" t="s">
        <v>24</v>
      </c>
      <c r="C41" s="7" t="s">
        <v>189</v>
      </c>
      <c r="D41" s="7" t="s">
        <v>1661</v>
      </c>
      <c r="E41" s="7" t="s">
        <v>1662</v>
      </c>
      <c r="F41" s="7" t="s">
        <v>1663</v>
      </c>
      <c r="G41" s="7" t="s">
        <v>1664</v>
      </c>
      <c r="H41" s="7" t="s">
        <v>4185</v>
      </c>
      <c r="I41" s="100">
        <f>3.9/1000000</f>
        <v>3.8999999999999999E-6</v>
      </c>
      <c r="J41" s="100">
        <f t="shared" si="0"/>
        <v>3.8999999999999998E-3</v>
      </c>
      <c r="K41" s="100">
        <f t="shared" si="1"/>
        <v>-2.4089353929735009</v>
      </c>
      <c r="L41" s="73" t="s">
        <v>1517</v>
      </c>
      <c r="M41" s="7" t="s">
        <v>1665</v>
      </c>
      <c r="N41" s="7" t="s">
        <v>1640</v>
      </c>
      <c r="O41" s="7" t="s">
        <v>1505</v>
      </c>
      <c r="P41" s="108" t="s">
        <v>1492</v>
      </c>
      <c r="Q41" s="7" t="s">
        <v>1666</v>
      </c>
      <c r="R41" s="7">
        <v>33.74</v>
      </c>
      <c r="S41" s="7">
        <f t="shared" si="11"/>
        <v>33.74</v>
      </c>
      <c r="T41" s="7">
        <v>19.04</v>
      </c>
      <c r="U41" s="7">
        <v>1</v>
      </c>
      <c r="V41" s="7">
        <v>8</v>
      </c>
      <c r="W41" s="7">
        <f t="shared" si="3"/>
        <v>0.90308998699194354</v>
      </c>
      <c r="X41" s="7" t="s">
        <v>1643</v>
      </c>
      <c r="Y41" s="7"/>
      <c r="Z41" s="7">
        <v>20</v>
      </c>
      <c r="AA41" s="7">
        <v>30</v>
      </c>
      <c r="AB41" s="108">
        <v>1.3899999999999999E-2</v>
      </c>
      <c r="AC41" s="108">
        <v>1E-3</v>
      </c>
      <c r="AD41" s="7">
        <v>121</v>
      </c>
      <c r="AE41" s="7">
        <v>2.12E-2</v>
      </c>
      <c r="AF41" s="7">
        <v>1E-3</v>
      </c>
      <c r="AG41" s="7">
        <v>121</v>
      </c>
      <c r="AH41" s="7">
        <v>1.44E-2</v>
      </c>
      <c r="AI41" s="7">
        <v>1E-3</v>
      </c>
      <c r="AJ41" s="7">
        <v>121</v>
      </c>
      <c r="AK41" s="108">
        <v>2.3E-2</v>
      </c>
      <c r="AL41" s="108">
        <v>1E-3</v>
      </c>
      <c r="AM41" s="7">
        <v>121</v>
      </c>
      <c r="AN41" s="7">
        <f t="shared" si="4"/>
        <v>1.525179856115108</v>
      </c>
      <c r="AO41" s="7">
        <f t="shared" si="5"/>
        <v>1.6546762589928059</v>
      </c>
      <c r="AP41" s="7">
        <f t="shared" si="6"/>
        <v>0.6546762589928059</v>
      </c>
      <c r="AQ41" s="7">
        <f t="shared" si="7"/>
        <v>-0.18331054116966292</v>
      </c>
      <c r="AR41" s="7">
        <f t="shared" si="8"/>
        <v>0.18331054116966292</v>
      </c>
      <c r="AS41" s="7">
        <f t="shared" si="9"/>
        <v>121</v>
      </c>
      <c r="AT41" s="184">
        <f t="shared" si="12"/>
        <v>1E-3</v>
      </c>
      <c r="AU41" s="7"/>
      <c r="AV41" s="7" t="s">
        <v>1558</v>
      </c>
      <c r="AW41" s="7"/>
      <c r="AX41" s="7" t="s">
        <v>1667</v>
      </c>
      <c r="AY41" s="7" t="s">
        <v>1509</v>
      </c>
      <c r="BD41" s="188"/>
    </row>
    <row r="42" spans="1:56">
      <c r="A42" s="7" t="s">
        <v>23</v>
      </c>
      <c r="B42" s="7" t="s">
        <v>1668</v>
      </c>
      <c r="C42" s="7" t="s">
        <v>1669</v>
      </c>
      <c r="D42" s="7" t="s">
        <v>1670</v>
      </c>
      <c r="E42" s="7" t="s">
        <v>1671</v>
      </c>
      <c r="F42" s="7" t="s">
        <v>1672</v>
      </c>
      <c r="G42" s="7" t="s">
        <v>1673</v>
      </c>
      <c r="H42" s="7" t="s">
        <v>4185</v>
      </c>
      <c r="I42" s="111">
        <f>0.195/1000000</f>
        <v>1.9500000000000001E-7</v>
      </c>
      <c r="J42" s="100">
        <f t="shared" si="0"/>
        <v>1.9500000000000002E-4</v>
      </c>
      <c r="K42" s="100">
        <f t="shared" si="1"/>
        <v>-3.7099653886374822</v>
      </c>
      <c r="L42" s="73" t="s">
        <v>1517</v>
      </c>
      <c r="M42" s="7" t="s">
        <v>1674</v>
      </c>
      <c r="N42" s="7" t="s">
        <v>1640</v>
      </c>
      <c r="O42" s="7" t="s">
        <v>1505</v>
      </c>
      <c r="P42" s="108" t="s">
        <v>1492</v>
      </c>
      <c r="Q42" s="7" t="s">
        <v>1675</v>
      </c>
      <c r="R42" s="7">
        <v>46.9</v>
      </c>
      <c r="S42" s="7">
        <f t="shared" si="11"/>
        <v>46.9</v>
      </c>
      <c r="T42" s="7">
        <v>37.75</v>
      </c>
      <c r="U42" s="7">
        <v>1</v>
      </c>
      <c r="V42" s="7">
        <v>7</v>
      </c>
      <c r="W42" s="7">
        <f t="shared" si="3"/>
        <v>0.84509804001425681</v>
      </c>
      <c r="X42" s="7" t="s">
        <v>1643</v>
      </c>
      <c r="Y42" s="7" t="s">
        <v>1557</v>
      </c>
      <c r="Z42" s="7">
        <v>0</v>
      </c>
      <c r="AA42" s="7">
        <v>10</v>
      </c>
      <c r="AB42" s="7">
        <v>2.5</v>
      </c>
      <c r="AC42" s="7">
        <v>0.2</v>
      </c>
      <c r="AD42" s="7">
        <v>20</v>
      </c>
      <c r="AE42" s="108">
        <v>8.1999999999999993</v>
      </c>
      <c r="AF42" s="108">
        <v>0.2</v>
      </c>
      <c r="AG42" s="7">
        <v>20</v>
      </c>
      <c r="AH42" s="7">
        <v>0.2</v>
      </c>
      <c r="AI42" s="7">
        <v>0.1</v>
      </c>
      <c r="AJ42" s="7">
        <v>20</v>
      </c>
      <c r="AK42" s="108">
        <v>8.6999999999999993</v>
      </c>
      <c r="AL42" s="108">
        <v>0.2</v>
      </c>
      <c r="AM42" s="7">
        <v>20</v>
      </c>
      <c r="AN42" s="7">
        <f t="shared" si="4"/>
        <v>3.28</v>
      </c>
      <c r="AO42" s="7">
        <f t="shared" si="5"/>
        <v>3.4799999999999995</v>
      </c>
      <c r="AP42" s="7">
        <f t="shared" si="6"/>
        <v>2.4799999999999995</v>
      </c>
      <c r="AQ42" s="7">
        <f t="shared" si="7"/>
        <v>0.394626764272209</v>
      </c>
      <c r="AR42" s="7">
        <f t="shared" si="8"/>
        <v>-0.394626764272209</v>
      </c>
      <c r="AS42" s="7">
        <f t="shared" si="9"/>
        <v>20</v>
      </c>
      <c r="AT42" s="184">
        <f t="shared" si="12"/>
        <v>0.20000000000000004</v>
      </c>
      <c r="AU42" s="7"/>
      <c r="AV42" s="7" t="s">
        <v>1676</v>
      </c>
      <c r="AW42" s="7"/>
      <c r="AX42" s="7" t="s">
        <v>1677</v>
      </c>
      <c r="AY42" s="7" t="s">
        <v>1509</v>
      </c>
      <c r="BD42" s="188"/>
    </row>
    <row r="43" spans="1:56">
      <c r="A43" s="7" t="s">
        <v>23</v>
      </c>
      <c r="B43" s="7" t="s">
        <v>1668</v>
      </c>
      <c r="C43" s="7" t="s">
        <v>1669</v>
      </c>
      <c r="D43" s="7" t="s">
        <v>1670</v>
      </c>
      <c r="E43" s="7" t="s">
        <v>1678</v>
      </c>
      <c r="F43" s="7" t="s">
        <v>404</v>
      </c>
      <c r="G43" s="7" t="s">
        <v>1679</v>
      </c>
      <c r="H43" s="7" t="s">
        <v>4185</v>
      </c>
      <c r="I43" s="100">
        <f>0.095/1000000</f>
        <v>9.5000000000000004E-8</v>
      </c>
      <c r="J43" s="100">
        <f t="shared" si="0"/>
        <v>9.5000000000000005E-5</v>
      </c>
      <c r="K43" s="100">
        <f t="shared" si="1"/>
        <v>-4.0222763947111524</v>
      </c>
      <c r="L43" s="73" t="s">
        <v>1517</v>
      </c>
      <c r="M43" s="7" t="s">
        <v>1674</v>
      </c>
      <c r="N43" s="7" t="s">
        <v>1640</v>
      </c>
      <c r="O43" s="7" t="s">
        <v>1505</v>
      </c>
      <c r="P43" s="108" t="s">
        <v>1492</v>
      </c>
      <c r="Q43" s="7" t="s">
        <v>1675</v>
      </c>
      <c r="R43" s="7">
        <v>46.9</v>
      </c>
      <c r="S43" s="7">
        <f t="shared" si="11"/>
        <v>46.9</v>
      </c>
      <c r="T43" s="7">
        <v>37.75</v>
      </c>
      <c r="U43" s="7">
        <v>1</v>
      </c>
      <c r="V43" s="7">
        <v>7</v>
      </c>
      <c r="W43" s="7">
        <f t="shared" si="3"/>
        <v>0.84509804001425681</v>
      </c>
      <c r="X43" s="7" t="s">
        <v>1643</v>
      </c>
      <c r="Y43" s="7" t="s">
        <v>1557</v>
      </c>
      <c r="Z43" s="7">
        <v>0</v>
      </c>
      <c r="AA43" s="7">
        <v>10</v>
      </c>
      <c r="AB43" s="7">
        <v>2.0499999999999998</v>
      </c>
      <c r="AC43" s="7">
        <v>0.1</v>
      </c>
      <c r="AD43" s="7">
        <v>20</v>
      </c>
      <c r="AE43" s="108">
        <v>8</v>
      </c>
      <c r="AF43" s="108">
        <v>0.2</v>
      </c>
      <c r="AG43" s="7">
        <v>20</v>
      </c>
      <c r="AH43" s="7">
        <v>0.2</v>
      </c>
      <c r="AI43" s="7">
        <v>0.2</v>
      </c>
      <c r="AJ43" s="7">
        <v>20</v>
      </c>
      <c r="AK43" s="108">
        <v>8</v>
      </c>
      <c r="AL43" s="108">
        <v>0.2</v>
      </c>
      <c r="AM43" s="7">
        <v>20</v>
      </c>
      <c r="AN43" s="7">
        <f t="shared" si="4"/>
        <v>3.9024390243902443</v>
      </c>
      <c r="AO43" s="7">
        <f t="shared" si="5"/>
        <v>3.9024390243902443</v>
      </c>
      <c r="AP43" s="7">
        <f t="shared" si="6"/>
        <v>2.9024390243902443</v>
      </c>
      <c r="AQ43" s="7">
        <f t="shared" si="7"/>
        <v>0.46291270977388388</v>
      </c>
      <c r="AR43" s="7">
        <f t="shared" si="8"/>
        <v>-0.46291270977388388</v>
      </c>
      <c r="AS43" s="7">
        <f t="shared" si="9"/>
        <v>20</v>
      </c>
      <c r="AT43" s="184">
        <f t="shared" si="12"/>
        <v>0.16666666666666666</v>
      </c>
      <c r="AU43" s="7"/>
      <c r="AV43" s="7" t="s">
        <v>1676</v>
      </c>
      <c r="AW43" s="7"/>
      <c r="AX43" s="7" t="s">
        <v>1680</v>
      </c>
      <c r="AY43" s="7" t="s">
        <v>1509</v>
      </c>
      <c r="BD43" s="188"/>
    </row>
    <row r="44" spans="1:56">
      <c r="A44" s="7" t="s">
        <v>23</v>
      </c>
      <c r="B44" s="7" t="s">
        <v>1668</v>
      </c>
      <c r="C44" s="7" t="s">
        <v>1669</v>
      </c>
      <c r="D44" s="7" t="s">
        <v>1670</v>
      </c>
      <c r="E44" s="7" t="s">
        <v>1678</v>
      </c>
      <c r="F44" s="7" t="s">
        <v>1681</v>
      </c>
      <c r="G44" s="7" t="s">
        <v>1682</v>
      </c>
      <c r="H44" s="7" t="s">
        <v>4185</v>
      </c>
      <c r="I44" s="100">
        <f>0.033/1000000</f>
        <v>3.3000000000000004E-8</v>
      </c>
      <c r="J44" s="100">
        <f t="shared" si="0"/>
        <v>3.3000000000000003E-5</v>
      </c>
      <c r="K44" s="100">
        <f t="shared" si="1"/>
        <v>-4.4814860601221129</v>
      </c>
      <c r="L44" s="73" t="s">
        <v>1517</v>
      </c>
      <c r="M44" s="7" t="s">
        <v>1674</v>
      </c>
      <c r="N44" s="7" t="s">
        <v>1640</v>
      </c>
      <c r="O44" s="7" t="s">
        <v>1505</v>
      </c>
      <c r="P44" s="108" t="s">
        <v>1492</v>
      </c>
      <c r="Q44" s="7" t="s">
        <v>1675</v>
      </c>
      <c r="R44" s="7">
        <v>46.9</v>
      </c>
      <c r="S44" s="7">
        <f t="shared" si="11"/>
        <v>46.9</v>
      </c>
      <c r="T44" s="7">
        <v>37.75</v>
      </c>
      <c r="U44" s="7">
        <v>1</v>
      </c>
      <c r="V44" s="7">
        <v>7</v>
      </c>
      <c r="W44" s="7">
        <f t="shared" si="3"/>
        <v>0.84509804001425681</v>
      </c>
      <c r="X44" s="7" t="s">
        <v>1643</v>
      </c>
      <c r="Y44" s="7" t="s">
        <v>1557</v>
      </c>
      <c r="Z44" s="7">
        <v>0</v>
      </c>
      <c r="AA44" s="7">
        <v>10</v>
      </c>
      <c r="AB44" s="7">
        <v>3.2</v>
      </c>
      <c r="AC44" s="7">
        <v>0.2</v>
      </c>
      <c r="AD44" s="7">
        <v>20</v>
      </c>
      <c r="AE44" s="108">
        <v>12.5</v>
      </c>
      <c r="AF44" s="108">
        <v>0.5</v>
      </c>
      <c r="AG44" s="7">
        <v>20</v>
      </c>
      <c r="AH44" s="7">
        <v>0.2</v>
      </c>
      <c r="AI44" s="7">
        <v>0.1</v>
      </c>
      <c r="AJ44" s="7">
        <v>20</v>
      </c>
      <c r="AK44" s="108">
        <v>11.3</v>
      </c>
      <c r="AL44" s="108">
        <v>0.4</v>
      </c>
      <c r="AM44" s="7">
        <v>20</v>
      </c>
      <c r="AN44" s="7">
        <f t="shared" si="4"/>
        <v>3.90625</v>
      </c>
      <c r="AO44" s="7">
        <f t="shared" si="5"/>
        <v>3.53125</v>
      </c>
      <c r="AP44" s="7">
        <f t="shared" si="6"/>
        <v>2.53125</v>
      </c>
      <c r="AQ44" s="7">
        <f t="shared" si="7"/>
        <v>0.40350657980533189</v>
      </c>
      <c r="AR44" s="7">
        <f t="shared" si="8"/>
        <v>-0.40350657980533189</v>
      </c>
      <c r="AS44" s="7">
        <f t="shared" si="9"/>
        <v>20</v>
      </c>
      <c r="AT44" s="184">
        <f t="shared" si="12"/>
        <v>0.3666666666666667</v>
      </c>
      <c r="AU44" s="7"/>
      <c r="AV44" s="7" t="s">
        <v>1676</v>
      </c>
      <c r="AW44" s="7"/>
      <c r="AX44" s="7" t="s">
        <v>1683</v>
      </c>
      <c r="AY44" s="7" t="s">
        <v>1509</v>
      </c>
      <c r="BD44" s="188"/>
    </row>
    <row r="45" spans="1:56">
      <c r="A45" s="7" t="s">
        <v>23</v>
      </c>
      <c r="B45" s="7" t="s">
        <v>1668</v>
      </c>
      <c r="C45" s="7" t="s">
        <v>1669</v>
      </c>
      <c r="D45" s="7" t="s">
        <v>1670</v>
      </c>
      <c r="E45" s="7" t="s">
        <v>1678</v>
      </c>
      <c r="F45" s="7" t="s">
        <v>1684</v>
      </c>
      <c r="G45" s="7" t="s">
        <v>1685</v>
      </c>
      <c r="H45" s="7" t="s">
        <v>4185</v>
      </c>
      <c r="I45" s="100">
        <f>0.031/1000000</f>
        <v>3.1E-8</v>
      </c>
      <c r="J45" s="100">
        <f t="shared" si="0"/>
        <v>3.1000000000000001E-5</v>
      </c>
      <c r="K45" s="100">
        <f t="shared" si="1"/>
        <v>-4.5086383061657269</v>
      </c>
      <c r="L45" s="73" t="s">
        <v>1517</v>
      </c>
      <c r="M45" s="7" t="s">
        <v>1674</v>
      </c>
      <c r="N45" s="7" t="s">
        <v>1640</v>
      </c>
      <c r="O45" s="7" t="s">
        <v>1505</v>
      </c>
      <c r="P45" s="108" t="s">
        <v>1492</v>
      </c>
      <c r="Q45" s="7" t="s">
        <v>1675</v>
      </c>
      <c r="R45" s="7">
        <v>46.9</v>
      </c>
      <c r="S45" s="7">
        <f t="shared" si="11"/>
        <v>46.9</v>
      </c>
      <c r="T45" s="7">
        <v>37.75</v>
      </c>
      <c r="U45" s="7">
        <v>1</v>
      </c>
      <c r="V45" s="7">
        <v>7</v>
      </c>
      <c r="W45" s="7">
        <f t="shared" si="3"/>
        <v>0.84509804001425681</v>
      </c>
      <c r="X45" s="7" t="s">
        <v>1643</v>
      </c>
      <c r="Y45" s="7" t="s">
        <v>1557</v>
      </c>
      <c r="Z45" s="7">
        <v>0</v>
      </c>
      <c r="AA45" s="7">
        <v>10</v>
      </c>
      <c r="AB45" s="7">
        <v>2.2999999999999998</v>
      </c>
      <c r="AC45" s="7">
        <v>0.1</v>
      </c>
      <c r="AD45" s="7">
        <v>20</v>
      </c>
      <c r="AE45" s="108">
        <v>7.3</v>
      </c>
      <c r="AF45" s="108">
        <v>0.1</v>
      </c>
      <c r="AG45" s="7">
        <v>20</v>
      </c>
      <c r="AH45" s="7">
        <v>0.1</v>
      </c>
      <c r="AI45" s="7">
        <v>0.1</v>
      </c>
      <c r="AJ45" s="7">
        <v>20</v>
      </c>
      <c r="AK45" s="108">
        <v>7.3</v>
      </c>
      <c r="AL45" s="108">
        <v>0.2</v>
      </c>
      <c r="AM45" s="7">
        <v>20</v>
      </c>
      <c r="AN45" s="7">
        <f t="shared" si="4"/>
        <v>3.1739130434782612</v>
      </c>
      <c r="AO45" s="7">
        <f t="shared" si="5"/>
        <v>3.1739130434782612</v>
      </c>
      <c r="AP45" s="7">
        <f t="shared" si="6"/>
        <v>2.1739130434782612</v>
      </c>
      <c r="AQ45" s="7">
        <f t="shared" si="7"/>
        <v>0.33744189784583123</v>
      </c>
      <c r="AR45" s="7">
        <f t="shared" si="8"/>
        <v>-0.33744189784583123</v>
      </c>
      <c r="AS45" s="7">
        <f t="shared" si="9"/>
        <v>20</v>
      </c>
      <c r="AT45" s="184">
        <f t="shared" si="12"/>
        <v>0.13333333333333333</v>
      </c>
      <c r="AU45" s="7"/>
      <c r="AV45" s="7" t="s">
        <v>1676</v>
      </c>
      <c r="AW45" s="7"/>
      <c r="AX45" s="7" t="s">
        <v>1686</v>
      </c>
      <c r="AY45" s="7" t="s">
        <v>1509</v>
      </c>
      <c r="BD45" s="188"/>
    </row>
    <row r="46" spans="1:56">
      <c r="A46" s="7" t="s">
        <v>1687</v>
      </c>
      <c r="B46" s="7" t="s">
        <v>1688</v>
      </c>
      <c r="C46" s="7" t="s">
        <v>1689</v>
      </c>
      <c r="D46" s="7" t="s">
        <v>1690</v>
      </c>
      <c r="E46" s="7" t="s">
        <v>1691</v>
      </c>
      <c r="F46" s="7" t="s">
        <v>1692</v>
      </c>
      <c r="G46" s="7" t="s">
        <v>1693</v>
      </c>
      <c r="H46" s="7" t="s">
        <v>4186</v>
      </c>
      <c r="I46" s="100">
        <f>1/1000000000</f>
        <v>1.0000000000000001E-9</v>
      </c>
      <c r="J46" s="100">
        <f t="shared" si="0"/>
        <v>1.0000000000000002E-6</v>
      </c>
      <c r="K46" s="100">
        <f t="shared" si="1"/>
        <v>-6</v>
      </c>
      <c r="L46" s="73" t="s">
        <v>1517</v>
      </c>
      <c r="M46" s="7" t="s">
        <v>1694</v>
      </c>
      <c r="N46" s="7" t="s">
        <v>1640</v>
      </c>
      <c r="O46" s="7" t="s">
        <v>1505</v>
      </c>
      <c r="P46" s="108" t="s">
        <v>1492</v>
      </c>
      <c r="Q46" s="7" t="s">
        <v>1695</v>
      </c>
      <c r="R46" s="7">
        <v>33.950000000000003</v>
      </c>
      <c r="S46" s="7">
        <f t="shared" si="11"/>
        <v>33.950000000000003</v>
      </c>
      <c r="T46" s="7">
        <v>107.6</v>
      </c>
      <c r="U46" s="7">
        <v>1</v>
      </c>
      <c r="V46" s="7">
        <v>14</v>
      </c>
      <c r="W46" s="7">
        <f t="shared" si="3"/>
        <v>1.146128035678238</v>
      </c>
      <c r="X46" s="7" t="s">
        <v>1643</v>
      </c>
      <c r="Y46" s="7" t="s">
        <v>1521</v>
      </c>
      <c r="Z46" s="7">
        <v>10</v>
      </c>
      <c r="AA46" s="7">
        <v>25</v>
      </c>
      <c r="AB46" s="108">
        <v>3.3</v>
      </c>
      <c r="AC46" s="7">
        <v>0.35</v>
      </c>
      <c r="AD46" s="108">
        <v>25</v>
      </c>
      <c r="AE46" s="108">
        <v>2.65</v>
      </c>
      <c r="AF46" s="108">
        <v>0.3</v>
      </c>
      <c r="AG46" s="108">
        <v>25</v>
      </c>
      <c r="AH46" s="108">
        <v>2</v>
      </c>
      <c r="AI46" s="7">
        <v>0.35</v>
      </c>
      <c r="AJ46" s="108">
        <v>25</v>
      </c>
      <c r="AK46" s="108">
        <v>4.8</v>
      </c>
      <c r="AL46" s="108">
        <v>0.6</v>
      </c>
      <c r="AM46" s="108">
        <v>25</v>
      </c>
      <c r="AN46" s="7">
        <f t="shared" si="4"/>
        <v>0.86394870111562627</v>
      </c>
      <c r="AO46" s="7">
        <f t="shared" si="5"/>
        <v>1.2837630310276593</v>
      </c>
      <c r="AP46" s="7">
        <f t="shared" si="6"/>
        <v>0.28376303102765932</v>
      </c>
      <c r="AQ46" s="7">
        <f t="shared" si="7"/>
        <v>-0.54551639306478328</v>
      </c>
      <c r="AR46" s="7">
        <f t="shared" si="8"/>
        <v>0.54551639306478328</v>
      </c>
      <c r="AS46" s="7">
        <f t="shared" si="9"/>
        <v>25</v>
      </c>
      <c r="AT46" s="184">
        <f t="shared" si="12"/>
        <v>0.41666666666666669</v>
      </c>
      <c r="AU46" s="108"/>
      <c r="AV46" s="7" t="s">
        <v>1696</v>
      </c>
      <c r="AW46" s="7"/>
      <c r="AX46" s="7" t="s">
        <v>1697</v>
      </c>
      <c r="AY46" s="7" t="s">
        <v>1509</v>
      </c>
      <c r="BD46" s="188"/>
    </row>
    <row r="47" spans="1:56">
      <c r="A47" s="7" t="s">
        <v>23</v>
      </c>
      <c r="B47" s="7" t="s">
        <v>1713</v>
      </c>
      <c r="C47" s="7" t="s">
        <v>1698</v>
      </c>
      <c r="D47" s="7" t="s">
        <v>1699</v>
      </c>
      <c r="E47" s="7" t="s">
        <v>1700</v>
      </c>
      <c r="F47" s="7" t="s">
        <v>1701</v>
      </c>
      <c r="G47" s="7" t="s">
        <v>1702</v>
      </c>
      <c r="H47" s="7" t="s">
        <v>4185</v>
      </c>
      <c r="I47" s="100">
        <f>42.6/1000</f>
        <v>4.2599999999999999E-2</v>
      </c>
      <c r="J47" s="100">
        <f t="shared" si="0"/>
        <v>42.6</v>
      </c>
      <c r="K47" s="100">
        <f t="shared" si="1"/>
        <v>1.6294095991027189</v>
      </c>
      <c r="L47" s="73" t="s">
        <v>1502</v>
      </c>
      <c r="M47" s="7" t="s">
        <v>1704</v>
      </c>
      <c r="N47" s="7" t="s">
        <v>1538</v>
      </c>
      <c r="O47" s="7" t="s">
        <v>1494</v>
      </c>
      <c r="P47" s="108" t="s">
        <v>1492</v>
      </c>
      <c r="Q47" s="7" t="s">
        <v>1705</v>
      </c>
      <c r="R47" s="7">
        <v>32.9</v>
      </c>
      <c r="S47" s="7">
        <f t="shared" si="11"/>
        <v>32.9</v>
      </c>
      <c r="T47" s="7">
        <v>151.75</v>
      </c>
      <c r="U47" s="7">
        <v>1</v>
      </c>
      <c r="V47" s="7">
        <v>28</v>
      </c>
      <c r="W47" s="7">
        <f t="shared" si="3"/>
        <v>1.4471580313422192</v>
      </c>
      <c r="X47" s="7" t="s">
        <v>1703</v>
      </c>
      <c r="Y47" s="7" t="s">
        <v>1706</v>
      </c>
      <c r="Z47" s="7">
        <v>20</v>
      </c>
      <c r="AA47" s="7">
        <v>30</v>
      </c>
      <c r="AB47" s="108">
        <v>39.5</v>
      </c>
      <c r="AC47" s="108">
        <v>3</v>
      </c>
      <c r="AD47" s="7">
        <v>15</v>
      </c>
      <c r="AE47" s="7">
        <v>79.5</v>
      </c>
      <c r="AF47" s="7">
        <v>5.8</v>
      </c>
      <c r="AG47" s="7">
        <v>15</v>
      </c>
      <c r="AH47" s="7">
        <v>33.6</v>
      </c>
      <c r="AI47" s="7">
        <v>3.3</v>
      </c>
      <c r="AJ47" s="7">
        <v>15</v>
      </c>
      <c r="AK47" s="108">
        <v>66.099999999999994</v>
      </c>
      <c r="AL47" s="108">
        <v>5.5</v>
      </c>
      <c r="AM47" s="108">
        <v>15</v>
      </c>
      <c r="AN47" s="7">
        <f t="shared" si="4"/>
        <v>2.0126582278481013</v>
      </c>
      <c r="AO47" s="7">
        <f t="shared" si="5"/>
        <v>1.6734177215189872</v>
      </c>
      <c r="AP47" s="7">
        <f t="shared" si="6"/>
        <v>0.67341772151898716</v>
      </c>
      <c r="AQ47" s="7">
        <f t="shared" si="7"/>
        <v>-0.17107102637739999</v>
      </c>
      <c r="AR47" s="7">
        <f t="shared" si="8"/>
        <v>0.17107102637739999</v>
      </c>
      <c r="AS47" s="7">
        <f t="shared" si="9"/>
        <v>15</v>
      </c>
      <c r="AT47" s="184">
        <f t="shared" si="12"/>
        <v>4.7666666666666666</v>
      </c>
      <c r="AU47" s="108"/>
      <c r="AV47" s="7"/>
      <c r="AW47" s="7"/>
      <c r="AX47" s="7" t="s">
        <v>1707</v>
      </c>
      <c r="AY47" s="7" t="s">
        <v>1509</v>
      </c>
      <c r="BD47" s="188"/>
    </row>
    <row r="48" spans="1:56">
      <c r="A48" s="7" t="s">
        <v>23</v>
      </c>
      <c r="B48" s="7" t="s">
        <v>1713</v>
      </c>
      <c r="C48" s="7" t="s">
        <v>1698</v>
      </c>
      <c r="D48" s="7" t="s">
        <v>1699</v>
      </c>
      <c r="E48" s="7" t="s">
        <v>1700</v>
      </c>
      <c r="F48" s="7" t="s">
        <v>1701</v>
      </c>
      <c r="G48" s="7" t="s">
        <v>1702</v>
      </c>
      <c r="H48" s="7" t="s">
        <v>4185</v>
      </c>
      <c r="I48" s="100">
        <f>42.6/1000</f>
        <v>4.2599999999999999E-2</v>
      </c>
      <c r="J48" s="100">
        <f t="shared" si="0"/>
        <v>42.6</v>
      </c>
      <c r="K48" s="100">
        <f t="shared" si="1"/>
        <v>1.6294095991027189</v>
      </c>
      <c r="L48" s="73" t="s">
        <v>1502</v>
      </c>
      <c r="M48" s="7" t="s">
        <v>1704</v>
      </c>
      <c r="N48" s="7" t="s">
        <v>1538</v>
      </c>
      <c r="O48" s="7" t="s">
        <v>1494</v>
      </c>
      <c r="P48" s="108" t="s">
        <v>1492</v>
      </c>
      <c r="Q48" s="7" t="s">
        <v>1705</v>
      </c>
      <c r="R48" s="7">
        <v>32.9</v>
      </c>
      <c r="S48" s="7">
        <f t="shared" si="11"/>
        <v>32.9</v>
      </c>
      <c r="T48" s="7">
        <v>151.75</v>
      </c>
      <c r="U48" s="7">
        <v>1</v>
      </c>
      <c r="V48" s="7">
        <v>28</v>
      </c>
      <c r="W48" s="7">
        <f t="shared" si="3"/>
        <v>1.4471580313422192</v>
      </c>
      <c r="X48" s="7" t="s">
        <v>1703</v>
      </c>
      <c r="Y48" s="7" t="s">
        <v>1708</v>
      </c>
      <c r="Z48" s="7">
        <v>20</v>
      </c>
      <c r="AA48" s="7">
        <v>30</v>
      </c>
      <c r="AB48" s="108">
        <v>37.6</v>
      </c>
      <c r="AC48" s="108">
        <v>3.4</v>
      </c>
      <c r="AD48" s="7">
        <v>15</v>
      </c>
      <c r="AE48" s="7">
        <v>70.7</v>
      </c>
      <c r="AF48" s="7">
        <v>6.4</v>
      </c>
      <c r="AG48" s="7">
        <v>15</v>
      </c>
      <c r="AH48" s="7">
        <v>33</v>
      </c>
      <c r="AI48" s="7">
        <v>3.8</v>
      </c>
      <c r="AJ48" s="7">
        <v>15</v>
      </c>
      <c r="AK48" s="108">
        <v>61.7</v>
      </c>
      <c r="AL48" s="108">
        <v>5.7</v>
      </c>
      <c r="AM48" s="108">
        <v>15</v>
      </c>
      <c r="AN48" s="7">
        <f t="shared" si="4"/>
        <v>1.8803191489361701</v>
      </c>
      <c r="AO48" s="7">
        <f t="shared" si="5"/>
        <v>1.6409574468085106</v>
      </c>
      <c r="AP48" s="7">
        <f t="shared" si="6"/>
        <v>0.64095744680851063</v>
      </c>
      <c r="AQ48" s="7">
        <f t="shared" si="7"/>
        <v>-0.19249375889181106</v>
      </c>
      <c r="AR48" s="7">
        <f t="shared" si="8"/>
        <v>0.19249375889181106</v>
      </c>
      <c r="AS48" s="7">
        <f t="shared" si="9"/>
        <v>15</v>
      </c>
      <c r="AT48" s="184">
        <f t="shared" si="12"/>
        <v>5.166666666666667</v>
      </c>
      <c r="AU48" s="108"/>
      <c r="AV48" s="7"/>
      <c r="AW48" s="7"/>
      <c r="AX48" s="7" t="s">
        <v>1704</v>
      </c>
      <c r="AY48" s="7" t="s">
        <v>1509</v>
      </c>
      <c r="BD48" s="188"/>
    </row>
    <row r="49" spans="1:56">
      <c r="A49" s="7" t="s">
        <v>33</v>
      </c>
      <c r="B49" s="7" t="s">
        <v>34</v>
      </c>
      <c r="C49" s="7" t="s">
        <v>282</v>
      </c>
      <c r="D49" s="7" t="s">
        <v>1541</v>
      </c>
      <c r="E49" s="7" t="s">
        <v>1542</v>
      </c>
      <c r="F49" s="7" t="s">
        <v>1543</v>
      </c>
      <c r="G49" s="7" t="s">
        <v>1544</v>
      </c>
      <c r="H49" s="7" t="s">
        <v>4180</v>
      </c>
      <c r="I49" s="100">
        <f>90/1000</f>
        <v>0.09</v>
      </c>
      <c r="J49" s="100">
        <f t="shared" si="0"/>
        <v>90</v>
      </c>
      <c r="K49" s="100">
        <f t="shared" si="1"/>
        <v>1.954242509439325</v>
      </c>
      <c r="L49" s="73" t="s">
        <v>1517</v>
      </c>
      <c r="M49" s="7" t="s">
        <v>1709</v>
      </c>
      <c r="N49" s="7" t="s">
        <v>1504</v>
      </c>
      <c r="O49" s="7" t="s">
        <v>1505</v>
      </c>
      <c r="P49" s="108" t="s">
        <v>1492</v>
      </c>
      <c r="Q49" s="7" t="s">
        <v>1546</v>
      </c>
      <c r="R49" s="7">
        <v>77.849999999999994</v>
      </c>
      <c r="S49" s="7">
        <f t="shared" si="11"/>
        <v>77.849999999999994</v>
      </c>
      <c r="T49" s="7">
        <v>166.75</v>
      </c>
      <c r="U49" s="7">
        <v>1</v>
      </c>
      <c r="V49" s="7">
        <v>42</v>
      </c>
      <c r="W49" s="7">
        <f t="shared" si="3"/>
        <v>1.6232492903979006</v>
      </c>
      <c r="X49" s="7" t="s">
        <v>1710</v>
      </c>
      <c r="Y49" s="7" t="s">
        <v>1711</v>
      </c>
      <c r="Z49" s="7">
        <v>-1</v>
      </c>
      <c r="AA49" s="7">
        <v>4</v>
      </c>
      <c r="AB49" s="108">
        <v>3.14</v>
      </c>
      <c r="AC49" s="108">
        <v>0.33</v>
      </c>
      <c r="AD49" s="7">
        <v>10</v>
      </c>
      <c r="AE49" s="7">
        <v>5.29</v>
      </c>
      <c r="AF49" s="7">
        <v>0.59</v>
      </c>
      <c r="AG49" s="7">
        <v>10</v>
      </c>
      <c r="AH49" s="7">
        <v>2.42</v>
      </c>
      <c r="AI49" s="7">
        <v>0.33</v>
      </c>
      <c r="AJ49" s="7">
        <v>10</v>
      </c>
      <c r="AK49" s="108">
        <v>4.71</v>
      </c>
      <c r="AL49" s="108">
        <v>0.47</v>
      </c>
      <c r="AM49" s="108">
        <v>10</v>
      </c>
      <c r="AN49" s="7">
        <f t="shared" si="4"/>
        <v>2.8382591585865553</v>
      </c>
      <c r="AO49" s="7">
        <f t="shared" si="5"/>
        <v>2.25</v>
      </c>
      <c r="AP49" s="7">
        <f t="shared" si="6"/>
        <v>1.25</v>
      </c>
      <c r="AQ49" s="7">
        <f t="shared" si="7"/>
        <v>9.7257309693419919E-2</v>
      </c>
      <c r="AR49" s="7">
        <f t="shared" si="8"/>
        <v>-9.7257309693419919E-2</v>
      </c>
      <c r="AS49" s="7">
        <f t="shared" si="9"/>
        <v>10</v>
      </c>
      <c r="AT49" s="184">
        <f t="shared" si="12"/>
        <v>0.46333333333333332</v>
      </c>
      <c r="AU49" s="108"/>
      <c r="AV49" s="7"/>
      <c r="AW49" s="7"/>
      <c r="AX49" s="7" t="s">
        <v>1712</v>
      </c>
      <c r="AY49" s="7" t="s">
        <v>1509</v>
      </c>
      <c r="BD49" s="188"/>
    </row>
    <row r="50" spans="1:56">
      <c r="A50" s="7" t="s">
        <v>23</v>
      </c>
      <c r="B50" s="7" t="s">
        <v>1713</v>
      </c>
      <c r="C50" s="7" t="s">
        <v>1698</v>
      </c>
      <c r="D50" s="7" t="s">
        <v>1714</v>
      </c>
      <c r="E50" s="7" t="s">
        <v>1715</v>
      </c>
      <c r="F50" s="7" t="s">
        <v>1716</v>
      </c>
      <c r="G50" s="7" t="s">
        <v>1717</v>
      </c>
      <c r="H50" s="7" t="s">
        <v>4185</v>
      </c>
      <c r="I50" s="100">
        <f>20/1000</f>
        <v>0.02</v>
      </c>
      <c r="J50" s="100">
        <f t="shared" si="0"/>
        <v>20</v>
      </c>
      <c r="K50" s="100">
        <f t="shared" si="1"/>
        <v>1.3010299956639813</v>
      </c>
      <c r="L50" s="73" t="s">
        <v>1502</v>
      </c>
      <c r="M50" s="7" t="s">
        <v>1718</v>
      </c>
      <c r="N50" s="7" t="s">
        <v>1538</v>
      </c>
      <c r="O50" s="7" t="s">
        <v>1494</v>
      </c>
      <c r="P50" s="108" t="s">
        <v>1492</v>
      </c>
      <c r="Q50" s="7" t="s">
        <v>1011</v>
      </c>
      <c r="R50" s="7">
        <v>44.5</v>
      </c>
      <c r="S50" s="7">
        <f t="shared" si="11"/>
        <v>44.5</v>
      </c>
      <c r="T50" s="7">
        <v>-89.5</v>
      </c>
      <c r="U50" s="7">
        <v>1</v>
      </c>
      <c r="V50" s="7">
        <v>14</v>
      </c>
      <c r="W50" s="7">
        <f t="shared" si="3"/>
        <v>1.146128035678238</v>
      </c>
      <c r="X50" s="7" t="s">
        <v>1710</v>
      </c>
      <c r="Y50" s="7" t="s">
        <v>1507</v>
      </c>
      <c r="Z50" s="7">
        <v>5</v>
      </c>
      <c r="AA50" s="7">
        <v>25</v>
      </c>
      <c r="AB50" s="7">
        <v>1.6E-2</v>
      </c>
      <c r="AC50" s="7">
        <v>1E-3</v>
      </c>
      <c r="AD50" s="7">
        <v>5</v>
      </c>
      <c r="AE50" s="7">
        <v>0.105</v>
      </c>
      <c r="AF50" s="7">
        <v>1E-3</v>
      </c>
      <c r="AG50" s="7">
        <v>5</v>
      </c>
      <c r="AH50" s="7">
        <v>1.2E-2</v>
      </c>
      <c r="AI50" s="7">
        <v>1E-3</v>
      </c>
      <c r="AJ50" s="7">
        <v>5</v>
      </c>
      <c r="AK50" s="7">
        <v>7.2999999999999995E-2</v>
      </c>
      <c r="AL50" s="7">
        <v>1E-3</v>
      </c>
      <c r="AM50" s="7">
        <v>5</v>
      </c>
      <c r="AN50" s="7">
        <f t="shared" si="4"/>
        <v>2.5617376914898995</v>
      </c>
      <c r="AO50" s="7">
        <f t="shared" si="5"/>
        <v>2.1360009363293826</v>
      </c>
      <c r="AP50" s="7">
        <f t="shared" si="6"/>
        <v>1.1360009363293826</v>
      </c>
      <c r="AQ50" s="7">
        <f t="shared" si="7"/>
        <v>5.576082233286813E-2</v>
      </c>
      <c r="AR50" s="7">
        <f t="shared" si="8"/>
        <v>-5.576082233286813E-2</v>
      </c>
      <c r="AS50" s="7">
        <f t="shared" si="9"/>
        <v>5</v>
      </c>
      <c r="AT50" s="184">
        <f t="shared" si="12"/>
        <v>1E-3</v>
      </c>
      <c r="AU50" s="7"/>
      <c r="AV50" s="7" t="s">
        <v>1719</v>
      </c>
      <c r="AW50" s="7"/>
      <c r="AX50" s="7" t="s">
        <v>1720</v>
      </c>
      <c r="AY50" s="7" t="s">
        <v>1509</v>
      </c>
      <c r="BD50" s="188"/>
    </row>
    <row r="51" spans="1:56">
      <c r="A51" s="7" t="s">
        <v>23</v>
      </c>
      <c r="B51" s="7" t="s">
        <v>1713</v>
      </c>
      <c r="C51" s="7" t="s">
        <v>1698</v>
      </c>
      <c r="D51" s="7" t="s">
        <v>1714</v>
      </c>
      <c r="E51" s="7" t="s">
        <v>1715</v>
      </c>
      <c r="F51" s="7" t="s">
        <v>1716</v>
      </c>
      <c r="G51" s="7" t="s">
        <v>1717</v>
      </c>
      <c r="H51" s="7" t="s">
        <v>4185</v>
      </c>
      <c r="I51" s="100">
        <f>20/1000</f>
        <v>0.02</v>
      </c>
      <c r="J51" s="100">
        <f t="shared" si="0"/>
        <v>20</v>
      </c>
      <c r="K51" s="100">
        <f t="shared" si="1"/>
        <v>1.3010299956639813</v>
      </c>
      <c r="L51" s="73" t="s">
        <v>1502</v>
      </c>
      <c r="M51" s="7" t="s">
        <v>1721</v>
      </c>
      <c r="N51" s="7" t="s">
        <v>1538</v>
      </c>
      <c r="O51" s="7" t="s">
        <v>1494</v>
      </c>
      <c r="P51" s="108" t="s">
        <v>1492</v>
      </c>
      <c r="Q51" s="7" t="s">
        <v>1011</v>
      </c>
      <c r="R51" s="7">
        <v>44.5</v>
      </c>
      <c r="S51" s="7">
        <f t="shared" si="11"/>
        <v>44.5</v>
      </c>
      <c r="T51" s="7">
        <v>-89.5</v>
      </c>
      <c r="U51" s="7">
        <v>1</v>
      </c>
      <c r="V51" s="7">
        <v>14</v>
      </c>
      <c r="W51" s="7">
        <f t="shared" si="3"/>
        <v>1.146128035678238</v>
      </c>
      <c r="X51" s="7" t="s">
        <v>1710</v>
      </c>
      <c r="Y51" s="7" t="s">
        <v>1507</v>
      </c>
      <c r="Z51" s="7">
        <v>5</v>
      </c>
      <c r="AA51" s="7">
        <v>15</v>
      </c>
      <c r="AB51" s="7">
        <v>1.6E-2</v>
      </c>
      <c r="AC51" s="7">
        <v>1E-3</v>
      </c>
      <c r="AD51" s="7">
        <v>5</v>
      </c>
      <c r="AE51" s="7">
        <v>5.1999999999999998E-2</v>
      </c>
      <c r="AF51" s="7">
        <v>1E-3</v>
      </c>
      <c r="AG51" s="7">
        <v>5</v>
      </c>
      <c r="AH51" s="7">
        <v>1.4999999999999999E-2</v>
      </c>
      <c r="AI51" s="7">
        <v>1E-3</v>
      </c>
      <c r="AJ51" s="7">
        <v>5</v>
      </c>
      <c r="AK51" s="7">
        <v>3.9E-2</v>
      </c>
      <c r="AL51" s="7">
        <v>1E-3</v>
      </c>
      <c r="AM51" s="7">
        <v>5</v>
      </c>
      <c r="AN51" s="7">
        <f t="shared" si="4"/>
        <v>3.25</v>
      </c>
      <c r="AO51" s="7">
        <f t="shared" si="5"/>
        <v>2.4375</v>
      </c>
      <c r="AP51" s="7">
        <f t="shared" si="6"/>
        <v>1.4375</v>
      </c>
      <c r="AQ51" s="7">
        <f t="shared" si="7"/>
        <v>0.15790986622634481</v>
      </c>
      <c r="AR51" s="7">
        <f t="shared" si="8"/>
        <v>-0.15790986622634481</v>
      </c>
      <c r="AS51" s="7">
        <f t="shared" si="9"/>
        <v>5</v>
      </c>
      <c r="AT51" s="184">
        <f t="shared" si="12"/>
        <v>1E-3</v>
      </c>
      <c r="AU51" s="7"/>
      <c r="AV51" s="7" t="s">
        <v>1719</v>
      </c>
      <c r="AW51" s="7"/>
      <c r="AX51" s="7" t="s">
        <v>1720</v>
      </c>
      <c r="AY51" s="7" t="s">
        <v>1509</v>
      </c>
      <c r="BD51" s="188"/>
    </row>
    <row r="52" spans="1:56">
      <c r="A52" s="7" t="s">
        <v>23</v>
      </c>
      <c r="B52" s="7" t="s">
        <v>1713</v>
      </c>
      <c r="C52" s="7" t="s">
        <v>1698</v>
      </c>
      <c r="D52" s="7" t="s">
        <v>1714</v>
      </c>
      <c r="E52" s="7" t="s">
        <v>1715</v>
      </c>
      <c r="F52" s="7" t="s">
        <v>1716</v>
      </c>
      <c r="G52" s="7" t="s">
        <v>1717</v>
      </c>
      <c r="H52" s="7" t="s">
        <v>4185</v>
      </c>
      <c r="I52" s="100">
        <f>20/1000</f>
        <v>0.02</v>
      </c>
      <c r="J52" s="100">
        <f t="shared" si="0"/>
        <v>20</v>
      </c>
      <c r="K52" s="100">
        <f t="shared" si="1"/>
        <v>1.3010299956639813</v>
      </c>
      <c r="L52" s="73" t="s">
        <v>1502</v>
      </c>
      <c r="M52" s="7" t="s">
        <v>1722</v>
      </c>
      <c r="N52" s="7" t="s">
        <v>1538</v>
      </c>
      <c r="O52" s="7" t="s">
        <v>1494</v>
      </c>
      <c r="P52" s="108" t="s">
        <v>1492</v>
      </c>
      <c r="Q52" s="7" t="s">
        <v>1011</v>
      </c>
      <c r="R52" s="7">
        <v>44.5</v>
      </c>
      <c r="S52" s="7">
        <f t="shared" si="11"/>
        <v>44.5</v>
      </c>
      <c r="T52" s="7">
        <v>-89.5</v>
      </c>
      <c r="U52" s="7">
        <v>1</v>
      </c>
      <c r="V52" s="7">
        <v>14</v>
      </c>
      <c r="W52" s="7">
        <f t="shared" si="3"/>
        <v>1.146128035678238</v>
      </c>
      <c r="X52" s="7" t="s">
        <v>1710</v>
      </c>
      <c r="Y52" s="7" t="s">
        <v>1507</v>
      </c>
      <c r="Z52" s="7">
        <v>15</v>
      </c>
      <c r="AA52" s="7">
        <v>25</v>
      </c>
      <c r="AB52" s="7">
        <v>3.9E-2</v>
      </c>
      <c r="AC52" s="7">
        <v>1E-3</v>
      </c>
      <c r="AD52" s="7">
        <v>5</v>
      </c>
      <c r="AE52" s="7">
        <v>0.09</v>
      </c>
      <c r="AF52" s="7">
        <v>1E-3</v>
      </c>
      <c r="AG52" s="7">
        <v>5</v>
      </c>
      <c r="AH52" s="7">
        <v>3.5999999999999997E-2</v>
      </c>
      <c r="AI52" s="7">
        <v>1E-3</v>
      </c>
      <c r="AJ52" s="7">
        <v>5</v>
      </c>
      <c r="AK52" s="7">
        <v>7.2999999999999995E-2</v>
      </c>
      <c r="AL52" s="7">
        <v>1E-3</v>
      </c>
      <c r="AM52" s="7">
        <v>5</v>
      </c>
      <c r="AN52" s="7">
        <f t="shared" si="4"/>
        <v>2.3076923076923075</v>
      </c>
      <c r="AO52" s="7">
        <f t="shared" si="5"/>
        <v>1.8717948717948716</v>
      </c>
      <c r="AP52" s="7">
        <f t="shared" si="6"/>
        <v>0.87179487179487158</v>
      </c>
      <c r="AQ52" s="7">
        <f t="shared" si="7"/>
        <v>-5.9087814158637848E-2</v>
      </c>
      <c r="AR52" s="7">
        <f t="shared" si="8"/>
        <v>5.9087814158637848E-2</v>
      </c>
      <c r="AS52" s="7">
        <f t="shared" si="9"/>
        <v>5</v>
      </c>
      <c r="AT52" s="184">
        <f t="shared" si="12"/>
        <v>1E-3</v>
      </c>
      <c r="AU52" s="7"/>
      <c r="AV52" s="7" t="s">
        <v>1719</v>
      </c>
      <c r="AW52" s="7"/>
      <c r="AX52" s="7" t="s">
        <v>1720</v>
      </c>
      <c r="AY52" s="7" t="s">
        <v>1509</v>
      </c>
      <c r="BD52" s="188"/>
    </row>
    <row r="53" spans="1:56">
      <c r="A53" s="7" t="s">
        <v>33</v>
      </c>
      <c r="B53" s="7" t="s">
        <v>34</v>
      </c>
      <c r="C53" s="7" t="s">
        <v>1601</v>
      </c>
      <c r="D53" s="7" t="s">
        <v>1602</v>
      </c>
      <c r="E53" s="7" t="s">
        <v>1603</v>
      </c>
      <c r="F53" s="7" t="s">
        <v>1604</v>
      </c>
      <c r="G53" s="7" t="s">
        <v>1605</v>
      </c>
      <c r="H53" s="7" t="s">
        <v>4180</v>
      </c>
      <c r="I53" s="100">
        <f>(AVERAGE(410, 465, 783, 788, 734, 725, 829, 807))/1000000</f>
        <v>6.9262499999999999E-4</v>
      </c>
      <c r="J53" s="100">
        <f t="shared" si="0"/>
        <v>0.69262499999999994</v>
      </c>
      <c r="K53" s="100">
        <f t="shared" si="1"/>
        <v>-0.15950183683203978</v>
      </c>
      <c r="L53" s="73" t="s">
        <v>1502</v>
      </c>
      <c r="M53" s="7" t="s">
        <v>1606</v>
      </c>
      <c r="N53" s="7" t="s">
        <v>1538</v>
      </c>
      <c r="O53" s="7" t="s">
        <v>1505</v>
      </c>
      <c r="P53" s="108" t="s">
        <v>1539</v>
      </c>
      <c r="Q53" s="7" t="s">
        <v>1607</v>
      </c>
      <c r="R53" s="7">
        <v>48</v>
      </c>
      <c r="S53" s="7">
        <f t="shared" si="11"/>
        <v>48</v>
      </c>
      <c r="T53" s="7">
        <v>69.349999999999994</v>
      </c>
      <c r="U53" s="7">
        <v>1</v>
      </c>
      <c r="V53" s="7">
        <v>77</v>
      </c>
      <c r="W53" s="7">
        <f t="shared" si="3"/>
        <v>1.8864907251724818</v>
      </c>
      <c r="X53" s="7" t="s">
        <v>1710</v>
      </c>
      <c r="Y53" s="7" t="s">
        <v>1723</v>
      </c>
      <c r="Z53" s="7">
        <v>8</v>
      </c>
      <c r="AA53" s="7">
        <v>23</v>
      </c>
      <c r="AB53" s="7">
        <v>0.76100000000000001</v>
      </c>
      <c r="AC53" s="7">
        <v>7.6099999999999987E-2</v>
      </c>
      <c r="AD53" s="7">
        <v>10</v>
      </c>
      <c r="AE53" s="7">
        <v>2.1</v>
      </c>
      <c r="AF53" s="7">
        <v>0.42374520646256281</v>
      </c>
      <c r="AG53" s="7">
        <v>10</v>
      </c>
      <c r="AH53" s="7">
        <v>0.61</v>
      </c>
      <c r="AI53" s="7">
        <v>0.1233288287465668</v>
      </c>
      <c r="AJ53" s="7">
        <v>10</v>
      </c>
      <c r="AK53" s="108">
        <v>0.8</v>
      </c>
      <c r="AL53" s="108">
        <v>0.16760071598892409</v>
      </c>
      <c r="AM53" s="7">
        <v>10</v>
      </c>
      <c r="AN53" s="7">
        <f t="shared" si="4"/>
        <v>1.9673868246352575</v>
      </c>
      <c r="AO53" s="7">
        <f t="shared" si="5"/>
        <v>1.0338802047199802</v>
      </c>
      <c r="AP53" s="7">
        <f t="shared" si="6"/>
        <v>3.3880204719980211E-2</v>
      </c>
      <c r="AQ53" s="7">
        <f t="shared" si="7"/>
        <v>-1.4574209747573366</v>
      </c>
      <c r="AR53" s="7">
        <f t="shared" si="8"/>
        <v>1.4574209747573366</v>
      </c>
      <c r="AS53" s="7">
        <f t="shared" si="9"/>
        <v>10</v>
      </c>
      <c r="AT53" s="184">
        <f t="shared" si="12"/>
        <v>0.22248197415049564</v>
      </c>
      <c r="AU53" s="7"/>
      <c r="AV53" s="7" t="s">
        <v>1608</v>
      </c>
      <c r="AW53" s="7"/>
      <c r="AX53" s="7" t="s">
        <v>1724</v>
      </c>
      <c r="AY53" s="7" t="s">
        <v>1509</v>
      </c>
      <c r="BD53" s="188"/>
    </row>
    <row r="54" spans="1:56">
      <c r="A54" s="7" t="s">
        <v>33</v>
      </c>
      <c r="B54" s="7" t="s">
        <v>34</v>
      </c>
      <c r="C54" s="7" t="s">
        <v>66</v>
      </c>
      <c r="D54" s="7" t="s">
        <v>67</v>
      </c>
      <c r="E54" s="7" t="s">
        <v>1596</v>
      </c>
      <c r="F54" s="7" t="s">
        <v>1597</v>
      </c>
      <c r="G54" s="7" t="s">
        <v>1598</v>
      </c>
      <c r="H54" s="7" t="s">
        <v>4180</v>
      </c>
      <c r="I54" s="100">
        <v>0.73499999999999999</v>
      </c>
      <c r="J54" s="100">
        <f t="shared" si="0"/>
        <v>735</v>
      </c>
      <c r="K54" s="100">
        <f t="shared" si="1"/>
        <v>2.8662873390841948</v>
      </c>
      <c r="L54" s="73" t="s">
        <v>1502</v>
      </c>
      <c r="M54" s="7" t="s">
        <v>1725</v>
      </c>
      <c r="N54" s="7" t="s">
        <v>1538</v>
      </c>
      <c r="O54" s="7" t="s">
        <v>1494</v>
      </c>
      <c r="P54" s="108" t="s">
        <v>1539</v>
      </c>
      <c r="Q54" s="7" t="s">
        <v>1726</v>
      </c>
      <c r="R54" s="7">
        <v>51.95</v>
      </c>
      <c r="S54" s="7">
        <f t="shared" si="11"/>
        <v>51.95</v>
      </c>
      <c r="T54" s="7">
        <v>5.65</v>
      </c>
      <c r="U54" s="7">
        <v>1</v>
      </c>
      <c r="V54" s="7">
        <v>35</v>
      </c>
      <c r="W54" s="7">
        <f t="shared" si="3"/>
        <v>1.5440680443502757</v>
      </c>
      <c r="X54" s="7" t="s">
        <v>1727</v>
      </c>
      <c r="Y54" s="7" t="s">
        <v>1728</v>
      </c>
      <c r="Z54" s="7">
        <v>15</v>
      </c>
      <c r="AA54" s="7">
        <v>29</v>
      </c>
      <c r="AB54" s="7">
        <v>2.6</v>
      </c>
      <c r="AC54" s="7">
        <v>0.3</v>
      </c>
      <c r="AD54" s="7">
        <v>8</v>
      </c>
      <c r="AE54" s="108">
        <v>8</v>
      </c>
      <c r="AF54" s="108">
        <v>0.6</v>
      </c>
      <c r="AG54" s="108">
        <v>8</v>
      </c>
      <c r="AH54" s="108">
        <v>1.75</v>
      </c>
      <c r="AI54" s="108">
        <v>0.15</v>
      </c>
      <c r="AJ54" s="108">
        <v>8</v>
      </c>
      <c r="AK54" s="108">
        <v>3.7</v>
      </c>
      <c r="AL54" s="108">
        <v>0.4</v>
      </c>
      <c r="AM54" s="108">
        <v>8</v>
      </c>
      <c r="AN54" s="7">
        <f t="shared" si="4"/>
        <v>2.2317972707894831</v>
      </c>
      <c r="AO54" s="7">
        <f t="shared" si="5"/>
        <v>1.2866156806525928</v>
      </c>
      <c r="AP54" s="7">
        <f t="shared" si="6"/>
        <v>0.2866156806525928</v>
      </c>
      <c r="AQ54" s="7">
        <f t="shared" si="7"/>
        <v>-0.54118744014155074</v>
      </c>
      <c r="AR54" s="7">
        <f t="shared" si="8"/>
        <v>0.54118744014155074</v>
      </c>
      <c r="AS54" s="7">
        <f t="shared" si="9"/>
        <v>8</v>
      </c>
      <c r="AT54" s="184">
        <f t="shared" si="12"/>
        <v>0.43333333333333329</v>
      </c>
      <c r="AU54" s="108"/>
      <c r="AV54" s="7" t="s">
        <v>1730</v>
      </c>
      <c r="AW54" s="7"/>
      <c r="AX54" s="7" t="s">
        <v>1731</v>
      </c>
      <c r="AY54" s="7" t="s">
        <v>1509</v>
      </c>
      <c r="BD54" s="188"/>
    </row>
    <row r="55" spans="1:56">
      <c r="A55" s="7" t="s">
        <v>33</v>
      </c>
      <c r="B55" s="7" t="s">
        <v>34</v>
      </c>
      <c r="C55" s="7" t="s">
        <v>61</v>
      </c>
      <c r="D55" s="7" t="s">
        <v>62</v>
      </c>
      <c r="E55" s="7" t="s">
        <v>1732</v>
      </c>
      <c r="F55" s="7" t="s">
        <v>1733</v>
      </c>
      <c r="G55" s="7" t="s">
        <v>1734</v>
      </c>
      <c r="H55" s="7" t="s">
        <v>4180</v>
      </c>
      <c r="I55" s="100">
        <f>(AVERAGE(66,79))/1000</f>
        <v>7.2499999999999995E-2</v>
      </c>
      <c r="J55" s="100">
        <f t="shared" si="0"/>
        <v>72.5</v>
      </c>
      <c r="K55" s="100">
        <f t="shared" si="1"/>
        <v>1.8603380065709938</v>
      </c>
      <c r="L55" s="73" t="s">
        <v>1502</v>
      </c>
      <c r="M55" s="7" t="s">
        <v>1735</v>
      </c>
      <c r="N55" s="7" t="s">
        <v>1538</v>
      </c>
      <c r="O55" s="7" t="s">
        <v>1494</v>
      </c>
      <c r="P55" s="108" t="s">
        <v>1492</v>
      </c>
      <c r="Q55" s="7" t="s">
        <v>1736</v>
      </c>
      <c r="R55" s="7">
        <v>62.6</v>
      </c>
      <c r="S55" s="7">
        <f t="shared" si="11"/>
        <v>62.6</v>
      </c>
      <c r="T55" s="7">
        <v>29.75</v>
      </c>
      <c r="U55" s="7">
        <v>1</v>
      </c>
      <c r="V55" s="7">
        <v>28</v>
      </c>
      <c r="W55" s="7">
        <f t="shared" si="3"/>
        <v>1.4471580313422192</v>
      </c>
      <c r="X55" s="7" t="s">
        <v>1737</v>
      </c>
      <c r="Y55" s="7" t="s">
        <v>1738</v>
      </c>
      <c r="Z55" s="7">
        <v>4</v>
      </c>
      <c r="AA55" s="7">
        <v>17</v>
      </c>
      <c r="AB55" s="7">
        <v>4.7E-2</v>
      </c>
      <c r="AC55" s="7">
        <v>1.2E-2</v>
      </c>
      <c r="AD55" s="7">
        <v>6</v>
      </c>
      <c r="AE55" s="7">
        <v>0.16200000000000001</v>
      </c>
      <c r="AF55" s="7">
        <v>2.9000000000000001E-2</v>
      </c>
      <c r="AG55" s="7">
        <v>6</v>
      </c>
      <c r="AH55" s="7">
        <v>4.4999999999999998E-2</v>
      </c>
      <c r="AI55" s="7">
        <v>7.0000000000000001E-3</v>
      </c>
      <c r="AJ55" s="7">
        <v>6</v>
      </c>
      <c r="AK55" s="7">
        <v>0.23400000000000001</v>
      </c>
      <c r="AL55" s="7">
        <v>0.02</v>
      </c>
      <c r="AM55" s="7">
        <v>6</v>
      </c>
      <c r="AN55" s="7">
        <f t="shared" si="4"/>
        <v>2.5905847985514678</v>
      </c>
      <c r="AO55" s="7">
        <f t="shared" si="5"/>
        <v>3.437515103237172</v>
      </c>
      <c r="AP55" s="7">
        <f t="shared" si="6"/>
        <v>2.437515103237172</v>
      </c>
      <c r="AQ55" s="7">
        <f t="shared" si="7"/>
        <v>0.38712544979112823</v>
      </c>
      <c r="AR55" s="7">
        <f t="shared" si="8"/>
        <v>-0.38712544979112823</v>
      </c>
      <c r="AS55" s="7">
        <f t="shared" si="9"/>
        <v>6</v>
      </c>
      <c r="AT55" s="184">
        <f t="shared" si="12"/>
        <v>2.0333333333333332E-2</v>
      </c>
      <c r="AU55" s="7"/>
      <c r="AV55" s="7" t="s">
        <v>1739</v>
      </c>
      <c r="AW55" s="7"/>
      <c r="AX55" s="7" t="s">
        <v>1740</v>
      </c>
      <c r="AY55" s="7" t="s">
        <v>1509</v>
      </c>
      <c r="BD55" s="188"/>
    </row>
    <row r="56" spans="1:56">
      <c r="A56" s="7" t="s">
        <v>33</v>
      </c>
      <c r="B56" s="7" t="s">
        <v>34</v>
      </c>
      <c r="C56" s="7" t="s">
        <v>61</v>
      </c>
      <c r="D56" s="7" t="s">
        <v>62</v>
      </c>
      <c r="E56" s="7" t="s">
        <v>1732</v>
      </c>
      <c r="F56" s="7" t="s">
        <v>1733</v>
      </c>
      <c r="G56" s="7" t="s">
        <v>1734</v>
      </c>
      <c r="H56" s="7" t="s">
        <v>4180</v>
      </c>
      <c r="I56" s="100">
        <f>(AVERAGE(66,79))/1000</f>
        <v>7.2499999999999995E-2</v>
      </c>
      <c r="J56" s="100">
        <f t="shared" si="0"/>
        <v>72.5</v>
      </c>
      <c r="K56" s="100">
        <f t="shared" si="1"/>
        <v>1.8603380065709938</v>
      </c>
      <c r="L56" s="73" t="s">
        <v>1502</v>
      </c>
      <c r="M56" s="7" t="s">
        <v>1735</v>
      </c>
      <c r="N56" s="7" t="s">
        <v>1538</v>
      </c>
      <c r="O56" s="7" t="s">
        <v>1494</v>
      </c>
      <c r="P56" s="108" t="s">
        <v>1492</v>
      </c>
      <c r="Q56" s="7" t="s">
        <v>1736</v>
      </c>
      <c r="R56" s="7">
        <v>62.6</v>
      </c>
      <c r="S56" s="7">
        <f t="shared" si="11"/>
        <v>62.6</v>
      </c>
      <c r="T56" s="7">
        <v>29.75</v>
      </c>
      <c r="U56" s="7">
        <v>1</v>
      </c>
      <c r="V56" s="7">
        <v>28</v>
      </c>
      <c r="W56" s="7">
        <f t="shared" si="3"/>
        <v>1.4471580313422192</v>
      </c>
      <c r="X56" s="7" t="s">
        <v>1737</v>
      </c>
      <c r="Y56" s="7" t="s">
        <v>1741</v>
      </c>
      <c r="Z56" s="7">
        <v>4</v>
      </c>
      <c r="AA56" s="7">
        <v>17</v>
      </c>
      <c r="AB56" s="7">
        <v>8.3000000000000004E-2</v>
      </c>
      <c r="AC56" s="7">
        <v>1.4E-2</v>
      </c>
      <c r="AD56" s="7">
        <v>6</v>
      </c>
      <c r="AE56" s="7">
        <v>0.51600000000000001</v>
      </c>
      <c r="AF56" s="7">
        <v>2.1000000000000001E-2</v>
      </c>
      <c r="AG56" s="7">
        <v>6</v>
      </c>
      <c r="AH56" s="7">
        <v>3.2000000000000001E-2</v>
      </c>
      <c r="AI56" s="7">
        <v>3.0000000000000001E-3</v>
      </c>
      <c r="AJ56" s="7">
        <v>6</v>
      </c>
      <c r="AK56" s="7">
        <v>0.39</v>
      </c>
      <c r="AL56" s="7">
        <v>4.4999999999999998E-2</v>
      </c>
      <c r="AM56" s="7">
        <v>6</v>
      </c>
      <c r="AN56" s="7">
        <f t="shared" si="4"/>
        <v>4.0779293692972649</v>
      </c>
      <c r="AO56" s="7">
        <f t="shared" si="5"/>
        <v>3.2878553589397748</v>
      </c>
      <c r="AP56" s="7">
        <f t="shared" si="6"/>
        <v>2.2878553589397748</v>
      </c>
      <c r="AQ56" s="7">
        <f t="shared" si="7"/>
        <v>0.35961834890037003</v>
      </c>
      <c r="AR56" s="7">
        <f t="shared" si="8"/>
        <v>-0.35961834890037003</v>
      </c>
      <c r="AS56" s="7">
        <f t="shared" si="9"/>
        <v>6</v>
      </c>
      <c r="AT56" s="184">
        <f t="shared" si="12"/>
        <v>2.6666666666666668E-2</v>
      </c>
      <c r="AU56" s="7"/>
      <c r="AV56" s="7" t="s">
        <v>1739</v>
      </c>
      <c r="AW56" s="7"/>
      <c r="AX56" s="7" t="s">
        <v>1742</v>
      </c>
      <c r="AY56" s="7" t="s">
        <v>1509</v>
      </c>
      <c r="BD56" s="188"/>
    </row>
    <row r="57" spans="1:56">
      <c r="A57" s="7" t="s">
        <v>33</v>
      </c>
      <c r="B57" s="7" t="s">
        <v>34</v>
      </c>
      <c r="C57" s="7" t="s">
        <v>66</v>
      </c>
      <c r="D57" s="7" t="s">
        <v>67</v>
      </c>
      <c r="E57" s="7" t="s">
        <v>1743</v>
      </c>
      <c r="F57" s="7" t="s">
        <v>972</v>
      </c>
      <c r="G57" s="7" t="s">
        <v>1744</v>
      </c>
      <c r="H57" s="7" t="s">
        <v>4180</v>
      </c>
      <c r="I57" s="100">
        <f>1/1000</f>
        <v>1E-3</v>
      </c>
      <c r="J57" s="100">
        <f t="shared" si="0"/>
        <v>1</v>
      </c>
      <c r="K57" s="100">
        <f t="shared" si="1"/>
        <v>0</v>
      </c>
      <c r="L57" s="73" t="s">
        <v>1502</v>
      </c>
      <c r="M57" s="7" t="s">
        <v>1745</v>
      </c>
      <c r="N57" s="7" t="s">
        <v>1538</v>
      </c>
      <c r="O57" s="7" t="s">
        <v>1494</v>
      </c>
      <c r="P57" s="108" t="s">
        <v>1492</v>
      </c>
      <c r="Q57" s="7" t="s">
        <v>1746</v>
      </c>
      <c r="R57" s="7">
        <v>34</v>
      </c>
      <c r="S57" s="7">
        <v>34</v>
      </c>
      <c r="T57" s="7"/>
      <c r="U57" s="7">
        <v>1</v>
      </c>
      <c r="V57" s="7">
        <v>30</v>
      </c>
      <c r="W57" s="7">
        <f t="shared" si="3"/>
        <v>1.4771212547196624</v>
      </c>
      <c r="X57" s="7" t="s">
        <v>1747</v>
      </c>
      <c r="Y57" s="7"/>
      <c r="Z57" s="7">
        <v>10</v>
      </c>
      <c r="AA57" s="7">
        <v>35</v>
      </c>
      <c r="AB57" s="7">
        <v>0.3</v>
      </c>
      <c r="AC57" s="7">
        <v>0.04</v>
      </c>
      <c r="AD57" s="7">
        <v>8</v>
      </c>
      <c r="AE57" s="7">
        <v>0.68</v>
      </c>
      <c r="AF57" s="7">
        <v>0.1</v>
      </c>
      <c r="AG57" s="7">
        <v>8</v>
      </c>
      <c r="AH57" s="7">
        <v>0.06</v>
      </c>
      <c r="AI57" s="7">
        <v>0.01</v>
      </c>
      <c r="AJ57" s="7">
        <v>8</v>
      </c>
      <c r="AK57" s="7">
        <v>0.56999999999999995</v>
      </c>
      <c r="AL57" s="7">
        <v>0.06</v>
      </c>
      <c r="AM57" s="7">
        <v>8</v>
      </c>
      <c r="AN57" s="7">
        <f t="shared" si="4"/>
        <v>1.3872510531752229</v>
      </c>
      <c r="AO57" s="7">
        <f t="shared" si="5"/>
        <v>1.2927109882050749</v>
      </c>
      <c r="AP57" s="7">
        <f t="shared" si="6"/>
        <v>0.29271098820507491</v>
      </c>
      <c r="AQ57" s="7">
        <f t="shared" si="7"/>
        <v>-0.53207980551137535</v>
      </c>
      <c r="AR57" s="7">
        <f t="shared" si="8"/>
        <v>0.53207980551137535</v>
      </c>
      <c r="AS57" s="7">
        <f t="shared" si="9"/>
        <v>8</v>
      </c>
      <c r="AT57" s="184">
        <f t="shared" si="12"/>
        <v>6.6666666666666666E-2</v>
      </c>
      <c r="AU57" s="7"/>
      <c r="AV57" s="7" t="s">
        <v>1748</v>
      </c>
      <c r="AW57" s="7"/>
      <c r="AX57" s="7" t="s">
        <v>1749</v>
      </c>
      <c r="AY57" s="7" t="s">
        <v>1509</v>
      </c>
      <c r="BD57" s="188"/>
    </row>
    <row r="58" spans="1:56">
      <c r="A58" s="7" t="s">
        <v>33</v>
      </c>
      <c r="B58" s="7" t="s">
        <v>34</v>
      </c>
      <c r="C58" s="7" t="s">
        <v>66</v>
      </c>
      <c r="D58" s="7" t="s">
        <v>1750</v>
      </c>
      <c r="E58" s="7" t="s">
        <v>1751</v>
      </c>
      <c r="F58" s="7" t="s">
        <v>1752</v>
      </c>
      <c r="G58" s="7" t="s">
        <v>1753</v>
      </c>
      <c r="H58" s="7" t="s">
        <v>4180</v>
      </c>
      <c r="I58" s="100">
        <f>1/1000</f>
        <v>1E-3</v>
      </c>
      <c r="J58" s="100">
        <f t="shared" si="0"/>
        <v>1</v>
      </c>
      <c r="K58" s="100">
        <f t="shared" si="1"/>
        <v>0</v>
      </c>
      <c r="L58" s="73" t="s">
        <v>1502</v>
      </c>
      <c r="M58" s="7" t="s">
        <v>1745</v>
      </c>
      <c r="N58" s="7" t="s">
        <v>1504</v>
      </c>
      <c r="O58" s="7" t="s">
        <v>1494</v>
      </c>
      <c r="P58" s="108" t="s">
        <v>1492</v>
      </c>
      <c r="Q58" s="7" t="s">
        <v>1754</v>
      </c>
      <c r="R58" s="7">
        <v>41.5</v>
      </c>
      <c r="S58" s="7">
        <v>41.5</v>
      </c>
      <c r="T58" s="7"/>
      <c r="U58" s="7">
        <v>1</v>
      </c>
      <c r="V58" s="7">
        <v>30</v>
      </c>
      <c r="W58" s="7">
        <f t="shared" si="3"/>
        <v>1.4771212547196624</v>
      </c>
      <c r="X58" s="7" t="s">
        <v>1747</v>
      </c>
      <c r="Y58" s="7"/>
      <c r="Z58" s="7">
        <v>10</v>
      </c>
      <c r="AA58" s="7">
        <v>35</v>
      </c>
      <c r="AB58" s="7">
        <v>0.31</v>
      </c>
      <c r="AC58" s="7">
        <v>0.02</v>
      </c>
      <c r="AD58" s="7">
        <v>8</v>
      </c>
      <c r="AE58" s="7">
        <v>0.7</v>
      </c>
      <c r="AF58" s="7">
        <v>0.05</v>
      </c>
      <c r="AG58" s="7">
        <v>8</v>
      </c>
      <c r="AH58" s="7">
        <v>0.23</v>
      </c>
      <c r="AI58" s="7">
        <v>0.03</v>
      </c>
      <c r="AJ58" s="7">
        <v>8</v>
      </c>
      <c r="AK58" s="7">
        <v>0.56000000000000005</v>
      </c>
      <c r="AL58" s="7">
        <v>0.04</v>
      </c>
      <c r="AM58" s="7">
        <v>8</v>
      </c>
      <c r="AN58" s="7">
        <f t="shared" si="4"/>
        <v>1.3851427667678844</v>
      </c>
      <c r="AO58" s="7">
        <f t="shared" si="5"/>
        <v>1.2668655697670956</v>
      </c>
      <c r="AP58" s="7">
        <f t="shared" si="6"/>
        <v>0.26686556976709563</v>
      </c>
      <c r="AQ58" s="7">
        <f t="shared" si="7"/>
        <v>-0.57208310505960169</v>
      </c>
      <c r="AR58" s="7">
        <f t="shared" si="8"/>
        <v>0.57208310505960169</v>
      </c>
      <c r="AS58" s="7">
        <f t="shared" si="9"/>
        <v>8</v>
      </c>
      <c r="AT58" s="184">
        <f t="shared" si="12"/>
        <v>3.6666666666666674E-2</v>
      </c>
      <c r="AU58" s="7"/>
      <c r="AV58" s="7" t="s">
        <v>1748</v>
      </c>
      <c r="AW58" s="7"/>
      <c r="AX58" s="7" t="s">
        <v>1749</v>
      </c>
      <c r="AY58" s="7" t="s">
        <v>1509</v>
      </c>
      <c r="BD58" s="188"/>
    </row>
    <row r="59" spans="1:56">
      <c r="A59" s="7" t="s">
        <v>33</v>
      </c>
      <c r="B59" s="7" t="s">
        <v>43</v>
      </c>
      <c r="C59" s="7" t="s">
        <v>1532</v>
      </c>
      <c r="D59" s="7" t="s">
        <v>1533</v>
      </c>
      <c r="E59" s="7" t="s">
        <v>1534</v>
      </c>
      <c r="F59" s="7" t="s">
        <v>1535</v>
      </c>
      <c r="G59" s="7" t="s">
        <v>1536</v>
      </c>
      <c r="H59" s="7" t="s">
        <v>4184</v>
      </c>
      <c r="I59" s="100">
        <f>AVERAGE(719,727)/1000</f>
        <v>0.72299999999999998</v>
      </c>
      <c r="J59" s="100">
        <f t="shared" si="0"/>
        <v>723</v>
      </c>
      <c r="K59" s="100">
        <f t="shared" si="1"/>
        <v>2.859138297294531</v>
      </c>
      <c r="L59" s="73" t="s">
        <v>1502</v>
      </c>
      <c r="M59" s="7" t="s">
        <v>1755</v>
      </c>
      <c r="N59" s="7" t="s">
        <v>1538</v>
      </c>
      <c r="O59" s="7" t="s">
        <v>1494</v>
      </c>
      <c r="P59" s="108" t="s">
        <v>1539</v>
      </c>
      <c r="Q59" s="7" t="s">
        <v>1540</v>
      </c>
      <c r="R59" s="7">
        <v>12.45</v>
      </c>
      <c r="S59" s="7">
        <f t="shared" ref="S59:S122" si="13">ABS(R59)</f>
        <v>12.45</v>
      </c>
      <c r="T59" s="7">
        <v>130.85</v>
      </c>
      <c r="U59" s="7">
        <v>1</v>
      </c>
      <c r="V59" s="7">
        <v>30</v>
      </c>
      <c r="W59" s="7">
        <f t="shared" si="3"/>
        <v>1.4771212547196624</v>
      </c>
      <c r="X59" s="7" t="s">
        <v>1756</v>
      </c>
      <c r="Y59" s="7" t="s">
        <v>1757</v>
      </c>
      <c r="Z59" s="7">
        <v>20</v>
      </c>
      <c r="AA59" s="7">
        <v>30</v>
      </c>
      <c r="AB59" s="108">
        <v>0.3</v>
      </c>
      <c r="AC59" s="108">
        <v>0.08</v>
      </c>
      <c r="AD59" s="7">
        <v>8</v>
      </c>
      <c r="AE59" s="7">
        <v>0.5</v>
      </c>
      <c r="AF59" s="7">
        <v>0.02</v>
      </c>
      <c r="AG59" s="7">
        <v>8</v>
      </c>
      <c r="AH59" s="7">
        <v>0.26</v>
      </c>
      <c r="AI59" s="7">
        <v>0.05</v>
      </c>
      <c r="AJ59" s="7">
        <v>8</v>
      </c>
      <c r="AK59" s="108">
        <v>0.75</v>
      </c>
      <c r="AL59" s="108">
        <v>0.1</v>
      </c>
      <c r="AM59" s="108">
        <v>8</v>
      </c>
      <c r="AN59" s="7">
        <f t="shared" si="4"/>
        <v>1.6666666666666667</v>
      </c>
      <c r="AO59" s="7">
        <f t="shared" si="5"/>
        <v>2.5</v>
      </c>
      <c r="AP59" s="7">
        <f t="shared" si="6"/>
        <v>1.5</v>
      </c>
      <c r="AQ59" s="7">
        <f t="shared" si="7"/>
        <v>0.17638069224327035</v>
      </c>
      <c r="AR59" s="7">
        <f t="shared" si="8"/>
        <v>-0.17638069224327035</v>
      </c>
      <c r="AS59" s="7">
        <f t="shared" si="9"/>
        <v>8</v>
      </c>
      <c r="AT59" s="184">
        <f t="shared" si="12"/>
        <v>6.6666666666666666E-2</v>
      </c>
      <c r="AU59" s="108"/>
      <c r="AV59" s="7"/>
      <c r="AW59" s="7"/>
      <c r="AX59" s="7" t="s">
        <v>1758</v>
      </c>
      <c r="AY59" s="7" t="s">
        <v>1509</v>
      </c>
      <c r="BD59" s="188"/>
    </row>
    <row r="60" spans="1:56">
      <c r="A60" s="7" t="s">
        <v>33</v>
      </c>
      <c r="B60" s="7" t="s">
        <v>34</v>
      </c>
      <c r="C60" s="7" t="s">
        <v>282</v>
      </c>
      <c r="D60" s="7" t="s">
        <v>1541</v>
      </c>
      <c r="E60" s="7" t="s">
        <v>1542</v>
      </c>
      <c r="F60" s="7" t="s">
        <v>1543</v>
      </c>
      <c r="G60" s="7" t="s">
        <v>1544</v>
      </c>
      <c r="H60" s="7" t="s">
        <v>4180</v>
      </c>
      <c r="I60" s="100">
        <f>90/1000</f>
        <v>0.09</v>
      </c>
      <c r="J60" s="100">
        <f t="shared" si="0"/>
        <v>90</v>
      </c>
      <c r="K60" s="100">
        <f t="shared" si="1"/>
        <v>1.954242509439325</v>
      </c>
      <c r="L60" s="73" t="s">
        <v>1517</v>
      </c>
      <c r="M60" s="7" t="s">
        <v>1759</v>
      </c>
      <c r="N60" s="7" t="s">
        <v>1504</v>
      </c>
      <c r="O60" s="7" t="s">
        <v>1505</v>
      </c>
      <c r="P60" s="108" t="s">
        <v>1492</v>
      </c>
      <c r="Q60" s="7" t="s">
        <v>1546</v>
      </c>
      <c r="R60" s="7">
        <v>77.849999999999994</v>
      </c>
      <c r="S60" s="7">
        <f t="shared" si="13"/>
        <v>77.849999999999994</v>
      </c>
      <c r="T60" s="7">
        <v>166.75</v>
      </c>
      <c r="U60" s="7">
        <v>1</v>
      </c>
      <c r="V60" s="7">
        <v>42</v>
      </c>
      <c r="W60" s="7">
        <f t="shared" si="3"/>
        <v>1.6232492903979006</v>
      </c>
      <c r="X60" s="7" t="s">
        <v>1756</v>
      </c>
      <c r="Y60" s="7" t="s">
        <v>1711</v>
      </c>
      <c r="Z60" s="7">
        <v>-1</v>
      </c>
      <c r="AA60" s="7">
        <v>4</v>
      </c>
      <c r="AB60" s="108">
        <v>3.17</v>
      </c>
      <c r="AC60" s="108">
        <v>1.03</v>
      </c>
      <c r="AD60" s="7">
        <v>10</v>
      </c>
      <c r="AE60" s="7">
        <v>4.4800000000000004</v>
      </c>
      <c r="AF60" s="7">
        <v>1.1399999999999999</v>
      </c>
      <c r="AG60" s="7">
        <v>10</v>
      </c>
      <c r="AH60" s="7">
        <v>1.83</v>
      </c>
      <c r="AI60" s="7">
        <v>0.56999999999999995</v>
      </c>
      <c r="AJ60" s="7">
        <v>10</v>
      </c>
      <c r="AK60" s="108">
        <v>4.03</v>
      </c>
      <c r="AL60" s="108">
        <v>0.87</v>
      </c>
      <c r="AM60" s="108">
        <v>10</v>
      </c>
      <c r="AN60" s="7">
        <f t="shared" si="4"/>
        <v>1.9972733333996759</v>
      </c>
      <c r="AO60" s="7">
        <f t="shared" si="5"/>
        <v>1.6161868463214881</v>
      </c>
      <c r="AP60" s="7">
        <f t="shared" si="6"/>
        <v>0.61618684632148812</v>
      </c>
      <c r="AQ60" s="7">
        <f t="shared" si="7"/>
        <v>-0.2095833383296736</v>
      </c>
      <c r="AR60" s="7">
        <f t="shared" si="8"/>
        <v>0.2095833383296736</v>
      </c>
      <c r="AS60" s="7">
        <f t="shared" si="9"/>
        <v>10</v>
      </c>
      <c r="AT60" s="184">
        <f t="shared" si="12"/>
        <v>1.0133333333333334</v>
      </c>
      <c r="AU60" s="108"/>
      <c r="AV60" s="7"/>
      <c r="AW60" s="7"/>
      <c r="AX60" s="7" t="s">
        <v>1760</v>
      </c>
      <c r="AY60" s="7" t="s">
        <v>1509</v>
      </c>
      <c r="BD60" s="188"/>
    </row>
    <row r="61" spans="1:56">
      <c r="A61" s="7" t="s">
        <v>33</v>
      </c>
      <c r="B61" s="7" t="s">
        <v>34</v>
      </c>
      <c r="C61" s="7" t="s">
        <v>1496</v>
      </c>
      <c r="D61" s="7" t="s">
        <v>1497</v>
      </c>
      <c r="E61" s="7" t="s">
        <v>1498</v>
      </c>
      <c r="F61" s="7" t="s">
        <v>1499</v>
      </c>
      <c r="G61" s="7" t="s">
        <v>1500</v>
      </c>
      <c r="H61" s="7" t="s">
        <v>4180</v>
      </c>
      <c r="I61" s="100">
        <f>400/1000</f>
        <v>0.4</v>
      </c>
      <c r="J61" s="100">
        <f t="shared" si="0"/>
        <v>400</v>
      </c>
      <c r="K61" s="100">
        <f t="shared" si="1"/>
        <v>2.6020599913279625</v>
      </c>
      <c r="L61" s="73" t="s">
        <v>1502</v>
      </c>
      <c r="M61" s="7" t="s">
        <v>1526</v>
      </c>
      <c r="N61" s="7" t="s">
        <v>1504</v>
      </c>
      <c r="O61" s="7" t="s">
        <v>1505</v>
      </c>
      <c r="P61" s="108" t="s">
        <v>1492</v>
      </c>
      <c r="Q61" s="7" t="s">
        <v>1506</v>
      </c>
      <c r="R61" s="7">
        <v>56.340400000000002</v>
      </c>
      <c r="S61" s="7">
        <f t="shared" si="13"/>
        <v>56.340400000000002</v>
      </c>
      <c r="T61" s="7">
        <v>-2.7955000000000001</v>
      </c>
      <c r="U61" s="7">
        <v>1</v>
      </c>
      <c r="V61" s="7">
        <v>50</v>
      </c>
      <c r="W61" s="7">
        <f t="shared" si="3"/>
        <v>1.6989700043360187</v>
      </c>
      <c r="X61" s="7" t="s">
        <v>1761</v>
      </c>
      <c r="Y61" s="7" t="s">
        <v>1762</v>
      </c>
      <c r="Z61" s="7">
        <v>5</v>
      </c>
      <c r="AA61" s="7">
        <v>15</v>
      </c>
      <c r="AB61" s="7">
        <v>121.1</v>
      </c>
      <c r="AC61" s="7">
        <v>33.299999999999997</v>
      </c>
      <c r="AD61" s="7">
        <v>8</v>
      </c>
      <c r="AE61" s="7">
        <v>33.619999999999997</v>
      </c>
      <c r="AF61" s="7">
        <v>8.48</v>
      </c>
      <c r="AG61" s="7">
        <v>5</v>
      </c>
      <c r="AH61" s="7">
        <v>55.3</v>
      </c>
      <c r="AI61" s="7">
        <v>20</v>
      </c>
      <c r="AJ61" s="7">
        <v>5</v>
      </c>
      <c r="AK61" s="7">
        <v>206.3</v>
      </c>
      <c r="AL61" s="7">
        <v>17.5</v>
      </c>
      <c r="AM61" s="7">
        <v>5</v>
      </c>
      <c r="AN61" s="7">
        <f t="shared" si="4"/>
        <v>0.27762180016515275</v>
      </c>
      <c r="AO61" s="7">
        <f t="shared" si="5"/>
        <v>1.7035507844756401</v>
      </c>
      <c r="AP61" s="7">
        <f t="shared" si="6"/>
        <v>0.70355078447564012</v>
      </c>
      <c r="AQ61" s="7">
        <f t="shared" si="7"/>
        <v>-0.15208769719957382</v>
      </c>
      <c r="AR61" s="7">
        <f t="shared" si="8"/>
        <v>0.15208769719957382</v>
      </c>
      <c r="AS61" s="7">
        <f t="shared" si="9"/>
        <v>6</v>
      </c>
      <c r="AT61" s="184">
        <f t="shared" si="12"/>
        <v>19.760000000000002</v>
      </c>
      <c r="AU61" s="7"/>
      <c r="AV61" s="7" t="s">
        <v>1762</v>
      </c>
      <c r="AW61" s="7"/>
      <c r="AX61" s="7" t="s">
        <v>1763</v>
      </c>
      <c r="AY61" s="7" t="s">
        <v>1509</v>
      </c>
      <c r="BD61" s="188"/>
    </row>
    <row r="62" spans="1:56">
      <c r="A62" s="7" t="s">
        <v>33</v>
      </c>
      <c r="B62" s="7" t="s">
        <v>34</v>
      </c>
      <c r="C62" s="7" t="s">
        <v>66</v>
      </c>
      <c r="D62" s="7" t="s">
        <v>67</v>
      </c>
      <c r="E62" s="7" t="s">
        <v>1764</v>
      </c>
      <c r="F62" s="7" t="s">
        <v>1765</v>
      </c>
      <c r="G62" s="7" t="s">
        <v>1766</v>
      </c>
      <c r="H62" s="7" t="s">
        <v>4180</v>
      </c>
      <c r="I62" s="100">
        <f>AVERAGE(5.14, 2.91)/1000</f>
        <v>4.0249999999999999E-3</v>
      </c>
      <c r="J62" s="100">
        <f t="shared" si="0"/>
        <v>4.0250000000000004</v>
      </c>
      <c r="K62" s="100">
        <f t="shared" si="1"/>
        <v>0.60476588470388737</v>
      </c>
      <c r="L62" s="73" t="s">
        <v>1502</v>
      </c>
      <c r="M62" s="7" t="s">
        <v>1767</v>
      </c>
      <c r="N62" s="7" t="s">
        <v>1538</v>
      </c>
      <c r="O62" s="7" t="s">
        <v>1494</v>
      </c>
      <c r="P62" s="108" t="s">
        <v>1492</v>
      </c>
      <c r="Q62" s="7" t="s">
        <v>1768</v>
      </c>
      <c r="R62" s="7">
        <v>41</v>
      </c>
      <c r="S62" s="7">
        <f t="shared" si="13"/>
        <v>41</v>
      </c>
      <c r="T62" s="7">
        <v>-77.5</v>
      </c>
      <c r="U62" s="7">
        <v>1</v>
      </c>
      <c r="V62" s="7">
        <v>14</v>
      </c>
      <c r="W62" s="7">
        <f t="shared" si="3"/>
        <v>1.146128035678238</v>
      </c>
      <c r="X62" s="7" t="s">
        <v>1769</v>
      </c>
      <c r="Y62" s="7" t="s">
        <v>1507</v>
      </c>
      <c r="Z62" s="7">
        <v>15</v>
      </c>
      <c r="AA62" s="7">
        <v>23</v>
      </c>
      <c r="AB62" s="7">
        <v>0.22800000000000001</v>
      </c>
      <c r="AC62" s="7">
        <v>1.2E-2</v>
      </c>
      <c r="AD62" s="7">
        <v>20</v>
      </c>
      <c r="AE62" s="7">
        <v>0.309</v>
      </c>
      <c r="AF62" s="7">
        <v>1.4999999999999999E-2</v>
      </c>
      <c r="AG62" s="7">
        <v>20</v>
      </c>
      <c r="AH62" s="7">
        <v>0.19500000000000001</v>
      </c>
      <c r="AI62" s="7">
        <v>1.2999999999999999E-2</v>
      </c>
      <c r="AJ62" s="7">
        <v>20</v>
      </c>
      <c r="AK62" s="7">
        <v>0.28199999999999997</v>
      </c>
      <c r="AL62" s="7">
        <v>0.02</v>
      </c>
      <c r="AM62" s="7">
        <v>20</v>
      </c>
      <c r="AN62" s="7">
        <f t="shared" si="4"/>
        <v>1.4622766345240645</v>
      </c>
      <c r="AO62" s="7">
        <f t="shared" si="5"/>
        <v>1.3043460479315405</v>
      </c>
      <c r="AP62" s="7">
        <f t="shared" si="6"/>
        <v>0.30434604793154052</v>
      </c>
      <c r="AQ62" s="7">
        <f t="shared" si="7"/>
        <v>-0.5152076966690371</v>
      </c>
      <c r="AR62" s="7">
        <f t="shared" si="8"/>
        <v>0.5152076966690371</v>
      </c>
      <c r="AS62" s="7">
        <f t="shared" si="9"/>
        <v>20</v>
      </c>
      <c r="AT62" s="184">
        <f t="shared" si="12"/>
        <v>1.5666666666666666E-2</v>
      </c>
      <c r="AU62" s="7"/>
      <c r="AV62" s="7" t="s">
        <v>1770</v>
      </c>
      <c r="AW62" s="7"/>
      <c r="AX62" s="107" t="s">
        <v>1767</v>
      </c>
      <c r="AY62" s="7" t="s">
        <v>1509</v>
      </c>
      <c r="BD62" s="188"/>
    </row>
    <row r="63" spans="1:56">
      <c r="A63" s="7" t="s">
        <v>33</v>
      </c>
      <c r="B63" s="7" t="s">
        <v>34</v>
      </c>
      <c r="C63" s="7" t="s">
        <v>66</v>
      </c>
      <c r="D63" s="7" t="s">
        <v>67</v>
      </c>
      <c r="E63" s="7" t="s">
        <v>1764</v>
      </c>
      <c r="F63" s="7" t="s">
        <v>1765</v>
      </c>
      <c r="G63" s="7" t="s">
        <v>1766</v>
      </c>
      <c r="H63" s="7" t="s">
        <v>4180</v>
      </c>
      <c r="I63" s="100">
        <f>AVERAGE(5.14, 2.91)/1000</f>
        <v>4.0249999999999999E-3</v>
      </c>
      <c r="J63" s="100">
        <f t="shared" si="0"/>
        <v>4.0250000000000004</v>
      </c>
      <c r="K63" s="100">
        <f t="shared" si="1"/>
        <v>0.60476588470388737</v>
      </c>
      <c r="L63" s="73" t="s">
        <v>1502</v>
      </c>
      <c r="M63" s="7" t="s">
        <v>1767</v>
      </c>
      <c r="N63" s="7" t="s">
        <v>1538</v>
      </c>
      <c r="O63" s="7" t="s">
        <v>1494</v>
      </c>
      <c r="P63" s="108" t="s">
        <v>1492</v>
      </c>
      <c r="Q63" s="7" t="s">
        <v>1768</v>
      </c>
      <c r="R63" s="7">
        <v>41</v>
      </c>
      <c r="S63" s="7">
        <f t="shared" si="13"/>
        <v>41</v>
      </c>
      <c r="T63" s="7">
        <v>-77.5</v>
      </c>
      <c r="U63" s="7">
        <v>1</v>
      </c>
      <c r="V63" s="7">
        <v>14</v>
      </c>
      <c r="W63" s="7">
        <f t="shared" si="3"/>
        <v>1.146128035678238</v>
      </c>
      <c r="X63" s="7" t="s">
        <v>1769</v>
      </c>
      <c r="Y63" s="7" t="s">
        <v>1507</v>
      </c>
      <c r="Z63" s="7">
        <v>7</v>
      </c>
      <c r="AA63" s="7">
        <v>23</v>
      </c>
      <c r="AB63" s="7">
        <v>0.158</v>
      </c>
      <c r="AC63" s="7">
        <v>1.2999999999999999E-2</v>
      </c>
      <c r="AD63" s="7">
        <v>17</v>
      </c>
      <c r="AE63" s="7">
        <v>0.30499999999999999</v>
      </c>
      <c r="AF63" s="7">
        <v>4.4999999999999998E-2</v>
      </c>
      <c r="AG63" s="7">
        <v>20</v>
      </c>
      <c r="AH63" s="7">
        <v>0.20399999999999999</v>
      </c>
      <c r="AI63" s="7">
        <v>0.03</v>
      </c>
      <c r="AJ63" s="7">
        <v>20</v>
      </c>
      <c r="AK63" s="7">
        <v>0.28199999999999997</v>
      </c>
      <c r="AL63" s="7">
        <v>0.02</v>
      </c>
      <c r="AM63" s="7">
        <v>20</v>
      </c>
      <c r="AN63" s="7">
        <f t="shared" si="4"/>
        <v>1.508435415137332</v>
      </c>
      <c r="AO63" s="7">
        <f t="shared" si="5"/>
        <v>1.436299513437409</v>
      </c>
      <c r="AP63" s="7">
        <f t="shared" si="6"/>
        <v>0.43629951343740903</v>
      </c>
      <c r="AQ63" s="7">
        <f t="shared" si="7"/>
        <v>-0.35922100587390798</v>
      </c>
      <c r="AR63" s="7">
        <f t="shared" si="8"/>
        <v>0.35922100587390798</v>
      </c>
      <c r="AS63" s="7">
        <f t="shared" si="9"/>
        <v>19</v>
      </c>
      <c r="AT63" s="184">
        <f t="shared" si="12"/>
        <v>2.5999999999999999E-2</v>
      </c>
      <c r="AU63" s="7"/>
      <c r="AV63" s="7" t="s">
        <v>1770</v>
      </c>
      <c r="AW63" s="7"/>
      <c r="AX63" s="107" t="s">
        <v>1767</v>
      </c>
      <c r="AY63" s="7" t="s">
        <v>1509</v>
      </c>
      <c r="BD63" s="188"/>
    </row>
    <row r="64" spans="1:56">
      <c r="A64" s="7" t="s">
        <v>33</v>
      </c>
      <c r="B64" s="7" t="s">
        <v>34</v>
      </c>
      <c r="C64" s="7" t="s">
        <v>66</v>
      </c>
      <c r="D64" s="7" t="s">
        <v>67</v>
      </c>
      <c r="E64" s="7" t="s">
        <v>1764</v>
      </c>
      <c r="F64" s="7" t="s">
        <v>1765</v>
      </c>
      <c r="G64" s="7" t="s">
        <v>1766</v>
      </c>
      <c r="H64" s="7" t="s">
        <v>4180</v>
      </c>
      <c r="I64" s="100">
        <f>AVERAGE(5.14, 2.91)/1000</f>
        <v>4.0249999999999999E-3</v>
      </c>
      <c r="J64" s="100">
        <f t="shared" si="0"/>
        <v>4.0250000000000004</v>
      </c>
      <c r="K64" s="100">
        <f t="shared" si="1"/>
        <v>0.60476588470388737</v>
      </c>
      <c r="L64" s="73" t="s">
        <v>1502</v>
      </c>
      <c r="M64" s="7" t="s">
        <v>1767</v>
      </c>
      <c r="N64" s="7" t="s">
        <v>1538</v>
      </c>
      <c r="O64" s="7" t="s">
        <v>1494</v>
      </c>
      <c r="P64" s="108" t="s">
        <v>1492</v>
      </c>
      <c r="Q64" s="7" t="s">
        <v>1768</v>
      </c>
      <c r="R64" s="7">
        <v>41</v>
      </c>
      <c r="S64" s="7">
        <f t="shared" si="13"/>
        <v>41</v>
      </c>
      <c r="T64" s="7">
        <v>-77.5</v>
      </c>
      <c r="U64" s="7">
        <v>1</v>
      </c>
      <c r="V64" s="7">
        <v>14</v>
      </c>
      <c r="W64" s="7">
        <f t="shared" si="3"/>
        <v>1.146128035678238</v>
      </c>
      <c r="X64" s="7" t="s">
        <v>1769</v>
      </c>
      <c r="Y64" s="7" t="s">
        <v>1507</v>
      </c>
      <c r="Z64" s="7">
        <v>7</v>
      </c>
      <c r="AA64" s="7">
        <v>15</v>
      </c>
      <c r="AB64" s="7">
        <v>0.158</v>
      </c>
      <c r="AC64" s="7">
        <v>1.2999999999999999E-2</v>
      </c>
      <c r="AD64" s="7">
        <v>17</v>
      </c>
      <c r="AE64" s="7">
        <v>0.23899999999999999</v>
      </c>
      <c r="AF64" s="7">
        <v>1.2E-2</v>
      </c>
      <c r="AG64" s="7">
        <v>20</v>
      </c>
      <c r="AH64" s="7">
        <v>0.183</v>
      </c>
      <c r="AI64" s="7">
        <v>1.7999999999999999E-2</v>
      </c>
      <c r="AJ64" s="7">
        <v>20</v>
      </c>
      <c r="AK64" s="7">
        <v>0.22800000000000001</v>
      </c>
      <c r="AL64" s="7">
        <v>1.2E-2</v>
      </c>
      <c r="AM64" s="7">
        <v>20</v>
      </c>
      <c r="AN64" s="7">
        <f t="shared" si="4"/>
        <v>1.6775521018907149</v>
      </c>
      <c r="AO64" s="7">
        <f t="shared" si="5"/>
        <v>1.5816019802199104</v>
      </c>
      <c r="AP64" s="7">
        <f t="shared" si="6"/>
        <v>0.58160198021991039</v>
      </c>
      <c r="AQ64" s="7">
        <f t="shared" si="7"/>
        <v>-0.23462804357186248</v>
      </c>
      <c r="AR64" s="7">
        <f t="shared" si="8"/>
        <v>0.23462804357186248</v>
      </c>
      <c r="AS64" s="7">
        <f t="shared" si="9"/>
        <v>19</v>
      </c>
      <c r="AT64" s="184">
        <f t="shared" si="12"/>
        <v>1.2333333333333335E-2</v>
      </c>
      <c r="AU64" s="7"/>
      <c r="AV64" s="7" t="s">
        <v>1770</v>
      </c>
      <c r="AW64" s="7"/>
      <c r="AX64" s="107" t="s">
        <v>1767</v>
      </c>
      <c r="AY64" s="7" t="s">
        <v>1509</v>
      </c>
      <c r="BD64" s="188"/>
    </row>
    <row r="65" spans="1:56">
      <c r="A65" s="7" t="s">
        <v>33</v>
      </c>
      <c r="B65" s="7" t="s">
        <v>34</v>
      </c>
      <c r="C65" s="7" t="s">
        <v>1496</v>
      </c>
      <c r="D65" s="7" t="s">
        <v>1497</v>
      </c>
      <c r="E65" s="7" t="s">
        <v>1498</v>
      </c>
      <c r="F65" s="7" t="s">
        <v>1499</v>
      </c>
      <c r="G65" s="7" t="s">
        <v>1500</v>
      </c>
      <c r="H65" s="7" t="s">
        <v>4180</v>
      </c>
      <c r="I65" s="100">
        <f>400/1000</f>
        <v>0.4</v>
      </c>
      <c r="J65" s="100">
        <f t="shared" si="0"/>
        <v>400</v>
      </c>
      <c r="K65" s="100">
        <f t="shared" si="1"/>
        <v>2.6020599913279625</v>
      </c>
      <c r="L65" s="73" t="s">
        <v>1502</v>
      </c>
      <c r="M65" s="7" t="s">
        <v>1526</v>
      </c>
      <c r="N65" s="7" t="s">
        <v>1504</v>
      </c>
      <c r="O65" s="7" t="s">
        <v>1505</v>
      </c>
      <c r="P65" s="108" t="s">
        <v>1492</v>
      </c>
      <c r="Q65" s="7" t="s">
        <v>1506</v>
      </c>
      <c r="R65" s="7">
        <v>56.340400000000002</v>
      </c>
      <c r="S65" s="7">
        <f t="shared" si="13"/>
        <v>56.340400000000002</v>
      </c>
      <c r="T65" s="7">
        <v>-2.7955000000000001</v>
      </c>
      <c r="U65" s="7">
        <v>2</v>
      </c>
      <c r="V65" s="7">
        <v>50</v>
      </c>
      <c r="W65" s="7">
        <f t="shared" si="3"/>
        <v>1.6989700043360187</v>
      </c>
      <c r="X65" s="7" t="s">
        <v>1771</v>
      </c>
      <c r="Y65" s="7" t="s">
        <v>1772</v>
      </c>
      <c r="Z65" s="7">
        <v>5</v>
      </c>
      <c r="AA65" s="7">
        <v>15</v>
      </c>
      <c r="AB65" s="7">
        <v>82.8</v>
      </c>
      <c r="AC65" s="7">
        <v>10.5</v>
      </c>
      <c r="AD65" s="7">
        <v>12</v>
      </c>
      <c r="AE65" s="7">
        <v>24.1</v>
      </c>
      <c r="AF65" s="7">
        <v>4.3</v>
      </c>
      <c r="AG65" s="7">
        <v>12</v>
      </c>
      <c r="AH65" s="7">
        <v>114.5</v>
      </c>
      <c r="AI65" s="7">
        <v>9.1999999999999993</v>
      </c>
      <c r="AJ65" s="7">
        <v>7</v>
      </c>
      <c r="AK65" s="7">
        <v>128.6</v>
      </c>
      <c r="AL65" s="7">
        <v>21.2</v>
      </c>
      <c r="AM65" s="7">
        <v>8</v>
      </c>
      <c r="AN65" s="7">
        <f t="shared" si="4"/>
        <v>0.29106280193236717</v>
      </c>
      <c r="AO65" s="7">
        <f t="shared" si="5"/>
        <v>1.5531400966183575</v>
      </c>
      <c r="AP65" s="7">
        <f t="shared" si="6"/>
        <v>0.5531400966183575</v>
      </c>
      <c r="AQ65" s="7">
        <f t="shared" si="7"/>
        <v>-0.25638042390602939</v>
      </c>
      <c r="AR65" s="7">
        <f t="shared" si="8"/>
        <v>0.25638042390602939</v>
      </c>
      <c r="AS65" s="7">
        <f t="shared" si="9"/>
        <v>10.666666666666666</v>
      </c>
      <c r="AT65" s="184">
        <f t="shared" si="12"/>
        <v>12</v>
      </c>
      <c r="AU65" s="7"/>
      <c r="AV65" s="7" t="s">
        <v>1772</v>
      </c>
      <c r="AW65" s="7"/>
      <c r="AX65" s="7" t="s">
        <v>1763</v>
      </c>
      <c r="AY65" s="7" t="s">
        <v>1509</v>
      </c>
      <c r="BD65" s="188"/>
    </row>
    <row r="66" spans="1:56">
      <c r="A66" s="7" t="s">
        <v>33</v>
      </c>
      <c r="B66" s="7" t="s">
        <v>34</v>
      </c>
      <c r="C66" s="7" t="s">
        <v>1496</v>
      </c>
      <c r="D66" s="7" t="s">
        <v>1497</v>
      </c>
      <c r="E66" s="7" t="s">
        <v>1498</v>
      </c>
      <c r="F66" s="7" t="s">
        <v>1499</v>
      </c>
      <c r="G66" s="7" t="s">
        <v>1500</v>
      </c>
      <c r="H66" s="7" t="s">
        <v>4180</v>
      </c>
      <c r="I66" s="100">
        <f>400/1000</f>
        <v>0.4</v>
      </c>
      <c r="J66" s="100">
        <f t="shared" si="0"/>
        <v>400</v>
      </c>
      <c r="K66" s="100">
        <f t="shared" si="1"/>
        <v>2.6020599913279625</v>
      </c>
      <c r="L66" s="73" t="s">
        <v>1502</v>
      </c>
      <c r="M66" s="7" t="s">
        <v>1526</v>
      </c>
      <c r="N66" s="7" t="s">
        <v>1504</v>
      </c>
      <c r="O66" s="7" t="s">
        <v>1505</v>
      </c>
      <c r="P66" s="108" t="s">
        <v>1492</v>
      </c>
      <c r="Q66" s="7" t="s">
        <v>1506</v>
      </c>
      <c r="R66" s="7">
        <v>56.340400000000002</v>
      </c>
      <c r="S66" s="7">
        <f t="shared" si="13"/>
        <v>56.340400000000002</v>
      </c>
      <c r="T66" s="7">
        <v>-2.7955000000000001</v>
      </c>
      <c r="U66" s="7">
        <v>1</v>
      </c>
      <c r="V66" s="7">
        <v>50</v>
      </c>
      <c r="W66" s="7">
        <f t="shared" si="3"/>
        <v>1.6989700043360187</v>
      </c>
      <c r="X66" s="7" t="s">
        <v>1771</v>
      </c>
      <c r="Y66" s="7" t="s">
        <v>1772</v>
      </c>
      <c r="Z66" s="7">
        <v>5</v>
      </c>
      <c r="AA66" s="7">
        <v>15</v>
      </c>
      <c r="AB66" s="7">
        <v>72.3</v>
      </c>
      <c r="AC66" s="7">
        <v>13</v>
      </c>
      <c r="AD66" s="7">
        <v>12</v>
      </c>
      <c r="AE66" s="7">
        <v>26.2</v>
      </c>
      <c r="AF66" s="7">
        <v>10</v>
      </c>
      <c r="AG66" s="7">
        <v>11</v>
      </c>
      <c r="AH66" s="7">
        <v>80.599999999999994</v>
      </c>
      <c r="AI66" s="7">
        <v>11.2</v>
      </c>
      <c r="AJ66" s="7">
        <v>11</v>
      </c>
      <c r="AK66" s="7">
        <v>127.4</v>
      </c>
      <c r="AL66" s="7">
        <v>19</v>
      </c>
      <c r="AM66" s="7">
        <v>9</v>
      </c>
      <c r="AN66" s="7">
        <f t="shared" si="4"/>
        <v>0.36237897648686029</v>
      </c>
      <c r="AO66" s="7">
        <f t="shared" si="5"/>
        <v>1.7621023513139698</v>
      </c>
      <c r="AP66" s="7">
        <f t="shared" si="6"/>
        <v>0.76210235131396975</v>
      </c>
      <c r="AQ66" s="7">
        <f t="shared" si="7"/>
        <v>-0.11741720827085468</v>
      </c>
      <c r="AR66" s="7">
        <f t="shared" si="8"/>
        <v>0.11741720827085468</v>
      </c>
      <c r="AS66" s="7">
        <f t="shared" si="9"/>
        <v>10.666666666666666</v>
      </c>
      <c r="AT66" s="184">
        <f t="shared" si="12"/>
        <v>14</v>
      </c>
      <c r="AU66" s="7"/>
      <c r="AV66" s="7"/>
      <c r="AW66" s="7"/>
      <c r="AX66" s="7" t="s">
        <v>1763</v>
      </c>
      <c r="AY66" s="7" t="s">
        <v>1509</v>
      </c>
      <c r="BD66" s="188"/>
    </row>
    <row r="67" spans="1:56">
      <c r="A67" s="7" t="s">
        <v>33</v>
      </c>
      <c r="B67" s="7" t="s">
        <v>34</v>
      </c>
      <c r="C67" s="7" t="s">
        <v>1496</v>
      </c>
      <c r="D67" s="7" t="s">
        <v>1497</v>
      </c>
      <c r="E67" s="7" t="s">
        <v>1498</v>
      </c>
      <c r="F67" s="7" t="s">
        <v>1499</v>
      </c>
      <c r="G67" s="7" t="s">
        <v>1500</v>
      </c>
      <c r="H67" s="7" t="s">
        <v>4180</v>
      </c>
      <c r="I67" s="100">
        <f>400/1000</f>
        <v>0.4</v>
      </c>
      <c r="J67" s="100">
        <f t="shared" si="0"/>
        <v>400</v>
      </c>
      <c r="K67" s="100">
        <f t="shared" si="1"/>
        <v>2.6020599913279625</v>
      </c>
      <c r="L67" s="73" t="s">
        <v>1502</v>
      </c>
      <c r="M67" s="7" t="s">
        <v>1526</v>
      </c>
      <c r="N67" s="7" t="s">
        <v>1504</v>
      </c>
      <c r="O67" s="7" t="s">
        <v>1505</v>
      </c>
      <c r="P67" s="108" t="s">
        <v>1492</v>
      </c>
      <c r="Q67" s="7" t="s">
        <v>1506</v>
      </c>
      <c r="R67" s="7">
        <v>56.340400000000002</v>
      </c>
      <c r="S67" s="7">
        <f t="shared" si="13"/>
        <v>56.340400000000002</v>
      </c>
      <c r="T67" s="7">
        <v>-2.7955000000000001</v>
      </c>
      <c r="U67" s="7">
        <v>1</v>
      </c>
      <c r="V67" s="7">
        <v>50</v>
      </c>
      <c r="W67" s="7">
        <f t="shared" si="3"/>
        <v>1.6989700043360187</v>
      </c>
      <c r="X67" s="7" t="s">
        <v>1773</v>
      </c>
      <c r="Y67" s="7" t="s">
        <v>1772</v>
      </c>
      <c r="Z67" s="7">
        <v>5</v>
      </c>
      <c r="AA67" s="7">
        <v>15</v>
      </c>
      <c r="AB67" s="7">
        <v>139.4</v>
      </c>
      <c r="AC67" s="7">
        <v>14.5</v>
      </c>
      <c r="AD67" s="7">
        <v>11</v>
      </c>
      <c r="AE67" s="7">
        <v>78.3</v>
      </c>
      <c r="AF67" s="7">
        <v>15.8</v>
      </c>
      <c r="AG67" s="7">
        <v>10</v>
      </c>
      <c r="AH67" s="7">
        <v>124.9</v>
      </c>
      <c r="AI67" s="7">
        <v>20.399999999999999</v>
      </c>
      <c r="AJ67" s="7">
        <v>10</v>
      </c>
      <c r="AK67" s="7">
        <v>282</v>
      </c>
      <c r="AL67" s="7">
        <v>2.6</v>
      </c>
      <c r="AM67" s="7">
        <v>8</v>
      </c>
      <c r="AN67" s="7">
        <f t="shared" si="4"/>
        <v>0.56169296987087514</v>
      </c>
      <c r="AO67" s="7">
        <f t="shared" si="5"/>
        <v>2.0229555236728838</v>
      </c>
      <c r="AP67" s="7">
        <f t="shared" si="6"/>
        <v>1.0229555236728838</v>
      </c>
      <c r="AQ67" s="7">
        <f t="shared" si="7"/>
        <v>1.028109312132075E-2</v>
      </c>
      <c r="AR67" s="7">
        <f t="shared" si="8"/>
        <v>-1.028109312132075E-2</v>
      </c>
      <c r="AS67" s="7">
        <f t="shared" si="9"/>
        <v>9.6666666666666661</v>
      </c>
      <c r="AT67" s="184">
        <f t="shared" si="12"/>
        <v>10.966666666666667</v>
      </c>
      <c r="AU67" s="7"/>
      <c r="AV67" s="7"/>
      <c r="AW67" s="7"/>
      <c r="AX67" s="7" t="s">
        <v>1763</v>
      </c>
      <c r="AY67" s="7" t="s">
        <v>1509</v>
      </c>
      <c r="BD67" s="188"/>
    </row>
    <row r="68" spans="1:56">
      <c r="A68" s="7" t="s">
        <v>33</v>
      </c>
      <c r="B68" s="7" t="s">
        <v>34</v>
      </c>
      <c r="C68" s="7" t="s">
        <v>1496</v>
      </c>
      <c r="D68" s="7" t="s">
        <v>1497</v>
      </c>
      <c r="E68" s="7" t="s">
        <v>1498</v>
      </c>
      <c r="F68" s="7" t="s">
        <v>1499</v>
      </c>
      <c r="G68" s="7" t="s">
        <v>1500</v>
      </c>
      <c r="H68" s="7" t="s">
        <v>4180</v>
      </c>
      <c r="I68" s="100">
        <f>400/1000</f>
        <v>0.4</v>
      </c>
      <c r="J68" s="100">
        <f t="shared" si="0"/>
        <v>400</v>
      </c>
      <c r="K68" s="100">
        <f t="shared" si="1"/>
        <v>2.6020599913279625</v>
      </c>
      <c r="L68" s="73" t="s">
        <v>1502</v>
      </c>
      <c r="M68" s="7" t="s">
        <v>1526</v>
      </c>
      <c r="N68" s="7" t="s">
        <v>1504</v>
      </c>
      <c r="O68" s="7" t="s">
        <v>1505</v>
      </c>
      <c r="P68" s="108" t="s">
        <v>1492</v>
      </c>
      <c r="Q68" s="7" t="s">
        <v>1506</v>
      </c>
      <c r="R68" s="7">
        <v>56.340400000000002</v>
      </c>
      <c r="S68" s="7">
        <f t="shared" si="13"/>
        <v>56.340400000000002</v>
      </c>
      <c r="T68" s="7">
        <v>-2.7955000000000001</v>
      </c>
      <c r="U68" s="7">
        <v>2</v>
      </c>
      <c r="V68" s="7">
        <v>50</v>
      </c>
      <c r="W68" s="7">
        <f t="shared" si="3"/>
        <v>1.6989700043360187</v>
      </c>
      <c r="X68" s="7" t="s">
        <v>1773</v>
      </c>
      <c r="Y68" s="7" t="s">
        <v>1772</v>
      </c>
      <c r="Z68" s="7">
        <v>5</v>
      </c>
      <c r="AA68" s="7">
        <v>15</v>
      </c>
      <c r="AB68" s="7">
        <v>161.69999999999999</v>
      </c>
      <c r="AC68" s="7">
        <v>14.2</v>
      </c>
      <c r="AD68" s="7">
        <v>12</v>
      </c>
      <c r="AE68" s="7">
        <v>74.2</v>
      </c>
      <c r="AF68" s="7">
        <v>12.5</v>
      </c>
      <c r="AG68" s="7">
        <v>9</v>
      </c>
      <c r="AH68" s="7">
        <v>179.4</v>
      </c>
      <c r="AI68" s="7">
        <v>18.600000000000001</v>
      </c>
      <c r="AJ68" s="7">
        <v>6</v>
      </c>
      <c r="AK68" s="7">
        <v>266.7</v>
      </c>
      <c r="AL68" s="7">
        <v>1</v>
      </c>
      <c r="AM68" s="7">
        <v>7</v>
      </c>
      <c r="AN68" s="7">
        <f t="shared" si="4"/>
        <v>0.45887445887445893</v>
      </c>
      <c r="AO68" s="7">
        <f t="shared" si="5"/>
        <v>1.6493506493506493</v>
      </c>
      <c r="AP68" s="7">
        <f t="shared" si="6"/>
        <v>0.64935064935064934</v>
      </c>
      <c r="AQ68" s="7">
        <f t="shared" si="7"/>
        <v>-0.18685242179261927</v>
      </c>
      <c r="AR68" s="7">
        <f t="shared" si="8"/>
        <v>0.18685242179261927</v>
      </c>
      <c r="AS68" s="7">
        <f t="shared" si="9"/>
        <v>9.3333333333333339</v>
      </c>
      <c r="AT68" s="184">
        <f t="shared" si="12"/>
        <v>9.2333333333333325</v>
      </c>
      <c r="AU68" s="7"/>
      <c r="AV68" s="7" t="s">
        <v>1772</v>
      </c>
      <c r="AW68" s="7"/>
      <c r="AX68" s="7" t="s">
        <v>1763</v>
      </c>
      <c r="AY68" s="7" t="s">
        <v>1509</v>
      </c>
      <c r="BD68" s="188"/>
    </row>
    <row r="69" spans="1:56">
      <c r="A69" s="7" t="s">
        <v>33</v>
      </c>
      <c r="B69" s="7" t="s">
        <v>75</v>
      </c>
      <c r="C69" s="7" t="s">
        <v>348</v>
      </c>
      <c r="D69" s="7" t="s">
        <v>377</v>
      </c>
      <c r="E69" s="7" t="s">
        <v>378</v>
      </c>
      <c r="F69" s="7" t="s">
        <v>379</v>
      </c>
      <c r="G69" s="7" t="s">
        <v>1774</v>
      </c>
      <c r="H69" s="7" t="s">
        <v>4181</v>
      </c>
      <c r="I69" s="100">
        <f>(65.5)/1000</f>
        <v>6.5500000000000003E-2</v>
      </c>
      <c r="J69" s="100">
        <f t="shared" si="0"/>
        <v>65.5</v>
      </c>
      <c r="K69" s="100">
        <f t="shared" si="1"/>
        <v>1.816241299991783</v>
      </c>
      <c r="L69" s="73" t="s">
        <v>1517</v>
      </c>
      <c r="M69" s="7" t="s">
        <v>1775</v>
      </c>
      <c r="N69" s="7" t="s">
        <v>1640</v>
      </c>
      <c r="O69" s="7" t="s">
        <v>1505</v>
      </c>
      <c r="P69" s="108" t="s">
        <v>1539</v>
      </c>
      <c r="Q69" s="7" t="s">
        <v>1776</v>
      </c>
      <c r="R69" s="7">
        <v>34</v>
      </c>
      <c r="S69" s="7">
        <f t="shared" si="13"/>
        <v>34</v>
      </c>
      <c r="T69" s="7">
        <v>-112</v>
      </c>
      <c r="U69" s="7">
        <v>1</v>
      </c>
      <c r="V69" s="7">
        <v>21</v>
      </c>
      <c r="W69" s="7">
        <f t="shared" si="3"/>
        <v>1.3222192947339193</v>
      </c>
      <c r="X69" s="7" t="s">
        <v>1777</v>
      </c>
      <c r="Y69" s="7" t="s">
        <v>1778</v>
      </c>
      <c r="Z69" s="7">
        <v>6</v>
      </c>
      <c r="AA69" s="7">
        <v>25</v>
      </c>
      <c r="AB69" s="7">
        <v>14</v>
      </c>
      <c r="AC69" s="7">
        <v>2</v>
      </c>
      <c r="AD69" s="7">
        <v>8</v>
      </c>
      <c r="AE69" s="7">
        <v>107</v>
      </c>
      <c r="AF69" s="7">
        <v>10</v>
      </c>
      <c r="AG69" s="7">
        <v>8</v>
      </c>
      <c r="AH69" s="7">
        <v>24</v>
      </c>
      <c r="AI69" s="7">
        <v>4</v>
      </c>
      <c r="AJ69" s="7">
        <v>11</v>
      </c>
      <c r="AK69" s="7">
        <v>137</v>
      </c>
      <c r="AL69" s="7">
        <v>16</v>
      </c>
      <c r="AM69" s="7">
        <v>11</v>
      </c>
      <c r="AN69" s="7">
        <f t="shared" si="4"/>
        <v>2.9165635453093626</v>
      </c>
      <c r="AO69" s="7">
        <f t="shared" si="5"/>
        <v>3.3217312347586261</v>
      </c>
      <c r="AP69" s="7">
        <f t="shared" si="6"/>
        <v>2.3217312347586261</v>
      </c>
      <c r="AQ69" s="7">
        <f t="shared" si="7"/>
        <v>0.36599896011703681</v>
      </c>
      <c r="AR69" s="7">
        <f t="shared" si="8"/>
        <v>-0.36599896011703681</v>
      </c>
      <c r="AS69" s="7">
        <f t="shared" si="9"/>
        <v>9</v>
      </c>
      <c r="AT69" s="184">
        <f t="shared" si="12"/>
        <v>9.3333333333333339</v>
      </c>
      <c r="AU69" s="7"/>
      <c r="AV69" s="7" t="s">
        <v>1780</v>
      </c>
      <c r="AW69" s="7"/>
      <c r="AX69" s="7" t="s">
        <v>1775</v>
      </c>
      <c r="AY69" s="7" t="s">
        <v>1509</v>
      </c>
      <c r="BD69" s="188"/>
    </row>
    <row r="70" spans="1:56">
      <c r="A70" s="7" t="s">
        <v>33</v>
      </c>
      <c r="B70" s="7" t="s">
        <v>75</v>
      </c>
      <c r="C70" s="7" t="s">
        <v>348</v>
      </c>
      <c r="D70" s="7" t="s">
        <v>377</v>
      </c>
      <c r="E70" s="7" t="s">
        <v>378</v>
      </c>
      <c r="F70" s="7" t="s">
        <v>379</v>
      </c>
      <c r="G70" s="7" t="s">
        <v>1774</v>
      </c>
      <c r="H70" s="7" t="s">
        <v>4181</v>
      </c>
      <c r="I70" s="100">
        <f>22/1000</f>
        <v>2.1999999999999999E-2</v>
      </c>
      <c r="J70" s="100">
        <f t="shared" si="0"/>
        <v>22</v>
      </c>
      <c r="K70" s="100">
        <f t="shared" si="1"/>
        <v>1.3424226808222062</v>
      </c>
      <c r="L70" s="73" t="s">
        <v>1517</v>
      </c>
      <c r="M70" s="7" t="s">
        <v>1775</v>
      </c>
      <c r="N70" s="7" t="s">
        <v>1640</v>
      </c>
      <c r="O70" s="7" t="s">
        <v>1505</v>
      </c>
      <c r="P70" s="108" t="s">
        <v>1492</v>
      </c>
      <c r="Q70" s="7" t="s">
        <v>1776</v>
      </c>
      <c r="R70" s="7">
        <v>34</v>
      </c>
      <c r="S70" s="7">
        <f t="shared" si="13"/>
        <v>34</v>
      </c>
      <c r="T70" s="7">
        <v>-112</v>
      </c>
      <c r="U70" s="7">
        <v>1</v>
      </c>
      <c r="V70" s="7">
        <v>21</v>
      </c>
      <c r="W70" s="7">
        <f t="shared" si="3"/>
        <v>1.3222192947339193</v>
      </c>
      <c r="X70" s="7" t="s">
        <v>1777</v>
      </c>
      <c r="Y70" s="7" t="s">
        <v>1778</v>
      </c>
      <c r="Z70" s="7">
        <v>6</v>
      </c>
      <c r="AA70" s="7">
        <v>25</v>
      </c>
      <c r="AB70" s="7">
        <v>27</v>
      </c>
      <c r="AC70" s="7">
        <v>5</v>
      </c>
      <c r="AD70" s="7">
        <v>5</v>
      </c>
      <c r="AE70" s="7">
        <v>172</v>
      </c>
      <c r="AF70" s="7">
        <v>6</v>
      </c>
      <c r="AG70" s="7">
        <v>5</v>
      </c>
      <c r="AH70" s="7">
        <v>25</v>
      </c>
      <c r="AI70" s="7">
        <v>3</v>
      </c>
      <c r="AJ70" s="7">
        <v>7</v>
      </c>
      <c r="AK70" s="7">
        <v>236</v>
      </c>
      <c r="AL70" s="7">
        <v>20</v>
      </c>
      <c r="AM70" s="7">
        <v>7</v>
      </c>
      <c r="AN70" s="7">
        <f t="shared" si="4"/>
        <v>2.6499920427769936</v>
      </c>
      <c r="AO70" s="7">
        <f t="shared" si="5"/>
        <v>3.1300530957479702</v>
      </c>
      <c r="AP70" s="7">
        <f t="shared" si="6"/>
        <v>2.1300530957479702</v>
      </c>
      <c r="AQ70" s="7">
        <f t="shared" si="7"/>
        <v>0.32859427041016193</v>
      </c>
      <c r="AR70" s="7">
        <f t="shared" si="8"/>
        <v>-0.32859427041016193</v>
      </c>
      <c r="AS70" s="7">
        <f t="shared" si="9"/>
        <v>5.666666666666667</v>
      </c>
      <c r="AT70" s="184">
        <f t="shared" si="12"/>
        <v>10.333333333333334</v>
      </c>
      <c r="AU70" s="7"/>
      <c r="AV70" s="7" t="s">
        <v>1780</v>
      </c>
      <c r="AW70" s="7"/>
      <c r="AX70" s="7" t="s">
        <v>1775</v>
      </c>
      <c r="AY70" s="7" t="s">
        <v>1509</v>
      </c>
      <c r="BD70" s="188"/>
    </row>
    <row r="71" spans="1:56">
      <c r="A71" s="7" t="s">
        <v>33</v>
      </c>
      <c r="B71" s="7" t="s">
        <v>75</v>
      </c>
      <c r="C71" s="7" t="s">
        <v>348</v>
      </c>
      <c r="D71" s="7" t="s">
        <v>377</v>
      </c>
      <c r="E71" s="7" t="s">
        <v>378</v>
      </c>
      <c r="F71" s="7" t="s">
        <v>379</v>
      </c>
      <c r="G71" s="7" t="s">
        <v>1774</v>
      </c>
      <c r="H71" s="7" t="s">
        <v>4181</v>
      </c>
      <c r="I71" s="100">
        <f>22/1000</f>
        <v>2.1999999999999999E-2</v>
      </c>
      <c r="J71" s="100">
        <f t="shared" si="0"/>
        <v>22</v>
      </c>
      <c r="K71" s="100">
        <f t="shared" si="1"/>
        <v>1.3424226808222062</v>
      </c>
      <c r="L71" s="73" t="s">
        <v>1517</v>
      </c>
      <c r="M71" s="7" t="s">
        <v>1775</v>
      </c>
      <c r="N71" s="7" t="s">
        <v>1640</v>
      </c>
      <c r="O71" s="7" t="s">
        <v>1505</v>
      </c>
      <c r="P71" s="108" t="s">
        <v>1492</v>
      </c>
      <c r="Q71" s="7" t="s">
        <v>1776</v>
      </c>
      <c r="R71" s="7">
        <v>34</v>
      </c>
      <c r="S71" s="7">
        <f t="shared" si="13"/>
        <v>34</v>
      </c>
      <c r="T71" s="7">
        <v>-112</v>
      </c>
      <c r="U71" s="7">
        <v>1</v>
      </c>
      <c r="V71" s="7">
        <v>21</v>
      </c>
      <c r="W71" s="7">
        <f t="shared" si="3"/>
        <v>1.3222192947339193</v>
      </c>
      <c r="X71" s="7" t="s">
        <v>1777</v>
      </c>
      <c r="Y71" s="7" t="s">
        <v>1781</v>
      </c>
      <c r="Z71" s="7">
        <v>6</v>
      </c>
      <c r="AA71" s="7">
        <v>25</v>
      </c>
      <c r="AB71" s="7">
        <v>12</v>
      </c>
      <c r="AC71" s="7">
        <v>5</v>
      </c>
      <c r="AD71" s="7">
        <v>5</v>
      </c>
      <c r="AE71" s="7">
        <v>63</v>
      </c>
      <c r="AF71" s="7">
        <v>10</v>
      </c>
      <c r="AG71" s="7">
        <v>5</v>
      </c>
      <c r="AH71" s="7">
        <v>17</v>
      </c>
      <c r="AI71" s="7">
        <v>2</v>
      </c>
      <c r="AJ71" s="7">
        <v>7</v>
      </c>
      <c r="AK71" s="7">
        <v>86</v>
      </c>
      <c r="AL71" s="7">
        <v>7</v>
      </c>
      <c r="AM71" s="7">
        <v>7</v>
      </c>
      <c r="AN71" s="7">
        <f t="shared" si="4"/>
        <v>2.3934877678450786</v>
      </c>
      <c r="AO71" s="7">
        <f t="shared" si="5"/>
        <v>2.8194665733366442</v>
      </c>
      <c r="AP71" s="7">
        <f t="shared" si="6"/>
        <v>1.8194665733366442</v>
      </c>
      <c r="AQ71" s="7">
        <f t="shared" si="7"/>
        <v>0.26018270900535351</v>
      </c>
      <c r="AR71" s="7">
        <f t="shared" si="8"/>
        <v>-0.26018270900535351</v>
      </c>
      <c r="AS71" s="7">
        <f t="shared" si="9"/>
        <v>5.666666666666667</v>
      </c>
      <c r="AT71" s="184">
        <f t="shared" si="12"/>
        <v>7.333333333333333</v>
      </c>
      <c r="AU71" s="7"/>
      <c r="AV71" s="7" t="s">
        <v>1780</v>
      </c>
      <c r="AW71" s="7"/>
      <c r="AX71" s="7" t="s">
        <v>1775</v>
      </c>
      <c r="AY71" s="7" t="s">
        <v>1509</v>
      </c>
      <c r="BD71" s="188"/>
    </row>
    <row r="72" spans="1:56">
      <c r="A72" s="7" t="s">
        <v>33</v>
      </c>
      <c r="B72" s="7" t="s">
        <v>43</v>
      </c>
      <c r="C72" s="7" t="s">
        <v>1550</v>
      </c>
      <c r="D72" s="7" t="s">
        <v>1782</v>
      </c>
      <c r="E72" s="7" t="s">
        <v>1783</v>
      </c>
      <c r="F72" s="7" t="s">
        <v>1784</v>
      </c>
      <c r="G72" s="7" t="s">
        <v>1785</v>
      </c>
      <c r="H72" s="7" t="s">
        <v>4184</v>
      </c>
      <c r="I72" s="100">
        <f>AVERAGE(5.9, 4.3)</f>
        <v>5.0999999999999996</v>
      </c>
      <c r="J72" s="100">
        <f t="shared" ref="J72:J135" si="14">I72*1000</f>
        <v>5100</v>
      </c>
      <c r="K72" s="100">
        <f t="shared" ref="K72:K135" si="15">LOG(J72)</f>
        <v>3.7075701760979363</v>
      </c>
      <c r="L72" s="73" t="s">
        <v>1517</v>
      </c>
      <c r="M72" s="7" t="s">
        <v>1786</v>
      </c>
      <c r="N72" s="7" t="s">
        <v>1640</v>
      </c>
      <c r="O72" s="7" t="s">
        <v>1494</v>
      </c>
      <c r="P72" s="108" t="s">
        <v>1492</v>
      </c>
      <c r="Q72" s="7" t="s">
        <v>1787</v>
      </c>
      <c r="R72" s="7">
        <v>5.14</v>
      </c>
      <c r="S72" s="7">
        <f t="shared" si="13"/>
        <v>5.14</v>
      </c>
      <c r="T72" s="7">
        <v>-60.76</v>
      </c>
      <c r="U72" s="7">
        <v>1</v>
      </c>
      <c r="V72" s="7">
        <v>15</v>
      </c>
      <c r="W72" s="7">
        <f t="shared" ref="W72:W135" si="16">LOG(V72)</f>
        <v>1.1760912590556813</v>
      </c>
      <c r="X72" s="7" t="s">
        <v>1779</v>
      </c>
      <c r="Y72" s="7" t="s">
        <v>1781</v>
      </c>
      <c r="Z72" s="7">
        <v>15</v>
      </c>
      <c r="AA72" s="7">
        <v>30</v>
      </c>
      <c r="AB72" s="7">
        <v>0.75</v>
      </c>
      <c r="AC72" s="7">
        <v>0.05</v>
      </c>
      <c r="AD72" s="7">
        <v>13</v>
      </c>
      <c r="AE72" s="7">
        <v>1.1000000000000001</v>
      </c>
      <c r="AF72" s="7">
        <v>0.15</v>
      </c>
      <c r="AG72" s="7">
        <v>13</v>
      </c>
      <c r="AH72" s="7">
        <v>1.8</v>
      </c>
      <c r="AI72" s="7">
        <v>0.2</v>
      </c>
      <c r="AJ72" s="7">
        <v>17</v>
      </c>
      <c r="AK72" s="7">
        <v>2.4</v>
      </c>
      <c r="AL72" s="7">
        <v>0.15</v>
      </c>
      <c r="AM72" s="7">
        <v>19</v>
      </c>
      <c r="AN72" s="7">
        <f t="shared" ref="AN72:AN135" si="17">(AE72/AB72)^(10/(AA72-Z72))</f>
        <v>1.2908851787977318</v>
      </c>
      <c r="AO72" s="7">
        <f t="shared" ref="AO72:AO135" si="18">(AK72/AB72)^(10/(AA72-Z72))</f>
        <v>2.1715340932759251</v>
      </c>
      <c r="AP72" s="7">
        <f t="shared" ref="AP72:AP135" si="19">ABS(AO72-1)</f>
        <v>1.1715340932759251</v>
      </c>
      <c r="AQ72" s="7">
        <f t="shared" ref="AQ72:AQ135" si="20">LOG(AP72+0.001)</f>
        <v>6.9125479366942327E-2</v>
      </c>
      <c r="AR72" s="7">
        <f t="shared" ref="AR72:AR135" si="21">AQ72*-1</f>
        <v>-6.9125479366942327E-2</v>
      </c>
      <c r="AS72" s="7">
        <f t="shared" ref="AS72:AS135" si="22">AVERAGE(AD72,AG72,AM72)</f>
        <v>15</v>
      </c>
      <c r="AT72" s="184">
        <f t="shared" ref="AT72:AT103" si="23">AVERAGE(AC72,AF72,AL72)</f>
        <v>0.11666666666666665</v>
      </c>
      <c r="AU72" s="7"/>
      <c r="AV72" s="7" t="s">
        <v>1788</v>
      </c>
      <c r="AW72" s="7"/>
      <c r="AX72" s="107" t="s">
        <v>1789</v>
      </c>
      <c r="AY72" s="7" t="s">
        <v>1509</v>
      </c>
      <c r="BD72" s="188"/>
    </row>
    <row r="73" spans="1:56">
      <c r="A73" s="7" t="s">
        <v>33</v>
      </c>
      <c r="B73" s="7" t="s">
        <v>43</v>
      </c>
      <c r="C73" s="7" t="s">
        <v>1550</v>
      </c>
      <c r="D73" s="7" t="s">
        <v>1782</v>
      </c>
      <c r="E73" s="7" t="s">
        <v>1783</v>
      </c>
      <c r="F73" s="7" t="s">
        <v>1784</v>
      </c>
      <c r="G73" s="7" t="s">
        <v>1785</v>
      </c>
      <c r="H73" s="7" t="s">
        <v>4184</v>
      </c>
      <c r="I73" s="100">
        <f>AVERAGE(5.9, 4.3)</f>
        <v>5.0999999999999996</v>
      </c>
      <c r="J73" s="100">
        <f t="shared" si="14"/>
        <v>5100</v>
      </c>
      <c r="K73" s="100">
        <f t="shared" si="15"/>
        <v>3.7075701760979363</v>
      </c>
      <c r="L73" s="73" t="s">
        <v>1517</v>
      </c>
      <c r="M73" s="7" t="s">
        <v>1786</v>
      </c>
      <c r="N73" s="7" t="s">
        <v>1640</v>
      </c>
      <c r="O73" s="7" t="s">
        <v>1494</v>
      </c>
      <c r="P73" s="108" t="s">
        <v>1492</v>
      </c>
      <c r="Q73" s="7" t="s">
        <v>1787</v>
      </c>
      <c r="R73" s="7">
        <v>5.14</v>
      </c>
      <c r="S73" s="7">
        <f t="shared" si="13"/>
        <v>5.14</v>
      </c>
      <c r="T73" s="7">
        <v>-60.76</v>
      </c>
      <c r="U73" s="7">
        <v>1</v>
      </c>
      <c r="V73" s="7">
        <v>15</v>
      </c>
      <c r="W73" s="7">
        <f t="shared" si="16"/>
        <v>1.1760912590556813</v>
      </c>
      <c r="X73" s="7" t="s">
        <v>1779</v>
      </c>
      <c r="Y73" s="7" t="s">
        <v>1781</v>
      </c>
      <c r="Z73" s="7">
        <v>20</v>
      </c>
      <c r="AA73" s="7">
        <v>30</v>
      </c>
      <c r="AB73" s="7">
        <v>1.3</v>
      </c>
      <c r="AC73" s="7">
        <v>0.18</v>
      </c>
      <c r="AD73" s="7">
        <v>22</v>
      </c>
      <c r="AE73" s="7">
        <v>1.25</v>
      </c>
      <c r="AF73" s="7">
        <v>0.2</v>
      </c>
      <c r="AG73" s="7">
        <v>22</v>
      </c>
      <c r="AH73" s="7">
        <v>2.2999999999999998</v>
      </c>
      <c r="AI73" s="7">
        <v>0.2</v>
      </c>
      <c r="AJ73" s="7">
        <v>17</v>
      </c>
      <c r="AK73" s="7">
        <v>2.4</v>
      </c>
      <c r="AL73" s="7">
        <v>0.15</v>
      </c>
      <c r="AM73" s="7">
        <v>19</v>
      </c>
      <c r="AN73" s="7">
        <f t="shared" si="17"/>
        <v>0.96153846153846145</v>
      </c>
      <c r="AO73" s="7">
        <f t="shared" si="18"/>
        <v>1.846153846153846</v>
      </c>
      <c r="AP73" s="7">
        <f t="shared" si="19"/>
        <v>0.84615384615384603</v>
      </c>
      <c r="AQ73" s="7">
        <f t="shared" si="20"/>
        <v>-7.2037713083187613E-2</v>
      </c>
      <c r="AR73" s="7">
        <f t="shared" si="21"/>
        <v>7.2037713083187613E-2</v>
      </c>
      <c r="AS73" s="7">
        <f t="shared" si="22"/>
        <v>21</v>
      </c>
      <c r="AT73" s="184">
        <f t="shared" si="23"/>
        <v>0.17666666666666667</v>
      </c>
      <c r="AU73" s="7"/>
      <c r="AV73" s="7" t="s">
        <v>1788</v>
      </c>
      <c r="AW73" s="7"/>
      <c r="AX73" s="107" t="s">
        <v>1789</v>
      </c>
      <c r="AY73" s="7" t="s">
        <v>1509</v>
      </c>
      <c r="BD73" s="188"/>
    </row>
    <row r="74" spans="1:56">
      <c r="A74" s="7" t="s">
        <v>33</v>
      </c>
      <c r="B74" s="7" t="s">
        <v>43</v>
      </c>
      <c r="C74" s="7" t="s">
        <v>1550</v>
      </c>
      <c r="D74" s="7" t="s">
        <v>1782</v>
      </c>
      <c r="E74" s="7" t="s">
        <v>1783</v>
      </c>
      <c r="F74" s="7" t="s">
        <v>1784</v>
      </c>
      <c r="G74" s="7" t="s">
        <v>1785</v>
      </c>
      <c r="H74" s="7" t="s">
        <v>4184</v>
      </c>
      <c r="I74" s="100">
        <f>AVERAGE(5.9, 4.3)</f>
        <v>5.0999999999999996</v>
      </c>
      <c r="J74" s="100">
        <f t="shared" si="14"/>
        <v>5100</v>
      </c>
      <c r="K74" s="100">
        <f t="shared" si="15"/>
        <v>3.7075701760979363</v>
      </c>
      <c r="L74" s="73" t="s">
        <v>1517</v>
      </c>
      <c r="M74" s="7" t="s">
        <v>1786</v>
      </c>
      <c r="N74" s="7" t="s">
        <v>1640</v>
      </c>
      <c r="O74" s="7" t="s">
        <v>1494</v>
      </c>
      <c r="P74" s="108" t="s">
        <v>1492</v>
      </c>
      <c r="Q74" s="7" t="s">
        <v>1787</v>
      </c>
      <c r="R74" s="7">
        <v>5.14</v>
      </c>
      <c r="S74" s="7">
        <f t="shared" si="13"/>
        <v>5.14</v>
      </c>
      <c r="T74" s="7">
        <v>-60.76</v>
      </c>
      <c r="U74" s="7">
        <v>1</v>
      </c>
      <c r="V74" s="7">
        <v>15</v>
      </c>
      <c r="W74" s="7">
        <f t="shared" si="16"/>
        <v>1.1760912590556813</v>
      </c>
      <c r="X74" s="7" t="s">
        <v>1779</v>
      </c>
      <c r="Y74" s="7" t="s">
        <v>1781</v>
      </c>
      <c r="Z74" s="7">
        <v>15</v>
      </c>
      <c r="AA74" s="7">
        <v>20</v>
      </c>
      <c r="AB74" s="7">
        <v>0.75</v>
      </c>
      <c r="AC74" s="7">
        <v>0.05</v>
      </c>
      <c r="AD74" s="7">
        <v>13</v>
      </c>
      <c r="AE74" s="7">
        <v>0.76</v>
      </c>
      <c r="AF74" s="7">
        <v>7.0000000000000007E-2</v>
      </c>
      <c r="AG74" s="7">
        <v>13</v>
      </c>
      <c r="AH74" s="7">
        <v>1.2</v>
      </c>
      <c r="AI74" s="7">
        <v>0.15</v>
      </c>
      <c r="AJ74" s="7">
        <v>20</v>
      </c>
      <c r="AK74" s="7">
        <v>1.3</v>
      </c>
      <c r="AL74" s="7">
        <v>0.18</v>
      </c>
      <c r="AM74" s="7">
        <v>22</v>
      </c>
      <c r="AN74" s="7">
        <f t="shared" si="17"/>
        <v>1.0268444444444447</v>
      </c>
      <c r="AO74" s="7">
        <f t="shared" si="18"/>
        <v>3.0044444444444447</v>
      </c>
      <c r="AP74" s="7">
        <f t="shared" si="19"/>
        <v>2.0044444444444447</v>
      </c>
      <c r="AQ74" s="7">
        <f t="shared" si="20"/>
        <v>0.30221063549971111</v>
      </c>
      <c r="AR74" s="7">
        <f t="shared" si="21"/>
        <v>-0.30221063549971111</v>
      </c>
      <c r="AS74" s="7">
        <f t="shared" si="22"/>
        <v>16</v>
      </c>
      <c r="AT74" s="184">
        <f t="shared" si="23"/>
        <v>9.9999999999999992E-2</v>
      </c>
      <c r="AU74" s="7"/>
      <c r="AV74" s="7" t="s">
        <v>1788</v>
      </c>
      <c r="AW74" s="7"/>
      <c r="AX74" s="107" t="s">
        <v>1789</v>
      </c>
      <c r="AY74" s="7" t="s">
        <v>1509</v>
      </c>
      <c r="BD74" s="188"/>
    </row>
    <row r="75" spans="1:56">
      <c r="A75" s="7" t="s">
        <v>33</v>
      </c>
      <c r="B75" s="7" t="s">
        <v>34</v>
      </c>
      <c r="C75" s="7" t="s">
        <v>1512</v>
      </c>
      <c r="D75" s="7" t="s">
        <v>1513</v>
      </c>
      <c r="E75" s="7" t="s">
        <v>1514</v>
      </c>
      <c r="F75" s="7" t="s">
        <v>1515</v>
      </c>
      <c r="G75" s="7" t="s">
        <v>1516</v>
      </c>
      <c r="H75" s="7" t="s">
        <v>4180</v>
      </c>
      <c r="I75" s="100">
        <f>AVERAGE(0.71, 0.96, 0.9, 1.07)</f>
        <v>0.90999999999999992</v>
      </c>
      <c r="J75" s="100">
        <f t="shared" si="14"/>
        <v>909.99999999999989</v>
      </c>
      <c r="K75" s="100">
        <f t="shared" si="15"/>
        <v>2.9590413923210934</v>
      </c>
      <c r="L75" s="73" t="s">
        <v>1517</v>
      </c>
      <c r="M75" s="7" t="s">
        <v>1518</v>
      </c>
      <c r="N75" s="7" t="s">
        <v>1504</v>
      </c>
      <c r="O75" s="7" t="s">
        <v>1505</v>
      </c>
      <c r="P75" s="108" t="s">
        <v>1492</v>
      </c>
      <c r="Q75" s="7" t="s">
        <v>1519</v>
      </c>
      <c r="R75" s="7">
        <v>54.15</v>
      </c>
      <c r="S75" s="7">
        <f t="shared" si="13"/>
        <v>54.15</v>
      </c>
      <c r="T75" s="7">
        <v>7.9</v>
      </c>
      <c r="U75" s="7">
        <v>1</v>
      </c>
      <c r="V75" s="7">
        <v>365</v>
      </c>
      <c r="W75" s="7">
        <f t="shared" si="16"/>
        <v>2.5622928644564746</v>
      </c>
      <c r="X75" s="7" t="s">
        <v>1779</v>
      </c>
      <c r="Y75" s="7" t="s">
        <v>1781</v>
      </c>
      <c r="Z75" s="7">
        <v>4</v>
      </c>
      <c r="AA75" s="7">
        <v>10</v>
      </c>
      <c r="AB75" s="108">
        <v>1.5943875000000001</v>
      </c>
      <c r="AC75" s="108">
        <v>0.31262499999999999</v>
      </c>
      <c r="AD75" s="108">
        <v>6</v>
      </c>
      <c r="AE75" s="108">
        <v>3.2200375000000001</v>
      </c>
      <c r="AF75" s="108">
        <v>0.31262499999999999</v>
      </c>
      <c r="AG75" s="108">
        <v>6</v>
      </c>
      <c r="AH75" s="108">
        <v>0.90661249999999993</v>
      </c>
      <c r="AI75" s="108">
        <v>0.18757499999999999</v>
      </c>
      <c r="AJ75" s="108">
        <v>6</v>
      </c>
      <c r="AK75" s="108">
        <v>1.8757500000000003</v>
      </c>
      <c r="AL75" s="108">
        <v>0.34388750000000001</v>
      </c>
      <c r="AM75" s="108">
        <v>6</v>
      </c>
      <c r="AN75" s="7">
        <f t="shared" si="17"/>
        <v>3.2268473001626838</v>
      </c>
      <c r="AO75" s="7">
        <f t="shared" si="18"/>
        <v>1.3110979061396673</v>
      </c>
      <c r="AP75" s="7">
        <f t="shared" si="19"/>
        <v>0.31109790613966726</v>
      </c>
      <c r="AQ75" s="7">
        <f t="shared" si="20"/>
        <v>-0.50570914500028341</v>
      </c>
      <c r="AR75" s="7">
        <f t="shared" si="21"/>
        <v>0.50570914500028341</v>
      </c>
      <c r="AS75" s="7">
        <f t="shared" si="22"/>
        <v>6</v>
      </c>
      <c r="AT75" s="184">
        <f t="shared" si="23"/>
        <v>0.32304583333333331</v>
      </c>
      <c r="AU75" s="108"/>
      <c r="AV75" s="7" t="s">
        <v>1522</v>
      </c>
      <c r="AW75" s="7"/>
      <c r="AX75" s="7" t="s">
        <v>1518</v>
      </c>
      <c r="AY75" s="7" t="s">
        <v>1509</v>
      </c>
      <c r="BD75" s="188"/>
    </row>
    <row r="76" spans="1:56">
      <c r="A76" s="7" t="s">
        <v>33</v>
      </c>
      <c r="B76" s="7" t="s">
        <v>34</v>
      </c>
      <c r="C76" s="7" t="s">
        <v>1512</v>
      </c>
      <c r="D76" s="7" t="s">
        <v>1513</v>
      </c>
      <c r="E76" s="7" t="s">
        <v>1514</v>
      </c>
      <c r="F76" s="7" t="s">
        <v>1515</v>
      </c>
      <c r="G76" s="7" t="s">
        <v>1516</v>
      </c>
      <c r="H76" s="7" t="s">
        <v>4180</v>
      </c>
      <c r="I76" s="100">
        <f>AVERAGE(0.71, 0.96, 0.9, 1.07)</f>
        <v>0.90999999999999992</v>
      </c>
      <c r="J76" s="100">
        <f t="shared" si="14"/>
        <v>909.99999999999989</v>
      </c>
      <c r="K76" s="100">
        <f t="shared" si="15"/>
        <v>2.9590413923210934</v>
      </c>
      <c r="L76" s="73" t="s">
        <v>1517</v>
      </c>
      <c r="M76" s="7" t="s">
        <v>1518</v>
      </c>
      <c r="N76" s="7" t="s">
        <v>1504</v>
      </c>
      <c r="O76" s="7" t="s">
        <v>1505</v>
      </c>
      <c r="P76" s="108" t="s">
        <v>1492</v>
      </c>
      <c r="Q76" s="7" t="s">
        <v>1524</v>
      </c>
      <c r="R76" s="7">
        <v>69.650000000000006</v>
      </c>
      <c r="S76" s="7">
        <f t="shared" si="13"/>
        <v>69.650000000000006</v>
      </c>
      <c r="T76" s="7">
        <v>18.899999999999999</v>
      </c>
      <c r="U76" s="7">
        <v>1</v>
      </c>
      <c r="V76" s="7">
        <v>365</v>
      </c>
      <c r="W76" s="7">
        <f t="shared" si="16"/>
        <v>2.5622928644564746</v>
      </c>
      <c r="X76" s="7" t="s">
        <v>1779</v>
      </c>
      <c r="Y76" s="7" t="s">
        <v>1781</v>
      </c>
      <c r="Z76" s="7">
        <v>4</v>
      </c>
      <c r="AA76" s="7">
        <v>10</v>
      </c>
      <c r="AB76" s="108">
        <v>1.1567125</v>
      </c>
      <c r="AC76" s="108">
        <v>0.15631249999999999</v>
      </c>
      <c r="AD76" s="108">
        <v>6</v>
      </c>
      <c r="AE76" s="108">
        <v>2.5322625000000003</v>
      </c>
      <c r="AF76" s="108">
        <v>0.21883750000000002</v>
      </c>
      <c r="AG76" s="108">
        <v>6</v>
      </c>
      <c r="AH76" s="108">
        <v>1.1567125</v>
      </c>
      <c r="AI76" s="108">
        <v>0.15631249999999999</v>
      </c>
      <c r="AJ76" s="108">
        <v>6</v>
      </c>
      <c r="AK76" s="108">
        <v>2.0007999999999999</v>
      </c>
      <c r="AL76" s="108">
        <v>0.28136250000000002</v>
      </c>
      <c r="AM76" s="108">
        <v>6</v>
      </c>
      <c r="AN76" s="7">
        <f t="shared" si="17"/>
        <v>3.6909556319829098</v>
      </c>
      <c r="AO76" s="7">
        <f t="shared" si="18"/>
        <v>2.492472736366294</v>
      </c>
      <c r="AP76" s="7">
        <f t="shared" si="19"/>
        <v>1.492472736366294</v>
      </c>
      <c r="AQ76" s="7">
        <f t="shared" si="20"/>
        <v>0.17419729888273205</v>
      </c>
      <c r="AR76" s="7">
        <f t="shared" si="21"/>
        <v>-0.17419729888273205</v>
      </c>
      <c r="AS76" s="7">
        <f t="shared" si="22"/>
        <v>6</v>
      </c>
      <c r="AT76" s="184">
        <f t="shared" si="23"/>
        <v>0.21883750000000002</v>
      </c>
      <c r="AU76" s="108"/>
      <c r="AV76" s="7" t="s">
        <v>1522</v>
      </c>
      <c r="AW76" s="7"/>
      <c r="AX76" s="7" t="s">
        <v>1790</v>
      </c>
      <c r="AY76" s="7" t="s">
        <v>1509</v>
      </c>
      <c r="BD76" s="188"/>
    </row>
    <row r="77" spans="1:56">
      <c r="A77" s="7" t="s">
        <v>33</v>
      </c>
      <c r="B77" s="7" t="s">
        <v>34</v>
      </c>
      <c r="C77" s="7" t="s">
        <v>1512</v>
      </c>
      <c r="D77" s="7" t="s">
        <v>1513</v>
      </c>
      <c r="E77" s="7" t="s">
        <v>1514</v>
      </c>
      <c r="F77" s="7" t="s">
        <v>1515</v>
      </c>
      <c r="G77" s="7" t="s">
        <v>1516</v>
      </c>
      <c r="H77" s="7" t="s">
        <v>4180</v>
      </c>
      <c r="I77" s="100">
        <f>AVERAGE(0.71, 0.96, 0.9, 1.07)</f>
        <v>0.90999999999999992</v>
      </c>
      <c r="J77" s="100">
        <f t="shared" si="14"/>
        <v>909.99999999999989</v>
      </c>
      <c r="K77" s="100">
        <f t="shared" si="15"/>
        <v>2.9590413923210934</v>
      </c>
      <c r="L77" s="73" t="s">
        <v>1517</v>
      </c>
      <c r="M77" s="7" t="s">
        <v>1518</v>
      </c>
      <c r="N77" s="7" t="s">
        <v>1504</v>
      </c>
      <c r="O77" s="7" t="s">
        <v>1505</v>
      </c>
      <c r="P77" s="108" t="s">
        <v>1492</v>
      </c>
      <c r="Q77" s="7" t="s">
        <v>1524</v>
      </c>
      <c r="R77" s="7">
        <v>69.650000000000006</v>
      </c>
      <c r="S77" s="7">
        <f t="shared" si="13"/>
        <v>69.650000000000006</v>
      </c>
      <c r="T77" s="7">
        <v>18.899999999999999</v>
      </c>
      <c r="U77" s="7">
        <v>1</v>
      </c>
      <c r="V77" s="7">
        <v>365</v>
      </c>
      <c r="W77" s="7">
        <f t="shared" si="16"/>
        <v>2.5622928644564746</v>
      </c>
      <c r="X77" s="7" t="s">
        <v>1779</v>
      </c>
      <c r="Y77" s="7" t="s">
        <v>1778</v>
      </c>
      <c r="Z77" s="7">
        <v>4</v>
      </c>
      <c r="AA77" s="7">
        <v>10</v>
      </c>
      <c r="AB77" s="108">
        <v>5.0019999999999998</v>
      </c>
      <c r="AC77" s="108">
        <v>0.31262499999999999</v>
      </c>
      <c r="AD77" s="108">
        <v>6</v>
      </c>
      <c r="AE77" s="108">
        <v>7.4092125000000006</v>
      </c>
      <c r="AF77" s="108">
        <v>1.0941875000000001</v>
      </c>
      <c r="AG77" s="108">
        <v>6</v>
      </c>
      <c r="AH77" s="108">
        <v>7.1903750000000013</v>
      </c>
      <c r="AI77" s="108">
        <v>0.31262499999999999</v>
      </c>
      <c r="AJ77" s="108">
        <v>6</v>
      </c>
      <c r="AK77" s="108">
        <v>8.5971875000000004</v>
      </c>
      <c r="AL77" s="108">
        <v>0.56272500000000003</v>
      </c>
      <c r="AM77" s="108">
        <v>6</v>
      </c>
      <c r="AN77" s="7">
        <f t="shared" si="17"/>
        <v>1.9247778205237362</v>
      </c>
      <c r="AO77" s="7">
        <f t="shared" si="18"/>
        <v>2.4661596358712021</v>
      </c>
      <c r="AP77" s="7">
        <f t="shared" si="19"/>
        <v>1.4661596358712021</v>
      </c>
      <c r="AQ77" s="7">
        <f t="shared" si="20"/>
        <v>0.16647737028918133</v>
      </c>
      <c r="AR77" s="7">
        <f t="shared" si="21"/>
        <v>-0.16647737028918133</v>
      </c>
      <c r="AS77" s="7">
        <f t="shared" si="22"/>
        <v>6</v>
      </c>
      <c r="AT77" s="184">
        <f t="shared" si="23"/>
        <v>0.65651249999999994</v>
      </c>
      <c r="AU77" s="108"/>
      <c r="AV77" s="7" t="s">
        <v>1522</v>
      </c>
      <c r="AW77" s="7"/>
      <c r="AX77" s="7" t="s">
        <v>1791</v>
      </c>
      <c r="AY77" s="7" t="s">
        <v>1509</v>
      </c>
      <c r="BD77" s="188"/>
    </row>
    <row r="78" spans="1:56">
      <c r="A78" s="7" t="s">
        <v>33</v>
      </c>
      <c r="B78" s="7" t="s">
        <v>34</v>
      </c>
      <c r="C78" s="7" t="s">
        <v>1512</v>
      </c>
      <c r="D78" s="7" t="s">
        <v>1513</v>
      </c>
      <c r="E78" s="7" t="s">
        <v>1514</v>
      </c>
      <c r="F78" s="7" t="s">
        <v>1515</v>
      </c>
      <c r="G78" s="7" t="s">
        <v>1516</v>
      </c>
      <c r="H78" s="7" t="s">
        <v>4180</v>
      </c>
      <c r="I78" s="100">
        <f>AVERAGE(0.71, 0.96, 0.9, 1.07)</f>
        <v>0.90999999999999992</v>
      </c>
      <c r="J78" s="100">
        <f t="shared" si="14"/>
        <v>909.99999999999989</v>
      </c>
      <c r="K78" s="100">
        <f t="shared" si="15"/>
        <v>2.9590413923210934</v>
      </c>
      <c r="L78" s="73" t="s">
        <v>1517</v>
      </c>
      <c r="M78" s="7" t="s">
        <v>1518</v>
      </c>
      <c r="N78" s="7" t="s">
        <v>1504</v>
      </c>
      <c r="O78" s="7" t="s">
        <v>1505</v>
      </c>
      <c r="P78" s="108" t="s">
        <v>1492</v>
      </c>
      <c r="Q78" s="7" t="s">
        <v>1519</v>
      </c>
      <c r="R78" s="7">
        <v>54.15</v>
      </c>
      <c r="S78" s="7">
        <f t="shared" si="13"/>
        <v>54.15</v>
      </c>
      <c r="T78" s="7">
        <v>7.9</v>
      </c>
      <c r="U78" s="7">
        <v>1</v>
      </c>
      <c r="V78" s="7">
        <v>365</v>
      </c>
      <c r="W78" s="7">
        <f t="shared" si="16"/>
        <v>2.5622928644564746</v>
      </c>
      <c r="X78" s="7" t="s">
        <v>1779</v>
      </c>
      <c r="Y78" s="7" t="s">
        <v>1778</v>
      </c>
      <c r="Z78" s="7">
        <v>4</v>
      </c>
      <c r="AA78" s="7">
        <v>10</v>
      </c>
      <c r="AB78" s="108">
        <v>6.2525000000000004</v>
      </c>
      <c r="AC78" s="108">
        <v>0.68777500000000003</v>
      </c>
      <c r="AD78" s="108">
        <v>6</v>
      </c>
      <c r="AE78" s="108">
        <v>7.5967874999999996</v>
      </c>
      <c r="AF78" s="108">
        <v>0.78156250000000005</v>
      </c>
      <c r="AG78" s="108">
        <v>6</v>
      </c>
      <c r="AH78" s="108">
        <v>5.3146250000000004</v>
      </c>
      <c r="AI78" s="108">
        <v>0.68777500000000003</v>
      </c>
      <c r="AJ78" s="108">
        <v>6</v>
      </c>
      <c r="AK78" s="108">
        <v>8.1282499999999995</v>
      </c>
      <c r="AL78" s="108">
        <v>0.78156250000000005</v>
      </c>
      <c r="AM78" s="108">
        <v>6</v>
      </c>
      <c r="AN78" s="7">
        <f t="shared" si="17"/>
        <v>1.3834404292611939</v>
      </c>
      <c r="AO78" s="7">
        <f t="shared" si="18"/>
        <v>1.5484799527553621</v>
      </c>
      <c r="AP78" s="7">
        <f t="shared" si="19"/>
        <v>0.5484799527553621</v>
      </c>
      <c r="AQ78" s="7">
        <f t="shared" si="20"/>
        <v>-0.26004814776559365</v>
      </c>
      <c r="AR78" s="7">
        <f t="shared" si="21"/>
        <v>0.26004814776559365</v>
      </c>
      <c r="AS78" s="7">
        <f t="shared" si="22"/>
        <v>6</v>
      </c>
      <c r="AT78" s="184">
        <f t="shared" si="23"/>
        <v>0.75030000000000008</v>
      </c>
      <c r="AU78" s="108"/>
      <c r="AV78" s="7" t="s">
        <v>1522</v>
      </c>
      <c r="AW78" s="7"/>
      <c r="AX78" s="7" t="s">
        <v>1792</v>
      </c>
      <c r="AY78" s="7" t="s">
        <v>1509</v>
      </c>
      <c r="BD78" s="188"/>
    </row>
    <row r="79" spans="1:56">
      <c r="A79" s="7" t="s">
        <v>33</v>
      </c>
      <c r="B79" s="7" t="s">
        <v>75</v>
      </c>
      <c r="C79" s="7" t="s">
        <v>76</v>
      </c>
      <c r="D79" s="7" t="s">
        <v>369</v>
      </c>
      <c r="E79" s="7" t="s">
        <v>370</v>
      </c>
      <c r="F79" s="7" t="s">
        <v>397</v>
      </c>
      <c r="G79" s="7" t="s">
        <v>1793</v>
      </c>
      <c r="H79" s="7" t="s">
        <v>4181</v>
      </c>
      <c r="I79" s="100">
        <f>621/1000</f>
        <v>0.621</v>
      </c>
      <c r="J79" s="100">
        <f t="shared" si="14"/>
        <v>621</v>
      </c>
      <c r="K79" s="100">
        <f t="shared" si="15"/>
        <v>2.79309160017658</v>
      </c>
      <c r="L79" s="73" t="s">
        <v>1517</v>
      </c>
      <c r="M79" s="7" t="s">
        <v>1794</v>
      </c>
      <c r="N79" s="7" t="s">
        <v>1538</v>
      </c>
      <c r="O79" s="7" t="s">
        <v>1505</v>
      </c>
      <c r="P79" s="108" t="s">
        <v>1492</v>
      </c>
      <c r="Q79" s="7" t="s">
        <v>1795</v>
      </c>
      <c r="R79" s="7">
        <v>30.237500000000001</v>
      </c>
      <c r="S79" s="7">
        <f t="shared" si="13"/>
        <v>30.237500000000001</v>
      </c>
      <c r="T79" s="7">
        <v>-92.268000000000001</v>
      </c>
      <c r="U79" s="7">
        <v>1</v>
      </c>
      <c r="V79" s="7">
        <v>14</v>
      </c>
      <c r="W79" s="7">
        <f t="shared" si="16"/>
        <v>1.146128035678238</v>
      </c>
      <c r="X79" s="7" t="s">
        <v>1779</v>
      </c>
      <c r="Y79" s="7" t="s">
        <v>1781</v>
      </c>
      <c r="Z79" s="7">
        <v>5</v>
      </c>
      <c r="AA79" s="7">
        <v>20</v>
      </c>
      <c r="AB79" s="7">
        <v>15.5</v>
      </c>
      <c r="AC79" s="7">
        <v>1.2</v>
      </c>
      <c r="AD79" s="7">
        <v>8</v>
      </c>
      <c r="AE79" s="7">
        <v>38</v>
      </c>
      <c r="AF79" s="7">
        <v>2.6</v>
      </c>
      <c r="AG79" s="7">
        <v>8</v>
      </c>
      <c r="AH79" s="7">
        <v>19.7</v>
      </c>
      <c r="AI79" s="7">
        <v>1.4</v>
      </c>
      <c r="AJ79" s="7">
        <v>7</v>
      </c>
      <c r="AK79" s="7">
        <v>53.3</v>
      </c>
      <c r="AL79" s="7">
        <v>2.1</v>
      </c>
      <c r="AM79" s="7">
        <v>7</v>
      </c>
      <c r="AN79" s="7">
        <f t="shared" si="17"/>
        <v>1.8181704662993825</v>
      </c>
      <c r="AO79" s="7">
        <f t="shared" si="18"/>
        <v>2.2782270667276103</v>
      </c>
      <c r="AP79" s="7">
        <f t="shared" si="19"/>
        <v>1.2782270667276103</v>
      </c>
      <c r="AQ79" s="7">
        <f t="shared" si="20"/>
        <v>0.10694763992367246</v>
      </c>
      <c r="AR79" s="7">
        <f t="shared" si="21"/>
        <v>-0.10694763992367246</v>
      </c>
      <c r="AS79" s="7">
        <f t="shared" si="22"/>
        <v>7.666666666666667</v>
      </c>
      <c r="AT79" s="184">
        <f t="shared" si="23"/>
        <v>1.9666666666666668</v>
      </c>
      <c r="AU79" s="7"/>
      <c r="AV79" s="7" t="s">
        <v>1796</v>
      </c>
      <c r="AW79" s="7"/>
      <c r="AX79" s="7" t="s">
        <v>1794</v>
      </c>
      <c r="AY79" s="7" t="s">
        <v>1509</v>
      </c>
      <c r="BD79" s="188"/>
    </row>
    <row r="80" spans="1:56">
      <c r="A80" s="7" t="s">
        <v>33</v>
      </c>
      <c r="B80" s="7" t="s">
        <v>34</v>
      </c>
      <c r="C80" s="7" t="s">
        <v>66</v>
      </c>
      <c r="D80" s="7" t="s">
        <v>67</v>
      </c>
      <c r="E80" s="7" t="s">
        <v>1802</v>
      </c>
      <c r="F80" s="7" t="s">
        <v>1803</v>
      </c>
      <c r="G80" s="7" t="s">
        <v>1804</v>
      </c>
      <c r="H80" s="7" t="s">
        <v>4180</v>
      </c>
      <c r="I80" s="100">
        <f>265/1000</f>
        <v>0.26500000000000001</v>
      </c>
      <c r="J80" s="100">
        <f t="shared" si="14"/>
        <v>265</v>
      </c>
      <c r="K80" s="100">
        <f t="shared" si="15"/>
        <v>2.4232458739368079</v>
      </c>
      <c r="L80" s="73" t="s">
        <v>1517</v>
      </c>
      <c r="M80" s="7" t="s">
        <v>1805</v>
      </c>
      <c r="N80" s="7" t="s">
        <v>1538</v>
      </c>
      <c r="O80" s="7" t="s">
        <v>1494</v>
      </c>
      <c r="P80" s="108" t="s">
        <v>1492</v>
      </c>
      <c r="Q80" s="7" t="s">
        <v>1806</v>
      </c>
      <c r="R80" s="7">
        <v>36.4</v>
      </c>
      <c r="S80" s="7">
        <f t="shared" si="13"/>
        <v>36.4</v>
      </c>
      <c r="T80" s="7">
        <v>118.4</v>
      </c>
      <c r="U80" s="7">
        <v>1</v>
      </c>
      <c r="V80" s="7">
        <v>42</v>
      </c>
      <c r="W80" s="7">
        <f t="shared" si="16"/>
        <v>1.6232492903979006</v>
      </c>
      <c r="X80" s="7" t="s">
        <v>1779</v>
      </c>
      <c r="Y80" s="7" t="s">
        <v>1781</v>
      </c>
      <c r="Z80" s="7">
        <v>10</v>
      </c>
      <c r="AA80" s="7">
        <v>30</v>
      </c>
      <c r="AB80" s="108">
        <v>1.0941875000000001</v>
      </c>
      <c r="AC80" s="108">
        <v>0.25009999999999999</v>
      </c>
      <c r="AD80" s="108">
        <v>12</v>
      </c>
      <c r="AE80" s="7">
        <v>6.8777499999999998</v>
      </c>
      <c r="AF80" s="7">
        <v>0.46893750000000006</v>
      </c>
      <c r="AG80" s="108">
        <v>12</v>
      </c>
      <c r="AH80" s="7">
        <v>0.68777500000000003</v>
      </c>
      <c r="AI80" s="7">
        <v>9.3787499999999996E-2</v>
      </c>
      <c r="AJ80" s="108">
        <v>12</v>
      </c>
      <c r="AK80" s="7">
        <v>4.9707375000000003</v>
      </c>
      <c r="AL80" s="7">
        <v>0.37514999999999998</v>
      </c>
      <c r="AM80" s="108">
        <v>12</v>
      </c>
      <c r="AN80" s="7">
        <f t="shared" si="17"/>
        <v>2.5071326821120348</v>
      </c>
      <c r="AO80" s="7">
        <f t="shared" si="18"/>
        <v>2.1313979316066587</v>
      </c>
      <c r="AP80" s="7">
        <f t="shared" si="19"/>
        <v>1.1313979316066587</v>
      </c>
      <c r="AQ80" s="7">
        <f t="shared" si="20"/>
        <v>5.3999067428640295E-2</v>
      </c>
      <c r="AR80" s="7">
        <f t="shared" si="21"/>
        <v>-5.3999067428640295E-2</v>
      </c>
      <c r="AS80" s="7">
        <f t="shared" si="22"/>
        <v>12</v>
      </c>
      <c r="AT80" s="184">
        <f t="shared" si="23"/>
        <v>0.3647291666666666</v>
      </c>
      <c r="AU80" s="7"/>
      <c r="AV80" s="7"/>
      <c r="AW80" s="7"/>
      <c r="AX80" s="7" t="s">
        <v>1805</v>
      </c>
      <c r="AY80" s="7" t="s">
        <v>1509</v>
      </c>
      <c r="BD80" s="188"/>
    </row>
    <row r="81" spans="1:56">
      <c r="A81" s="7" t="s">
        <v>33</v>
      </c>
      <c r="B81" s="7" t="s">
        <v>34</v>
      </c>
      <c r="C81" s="7" t="s">
        <v>61</v>
      </c>
      <c r="D81" s="7" t="s">
        <v>62</v>
      </c>
      <c r="E81" s="7" t="s">
        <v>1807</v>
      </c>
      <c r="F81" s="7" t="s">
        <v>1733</v>
      </c>
      <c r="G81" s="7" t="s">
        <v>1808</v>
      </c>
      <c r="H81" s="7" t="s">
        <v>4180</v>
      </c>
      <c r="I81" s="100">
        <f>((AVERAGE(100,250)/1000))</f>
        <v>0.17499999999999999</v>
      </c>
      <c r="J81" s="100">
        <f t="shared" si="14"/>
        <v>175</v>
      </c>
      <c r="K81" s="100">
        <f t="shared" si="15"/>
        <v>2.2430380486862944</v>
      </c>
      <c r="L81" s="73" t="s">
        <v>1517</v>
      </c>
      <c r="M81" s="7" t="s">
        <v>1809</v>
      </c>
      <c r="N81" s="7" t="s">
        <v>1538</v>
      </c>
      <c r="O81" s="7" t="s">
        <v>1505</v>
      </c>
      <c r="P81" s="108" t="s">
        <v>1492</v>
      </c>
      <c r="Q81" s="7" t="s">
        <v>1153</v>
      </c>
      <c r="R81" s="7">
        <v>50.7</v>
      </c>
      <c r="S81" s="7">
        <f t="shared" si="13"/>
        <v>50.7</v>
      </c>
      <c r="T81" s="7">
        <v>-86.05</v>
      </c>
      <c r="U81" s="7">
        <v>1</v>
      </c>
      <c r="V81" s="7">
        <v>14</v>
      </c>
      <c r="W81" s="7">
        <f t="shared" si="16"/>
        <v>1.146128035678238</v>
      </c>
      <c r="X81" s="7" t="s">
        <v>1779</v>
      </c>
      <c r="Y81" s="7" t="s">
        <v>1810</v>
      </c>
      <c r="Z81" s="7">
        <v>10</v>
      </c>
      <c r="AA81" s="7">
        <v>20</v>
      </c>
      <c r="AB81" s="7">
        <v>12.1</v>
      </c>
      <c r="AC81" s="7">
        <v>0.5</v>
      </c>
      <c r="AD81" s="7">
        <v>5</v>
      </c>
      <c r="AE81" s="7">
        <v>39.200000000000003</v>
      </c>
      <c r="AF81" s="7">
        <v>0.4</v>
      </c>
      <c r="AG81" s="7">
        <v>6</v>
      </c>
      <c r="AH81" s="7">
        <v>8.9</v>
      </c>
      <c r="AI81" s="7">
        <v>0.15</v>
      </c>
      <c r="AJ81" s="7">
        <v>4</v>
      </c>
      <c r="AK81" s="7">
        <v>18.399999999999999</v>
      </c>
      <c r="AL81" s="7">
        <v>0.6</v>
      </c>
      <c r="AM81" s="7">
        <v>5</v>
      </c>
      <c r="AN81" s="7">
        <f t="shared" si="17"/>
        <v>3.2396694214876036</v>
      </c>
      <c r="AO81" s="7">
        <f t="shared" si="18"/>
        <v>1.5206611570247932</v>
      </c>
      <c r="AP81" s="7">
        <f t="shared" si="19"/>
        <v>0.52066115702479321</v>
      </c>
      <c r="AQ81" s="7">
        <f t="shared" si="20"/>
        <v>-0.28261149971201743</v>
      </c>
      <c r="AR81" s="7">
        <f t="shared" si="21"/>
        <v>0.28261149971201743</v>
      </c>
      <c r="AS81" s="7">
        <f t="shared" si="22"/>
        <v>5.333333333333333</v>
      </c>
      <c r="AT81" s="184">
        <f t="shared" si="23"/>
        <v>0.5</v>
      </c>
      <c r="AU81" s="7"/>
      <c r="AV81" s="7"/>
      <c r="AW81" s="7"/>
      <c r="AX81" s="7" t="s">
        <v>1809</v>
      </c>
      <c r="AY81" s="7" t="s">
        <v>1509</v>
      </c>
      <c r="BD81" s="188"/>
    </row>
    <row r="82" spans="1:56">
      <c r="A82" s="7" t="s">
        <v>33</v>
      </c>
      <c r="B82" s="7" t="s">
        <v>34</v>
      </c>
      <c r="C82" s="7" t="s">
        <v>61</v>
      </c>
      <c r="D82" s="7" t="s">
        <v>62</v>
      </c>
      <c r="E82" s="7" t="s">
        <v>1807</v>
      </c>
      <c r="F82" s="7" t="s">
        <v>1733</v>
      </c>
      <c r="G82" s="7" t="s">
        <v>1808</v>
      </c>
      <c r="H82" s="7" t="s">
        <v>4180</v>
      </c>
      <c r="I82" s="100">
        <f>((AVERAGE(100,250)/1000))</f>
        <v>0.17499999999999999</v>
      </c>
      <c r="J82" s="100">
        <f t="shared" si="14"/>
        <v>175</v>
      </c>
      <c r="K82" s="100">
        <f t="shared" si="15"/>
        <v>2.2430380486862944</v>
      </c>
      <c r="L82" s="73" t="s">
        <v>1517</v>
      </c>
      <c r="M82" s="7" t="s">
        <v>1809</v>
      </c>
      <c r="N82" s="7" t="s">
        <v>1538</v>
      </c>
      <c r="O82" s="7" t="s">
        <v>1505</v>
      </c>
      <c r="P82" s="108" t="s">
        <v>1492</v>
      </c>
      <c r="Q82" s="7" t="s">
        <v>1153</v>
      </c>
      <c r="R82" s="7">
        <v>50.7</v>
      </c>
      <c r="S82" s="7">
        <f t="shared" si="13"/>
        <v>50.7</v>
      </c>
      <c r="T82" s="7">
        <v>-86.05</v>
      </c>
      <c r="U82" s="7">
        <v>1</v>
      </c>
      <c r="V82" s="7">
        <v>14</v>
      </c>
      <c r="W82" s="7">
        <f t="shared" si="16"/>
        <v>1.146128035678238</v>
      </c>
      <c r="X82" s="7" t="s">
        <v>1779</v>
      </c>
      <c r="Y82" s="7" t="s">
        <v>1811</v>
      </c>
      <c r="Z82" s="7">
        <v>10</v>
      </c>
      <c r="AA82" s="7">
        <v>20</v>
      </c>
      <c r="AB82" s="7">
        <v>19.3</v>
      </c>
      <c r="AC82" s="7">
        <v>4</v>
      </c>
      <c r="AD82" s="7">
        <v>5</v>
      </c>
      <c r="AE82" s="7">
        <v>46</v>
      </c>
      <c r="AF82" s="7">
        <v>2.2999999999999998</v>
      </c>
      <c r="AG82" s="7">
        <v>6</v>
      </c>
      <c r="AH82" s="7">
        <v>10.7</v>
      </c>
      <c r="AI82" s="7">
        <v>1.5</v>
      </c>
      <c r="AJ82" s="7">
        <v>4</v>
      </c>
      <c r="AK82" s="7">
        <v>35.700000000000003</v>
      </c>
      <c r="AL82" s="7">
        <v>5</v>
      </c>
      <c r="AM82" s="7">
        <v>5</v>
      </c>
      <c r="AN82" s="7">
        <f t="shared" si="17"/>
        <v>2.383419689119171</v>
      </c>
      <c r="AO82" s="7">
        <f t="shared" si="18"/>
        <v>1.8497409326424872</v>
      </c>
      <c r="AP82" s="7">
        <f t="shared" si="19"/>
        <v>0.84974093264248718</v>
      </c>
      <c r="AQ82" s="7">
        <f t="shared" si="20"/>
        <v>-7.0202671000085579E-2</v>
      </c>
      <c r="AR82" s="7">
        <f t="shared" si="21"/>
        <v>7.0202671000085579E-2</v>
      </c>
      <c r="AS82" s="7">
        <f t="shared" si="22"/>
        <v>5.333333333333333</v>
      </c>
      <c r="AT82" s="184">
        <f t="shared" si="23"/>
        <v>3.7666666666666671</v>
      </c>
      <c r="AU82" s="7"/>
      <c r="AV82" s="7" t="s">
        <v>1812</v>
      </c>
      <c r="AW82" s="7"/>
      <c r="AX82" s="7" t="s">
        <v>1809</v>
      </c>
      <c r="AY82" s="7" t="s">
        <v>1509</v>
      </c>
      <c r="BD82" s="188"/>
    </row>
    <row r="83" spans="1:56">
      <c r="A83" s="7" t="s">
        <v>33</v>
      </c>
      <c r="B83" s="7" t="s">
        <v>34</v>
      </c>
      <c r="C83" s="7"/>
      <c r="D83" s="7" t="s">
        <v>1813</v>
      </c>
      <c r="E83" s="7" t="s">
        <v>1814</v>
      </c>
      <c r="F83" s="7" t="s">
        <v>1815</v>
      </c>
      <c r="G83" s="7" t="s">
        <v>1816</v>
      </c>
      <c r="H83" s="7" t="s">
        <v>4180</v>
      </c>
      <c r="I83" s="100">
        <f>(AVERAGE(20,249)/1000)</f>
        <v>0.13450000000000001</v>
      </c>
      <c r="J83" s="100">
        <f t="shared" si="14"/>
        <v>134.5</v>
      </c>
      <c r="K83" s="100">
        <f t="shared" si="15"/>
        <v>2.1287222843384268</v>
      </c>
      <c r="L83" s="73" t="s">
        <v>1517</v>
      </c>
      <c r="M83" s="7" t="s">
        <v>1817</v>
      </c>
      <c r="N83" s="7" t="s">
        <v>1538</v>
      </c>
      <c r="O83" s="7" t="s">
        <v>1505</v>
      </c>
      <c r="P83" s="108" t="s">
        <v>1492</v>
      </c>
      <c r="Q83" s="7" t="s">
        <v>1818</v>
      </c>
      <c r="R83" s="7">
        <v>22</v>
      </c>
      <c r="S83" s="7">
        <f t="shared" si="13"/>
        <v>22</v>
      </c>
      <c r="T83" s="7">
        <v>47.4</v>
      </c>
      <c r="U83" s="7">
        <v>1</v>
      </c>
      <c r="V83" s="7">
        <v>28</v>
      </c>
      <c r="W83" s="7">
        <f t="shared" si="16"/>
        <v>1.4471580313422192</v>
      </c>
      <c r="X83" s="7" t="s">
        <v>1779</v>
      </c>
      <c r="Y83" s="7" t="s">
        <v>1781</v>
      </c>
      <c r="Z83" s="7">
        <v>15</v>
      </c>
      <c r="AA83" s="7">
        <v>25</v>
      </c>
      <c r="AB83" s="108">
        <v>1.7194375</v>
      </c>
      <c r="AC83" s="108">
        <v>0.37514999999999998</v>
      </c>
      <c r="AD83" s="108">
        <v>10</v>
      </c>
      <c r="AE83" s="108">
        <v>5.9398749999999998</v>
      </c>
      <c r="AF83" s="108">
        <v>0.78156250000000005</v>
      </c>
      <c r="AG83" s="108">
        <v>10</v>
      </c>
      <c r="AH83" s="108">
        <v>0.62524999999999997</v>
      </c>
      <c r="AI83" s="108">
        <v>0.25009999999999999</v>
      </c>
      <c r="AJ83" s="108">
        <v>10</v>
      </c>
      <c r="AK83" s="108">
        <v>3.4388749999999999</v>
      </c>
      <c r="AL83" s="108">
        <v>0.25009999999999999</v>
      </c>
      <c r="AM83" s="108">
        <v>10</v>
      </c>
      <c r="AN83" s="7">
        <f t="shared" si="17"/>
        <v>3.4545454545454546</v>
      </c>
      <c r="AO83" s="7">
        <f t="shared" si="18"/>
        <v>2</v>
      </c>
      <c r="AP83" s="7">
        <f t="shared" si="19"/>
        <v>1</v>
      </c>
      <c r="AQ83" s="7">
        <f t="shared" si="20"/>
        <v>4.340774793185929E-4</v>
      </c>
      <c r="AR83" s="7">
        <f t="shared" si="21"/>
        <v>-4.340774793185929E-4</v>
      </c>
      <c r="AS83" s="7">
        <f t="shared" si="22"/>
        <v>10</v>
      </c>
      <c r="AT83" s="184">
        <f t="shared" si="23"/>
        <v>0.46893750000000001</v>
      </c>
      <c r="AU83" s="108"/>
      <c r="AV83" s="7"/>
      <c r="AW83" s="7"/>
      <c r="AX83" s="7" t="s">
        <v>1817</v>
      </c>
      <c r="AY83" s="7" t="s">
        <v>1509</v>
      </c>
      <c r="BD83" s="188"/>
    </row>
    <row r="84" spans="1:56">
      <c r="A84" s="7" t="s">
        <v>33</v>
      </c>
      <c r="B84" s="7" t="s">
        <v>34</v>
      </c>
      <c r="C84" s="7"/>
      <c r="D84" s="7" t="s">
        <v>1813</v>
      </c>
      <c r="E84" s="7" t="s">
        <v>1814</v>
      </c>
      <c r="F84" s="7" t="s">
        <v>1815</v>
      </c>
      <c r="G84" s="7" t="s">
        <v>1816</v>
      </c>
      <c r="H84" s="7" t="s">
        <v>4180</v>
      </c>
      <c r="I84" s="100">
        <f>(AVERAGE(20,249)/1000)</f>
        <v>0.13450000000000001</v>
      </c>
      <c r="J84" s="100">
        <f t="shared" si="14"/>
        <v>134.5</v>
      </c>
      <c r="K84" s="100">
        <f t="shared" si="15"/>
        <v>2.1287222843384268</v>
      </c>
      <c r="L84" s="73" t="s">
        <v>1517</v>
      </c>
      <c r="M84" s="7" t="s">
        <v>1817</v>
      </c>
      <c r="N84" s="7" t="s">
        <v>1538</v>
      </c>
      <c r="O84" s="7" t="s">
        <v>1505</v>
      </c>
      <c r="P84" s="108" t="s">
        <v>1492</v>
      </c>
      <c r="Q84" s="7" t="s">
        <v>1818</v>
      </c>
      <c r="R84" s="7">
        <v>22</v>
      </c>
      <c r="S84" s="7">
        <f t="shared" si="13"/>
        <v>22</v>
      </c>
      <c r="T84" s="7">
        <v>47.4</v>
      </c>
      <c r="U84" s="7">
        <v>1</v>
      </c>
      <c r="V84" s="7">
        <v>28</v>
      </c>
      <c r="W84" s="7">
        <f t="shared" si="16"/>
        <v>1.4471580313422192</v>
      </c>
      <c r="X84" s="7" t="s">
        <v>1779</v>
      </c>
      <c r="Y84" s="7" t="s">
        <v>1781</v>
      </c>
      <c r="Z84" s="7">
        <v>25</v>
      </c>
      <c r="AA84" s="7">
        <v>35</v>
      </c>
      <c r="AB84" s="108">
        <v>3.4388749999999999</v>
      </c>
      <c r="AC84" s="108">
        <v>0.31262499999999999</v>
      </c>
      <c r="AD84" s="108">
        <v>10</v>
      </c>
      <c r="AE84" s="108">
        <v>14.380750000000003</v>
      </c>
      <c r="AF84" s="108">
        <v>2.5009999999999999</v>
      </c>
      <c r="AG84" s="108">
        <v>10</v>
      </c>
      <c r="AH84" s="108">
        <v>2.3446875</v>
      </c>
      <c r="AI84" s="108">
        <v>0.37514999999999998</v>
      </c>
      <c r="AJ84" s="108">
        <v>10</v>
      </c>
      <c r="AK84" s="108">
        <v>8.7535000000000007</v>
      </c>
      <c r="AL84" s="108">
        <v>1.5631250000000001</v>
      </c>
      <c r="AM84" s="108">
        <v>10</v>
      </c>
      <c r="AN84" s="7">
        <f t="shared" si="17"/>
        <v>4.1818181818181825</v>
      </c>
      <c r="AO84" s="7">
        <f t="shared" si="18"/>
        <v>2.5454545454545459</v>
      </c>
      <c r="AP84" s="7">
        <f t="shared" si="19"/>
        <v>1.5454545454545459</v>
      </c>
      <c r="AQ84" s="7">
        <f t="shared" si="20"/>
        <v>0.1893371594194555</v>
      </c>
      <c r="AR84" s="7">
        <f t="shared" si="21"/>
        <v>-0.1893371594194555</v>
      </c>
      <c r="AS84" s="7">
        <f t="shared" si="22"/>
        <v>10</v>
      </c>
      <c r="AT84" s="184">
        <f t="shared" si="23"/>
        <v>1.4589166666666669</v>
      </c>
      <c r="AU84" s="108"/>
      <c r="AV84" s="7"/>
      <c r="AW84" s="7"/>
      <c r="AX84" s="7" t="s">
        <v>1819</v>
      </c>
      <c r="AY84" s="7" t="s">
        <v>1509</v>
      </c>
      <c r="BD84" s="188"/>
    </row>
    <row r="85" spans="1:56">
      <c r="A85" s="7" t="s">
        <v>33</v>
      </c>
      <c r="B85" s="7" t="s">
        <v>75</v>
      </c>
      <c r="C85" s="7" t="s">
        <v>76</v>
      </c>
      <c r="D85" s="7" t="s">
        <v>389</v>
      </c>
      <c r="E85" s="7" t="s">
        <v>390</v>
      </c>
      <c r="F85" s="7" t="s">
        <v>404</v>
      </c>
      <c r="G85" s="7" t="s">
        <v>1820</v>
      </c>
      <c r="H85" s="7" t="s">
        <v>4181</v>
      </c>
      <c r="I85" s="100">
        <v>0.10100000000000001</v>
      </c>
      <c r="J85" s="100">
        <f t="shared" si="14"/>
        <v>101</v>
      </c>
      <c r="K85" s="100">
        <f t="shared" si="15"/>
        <v>2.0043213737826426</v>
      </c>
      <c r="L85" s="73" t="s">
        <v>1517</v>
      </c>
      <c r="M85" s="107" t="s">
        <v>1821</v>
      </c>
      <c r="N85" s="7" t="s">
        <v>1640</v>
      </c>
      <c r="O85" s="7" t="s">
        <v>1822</v>
      </c>
      <c r="P85" s="108" t="s">
        <v>1492</v>
      </c>
      <c r="Q85" s="7" t="s">
        <v>1823</v>
      </c>
      <c r="R85" s="7">
        <v>9.3166670000000007</v>
      </c>
      <c r="S85" s="7">
        <f t="shared" si="13"/>
        <v>9.3166670000000007</v>
      </c>
      <c r="T85" s="7">
        <v>123.3</v>
      </c>
      <c r="U85" s="7">
        <v>1</v>
      </c>
      <c r="V85" s="7">
        <v>8</v>
      </c>
      <c r="W85" s="7">
        <f t="shared" si="16"/>
        <v>0.90308998699194354</v>
      </c>
      <c r="X85" s="7" t="s">
        <v>1779</v>
      </c>
      <c r="Y85" s="7" t="s">
        <v>1781</v>
      </c>
      <c r="Z85" s="7">
        <v>20</v>
      </c>
      <c r="AA85" s="7">
        <v>30</v>
      </c>
      <c r="AB85" s="7">
        <v>7.0000000000000007E-2</v>
      </c>
      <c r="AC85" s="7">
        <v>0.01</v>
      </c>
      <c r="AD85" s="7">
        <v>6</v>
      </c>
      <c r="AE85" s="7">
        <v>0.23499999999999999</v>
      </c>
      <c r="AF85" s="7">
        <v>0.05</v>
      </c>
      <c r="AG85" s="7">
        <v>6</v>
      </c>
      <c r="AH85" s="7">
        <v>0.08</v>
      </c>
      <c r="AI85" s="7">
        <v>1.4999999999999999E-2</v>
      </c>
      <c r="AJ85" s="7">
        <v>6</v>
      </c>
      <c r="AK85" s="7">
        <v>0.14000000000000001</v>
      </c>
      <c r="AL85" s="7">
        <v>0.05</v>
      </c>
      <c r="AM85" s="7">
        <v>6</v>
      </c>
      <c r="AN85" s="7">
        <f t="shared" si="17"/>
        <v>3.3571428571428568</v>
      </c>
      <c r="AO85" s="7">
        <f t="shared" si="18"/>
        <v>2</v>
      </c>
      <c r="AP85" s="7">
        <f t="shared" si="19"/>
        <v>1</v>
      </c>
      <c r="AQ85" s="7">
        <f t="shared" si="20"/>
        <v>4.340774793185929E-4</v>
      </c>
      <c r="AR85" s="7">
        <f t="shared" si="21"/>
        <v>-4.340774793185929E-4</v>
      </c>
      <c r="AS85" s="7">
        <f t="shared" si="22"/>
        <v>6</v>
      </c>
      <c r="AT85" s="184">
        <f t="shared" si="23"/>
        <v>3.6666666666666674E-2</v>
      </c>
      <c r="AU85" s="7"/>
      <c r="AV85" s="7" t="s">
        <v>1824</v>
      </c>
      <c r="AW85" s="7" t="s">
        <v>1825</v>
      </c>
      <c r="AX85" s="107" t="s">
        <v>1821</v>
      </c>
      <c r="AY85" s="7" t="s">
        <v>1509</v>
      </c>
      <c r="BD85" s="188"/>
    </row>
    <row r="86" spans="1:56">
      <c r="A86" s="7" t="s">
        <v>33</v>
      </c>
      <c r="B86" s="7" t="s">
        <v>43</v>
      </c>
      <c r="C86" s="7" t="s">
        <v>1550</v>
      </c>
      <c r="D86" s="7" t="s">
        <v>1826</v>
      </c>
      <c r="E86" s="7" t="s">
        <v>1827</v>
      </c>
      <c r="F86" s="7" t="s">
        <v>1828</v>
      </c>
      <c r="G86" s="7" t="s">
        <v>1829</v>
      </c>
      <c r="H86" s="7" t="s">
        <v>4184</v>
      </c>
      <c r="I86" s="100">
        <f>100/1000</f>
        <v>0.1</v>
      </c>
      <c r="J86" s="100">
        <f t="shared" si="14"/>
        <v>100</v>
      </c>
      <c r="K86" s="100">
        <f t="shared" si="15"/>
        <v>2</v>
      </c>
      <c r="L86" s="73" t="s">
        <v>1517</v>
      </c>
      <c r="M86" s="7" t="s">
        <v>1830</v>
      </c>
      <c r="N86" s="7" t="s">
        <v>1538</v>
      </c>
      <c r="O86" s="7" t="s">
        <v>1505</v>
      </c>
      <c r="P86" s="108" t="s">
        <v>1539</v>
      </c>
      <c r="Q86" s="7" t="s">
        <v>1831</v>
      </c>
      <c r="R86" s="7">
        <v>35.450000000000003</v>
      </c>
      <c r="S86" s="7">
        <f t="shared" si="13"/>
        <v>35.450000000000003</v>
      </c>
      <c r="T86" s="7">
        <v>95</v>
      </c>
      <c r="U86" s="7">
        <v>1</v>
      </c>
      <c r="V86" s="7">
        <v>186</v>
      </c>
      <c r="W86" s="7">
        <f t="shared" si="16"/>
        <v>2.2695129442179165</v>
      </c>
      <c r="X86" s="7" t="s">
        <v>1779</v>
      </c>
      <c r="Y86" s="7" t="s">
        <v>1781</v>
      </c>
      <c r="Z86" s="7">
        <v>25</v>
      </c>
      <c r="AA86" s="7">
        <v>30</v>
      </c>
      <c r="AB86" s="108">
        <v>2.5389487917952631</v>
      </c>
      <c r="AC86" s="108">
        <v>0.67554446758755671</v>
      </c>
      <c r="AD86" s="108">
        <v>11</v>
      </c>
      <c r="AE86" s="108">
        <v>3.4249476809327351</v>
      </c>
      <c r="AF86" s="108">
        <v>0.66781157401205327</v>
      </c>
      <c r="AG86" s="108">
        <v>11</v>
      </c>
      <c r="AH86" s="108">
        <v>0.97852231841346082</v>
      </c>
      <c r="AI86" s="108">
        <v>0.39406760609274138</v>
      </c>
      <c r="AJ86" s="108">
        <v>14</v>
      </c>
      <c r="AK86" s="108">
        <v>1.4810534618805702</v>
      </c>
      <c r="AL86" s="108">
        <v>0.39863069391280004</v>
      </c>
      <c r="AM86" s="108">
        <v>14</v>
      </c>
      <c r="AN86" s="7">
        <f t="shared" si="17"/>
        <v>1.8197008586099845</v>
      </c>
      <c r="AO86" s="7">
        <f t="shared" si="18"/>
        <v>0.34027777777777785</v>
      </c>
      <c r="AP86" s="7">
        <f t="shared" si="19"/>
        <v>0.6597222222222221</v>
      </c>
      <c r="AQ86" s="7">
        <f t="shared" si="20"/>
        <v>-0.17998108622000372</v>
      </c>
      <c r="AR86" s="7">
        <f t="shared" si="21"/>
        <v>0.17998108622000372</v>
      </c>
      <c r="AS86" s="7">
        <f t="shared" si="22"/>
        <v>12</v>
      </c>
      <c r="AT86" s="184">
        <f t="shared" si="23"/>
        <v>0.58066224517080334</v>
      </c>
      <c r="AU86" s="108"/>
      <c r="AV86" s="7" t="s">
        <v>1832</v>
      </c>
      <c r="AW86" s="7"/>
      <c r="AX86" s="7" t="s">
        <v>1830</v>
      </c>
      <c r="AY86" s="7" t="s">
        <v>1509</v>
      </c>
      <c r="BD86" s="188"/>
    </row>
    <row r="87" spans="1:56">
      <c r="A87" s="7" t="s">
        <v>33</v>
      </c>
      <c r="B87" s="7" t="s">
        <v>34</v>
      </c>
      <c r="C87" s="7" t="s">
        <v>282</v>
      </c>
      <c r="D87" s="7" t="s">
        <v>1541</v>
      </c>
      <c r="E87" s="7" t="s">
        <v>1542</v>
      </c>
      <c r="F87" s="7" t="s">
        <v>1543</v>
      </c>
      <c r="G87" s="7" t="s">
        <v>1544</v>
      </c>
      <c r="H87" s="7" t="s">
        <v>4180</v>
      </c>
      <c r="I87" s="100">
        <f>93.3/1000</f>
        <v>9.3299999999999994E-2</v>
      </c>
      <c r="J87" s="100">
        <f t="shared" si="14"/>
        <v>93.3</v>
      </c>
      <c r="K87" s="100">
        <f t="shared" si="15"/>
        <v>1.9698816437464999</v>
      </c>
      <c r="L87" s="73" t="s">
        <v>1517</v>
      </c>
      <c r="M87" s="7" t="s">
        <v>1545</v>
      </c>
      <c r="N87" s="7" t="s">
        <v>1504</v>
      </c>
      <c r="O87" s="7" t="s">
        <v>1505</v>
      </c>
      <c r="P87" s="108" t="s">
        <v>1492</v>
      </c>
      <c r="Q87" s="7" t="s">
        <v>1546</v>
      </c>
      <c r="R87" s="7">
        <v>77.849999999999994</v>
      </c>
      <c r="S87" s="7">
        <f t="shared" si="13"/>
        <v>77.849999999999994</v>
      </c>
      <c r="T87" s="7">
        <v>166.75</v>
      </c>
      <c r="U87" s="7">
        <v>1</v>
      </c>
      <c r="V87" s="7">
        <v>28</v>
      </c>
      <c r="W87" s="7">
        <f t="shared" si="16"/>
        <v>1.4471580313422192</v>
      </c>
      <c r="X87" s="7" t="s">
        <v>1779</v>
      </c>
      <c r="Y87" s="7" t="s">
        <v>1778</v>
      </c>
      <c r="Z87" s="7">
        <v>-1</v>
      </c>
      <c r="AA87" s="7">
        <v>4</v>
      </c>
      <c r="AB87" s="108">
        <v>98.4</v>
      </c>
      <c r="AC87" s="7">
        <v>5</v>
      </c>
      <c r="AD87" s="7">
        <v>8</v>
      </c>
      <c r="AE87" s="7">
        <v>87</v>
      </c>
      <c r="AF87" s="7">
        <v>10</v>
      </c>
      <c r="AG87" s="7">
        <v>8</v>
      </c>
      <c r="AH87" s="7">
        <v>69</v>
      </c>
      <c r="AI87" s="7">
        <v>8</v>
      </c>
      <c r="AJ87" s="7">
        <v>8</v>
      </c>
      <c r="AK87" s="108">
        <v>98.4</v>
      </c>
      <c r="AL87" s="7">
        <v>9.1</v>
      </c>
      <c r="AM87" s="108">
        <v>8</v>
      </c>
      <c r="AN87" s="7">
        <f t="shared" si="17"/>
        <v>0.78171475312314076</v>
      </c>
      <c r="AO87" s="7">
        <f t="shared" si="18"/>
        <v>1</v>
      </c>
      <c r="AP87" s="7">
        <f t="shared" si="19"/>
        <v>0</v>
      </c>
      <c r="AQ87" s="7">
        <f t="shared" si="20"/>
        <v>-3</v>
      </c>
      <c r="AR87" s="7">
        <f t="shared" si="21"/>
        <v>3</v>
      </c>
      <c r="AS87" s="7">
        <f t="shared" si="22"/>
        <v>8</v>
      </c>
      <c r="AT87" s="184">
        <f t="shared" si="23"/>
        <v>8.0333333333333332</v>
      </c>
      <c r="AU87" s="108"/>
      <c r="AV87" s="7"/>
      <c r="AW87" s="7"/>
      <c r="AX87" s="7" t="s">
        <v>1833</v>
      </c>
      <c r="AY87" s="7" t="s">
        <v>1509</v>
      </c>
      <c r="BD87" s="188"/>
    </row>
    <row r="88" spans="1:56">
      <c r="A88" s="7" t="s">
        <v>33</v>
      </c>
      <c r="B88" s="7" t="s">
        <v>34</v>
      </c>
      <c r="C88" s="7" t="s">
        <v>1834</v>
      </c>
      <c r="D88" s="7" t="s">
        <v>1835</v>
      </c>
      <c r="E88" s="7" t="s">
        <v>1836</v>
      </c>
      <c r="F88" s="7" t="s">
        <v>549</v>
      </c>
      <c r="G88" s="7" t="s">
        <v>1837</v>
      </c>
      <c r="H88" s="7" t="s">
        <v>4180</v>
      </c>
      <c r="I88" s="100">
        <f>84.7/1000</f>
        <v>8.4699999999999998E-2</v>
      </c>
      <c r="J88" s="100">
        <f t="shared" si="14"/>
        <v>84.7</v>
      </c>
      <c r="K88" s="100">
        <f t="shared" si="15"/>
        <v>1.927883410330707</v>
      </c>
      <c r="L88" s="73" t="s">
        <v>1517</v>
      </c>
      <c r="M88" s="7" t="s">
        <v>1838</v>
      </c>
      <c r="N88" s="110" t="s">
        <v>1538</v>
      </c>
      <c r="O88" s="110" t="s">
        <v>1494</v>
      </c>
      <c r="P88" s="108" t="s">
        <v>1539</v>
      </c>
      <c r="Q88" s="110" t="s">
        <v>1839</v>
      </c>
      <c r="R88" s="110">
        <v>29.55</v>
      </c>
      <c r="S88" s="7">
        <f t="shared" si="13"/>
        <v>29.55</v>
      </c>
      <c r="T88" s="110">
        <v>106.55</v>
      </c>
      <c r="U88" s="7">
        <v>1</v>
      </c>
      <c r="V88" s="7">
        <v>14</v>
      </c>
      <c r="W88" s="7">
        <f t="shared" si="16"/>
        <v>1.146128035678238</v>
      </c>
      <c r="X88" s="7" t="s">
        <v>1779</v>
      </c>
      <c r="Y88" s="7" t="s">
        <v>1781</v>
      </c>
      <c r="Z88" s="7">
        <v>12.5</v>
      </c>
      <c r="AA88" s="7">
        <v>27.5</v>
      </c>
      <c r="AB88" s="108">
        <v>24.86</v>
      </c>
      <c r="AC88" s="108">
        <v>3.02</v>
      </c>
      <c r="AD88" s="110">
        <v>8</v>
      </c>
      <c r="AE88" s="7">
        <v>84.1</v>
      </c>
      <c r="AF88" s="7">
        <v>3.96</v>
      </c>
      <c r="AG88" s="110">
        <v>8</v>
      </c>
      <c r="AH88" s="7">
        <v>22.89</v>
      </c>
      <c r="AI88" s="7">
        <v>2.91</v>
      </c>
      <c r="AJ88" s="110">
        <v>8</v>
      </c>
      <c r="AK88" s="7">
        <v>75.13</v>
      </c>
      <c r="AL88" s="7">
        <v>3.08</v>
      </c>
      <c r="AM88" s="110">
        <v>8</v>
      </c>
      <c r="AN88" s="7">
        <f t="shared" si="17"/>
        <v>2.2535295002710609</v>
      </c>
      <c r="AO88" s="7">
        <f t="shared" si="18"/>
        <v>2.0902978620145283</v>
      </c>
      <c r="AP88" s="7">
        <f t="shared" si="19"/>
        <v>1.0902978620145283</v>
      </c>
      <c r="AQ88" s="7">
        <f t="shared" si="20"/>
        <v>3.7943304368128893E-2</v>
      </c>
      <c r="AR88" s="7">
        <f t="shared" si="21"/>
        <v>-3.7943304368128893E-2</v>
      </c>
      <c r="AS88" s="7">
        <f t="shared" si="22"/>
        <v>8</v>
      </c>
      <c r="AT88" s="184">
        <f t="shared" si="23"/>
        <v>3.3533333333333335</v>
      </c>
      <c r="AU88" s="110"/>
      <c r="AV88" s="7"/>
      <c r="AW88" s="7"/>
      <c r="AX88" s="7" t="s">
        <v>1838</v>
      </c>
      <c r="AY88" s="7" t="s">
        <v>1509</v>
      </c>
      <c r="BD88" s="188"/>
    </row>
    <row r="89" spans="1:56">
      <c r="A89" s="7" t="s">
        <v>33</v>
      </c>
      <c r="B89" s="7" t="s">
        <v>34</v>
      </c>
      <c r="C89" s="7" t="s">
        <v>282</v>
      </c>
      <c r="D89" s="7" t="s">
        <v>1840</v>
      </c>
      <c r="E89" s="7" t="s">
        <v>1841</v>
      </c>
      <c r="F89" s="7" t="s">
        <v>1842</v>
      </c>
      <c r="G89" s="7" t="s">
        <v>1843</v>
      </c>
      <c r="H89" s="7" t="s">
        <v>4180</v>
      </c>
      <c r="I89" s="100">
        <f>84/1000</f>
        <v>8.4000000000000005E-2</v>
      </c>
      <c r="J89" s="100">
        <f t="shared" si="14"/>
        <v>84</v>
      </c>
      <c r="K89" s="100">
        <f t="shared" si="15"/>
        <v>1.9242792860618816</v>
      </c>
      <c r="L89" s="73" t="s">
        <v>1517</v>
      </c>
      <c r="M89" s="7" t="s">
        <v>1844</v>
      </c>
      <c r="N89" s="7" t="s">
        <v>1504</v>
      </c>
      <c r="O89" s="7" t="s">
        <v>1505</v>
      </c>
      <c r="P89" s="108" t="s">
        <v>1492</v>
      </c>
      <c r="Q89" s="7" t="s">
        <v>1519</v>
      </c>
      <c r="R89" s="7">
        <v>54.15</v>
      </c>
      <c r="S89" s="7">
        <f t="shared" si="13"/>
        <v>54.15</v>
      </c>
      <c r="T89" s="7">
        <v>7.9</v>
      </c>
      <c r="U89" s="7">
        <v>1</v>
      </c>
      <c r="V89" s="7">
        <v>56</v>
      </c>
      <c r="W89" s="7">
        <f t="shared" si="16"/>
        <v>1.7481880270062005</v>
      </c>
      <c r="X89" s="7" t="s">
        <v>1779</v>
      </c>
      <c r="Y89" s="7" t="s">
        <v>1781</v>
      </c>
      <c r="Z89" s="7">
        <v>3</v>
      </c>
      <c r="AA89" s="7">
        <v>12</v>
      </c>
      <c r="AB89" s="7">
        <v>0.16666666666666666</v>
      </c>
      <c r="AC89" s="7">
        <v>3.3333333333333333E-2</v>
      </c>
      <c r="AD89" s="110">
        <v>5</v>
      </c>
      <c r="AE89" s="7">
        <v>0.43333333333333335</v>
      </c>
      <c r="AF89" s="7">
        <v>0.13333333333333333</v>
      </c>
      <c r="AG89" s="110">
        <v>5</v>
      </c>
      <c r="AH89" s="7">
        <v>0.05</v>
      </c>
      <c r="AI89" s="7">
        <v>2.5000000000000001E-2</v>
      </c>
      <c r="AJ89" s="110">
        <v>5</v>
      </c>
      <c r="AK89" s="7">
        <v>0.25</v>
      </c>
      <c r="AL89" s="7">
        <v>0.15</v>
      </c>
      <c r="AM89" s="110">
        <v>5</v>
      </c>
      <c r="AN89" s="7">
        <f t="shared" si="17"/>
        <v>2.8912223852257632</v>
      </c>
      <c r="AO89" s="7">
        <f t="shared" si="18"/>
        <v>1.5691228779648219</v>
      </c>
      <c r="AP89" s="7">
        <f t="shared" si="19"/>
        <v>0.56912287796482186</v>
      </c>
      <c r="AQ89" s="7">
        <f t="shared" si="20"/>
        <v>-0.24403153122087307</v>
      </c>
      <c r="AR89" s="7">
        <f t="shared" si="21"/>
        <v>0.24403153122087307</v>
      </c>
      <c r="AS89" s="7">
        <f t="shared" si="22"/>
        <v>5</v>
      </c>
      <c r="AT89" s="184">
        <f t="shared" si="23"/>
        <v>0.10555555555555556</v>
      </c>
      <c r="AU89" s="110"/>
      <c r="AV89" s="7"/>
      <c r="AW89" s="7"/>
      <c r="AX89" s="7" t="s">
        <v>1844</v>
      </c>
      <c r="AY89" s="7" t="s">
        <v>1509</v>
      </c>
      <c r="BD89" s="188"/>
    </row>
    <row r="90" spans="1:56">
      <c r="A90" s="7" t="s">
        <v>33</v>
      </c>
      <c r="B90" s="7" t="s">
        <v>75</v>
      </c>
      <c r="C90" s="7" t="s">
        <v>76</v>
      </c>
      <c r="D90" s="7" t="s">
        <v>389</v>
      </c>
      <c r="E90" s="7" t="s">
        <v>390</v>
      </c>
      <c r="F90" s="7" t="s">
        <v>447</v>
      </c>
      <c r="G90" s="7" t="s">
        <v>1845</v>
      </c>
      <c r="H90" s="7" t="s">
        <v>4181</v>
      </c>
      <c r="I90" s="100">
        <v>6.9000000000000006E-2</v>
      </c>
      <c r="J90" s="100">
        <f t="shared" si="14"/>
        <v>69</v>
      </c>
      <c r="K90" s="100">
        <f t="shared" si="15"/>
        <v>1.8388490907372552</v>
      </c>
      <c r="L90" s="73" t="s">
        <v>1517</v>
      </c>
      <c r="M90" s="7" t="s">
        <v>1846</v>
      </c>
      <c r="N90" s="7" t="s">
        <v>1538</v>
      </c>
      <c r="O90" s="7" t="s">
        <v>1505</v>
      </c>
      <c r="P90" s="108" t="s">
        <v>1492</v>
      </c>
      <c r="Q90" s="7" t="s">
        <v>1847</v>
      </c>
      <c r="R90" s="7">
        <v>33.216388999999999</v>
      </c>
      <c r="S90" s="7">
        <f t="shared" si="13"/>
        <v>33.216388999999999</v>
      </c>
      <c r="T90" s="7">
        <v>-97.129166999999995</v>
      </c>
      <c r="U90" s="7">
        <v>1</v>
      </c>
      <c r="V90" s="7">
        <v>21</v>
      </c>
      <c r="W90" s="7">
        <f t="shared" si="16"/>
        <v>1.3222192947339193</v>
      </c>
      <c r="X90" s="7" t="s">
        <v>1779</v>
      </c>
      <c r="Y90" s="7" t="s">
        <v>1781</v>
      </c>
      <c r="Z90" s="7">
        <v>10</v>
      </c>
      <c r="AA90" s="7">
        <v>20</v>
      </c>
      <c r="AB90" s="7">
        <v>18.899999999999999</v>
      </c>
      <c r="AC90" s="7">
        <v>1</v>
      </c>
      <c r="AD90" s="7">
        <v>40</v>
      </c>
      <c r="AE90" s="7">
        <v>60.6</v>
      </c>
      <c r="AF90" s="7">
        <v>4.4000000000000004</v>
      </c>
      <c r="AG90" s="7">
        <v>40</v>
      </c>
      <c r="AH90" s="7">
        <v>22.5</v>
      </c>
      <c r="AI90" s="7">
        <v>1.5</v>
      </c>
      <c r="AJ90" s="7">
        <v>40</v>
      </c>
      <c r="AK90" s="7">
        <v>68.099999999999994</v>
      </c>
      <c r="AL90" s="7">
        <v>7.8</v>
      </c>
      <c r="AM90" s="7">
        <v>40</v>
      </c>
      <c r="AN90" s="7">
        <f t="shared" si="17"/>
        <v>3.2063492063492065</v>
      </c>
      <c r="AO90" s="7">
        <f t="shared" si="18"/>
        <v>3.6031746031746033</v>
      </c>
      <c r="AP90" s="7">
        <f t="shared" si="19"/>
        <v>2.6031746031746033</v>
      </c>
      <c r="AQ90" s="7">
        <f t="shared" si="20"/>
        <v>0.41567009919458764</v>
      </c>
      <c r="AR90" s="7">
        <f t="shared" si="21"/>
        <v>-0.41567009919458764</v>
      </c>
      <c r="AS90" s="7">
        <f t="shared" si="22"/>
        <v>40</v>
      </c>
      <c r="AT90" s="184">
        <f t="shared" si="23"/>
        <v>4.3999999999999995</v>
      </c>
      <c r="AU90" s="7"/>
      <c r="AV90" s="7" t="s">
        <v>1796</v>
      </c>
      <c r="AW90" s="7"/>
      <c r="AX90" s="7" t="s">
        <v>1846</v>
      </c>
      <c r="AY90" s="7" t="s">
        <v>1509</v>
      </c>
      <c r="BD90" s="188"/>
    </row>
    <row r="91" spans="1:56">
      <c r="A91" s="7" t="s">
        <v>33</v>
      </c>
      <c r="B91" s="7" t="s">
        <v>75</v>
      </c>
      <c r="C91" s="7" t="s">
        <v>348</v>
      </c>
      <c r="D91" s="7" t="s">
        <v>349</v>
      </c>
      <c r="E91" s="7" t="s">
        <v>350</v>
      </c>
      <c r="F91" s="7" t="s">
        <v>351</v>
      </c>
      <c r="G91" s="7" t="s">
        <v>1848</v>
      </c>
      <c r="H91" s="7" t="s">
        <v>4181</v>
      </c>
      <c r="I91" s="100">
        <f>AVERAGE(I88:I90)</f>
        <v>7.9233333333333336E-2</v>
      </c>
      <c r="J91" s="100">
        <f t="shared" si="14"/>
        <v>79.233333333333334</v>
      </c>
      <c r="K91" s="100">
        <f t="shared" si="15"/>
        <v>1.8989079270085178</v>
      </c>
      <c r="L91" s="73" t="s">
        <v>1517</v>
      </c>
      <c r="M91" s="7" t="s">
        <v>1849</v>
      </c>
      <c r="N91" s="7" t="s">
        <v>1640</v>
      </c>
      <c r="O91" s="7" t="s">
        <v>1505</v>
      </c>
      <c r="P91" s="108" t="s">
        <v>1492</v>
      </c>
      <c r="Q91" s="7" t="s">
        <v>1850</v>
      </c>
      <c r="R91" s="7">
        <v>40.5</v>
      </c>
      <c r="S91" s="7">
        <f t="shared" si="13"/>
        <v>40.5</v>
      </c>
      <c r="T91" s="7">
        <v>-82.5</v>
      </c>
      <c r="U91" s="7">
        <v>1</v>
      </c>
      <c r="V91" s="7">
        <v>21</v>
      </c>
      <c r="W91" s="7">
        <f t="shared" si="16"/>
        <v>1.3222192947339193</v>
      </c>
      <c r="X91" s="7" t="s">
        <v>1779</v>
      </c>
      <c r="Y91" s="7" t="s">
        <v>1781</v>
      </c>
      <c r="Z91" s="7">
        <v>10</v>
      </c>
      <c r="AA91" s="7">
        <v>20</v>
      </c>
      <c r="AB91" s="7">
        <v>31.42</v>
      </c>
      <c r="AC91" s="7">
        <v>1.5</v>
      </c>
      <c r="AD91" s="7">
        <v>33</v>
      </c>
      <c r="AE91" s="7">
        <v>69.2</v>
      </c>
      <c r="AF91" s="7">
        <v>1.6</v>
      </c>
      <c r="AG91" s="7">
        <v>21</v>
      </c>
      <c r="AH91" s="7">
        <v>22.39</v>
      </c>
      <c r="AI91" s="7">
        <v>1.1000000000000001</v>
      </c>
      <c r="AJ91" s="7">
        <v>23</v>
      </c>
      <c r="AK91" s="7">
        <v>50.71</v>
      </c>
      <c r="AL91" s="7">
        <v>1.83</v>
      </c>
      <c r="AM91" s="7">
        <v>29</v>
      </c>
      <c r="AN91" s="7">
        <f t="shared" si="17"/>
        <v>2.2024188415022277</v>
      </c>
      <c r="AO91" s="7">
        <f t="shared" si="18"/>
        <v>1.6139401654996817</v>
      </c>
      <c r="AP91" s="7">
        <f t="shared" si="19"/>
        <v>0.61394016549968167</v>
      </c>
      <c r="AQ91" s="7">
        <f t="shared" si="20"/>
        <v>-0.21116713960263353</v>
      </c>
      <c r="AR91" s="7">
        <f t="shared" si="21"/>
        <v>0.21116713960263353</v>
      </c>
      <c r="AS91" s="7">
        <f t="shared" si="22"/>
        <v>27.666666666666668</v>
      </c>
      <c r="AT91" s="184">
        <f t="shared" si="23"/>
        <v>1.6433333333333333</v>
      </c>
      <c r="AU91" s="7"/>
      <c r="AV91" s="7" t="s">
        <v>1796</v>
      </c>
      <c r="AW91" s="7"/>
      <c r="AX91" s="7" t="s">
        <v>1849</v>
      </c>
      <c r="AY91" s="7" t="s">
        <v>1509</v>
      </c>
      <c r="BD91" s="188"/>
    </row>
    <row r="92" spans="1:56">
      <c r="A92" s="7" t="s">
        <v>33</v>
      </c>
      <c r="B92" s="7" t="s">
        <v>75</v>
      </c>
      <c r="C92" s="7" t="s">
        <v>76</v>
      </c>
      <c r="D92" s="7" t="s">
        <v>389</v>
      </c>
      <c r="E92" s="7" t="s">
        <v>390</v>
      </c>
      <c r="F92" s="7" t="s">
        <v>447</v>
      </c>
      <c r="G92" s="7" t="s">
        <v>1845</v>
      </c>
      <c r="H92" s="7" t="s">
        <v>4181</v>
      </c>
      <c r="I92" s="100">
        <f>0.0674</f>
        <v>6.7400000000000002E-2</v>
      </c>
      <c r="J92" s="100">
        <f t="shared" si="14"/>
        <v>67.400000000000006</v>
      </c>
      <c r="K92" s="100">
        <f t="shared" si="15"/>
        <v>1.8286598965353198</v>
      </c>
      <c r="L92" s="73" t="s">
        <v>1517</v>
      </c>
      <c r="M92" s="7" t="s">
        <v>1846</v>
      </c>
      <c r="N92" s="7" t="s">
        <v>1538</v>
      </c>
      <c r="O92" s="7" t="s">
        <v>1505</v>
      </c>
      <c r="P92" s="108" t="s">
        <v>1492</v>
      </c>
      <c r="Q92" s="7" t="s">
        <v>1847</v>
      </c>
      <c r="R92" s="7">
        <v>33.216388999999999</v>
      </c>
      <c r="S92" s="7">
        <f t="shared" si="13"/>
        <v>33.216388999999999</v>
      </c>
      <c r="T92" s="7">
        <v>-97.129166999999995</v>
      </c>
      <c r="U92" s="7">
        <v>1</v>
      </c>
      <c r="V92" s="7">
        <v>21</v>
      </c>
      <c r="W92" s="7">
        <f t="shared" si="16"/>
        <v>1.3222192947339193</v>
      </c>
      <c r="X92" s="7" t="s">
        <v>1779</v>
      </c>
      <c r="Y92" s="7" t="s">
        <v>1781</v>
      </c>
      <c r="Z92" s="7">
        <v>10</v>
      </c>
      <c r="AA92" s="7">
        <v>15</v>
      </c>
      <c r="AB92" s="7">
        <v>18.899999999999999</v>
      </c>
      <c r="AC92" s="7">
        <v>1</v>
      </c>
      <c r="AD92" s="7">
        <v>40</v>
      </c>
      <c r="AE92" s="7">
        <v>24.8</v>
      </c>
      <c r="AF92" s="7">
        <v>2.9</v>
      </c>
      <c r="AG92" s="7">
        <v>36</v>
      </c>
      <c r="AH92" s="7">
        <v>18.899999999999999</v>
      </c>
      <c r="AI92" s="7">
        <v>1.8</v>
      </c>
      <c r="AJ92" s="7">
        <v>40</v>
      </c>
      <c r="AK92" s="7">
        <v>39.5</v>
      </c>
      <c r="AL92" s="7">
        <v>6.5</v>
      </c>
      <c r="AM92" s="7">
        <v>36</v>
      </c>
      <c r="AN92" s="7">
        <f t="shared" si="17"/>
        <v>1.7217883037988861</v>
      </c>
      <c r="AO92" s="7">
        <f t="shared" si="18"/>
        <v>4.367878838778311</v>
      </c>
      <c r="AP92" s="7">
        <f t="shared" si="19"/>
        <v>3.367878838778311</v>
      </c>
      <c r="AQ92" s="7">
        <f t="shared" si="20"/>
        <v>0.52748539192614308</v>
      </c>
      <c r="AR92" s="7">
        <f t="shared" si="21"/>
        <v>-0.52748539192614308</v>
      </c>
      <c r="AS92" s="7">
        <f t="shared" si="22"/>
        <v>37.333333333333336</v>
      </c>
      <c r="AT92" s="184">
        <f t="shared" si="23"/>
        <v>3.4666666666666668</v>
      </c>
      <c r="AU92" s="7"/>
      <c r="AV92" s="7" t="s">
        <v>1796</v>
      </c>
      <c r="AW92" s="7"/>
      <c r="AX92" s="7" t="s">
        <v>1846</v>
      </c>
      <c r="AY92" s="7" t="s">
        <v>1509</v>
      </c>
      <c r="BD92" s="188"/>
    </row>
    <row r="93" spans="1:56">
      <c r="A93" s="7" t="s">
        <v>33</v>
      </c>
      <c r="B93" s="7" t="s">
        <v>75</v>
      </c>
      <c r="C93" s="7" t="s">
        <v>348</v>
      </c>
      <c r="D93" s="7" t="s">
        <v>377</v>
      </c>
      <c r="E93" s="7" t="s">
        <v>378</v>
      </c>
      <c r="F93" s="7" t="s">
        <v>379</v>
      </c>
      <c r="G93" s="7" t="s">
        <v>1774</v>
      </c>
      <c r="H93" s="7" t="s">
        <v>4181</v>
      </c>
      <c r="I93" s="100">
        <f>(65.5)/1000</f>
        <v>6.5500000000000003E-2</v>
      </c>
      <c r="J93" s="100">
        <f t="shared" si="14"/>
        <v>65.5</v>
      </c>
      <c r="K93" s="100">
        <f t="shared" si="15"/>
        <v>1.816241299991783</v>
      </c>
      <c r="L93" s="73" t="s">
        <v>1517</v>
      </c>
      <c r="M93" s="7" t="s">
        <v>1775</v>
      </c>
      <c r="N93" s="7" t="s">
        <v>1640</v>
      </c>
      <c r="O93" s="7" t="s">
        <v>1505</v>
      </c>
      <c r="P93" s="108" t="s">
        <v>1539</v>
      </c>
      <c r="Q93" s="7" t="s">
        <v>1776</v>
      </c>
      <c r="R93" s="7">
        <v>34</v>
      </c>
      <c r="S93" s="7">
        <f t="shared" si="13"/>
        <v>34</v>
      </c>
      <c r="T93" s="7">
        <v>-112</v>
      </c>
      <c r="U93" s="7">
        <v>1</v>
      </c>
      <c r="V93" s="7">
        <v>21</v>
      </c>
      <c r="W93" s="7">
        <f t="shared" si="16"/>
        <v>1.3222192947339193</v>
      </c>
      <c r="X93" s="7" t="s">
        <v>1779</v>
      </c>
      <c r="Y93" s="7" t="s">
        <v>1781</v>
      </c>
      <c r="Z93" s="7">
        <v>6</v>
      </c>
      <c r="AA93" s="7">
        <v>25</v>
      </c>
      <c r="AB93" s="7">
        <v>6</v>
      </c>
      <c r="AC93" s="7">
        <v>2</v>
      </c>
      <c r="AD93" s="7">
        <v>8</v>
      </c>
      <c r="AE93" s="7">
        <v>44</v>
      </c>
      <c r="AF93" s="7">
        <v>5</v>
      </c>
      <c r="AG93" s="7">
        <v>8</v>
      </c>
      <c r="AH93" s="7">
        <v>14</v>
      </c>
      <c r="AI93" s="7">
        <v>5</v>
      </c>
      <c r="AJ93" s="7">
        <v>11</v>
      </c>
      <c r="AK93" s="7">
        <v>52</v>
      </c>
      <c r="AL93" s="7">
        <v>6</v>
      </c>
      <c r="AM93" s="7">
        <v>11</v>
      </c>
      <c r="AN93" s="7">
        <f t="shared" si="17"/>
        <v>2.853788629301325</v>
      </c>
      <c r="AO93" s="7">
        <f t="shared" si="18"/>
        <v>3.1160639707216813</v>
      </c>
      <c r="AP93" s="7">
        <f t="shared" si="19"/>
        <v>2.1160639707216813</v>
      </c>
      <c r="AQ93" s="7">
        <f t="shared" si="20"/>
        <v>0.32573398117089186</v>
      </c>
      <c r="AR93" s="7">
        <f t="shared" si="21"/>
        <v>-0.32573398117089186</v>
      </c>
      <c r="AS93" s="7">
        <f t="shared" si="22"/>
        <v>9</v>
      </c>
      <c r="AT93" s="184">
        <f t="shared" si="23"/>
        <v>4.333333333333333</v>
      </c>
      <c r="AU93" s="7"/>
      <c r="AV93" s="7" t="s">
        <v>1780</v>
      </c>
      <c r="AW93" s="7"/>
      <c r="AX93" s="7" t="s">
        <v>1775</v>
      </c>
      <c r="AY93" s="7" t="s">
        <v>1509</v>
      </c>
      <c r="BD93" s="188"/>
    </row>
    <row r="94" spans="1:56">
      <c r="A94" s="7" t="s">
        <v>33</v>
      </c>
      <c r="B94" s="7" t="s">
        <v>75</v>
      </c>
      <c r="C94" s="7" t="s">
        <v>76</v>
      </c>
      <c r="D94" s="7" t="s">
        <v>389</v>
      </c>
      <c r="E94" s="7" t="s">
        <v>390</v>
      </c>
      <c r="F94" s="7" t="s">
        <v>447</v>
      </c>
      <c r="G94" s="7" t="s">
        <v>1845</v>
      </c>
      <c r="H94" s="7" t="s">
        <v>4181</v>
      </c>
      <c r="I94" s="100">
        <v>6.4799999999999996E-2</v>
      </c>
      <c r="J94" s="100">
        <f t="shared" si="14"/>
        <v>64.8</v>
      </c>
      <c r="K94" s="100">
        <f t="shared" si="15"/>
        <v>1.8115750058705933</v>
      </c>
      <c r="L94" s="73" t="s">
        <v>1517</v>
      </c>
      <c r="M94" s="7" t="s">
        <v>1846</v>
      </c>
      <c r="N94" s="7" t="s">
        <v>1538</v>
      </c>
      <c r="O94" s="7" t="s">
        <v>1505</v>
      </c>
      <c r="P94" s="108" t="s">
        <v>1492</v>
      </c>
      <c r="Q94" s="7" t="s">
        <v>1847</v>
      </c>
      <c r="R94" s="7">
        <v>33.216388999999999</v>
      </c>
      <c r="S94" s="7">
        <f t="shared" si="13"/>
        <v>33.216388999999999</v>
      </c>
      <c r="T94" s="7">
        <v>-97.129166999999995</v>
      </c>
      <c r="U94" s="7">
        <v>1</v>
      </c>
      <c r="V94" s="7">
        <v>21</v>
      </c>
      <c r="W94" s="7">
        <f t="shared" si="16"/>
        <v>1.3222192947339193</v>
      </c>
      <c r="X94" s="7" t="s">
        <v>1779</v>
      </c>
      <c r="Y94" s="7" t="s">
        <v>1781</v>
      </c>
      <c r="Z94" s="7">
        <v>10</v>
      </c>
      <c r="AA94" s="7">
        <v>25</v>
      </c>
      <c r="AB94" s="7">
        <v>18.899999999999999</v>
      </c>
      <c r="AC94" s="7">
        <v>1</v>
      </c>
      <c r="AD94" s="7">
        <v>40</v>
      </c>
      <c r="AE94" s="7">
        <v>130.80000000000001</v>
      </c>
      <c r="AF94" s="7">
        <v>9.8000000000000007</v>
      </c>
      <c r="AG94" s="7">
        <v>36</v>
      </c>
      <c r="AH94" s="7">
        <v>15.4</v>
      </c>
      <c r="AI94" s="7">
        <v>0.9</v>
      </c>
      <c r="AJ94" s="7">
        <v>36</v>
      </c>
      <c r="AK94" s="7">
        <v>39.700000000000003</v>
      </c>
      <c r="AL94" s="7">
        <v>1.8</v>
      </c>
      <c r="AM94" s="7">
        <v>40</v>
      </c>
      <c r="AN94" s="7">
        <f t="shared" si="17"/>
        <v>3.631594027679657</v>
      </c>
      <c r="AO94" s="7">
        <f t="shared" si="18"/>
        <v>1.6401584347939995</v>
      </c>
      <c r="AP94" s="7">
        <f t="shared" si="19"/>
        <v>0.64015843479399948</v>
      </c>
      <c r="AQ94" s="7">
        <f t="shared" si="20"/>
        <v>-0.19303463997465789</v>
      </c>
      <c r="AR94" s="7">
        <f t="shared" si="21"/>
        <v>0.19303463997465789</v>
      </c>
      <c r="AS94" s="7">
        <f t="shared" si="22"/>
        <v>38.666666666666664</v>
      </c>
      <c r="AT94" s="184">
        <f t="shared" si="23"/>
        <v>4.2</v>
      </c>
      <c r="AU94" s="7"/>
      <c r="AV94" s="7" t="s">
        <v>1796</v>
      </c>
      <c r="AW94" s="7"/>
      <c r="AX94" s="7" t="s">
        <v>1846</v>
      </c>
      <c r="AY94" s="7" t="s">
        <v>1509</v>
      </c>
      <c r="BD94" s="188"/>
    </row>
    <row r="95" spans="1:56">
      <c r="A95" s="7" t="s">
        <v>33</v>
      </c>
      <c r="B95" s="7" t="s">
        <v>43</v>
      </c>
      <c r="C95" s="7" t="s">
        <v>44</v>
      </c>
      <c r="D95" s="7" t="s">
        <v>1851</v>
      </c>
      <c r="E95" s="7" t="s">
        <v>1852</v>
      </c>
      <c r="F95" s="7" t="s">
        <v>1853</v>
      </c>
      <c r="G95" s="7" t="s">
        <v>1854</v>
      </c>
      <c r="H95" s="7" t="s">
        <v>4184</v>
      </c>
      <c r="I95" s="100">
        <f>AVERAGE(50, 75)/1000</f>
        <v>6.25E-2</v>
      </c>
      <c r="J95" s="100">
        <f t="shared" si="14"/>
        <v>62.5</v>
      </c>
      <c r="K95" s="100">
        <f t="shared" si="15"/>
        <v>1.7958800173440752</v>
      </c>
      <c r="L95" s="73" t="s">
        <v>1517</v>
      </c>
      <c r="M95" s="7" t="s">
        <v>1855</v>
      </c>
      <c r="N95" s="7" t="s">
        <v>1640</v>
      </c>
      <c r="O95" s="7" t="s">
        <v>1505</v>
      </c>
      <c r="P95" s="108" t="s">
        <v>1492</v>
      </c>
      <c r="Q95" s="7" t="s">
        <v>1856</v>
      </c>
      <c r="R95" s="7">
        <v>57.05</v>
      </c>
      <c r="S95" s="7">
        <f t="shared" si="13"/>
        <v>57.05</v>
      </c>
      <c r="T95" s="7">
        <v>9.9166670000000003</v>
      </c>
      <c r="U95" s="7">
        <v>1</v>
      </c>
      <c r="V95" s="7">
        <v>90</v>
      </c>
      <c r="W95" s="7">
        <f t="shared" si="16"/>
        <v>1.954242509439325</v>
      </c>
      <c r="X95" s="7" t="s">
        <v>1779</v>
      </c>
      <c r="Y95" s="7" t="s">
        <v>1781</v>
      </c>
      <c r="Z95" s="7">
        <v>5</v>
      </c>
      <c r="AA95" s="7">
        <v>25</v>
      </c>
      <c r="AB95" s="7">
        <v>10</v>
      </c>
      <c r="AC95" s="7">
        <v>0.4</v>
      </c>
      <c r="AD95" s="7">
        <v>30</v>
      </c>
      <c r="AE95" s="7">
        <v>95</v>
      </c>
      <c r="AF95" s="7">
        <v>1.2</v>
      </c>
      <c r="AG95" s="7">
        <v>30</v>
      </c>
      <c r="AH95" s="7">
        <v>22</v>
      </c>
      <c r="AI95" s="7">
        <v>1.2</v>
      </c>
      <c r="AJ95" s="7">
        <v>30</v>
      </c>
      <c r="AK95" s="7">
        <v>92</v>
      </c>
      <c r="AL95" s="7">
        <v>0.08</v>
      </c>
      <c r="AM95" s="7">
        <v>30</v>
      </c>
      <c r="AN95" s="7">
        <f t="shared" si="17"/>
        <v>3.082207001484488</v>
      </c>
      <c r="AO95" s="7">
        <f t="shared" si="18"/>
        <v>3.03315017762062</v>
      </c>
      <c r="AP95" s="7">
        <f t="shared" si="19"/>
        <v>2.03315017762062</v>
      </c>
      <c r="AQ95" s="7">
        <f t="shared" si="20"/>
        <v>0.30838301294478659</v>
      </c>
      <c r="AR95" s="7">
        <f t="shared" si="21"/>
        <v>-0.30838301294478659</v>
      </c>
      <c r="AS95" s="7">
        <f t="shared" si="22"/>
        <v>30</v>
      </c>
      <c r="AT95" s="184">
        <f t="shared" si="23"/>
        <v>0.56000000000000005</v>
      </c>
      <c r="AU95" s="7"/>
      <c r="AV95" s="7" t="s">
        <v>1796</v>
      </c>
      <c r="AW95" s="7"/>
      <c r="AX95" s="7" t="s">
        <v>1855</v>
      </c>
      <c r="AY95" s="7" t="s">
        <v>1509</v>
      </c>
      <c r="BD95" s="188"/>
    </row>
    <row r="96" spans="1:56">
      <c r="A96" s="7" t="s">
        <v>33</v>
      </c>
      <c r="B96" s="7" t="s">
        <v>75</v>
      </c>
      <c r="C96" s="7" t="s">
        <v>76</v>
      </c>
      <c r="D96" s="7" t="s">
        <v>389</v>
      </c>
      <c r="E96" s="7" t="s">
        <v>390</v>
      </c>
      <c r="F96" s="7" t="s">
        <v>447</v>
      </c>
      <c r="G96" s="7" t="s">
        <v>1845</v>
      </c>
      <c r="H96" s="7" t="s">
        <v>4181</v>
      </c>
      <c r="I96" s="100">
        <v>5.6300000000000003E-2</v>
      </c>
      <c r="J96" s="100">
        <f t="shared" si="14"/>
        <v>56.300000000000004</v>
      </c>
      <c r="K96" s="100">
        <f t="shared" si="15"/>
        <v>1.7505083948513462</v>
      </c>
      <c r="L96" s="73" t="s">
        <v>1517</v>
      </c>
      <c r="M96" s="7" t="s">
        <v>1846</v>
      </c>
      <c r="N96" s="7" t="s">
        <v>1538</v>
      </c>
      <c r="O96" s="7" t="s">
        <v>1505</v>
      </c>
      <c r="P96" s="108" t="s">
        <v>1492</v>
      </c>
      <c r="Q96" s="7" t="s">
        <v>1847</v>
      </c>
      <c r="R96" s="7">
        <v>33.216388999999999</v>
      </c>
      <c r="S96" s="7">
        <f t="shared" si="13"/>
        <v>33.216388999999999</v>
      </c>
      <c r="T96" s="7">
        <v>-97.129166999999995</v>
      </c>
      <c r="U96" s="7">
        <v>1</v>
      </c>
      <c r="V96" s="7">
        <v>21</v>
      </c>
      <c r="W96" s="7">
        <f t="shared" si="16"/>
        <v>1.3222192947339193</v>
      </c>
      <c r="X96" s="7" t="s">
        <v>1779</v>
      </c>
      <c r="Y96" s="7" t="s">
        <v>1781</v>
      </c>
      <c r="Z96" s="7">
        <v>15</v>
      </c>
      <c r="AA96" s="7">
        <v>20</v>
      </c>
      <c r="AB96" s="7">
        <v>39.5</v>
      </c>
      <c r="AC96" s="7">
        <v>6.5</v>
      </c>
      <c r="AD96" s="7">
        <v>6</v>
      </c>
      <c r="AE96" s="7">
        <v>64.599999999999994</v>
      </c>
      <c r="AF96" s="7">
        <v>4.3</v>
      </c>
      <c r="AG96" s="7">
        <v>36</v>
      </c>
      <c r="AH96" s="7">
        <v>43</v>
      </c>
      <c r="AI96" s="7">
        <v>4.2</v>
      </c>
      <c r="AJ96" s="7">
        <v>40</v>
      </c>
      <c r="AK96" s="7">
        <v>68.099999999999994</v>
      </c>
      <c r="AL96" s="7">
        <v>7.8</v>
      </c>
      <c r="AM96" s="7">
        <v>40</v>
      </c>
      <c r="AN96" s="7">
        <f t="shared" si="17"/>
        <v>2.6746739304598615</v>
      </c>
      <c r="AO96" s="7">
        <f t="shared" si="18"/>
        <v>2.9723505848421721</v>
      </c>
      <c r="AP96" s="7">
        <f t="shared" si="19"/>
        <v>1.9723505848421721</v>
      </c>
      <c r="AQ96" s="7">
        <f t="shared" si="20"/>
        <v>0.29520424872741791</v>
      </c>
      <c r="AR96" s="7">
        <f t="shared" si="21"/>
        <v>-0.29520424872741791</v>
      </c>
      <c r="AS96" s="7">
        <f t="shared" si="22"/>
        <v>27.333333333333332</v>
      </c>
      <c r="AT96" s="184">
        <f t="shared" si="23"/>
        <v>6.2</v>
      </c>
      <c r="AU96" s="7"/>
      <c r="AV96" s="7" t="s">
        <v>1796</v>
      </c>
      <c r="AW96" s="7"/>
      <c r="AX96" s="7" t="s">
        <v>1846</v>
      </c>
      <c r="AY96" s="7" t="s">
        <v>1509</v>
      </c>
      <c r="BD96" s="188"/>
    </row>
    <row r="97" spans="1:56">
      <c r="A97" s="7" t="s">
        <v>33</v>
      </c>
      <c r="B97" s="7" t="s">
        <v>75</v>
      </c>
      <c r="C97" s="7" t="s">
        <v>76</v>
      </c>
      <c r="D97" s="7" t="s">
        <v>369</v>
      </c>
      <c r="E97" s="7" t="s">
        <v>370</v>
      </c>
      <c r="F97" s="7" t="s">
        <v>400</v>
      </c>
      <c r="G97" s="7" t="s">
        <v>1857</v>
      </c>
      <c r="H97" s="7" t="s">
        <v>4181</v>
      </c>
      <c r="I97" s="100">
        <f t="shared" ref="I97:I105" si="24">49/1000</f>
        <v>4.9000000000000002E-2</v>
      </c>
      <c r="J97" s="100">
        <f t="shared" si="14"/>
        <v>49</v>
      </c>
      <c r="K97" s="100">
        <f t="shared" si="15"/>
        <v>1.6901960800285136</v>
      </c>
      <c r="L97" s="73" t="s">
        <v>1502</v>
      </c>
      <c r="M97" s="7" t="s">
        <v>1858</v>
      </c>
      <c r="N97" s="7" t="s">
        <v>1538</v>
      </c>
      <c r="O97" s="7" t="s">
        <v>1505</v>
      </c>
      <c r="P97" s="108" t="s">
        <v>1492</v>
      </c>
      <c r="Q97" s="7" t="s">
        <v>1859</v>
      </c>
      <c r="R97" s="7">
        <v>44.024166999999998</v>
      </c>
      <c r="S97" s="7">
        <f t="shared" si="13"/>
        <v>44.024166999999998</v>
      </c>
      <c r="T97" s="7">
        <v>-88.561109999999999</v>
      </c>
      <c r="U97" s="7">
        <v>1</v>
      </c>
      <c r="V97" s="7">
        <v>20</v>
      </c>
      <c r="W97" s="7">
        <f t="shared" si="16"/>
        <v>1.3010299956639813</v>
      </c>
      <c r="X97" s="7" t="s">
        <v>1779</v>
      </c>
      <c r="Y97" s="7" t="s">
        <v>1860</v>
      </c>
      <c r="Z97" s="7">
        <v>13</v>
      </c>
      <c r="AA97" s="7">
        <v>20</v>
      </c>
      <c r="AB97" s="7">
        <v>0.496</v>
      </c>
      <c r="AC97" s="7">
        <v>0.04</v>
      </c>
      <c r="AD97" s="7">
        <v>21</v>
      </c>
      <c r="AE97" s="7">
        <v>0.94199999999999995</v>
      </c>
      <c r="AF97" s="7">
        <v>0.06</v>
      </c>
      <c r="AG97" s="7">
        <v>18</v>
      </c>
      <c r="AH97" s="7">
        <v>0.44400000000000001</v>
      </c>
      <c r="AI97" s="7">
        <v>0.04</v>
      </c>
      <c r="AJ97" s="7">
        <v>19</v>
      </c>
      <c r="AK97" s="7">
        <v>0.67700000000000005</v>
      </c>
      <c r="AL97" s="7">
        <v>0.05</v>
      </c>
      <c r="AM97" s="7">
        <v>21</v>
      </c>
      <c r="AN97" s="7">
        <f t="shared" si="17"/>
        <v>2.5000922714867886</v>
      </c>
      <c r="AO97" s="7">
        <f t="shared" si="18"/>
        <v>1.5595883732229636</v>
      </c>
      <c r="AP97" s="7">
        <f t="shared" si="19"/>
        <v>0.55958837322296362</v>
      </c>
      <c r="AQ97" s="7">
        <f t="shared" si="20"/>
        <v>-0.25135591388481648</v>
      </c>
      <c r="AR97" s="7">
        <f t="shared" si="21"/>
        <v>0.25135591388481648</v>
      </c>
      <c r="AS97" s="7">
        <f t="shared" si="22"/>
        <v>20</v>
      </c>
      <c r="AT97" s="184">
        <f t="shared" si="23"/>
        <v>5.000000000000001E-2</v>
      </c>
      <c r="AU97" s="7"/>
      <c r="AV97" s="7" t="s">
        <v>1770</v>
      </c>
      <c r="AW97" s="7"/>
      <c r="AX97" s="7" t="s">
        <v>1861</v>
      </c>
      <c r="AY97" s="7" t="s">
        <v>1509</v>
      </c>
      <c r="BD97" s="188"/>
    </row>
    <row r="98" spans="1:56">
      <c r="A98" s="7" t="s">
        <v>33</v>
      </c>
      <c r="B98" s="7" t="s">
        <v>75</v>
      </c>
      <c r="C98" s="7" t="s">
        <v>76</v>
      </c>
      <c r="D98" s="7" t="s">
        <v>369</v>
      </c>
      <c r="E98" s="7" t="s">
        <v>370</v>
      </c>
      <c r="F98" s="7" t="s">
        <v>400</v>
      </c>
      <c r="G98" s="7" t="s">
        <v>1857</v>
      </c>
      <c r="H98" s="7" t="s">
        <v>4181</v>
      </c>
      <c r="I98" s="100">
        <f t="shared" si="24"/>
        <v>4.9000000000000002E-2</v>
      </c>
      <c r="J98" s="100">
        <f t="shared" si="14"/>
        <v>49</v>
      </c>
      <c r="K98" s="100">
        <f t="shared" si="15"/>
        <v>1.6901960800285136</v>
      </c>
      <c r="L98" s="73" t="s">
        <v>1502</v>
      </c>
      <c r="M98" s="7" t="s">
        <v>1862</v>
      </c>
      <c r="N98" s="7" t="s">
        <v>1538</v>
      </c>
      <c r="O98" s="7" t="s">
        <v>1505</v>
      </c>
      <c r="P98" s="108" t="s">
        <v>1492</v>
      </c>
      <c r="Q98" s="7" t="s">
        <v>1859</v>
      </c>
      <c r="R98" s="7">
        <v>44.024166999999998</v>
      </c>
      <c r="S98" s="7">
        <f t="shared" si="13"/>
        <v>44.024166999999998</v>
      </c>
      <c r="T98" s="7">
        <v>-88.561109999999999</v>
      </c>
      <c r="U98" s="7">
        <v>1</v>
      </c>
      <c r="V98" s="7">
        <v>20</v>
      </c>
      <c r="W98" s="7">
        <f t="shared" si="16"/>
        <v>1.3010299956639813</v>
      </c>
      <c r="X98" s="7" t="s">
        <v>1779</v>
      </c>
      <c r="Y98" s="7" t="s">
        <v>1863</v>
      </c>
      <c r="Z98" s="7">
        <v>5</v>
      </c>
      <c r="AA98" s="7">
        <v>20</v>
      </c>
      <c r="AB98" s="7">
        <v>0.28000000000000003</v>
      </c>
      <c r="AC98" s="7">
        <v>0.01</v>
      </c>
      <c r="AD98" s="7">
        <v>21</v>
      </c>
      <c r="AE98" s="7">
        <v>0.60599999999999998</v>
      </c>
      <c r="AF98" s="7">
        <v>0.03</v>
      </c>
      <c r="AG98" s="7">
        <v>20</v>
      </c>
      <c r="AH98" s="7">
        <v>0.30599999999999999</v>
      </c>
      <c r="AI98" s="7">
        <v>0.01</v>
      </c>
      <c r="AJ98" s="7">
        <v>19</v>
      </c>
      <c r="AK98" s="7">
        <v>0.70799999999999996</v>
      </c>
      <c r="AL98" s="7">
        <v>0.03</v>
      </c>
      <c r="AM98" s="7">
        <v>21</v>
      </c>
      <c r="AN98" s="7">
        <f t="shared" si="17"/>
        <v>1.673181530228528</v>
      </c>
      <c r="AO98" s="7">
        <f t="shared" si="18"/>
        <v>1.8560235577121815</v>
      </c>
      <c r="AP98" s="7">
        <f t="shared" si="19"/>
        <v>0.85602355771218153</v>
      </c>
      <c r="AQ98" s="7">
        <f t="shared" si="20"/>
        <v>-6.7007240102715873E-2</v>
      </c>
      <c r="AR98" s="7">
        <f t="shared" si="21"/>
        <v>6.7007240102715873E-2</v>
      </c>
      <c r="AS98" s="7">
        <f t="shared" si="22"/>
        <v>20.666666666666668</v>
      </c>
      <c r="AT98" s="184">
        <f t="shared" si="23"/>
        <v>2.3333333333333334E-2</v>
      </c>
      <c r="AU98" s="7"/>
      <c r="AV98" s="7" t="s">
        <v>1770</v>
      </c>
      <c r="AW98" s="7"/>
      <c r="AX98" s="7" t="s">
        <v>1861</v>
      </c>
      <c r="AY98" s="7" t="s">
        <v>1509</v>
      </c>
      <c r="BD98" s="188"/>
    </row>
    <row r="99" spans="1:56">
      <c r="A99" s="7" t="s">
        <v>33</v>
      </c>
      <c r="B99" s="7" t="s">
        <v>75</v>
      </c>
      <c r="C99" s="7" t="s">
        <v>76</v>
      </c>
      <c r="D99" s="7" t="s">
        <v>369</v>
      </c>
      <c r="E99" s="7" t="s">
        <v>370</v>
      </c>
      <c r="F99" s="7" t="s">
        <v>400</v>
      </c>
      <c r="G99" s="7" t="s">
        <v>1857</v>
      </c>
      <c r="H99" s="7" t="s">
        <v>4181</v>
      </c>
      <c r="I99" s="100">
        <f t="shared" si="24"/>
        <v>4.9000000000000002E-2</v>
      </c>
      <c r="J99" s="100">
        <f t="shared" si="14"/>
        <v>49</v>
      </c>
      <c r="K99" s="100">
        <f t="shared" si="15"/>
        <v>1.6901960800285136</v>
      </c>
      <c r="L99" s="73" t="s">
        <v>1502</v>
      </c>
      <c r="M99" s="7" t="s">
        <v>1864</v>
      </c>
      <c r="N99" s="7" t="s">
        <v>1538</v>
      </c>
      <c r="O99" s="7" t="s">
        <v>1505</v>
      </c>
      <c r="P99" s="108" t="s">
        <v>1492</v>
      </c>
      <c r="Q99" s="7" t="s">
        <v>1859</v>
      </c>
      <c r="R99" s="7">
        <v>44.024166999999998</v>
      </c>
      <c r="S99" s="7">
        <f t="shared" si="13"/>
        <v>44.024166999999998</v>
      </c>
      <c r="T99" s="7">
        <v>-88.561109999999999</v>
      </c>
      <c r="U99" s="7">
        <v>1</v>
      </c>
      <c r="V99" s="7">
        <v>20</v>
      </c>
      <c r="W99" s="7">
        <f t="shared" si="16"/>
        <v>1.3010299956639813</v>
      </c>
      <c r="X99" s="7" t="s">
        <v>1779</v>
      </c>
      <c r="Y99" s="7" t="s">
        <v>1865</v>
      </c>
      <c r="Z99" s="7">
        <v>5</v>
      </c>
      <c r="AA99" s="7">
        <v>20</v>
      </c>
      <c r="AB99" s="7">
        <v>0.33100000000000002</v>
      </c>
      <c r="AC99" s="7">
        <v>0.05</v>
      </c>
      <c r="AD99" s="7">
        <v>12</v>
      </c>
      <c r="AE99" s="7">
        <v>0.46700000000000003</v>
      </c>
      <c r="AF99" s="7">
        <v>0.05</v>
      </c>
      <c r="AG99" s="7">
        <v>20</v>
      </c>
      <c r="AH99" s="7">
        <v>0.33300000000000002</v>
      </c>
      <c r="AI99" s="7">
        <v>0.04</v>
      </c>
      <c r="AJ99" s="7">
        <v>15</v>
      </c>
      <c r="AK99" s="7">
        <v>0.53800000000000003</v>
      </c>
      <c r="AL99" s="7">
        <v>0.05</v>
      </c>
      <c r="AM99" s="7">
        <v>21</v>
      </c>
      <c r="AN99" s="7">
        <f t="shared" si="17"/>
        <v>1.257938061692881</v>
      </c>
      <c r="AO99" s="7">
        <f t="shared" si="18"/>
        <v>1.3824078393207018</v>
      </c>
      <c r="AP99" s="7">
        <f t="shared" si="19"/>
        <v>0.38240783932070177</v>
      </c>
      <c r="AQ99" s="7">
        <f t="shared" si="20"/>
        <v>-0.41633901159641024</v>
      </c>
      <c r="AR99" s="7">
        <f t="shared" si="21"/>
        <v>0.41633901159641024</v>
      </c>
      <c r="AS99" s="7">
        <f t="shared" si="22"/>
        <v>17.666666666666668</v>
      </c>
      <c r="AT99" s="184">
        <f t="shared" si="23"/>
        <v>5.000000000000001E-2</v>
      </c>
      <c r="AU99" s="7"/>
      <c r="AV99" s="7" t="s">
        <v>1770</v>
      </c>
      <c r="AW99" s="7"/>
      <c r="AX99" s="7" t="s">
        <v>1861</v>
      </c>
      <c r="AY99" s="7" t="s">
        <v>1509</v>
      </c>
      <c r="BD99" s="188"/>
    </row>
    <row r="100" spans="1:56">
      <c r="A100" s="7" t="s">
        <v>33</v>
      </c>
      <c r="B100" s="7" t="s">
        <v>75</v>
      </c>
      <c r="C100" s="7" t="s">
        <v>76</v>
      </c>
      <c r="D100" s="7" t="s">
        <v>369</v>
      </c>
      <c r="E100" s="7" t="s">
        <v>370</v>
      </c>
      <c r="F100" s="7" t="s">
        <v>400</v>
      </c>
      <c r="G100" s="7" t="s">
        <v>1857</v>
      </c>
      <c r="H100" s="7" t="s">
        <v>4181</v>
      </c>
      <c r="I100" s="100">
        <f t="shared" si="24"/>
        <v>4.9000000000000002E-2</v>
      </c>
      <c r="J100" s="100">
        <f t="shared" si="14"/>
        <v>49</v>
      </c>
      <c r="K100" s="100">
        <f t="shared" si="15"/>
        <v>1.6901960800285136</v>
      </c>
      <c r="L100" s="73" t="s">
        <v>1502</v>
      </c>
      <c r="M100" s="7" t="s">
        <v>1866</v>
      </c>
      <c r="N100" s="7" t="s">
        <v>1538</v>
      </c>
      <c r="O100" s="7" t="s">
        <v>1505</v>
      </c>
      <c r="P100" s="108" t="s">
        <v>1492</v>
      </c>
      <c r="Q100" s="7" t="s">
        <v>1859</v>
      </c>
      <c r="R100" s="7">
        <v>44.024166999999998</v>
      </c>
      <c r="S100" s="7">
        <f t="shared" si="13"/>
        <v>44.024166999999998</v>
      </c>
      <c r="T100" s="7">
        <v>-88.561109999999999</v>
      </c>
      <c r="U100" s="7">
        <v>1</v>
      </c>
      <c r="V100" s="7">
        <v>20</v>
      </c>
      <c r="W100" s="7">
        <f t="shared" si="16"/>
        <v>1.3010299956639813</v>
      </c>
      <c r="X100" s="7" t="s">
        <v>1779</v>
      </c>
      <c r="Y100" s="7" t="s">
        <v>1860</v>
      </c>
      <c r="Z100" s="7">
        <v>5</v>
      </c>
      <c r="AA100" s="7">
        <v>20</v>
      </c>
      <c r="AB100" s="7">
        <v>0.318</v>
      </c>
      <c r="AC100" s="7">
        <v>0.02</v>
      </c>
      <c r="AD100" s="7">
        <v>20</v>
      </c>
      <c r="AE100" s="7">
        <v>0.754</v>
      </c>
      <c r="AF100" s="7">
        <v>0.05</v>
      </c>
      <c r="AG100" s="7">
        <v>20</v>
      </c>
      <c r="AH100" s="7">
        <v>0.24299999999999999</v>
      </c>
      <c r="AI100" s="7">
        <v>0.02</v>
      </c>
      <c r="AJ100" s="7">
        <v>19</v>
      </c>
      <c r="AK100" s="7">
        <v>0.67700000000000005</v>
      </c>
      <c r="AL100" s="7">
        <v>0.05</v>
      </c>
      <c r="AM100" s="7">
        <v>21</v>
      </c>
      <c r="AN100" s="7">
        <f t="shared" si="17"/>
        <v>1.7781271666216689</v>
      </c>
      <c r="AO100" s="7">
        <f t="shared" si="18"/>
        <v>1.65490994495059</v>
      </c>
      <c r="AP100" s="7">
        <f t="shared" si="19"/>
        <v>0.65490994495058996</v>
      </c>
      <c r="AQ100" s="7">
        <f t="shared" si="20"/>
        <v>-0.18315578424597362</v>
      </c>
      <c r="AR100" s="7">
        <f t="shared" si="21"/>
        <v>0.18315578424597362</v>
      </c>
      <c r="AS100" s="7">
        <f t="shared" si="22"/>
        <v>20.333333333333332</v>
      </c>
      <c r="AT100" s="184">
        <f t="shared" si="23"/>
        <v>0.04</v>
      </c>
      <c r="AU100" s="7"/>
      <c r="AV100" s="7" t="s">
        <v>1770</v>
      </c>
      <c r="AW100" s="7"/>
      <c r="AX100" s="7" t="s">
        <v>1861</v>
      </c>
      <c r="AY100" s="7" t="s">
        <v>1509</v>
      </c>
      <c r="BD100" s="188"/>
    </row>
    <row r="101" spans="1:56">
      <c r="A101" s="7" t="s">
        <v>33</v>
      </c>
      <c r="B101" s="7" t="s">
        <v>75</v>
      </c>
      <c r="C101" s="7" t="s">
        <v>76</v>
      </c>
      <c r="D101" s="7" t="s">
        <v>369</v>
      </c>
      <c r="E101" s="7" t="s">
        <v>370</v>
      </c>
      <c r="F101" s="7" t="s">
        <v>400</v>
      </c>
      <c r="G101" s="7" t="s">
        <v>1857</v>
      </c>
      <c r="H101" s="7" t="s">
        <v>4181</v>
      </c>
      <c r="I101" s="100">
        <f t="shared" si="24"/>
        <v>4.9000000000000002E-2</v>
      </c>
      <c r="J101" s="100">
        <f t="shared" si="14"/>
        <v>49</v>
      </c>
      <c r="K101" s="100">
        <f t="shared" si="15"/>
        <v>1.6901960800285136</v>
      </c>
      <c r="L101" s="73" t="s">
        <v>1502</v>
      </c>
      <c r="M101" s="7" t="s">
        <v>1867</v>
      </c>
      <c r="N101" s="7" t="s">
        <v>1538</v>
      </c>
      <c r="O101" s="7" t="s">
        <v>1505</v>
      </c>
      <c r="P101" s="108" t="s">
        <v>1492</v>
      </c>
      <c r="Q101" s="7" t="s">
        <v>1859</v>
      </c>
      <c r="R101" s="7">
        <v>44.024166999999998</v>
      </c>
      <c r="S101" s="7">
        <f t="shared" si="13"/>
        <v>44.024166999999998</v>
      </c>
      <c r="T101" s="7">
        <v>-88.561109999999999</v>
      </c>
      <c r="U101" s="7">
        <v>1</v>
      </c>
      <c r="V101" s="7">
        <v>20</v>
      </c>
      <c r="W101" s="7">
        <f t="shared" si="16"/>
        <v>1.3010299956639813</v>
      </c>
      <c r="X101" s="7" t="s">
        <v>1779</v>
      </c>
      <c r="Y101" s="7" t="s">
        <v>1865</v>
      </c>
      <c r="Z101" s="7">
        <v>5</v>
      </c>
      <c r="AA101" s="7">
        <v>13</v>
      </c>
      <c r="AB101" s="7">
        <v>0.33100000000000002</v>
      </c>
      <c r="AC101" s="7">
        <v>0.05</v>
      </c>
      <c r="AD101" s="7">
        <v>12</v>
      </c>
      <c r="AE101" s="7">
        <v>0.36599999999999999</v>
      </c>
      <c r="AF101" s="7">
        <v>0.04</v>
      </c>
      <c r="AG101" s="7">
        <v>19</v>
      </c>
      <c r="AH101" s="7">
        <v>0.32900000000000001</v>
      </c>
      <c r="AI101" s="7">
        <v>0.04</v>
      </c>
      <c r="AJ101" s="7">
        <v>15</v>
      </c>
      <c r="AK101" s="7">
        <v>0.40200000000000002</v>
      </c>
      <c r="AL101" s="7">
        <v>0.04</v>
      </c>
      <c r="AM101" s="7">
        <v>20</v>
      </c>
      <c r="AN101" s="7">
        <f t="shared" si="17"/>
        <v>1.1338780927360512</v>
      </c>
      <c r="AO101" s="7">
        <f t="shared" si="18"/>
        <v>1.2749629782886278</v>
      </c>
      <c r="AP101" s="7">
        <f t="shared" si="19"/>
        <v>0.27496297828862781</v>
      </c>
      <c r="AQ101" s="7">
        <f t="shared" si="20"/>
        <v>-0.55914917664276131</v>
      </c>
      <c r="AR101" s="7">
        <f t="shared" si="21"/>
        <v>0.55914917664276131</v>
      </c>
      <c r="AS101" s="7">
        <f t="shared" si="22"/>
        <v>17</v>
      </c>
      <c r="AT101" s="184">
        <f t="shared" si="23"/>
        <v>4.3333333333333335E-2</v>
      </c>
      <c r="AU101" s="7"/>
      <c r="AV101" s="7" t="s">
        <v>1770</v>
      </c>
      <c r="AW101" s="7"/>
      <c r="AX101" s="7" t="s">
        <v>1861</v>
      </c>
      <c r="AY101" s="7" t="s">
        <v>1509</v>
      </c>
      <c r="BD101" s="188"/>
    </row>
    <row r="102" spans="1:56">
      <c r="A102" s="7" t="s">
        <v>33</v>
      </c>
      <c r="B102" s="7" t="s">
        <v>75</v>
      </c>
      <c r="C102" s="7" t="s">
        <v>76</v>
      </c>
      <c r="D102" s="7" t="s">
        <v>369</v>
      </c>
      <c r="E102" s="7" t="s">
        <v>370</v>
      </c>
      <c r="F102" s="7" t="s">
        <v>400</v>
      </c>
      <c r="G102" s="7" t="s">
        <v>1857</v>
      </c>
      <c r="H102" s="7" t="s">
        <v>4181</v>
      </c>
      <c r="I102" s="100">
        <f t="shared" si="24"/>
        <v>4.9000000000000002E-2</v>
      </c>
      <c r="J102" s="100">
        <f t="shared" si="14"/>
        <v>49</v>
      </c>
      <c r="K102" s="100">
        <f t="shared" si="15"/>
        <v>1.6901960800285136</v>
      </c>
      <c r="L102" s="73" t="s">
        <v>1502</v>
      </c>
      <c r="M102" s="7" t="s">
        <v>1868</v>
      </c>
      <c r="N102" s="7" t="s">
        <v>1538</v>
      </c>
      <c r="O102" s="7" t="s">
        <v>1505</v>
      </c>
      <c r="P102" s="108" t="s">
        <v>1492</v>
      </c>
      <c r="Q102" s="7" t="s">
        <v>1859</v>
      </c>
      <c r="R102" s="7">
        <v>44.024166999999998</v>
      </c>
      <c r="S102" s="7">
        <f t="shared" si="13"/>
        <v>44.024166999999998</v>
      </c>
      <c r="T102" s="7">
        <v>-88.561109999999999</v>
      </c>
      <c r="U102" s="7">
        <v>1</v>
      </c>
      <c r="V102" s="7">
        <v>20</v>
      </c>
      <c r="W102" s="7">
        <f t="shared" si="16"/>
        <v>1.3010299956639813</v>
      </c>
      <c r="X102" s="7" t="s">
        <v>1779</v>
      </c>
      <c r="Y102" s="7" t="s">
        <v>1863</v>
      </c>
      <c r="Z102" s="7">
        <v>5</v>
      </c>
      <c r="AA102" s="7">
        <v>13</v>
      </c>
      <c r="AB102" s="7">
        <v>0.28000000000000003</v>
      </c>
      <c r="AC102" s="7">
        <v>0.01</v>
      </c>
      <c r="AD102" s="7">
        <v>21</v>
      </c>
      <c r="AE102" s="7">
        <v>0.44400000000000001</v>
      </c>
      <c r="AF102" s="7">
        <v>0.02</v>
      </c>
      <c r="AG102" s="7">
        <v>23</v>
      </c>
      <c r="AH102" s="7">
        <v>0.315</v>
      </c>
      <c r="AI102" s="7">
        <v>0.02</v>
      </c>
      <c r="AJ102" s="7">
        <v>19</v>
      </c>
      <c r="AK102" s="7">
        <v>0.48699999999999999</v>
      </c>
      <c r="AL102" s="7">
        <v>0.02</v>
      </c>
      <c r="AM102" s="7">
        <v>20</v>
      </c>
      <c r="AN102" s="7">
        <f t="shared" si="17"/>
        <v>1.7794310868347327</v>
      </c>
      <c r="AO102" s="7">
        <f t="shared" si="18"/>
        <v>1.997393638420518</v>
      </c>
      <c r="AP102" s="7">
        <f t="shared" si="19"/>
        <v>0.99739363842051798</v>
      </c>
      <c r="AQ102" s="7">
        <f t="shared" si="20"/>
        <v>-6.9819489689485403E-4</v>
      </c>
      <c r="AR102" s="7">
        <f t="shared" si="21"/>
        <v>6.9819489689485403E-4</v>
      </c>
      <c r="AS102" s="7">
        <f t="shared" si="22"/>
        <v>21.333333333333332</v>
      </c>
      <c r="AT102" s="184">
        <f t="shared" si="23"/>
        <v>1.6666666666666666E-2</v>
      </c>
      <c r="AU102" s="7"/>
      <c r="AV102" s="7" t="s">
        <v>1770</v>
      </c>
      <c r="AW102" s="7"/>
      <c r="AX102" s="7" t="s">
        <v>1861</v>
      </c>
      <c r="AY102" s="7" t="s">
        <v>1509</v>
      </c>
      <c r="BD102" s="188"/>
    </row>
    <row r="103" spans="1:56">
      <c r="A103" s="7" t="s">
        <v>33</v>
      </c>
      <c r="B103" s="7" t="s">
        <v>75</v>
      </c>
      <c r="C103" s="7" t="s">
        <v>76</v>
      </c>
      <c r="D103" s="7" t="s">
        <v>369</v>
      </c>
      <c r="E103" s="7" t="s">
        <v>370</v>
      </c>
      <c r="F103" s="7" t="s">
        <v>400</v>
      </c>
      <c r="G103" s="7" t="s">
        <v>1857</v>
      </c>
      <c r="H103" s="7" t="s">
        <v>4181</v>
      </c>
      <c r="I103" s="100">
        <f t="shared" si="24"/>
        <v>4.9000000000000002E-2</v>
      </c>
      <c r="J103" s="100">
        <f t="shared" si="14"/>
        <v>49</v>
      </c>
      <c r="K103" s="100">
        <f t="shared" si="15"/>
        <v>1.6901960800285136</v>
      </c>
      <c r="L103" s="73" t="s">
        <v>1502</v>
      </c>
      <c r="M103" s="7" t="s">
        <v>1869</v>
      </c>
      <c r="N103" s="7" t="s">
        <v>1538</v>
      </c>
      <c r="O103" s="7" t="s">
        <v>1505</v>
      </c>
      <c r="P103" s="108" t="s">
        <v>1492</v>
      </c>
      <c r="Q103" s="7" t="s">
        <v>1859</v>
      </c>
      <c r="R103" s="7">
        <v>44.024166999999998</v>
      </c>
      <c r="S103" s="7">
        <f t="shared" si="13"/>
        <v>44.024166999999998</v>
      </c>
      <c r="T103" s="7">
        <v>-88.561109999999999</v>
      </c>
      <c r="U103" s="7">
        <v>1</v>
      </c>
      <c r="V103" s="7">
        <v>20</v>
      </c>
      <c r="W103" s="7">
        <f t="shared" si="16"/>
        <v>1.3010299956639813</v>
      </c>
      <c r="X103" s="7" t="s">
        <v>1779</v>
      </c>
      <c r="Y103" s="7" t="s">
        <v>1863</v>
      </c>
      <c r="Z103" s="7">
        <v>13</v>
      </c>
      <c r="AA103" s="7">
        <v>20</v>
      </c>
      <c r="AB103" s="7">
        <v>0.48699999999999999</v>
      </c>
      <c r="AC103" s="7">
        <v>0.02</v>
      </c>
      <c r="AD103" s="7">
        <v>20</v>
      </c>
      <c r="AE103" s="7">
        <v>0.66700000000000004</v>
      </c>
      <c r="AF103" s="7">
        <v>0.04</v>
      </c>
      <c r="AG103" s="7">
        <v>18</v>
      </c>
      <c r="AH103" s="7">
        <v>0.47399999999999998</v>
      </c>
      <c r="AI103" s="7">
        <v>0.02</v>
      </c>
      <c r="AJ103" s="7">
        <v>19</v>
      </c>
      <c r="AK103" s="7">
        <v>0.70799999999999996</v>
      </c>
      <c r="AL103" s="7">
        <v>0.03</v>
      </c>
      <c r="AM103" s="7">
        <v>21</v>
      </c>
      <c r="AN103" s="7">
        <f t="shared" si="17"/>
        <v>1.567250400796645</v>
      </c>
      <c r="AO103" s="7">
        <f t="shared" si="18"/>
        <v>1.7066678012171459</v>
      </c>
      <c r="AP103" s="7">
        <f t="shared" si="19"/>
        <v>0.7066678012171459</v>
      </c>
      <c r="AQ103" s="7">
        <f t="shared" si="20"/>
        <v>-0.15017056428147674</v>
      </c>
      <c r="AR103" s="7">
        <f t="shared" si="21"/>
        <v>0.15017056428147674</v>
      </c>
      <c r="AS103" s="7">
        <f t="shared" si="22"/>
        <v>19.666666666666668</v>
      </c>
      <c r="AT103" s="184">
        <f t="shared" si="23"/>
        <v>0.03</v>
      </c>
      <c r="AU103" s="7"/>
      <c r="AV103" s="7" t="s">
        <v>1770</v>
      </c>
      <c r="AW103" s="7"/>
      <c r="AX103" s="7" t="s">
        <v>1861</v>
      </c>
      <c r="AY103" s="7" t="s">
        <v>1509</v>
      </c>
      <c r="BD103" s="188"/>
    </row>
    <row r="104" spans="1:56">
      <c r="A104" s="7" t="s">
        <v>33</v>
      </c>
      <c r="B104" s="7" t="s">
        <v>75</v>
      </c>
      <c r="C104" s="7" t="s">
        <v>76</v>
      </c>
      <c r="D104" s="7" t="s">
        <v>369</v>
      </c>
      <c r="E104" s="7" t="s">
        <v>370</v>
      </c>
      <c r="F104" s="7" t="s">
        <v>400</v>
      </c>
      <c r="G104" s="7" t="s">
        <v>1857</v>
      </c>
      <c r="H104" s="7" t="s">
        <v>4181</v>
      </c>
      <c r="I104" s="100">
        <f t="shared" si="24"/>
        <v>4.9000000000000002E-2</v>
      </c>
      <c r="J104" s="100">
        <f t="shared" si="14"/>
        <v>49</v>
      </c>
      <c r="K104" s="100">
        <f t="shared" si="15"/>
        <v>1.6901960800285136</v>
      </c>
      <c r="L104" s="73" t="s">
        <v>1502</v>
      </c>
      <c r="M104" s="7" t="s">
        <v>1870</v>
      </c>
      <c r="N104" s="7" t="s">
        <v>1538</v>
      </c>
      <c r="O104" s="7" t="s">
        <v>1505</v>
      </c>
      <c r="P104" s="108" t="s">
        <v>1492</v>
      </c>
      <c r="Q104" s="7" t="s">
        <v>1859</v>
      </c>
      <c r="R104" s="7">
        <v>44.024166999999998</v>
      </c>
      <c r="S104" s="7">
        <f t="shared" si="13"/>
        <v>44.024166999999998</v>
      </c>
      <c r="T104" s="7">
        <v>-88.561109999999999</v>
      </c>
      <c r="U104" s="7">
        <v>1</v>
      </c>
      <c r="V104" s="7">
        <v>20</v>
      </c>
      <c r="W104" s="7">
        <f t="shared" si="16"/>
        <v>1.3010299956639813</v>
      </c>
      <c r="X104" s="7" t="s">
        <v>1779</v>
      </c>
      <c r="Y104" s="7" t="s">
        <v>1860</v>
      </c>
      <c r="Z104" s="7">
        <v>5</v>
      </c>
      <c r="AA104" s="7">
        <v>13</v>
      </c>
      <c r="AB104" s="7">
        <v>0.318</v>
      </c>
      <c r="AC104" s="7">
        <v>0.02</v>
      </c>
      <c r="AD104" s="7">
        <v>20</v>
      </c>
      <c r="AE104" s="7">
        <v>0.47899999999999998</v>
      </c>
      <c r="AF104" s="7">
        <v>0.03</v>
      </c>
      <c r="AG104" s="7">
        <v>23</v>
      </c>
      <c r="AH104" s="7">
        <v>0.223</v>
      </c>
      <c r="AI104" s="7">
        <v>0.02</v>
      </c>
      <c r="AJ104" s="7">
        <v>19</v>
      </c>
      <c r="AK104" s="7">
        <v>0.496</v>
      </c>
      <c r="AL104" s="7">
        <v>0.04</v>
      </c>
      <c r="AM104" s="7">
        <v>21</v>
      </c>
      <c r="AN104" s="7">
        <f t="shared" si="17"/>
        <v>1.6687277642579827</v>
      </c>
      <c r="AO104" s="7">
        <f t="shared" si="18"/>
        <v>1.7430835150448223</v>
      </c>
      <c r="AP104" s="7">
        <f t="shared" si="19"/>
        <v>0.74308351504482228</v>
      </c>
      <c r="AQ104" s="7">
        <f t="shared" si="20"/>
        <v>-0.12837831702456698</v>
      </c>
      <c r="AR104" s="7">
        <f t="shared" si="21"/>
        <v>0.12837831702456698</v>
      </c>
      <c r="AS104" s="7">
        <f t="shared" si="22"/>
        <v>21.333333333333332</v>
      </c>
      <c r="AT104" s="184">
        <f t="shared" ref="AT104:AT118" si="25">AVERAGE(AC104,AF104,AL104)</f>
        <v>0.03</v>
      </c>
      <c r="AU104" s="7"/>
      <c r="AV104" s="7" t="s">
        <v>1770</v>
      </c>
      <c r="AW104" s="7"/>
      <c r="AX104" s="7" t="s">
        <v>1861</v>
      </c>
      <c r="AY104" s="7" t="s">
        <v>1509</v>
      </c>
      <c r="BD104" s="188"/>
    </row>
    <row r="105" spans="1:56">
      <c r="A105" s="7" t="s">
        <v>33</v>
      </c>
      <c r="B105" s="7" t="s">
        <v>75</v>
      </c>
      <c r="C105" s="7" t="s">
        <v>76</v>
      </c>
      <c r="D105" s="7" t="s">
        <v>369</v>
      </c>
      <c r="E105" s="7" t="s">
        <v>370</v>
      </c>
      <c r="F105" s="7" t="s">
        <v>400</v>
      </c>
      <c r="G105" s="7" t="s">
        <v>1857</v>
      </c>
      <c r="H105" s="7" t="s">
        <v>4181</v>
      </c>
      <c r="I105" s="100">
        <f t="shared" si="24"/>
        <v>4.9000000000000002E-2</v>
      </c>
      <c r="J105" s="100">
        <f t="shared" si="14"/>
        <v>49</v>
      </c>
      <c r="K105" s="100">
        <f t="shared" si="15"/>
        <v>1.6901960800285136</v>
      </c>
      <c r="L105" s="73" t="s">
        <v>1502</v>
      </c>
      <c r="M105" s="7" t="s">
        <v>1871</v>
      </c>
      <c r="N105" s="7" t="s">
        <v>1538</v>
      </c>
      <c r="O105" s="7" t="s">
        <v>1505</v>
      </c>
      <c r="P105" s="108" t="s">
        <v>1492</v>
      </c>
      <c r="Q105" s="7" t="s">
        <v>1859</v>
      </c>
      <c r="R105" s="7">
        <v>44.024166999999998</v>
      </c>
      <c r="S105" s="7">
        <f t="shared" si="13"/>
        <v>44.024166999999998</v>
      </c>
      <c r="T105" s="7">
        <v>-88.561109999999999</v>
      </c>
      <c r="U105" s="7">
        <v>1</v>
      </c>
      <c r="V105" s="7">
        <v>20</v>
      </c>
      <c r="W105" s="7">
        <f t="shared" si="16"/>
        <v>1.3010299956639813</v>
      </c>
      <c r="X105" s="7" t="s">
        <v>1779</v>
      </c>
      <c r="Y105" s="7" t="s">
        <v>1865</v>
      </c>
      <c r="Z105" s="7">
        <v>13</v>
      </c>
      <c r="AA105" s="7">
        <v>20</v>
      </c>
      <c r="AB105" s="7">
        <v>0.40200000000000002</v>
      </c>
      <c r="AC105" s="7">
        <v>0.04</v>
      </c>
      <c r="AD105" s="7">
        <v>20</v>
      </c>
      <c r="AE105" s="7">
        <v>0.55000000000000004</v>
      </c>
      <c r="AF105" s="7">
        <v>0.06</v>
      </c>
      <c r="AG105" s="7">
        <v>18</v>
      </c>
      <c r="AH105" s="7">
        <v>0.35</v>
      </c>
      <c r="AI105" s="7">
        <v>0.04</v>
      </c>
      <c r="AJ105" s="7">
        <v>17</v>
      </c>
      <c r="AK105" s="7">
        <v>0.53800000000000003</v>
      </c>
      <c r="AL105" s="7">
        <v>0.05</v>
      </c>
      <c r="AM105" s="7">
        <v>21</v>
      </c>
      <c r="AN105" s="7">
        <f t="shared" si="17"/>
        <v>1.5648795282833565</v>
      </c>
      <c r="AO105" s="7">
        <f t="shared" si="18"/>
        <v>1.516333059524571</v>
      </c>
      <c r="AP105" s="7">
        <f t="shared" si="19"/>
        <v>0.51633305952457098</v>
      </c>
      <c r="AQ105" s="7">
        <f t="shared" si="20"/>
        <v>-0.28622976765638336</v>
      </c>
      <c r="AR105" s="7">
        <f t="shared" si="21"/>
        <v>0.28622976765638336</v>
      </c>
      <c r="AS105" s="7">
        <f t="shared" si="22"/>
        <v>19.666666666666668</v>
      </c>
      <c r="AT105" s="184">
        <f t="shared" si="25"/>
        <v>5.000000000000001E-2</v>
      </c>
      <c r="AU105" s="7"/>
      <c r="AV105" s="7" t="s">
        <v>1770</v>
      </c>
      <c r="AW105" s="7"/>
      <c r="AX105" s="7" t="s">
        <v>1861</v>
      </c>
      <c r="AY105" s="7" t="s">
        <v>1509</v>
      </c>
      <c r="BD105" s="188"/>
    </row>
    <row r="106" spans="1:56">
      <c r="A106" s="7" t="s">
        <v>33</v>
      </c>
      <c r="B106" s="7" t="s">
        <v>34</v>
      </c>
      <c r="C106" s="7" t="s">
        <v>282</v>
      </c>
      <c r="D106" s="7" t="s">
        <v>1840</v>
      </c>
      <c r="E106" s="7" t="s">
        <v>1841</v>
      </c>
      <c r="F106" s="7" t="s">
        <v>1842</v>
      </c>
      <c r="G106" s="7" t="s">
        <v>1843</v>
      </c>
      <c r="H106" s="7" t="s">
        <v>4180</v>
      </c>
      <c r="I106" s="100">
        <f>47.43/1000</f>
        <v>4.743E-2</v>
      </c>
      <c r="J106" s="100">
        <f t="shared" si="14"/>
        <v>47.43</v>
      </c>
      <c r="K106" s="100">
        <f t="shared" si="15"/>
        <v>1.6760531246518715</v>
      </c>
      <c r="L106" s="73" t="s">
        <v>1517</v>
      </c>
      <c r="M106" s="7" t="s">
        <v>1872</v>
      </c>
      <c r="N106" s="7" t="s">
        <v>1504</v>
      </c>
      <c r="O106" s="7" t="s">
        <v>1505</v>
      </c>
      <c r="P106" s="108" t="s">
        <v>1492</v>
      </c>
      <c r="Q106" s="7" t="s">
        <v>1873</v>
      </c>
      <c r="R106" s="7">
        <v>58.95</v>
      </c>
      <c r="S106" s="7">
        <f t="shared" si="13"/>
        <v>58.95</v>
      </c>
      <c r="T106" s="7">
        <v>5.7</v>
      </c>
      <c r="U106" s="7">
        <v>1</v>
      </c>
      <c r="V106" s="7">
        <v>28</v>
      </c>
      <c r="W106" s="7">
        <f t="shared" si="16"/>
        <v>1.4471580313422192</v>
      </c>
      <c r="X106" s="7" t="s">
        <v>1779</v>
      </c>
      <c r="Y106" s="7" t="s">
        <v>1781</v>
      </c>
      <c r="Z106" s="7">
        <v>3</v>
      </c>
      <c r="AA106" s="7">
        <v>12</v>
      </c>
      <c r="AB106" s="7">
        <f>0.75/100*60</f>
        <v>0.44999999999999996</v>
      </c>
      <c r="AC106" s="7">
        <f>0.1/100*60</f>
        <v>0.06</v>
      </c>
      <c r="AD106" s="110">
        <v>7</v>
      </c>
      <c r="AE106" s="7">
        <f>1.9/100*60</f>
        <v>1.1399999999999999</v>
      </c>
      <c r="AF106" s="7">
        <f>0.3/100*60</f>
        <v>0.18</v>
      </c>
      <c r="AG106" s="110">
        <v>7</v>
      </c>
      <c r="AH106" s="7">
        <v>0.6</v>
      </c>
      <c r="AI106" s="7">
        <v>0.18</v>
      </c>
      <c r="AJ106" s="110">
        <v>7</v>
      </c>
      <c r="AK106" s="7">
        <f>1.5/100*60</f>
        <v>0.89999999999999991</v>
      </c>
      <c r="AL106" s="7">
        <f>0.2/100*60</f>
        <v>0.12</v>
      </c>
      <c r="AM106" s="110">
        <v>7</v>
      </c>
      <c r="AN106" s="7">
        <f t="shared" si="17"/>
        <v>2.8089696171285512</v>
      </c>
      <c r="AO106" s="7">
        <f t="shared" si="18"/>
        <v>2.1601194777846122</v>
      </c>
      <c r="AP106" s="7">
        <f t="shared" si="19"/>
        <v>1.1601194777846122</v>
      </c>
      <c r="AQ106" s="7">
        <f t="shared" si="20"/>
        <v>6.4876910412855898E-2</v>
      </c>
      <c r="AR106" s="7">
        <f t="shared" si="21"/>
        <v>-6.4876910412855898E-2</v>
      </c>
      <c r="AS106" s="7">
        <f t="shared" si="22"/>
        <v>7</v>
      </c>
      <c r="AT106" s="184">
        <f t="shared" si="25"/>
        <v>0.12</v>
      </c>
      <c r="AU106" s="110"/>
      <c r="AV106" s="7"/>
      <c r="AW106" s="7"/>
      <c r="AX106" s="7" t="s">
        <v>1874</v>
      </c>
      <c r="AY106" s="7" t="s">
        <v>1509</v>
      </c>
      <c r="BD106" s="188"/>
    </row>
    <row r="107" spans="1:56">
      <c r="A107" s="7" t="s">
        <v>33</v>
      </c>
      <c r="B107" s="7" t="s">
        <v>34</v>
      </c>
      <c r="C107" s="7" t="s">
        <v>282</v>
      </c>
      <c r="D107" s="7" t="s">
        <v>1840</v>
      </c>
      <c r="E107" s="7" t="s">
        <v>1841</v>
      </c>
      <c r="F107" s="7" t="s">
        <v>1842</v>
      </c>
      <c r="G107" s="7" t="s">
        <v>1843</v>
      </c>
      <c r="H107" s="7" t="s">
        <v>4180</v>
      </c>
      <c r="I107" s="100">
        <f>47.43/1000</f>
        <v>4.743E-2</v>
      </c>
      <c r="J107" s="100">
        <f t="shared" si="14"/>
        <v>47.43</v>
      </c>
      <c r="K107" s="100">
        <f t="shared" si="15"/>
        <v>1.6760531246518715</v>
      </c>
      <c r="L107" s="73" t="s">
        <v>1517</v>
      </c>
      <c r="M107" s="7" t="s">
        <v>1872</v>
      </c>
      <c r="N107" s="7" t="s">
        <v>1504</v>
      </c>
      <c r="O107" s="7" t="s">
        <v>1505</v>
      </c>
      <c r="P107" s="108" t="s">
        <v>1492</v>
      </c>
      <c r="Q107" s="7" t="s">
        <v>1875</v>
      </c>
      <c r="R107" s="7">
        <v>54.5</v>
      </c>
      <c r="S107" s="7">
        <f t="shared" si="13"/>
        <v>54.5</v>
      </c>
      <c r="T107" s="7">
        <v>10.4</v>
      </c>
      <c r="U107" s="7">
        <v>1</v>
      </c>
      <c r="V107" s="7">
        <v>28</v>
      </c>
      <c r="W107" s="7">
        <f t="shared" si="16"/>
        <v>1.4471580313422192</v>
      </c>
      <c r="X107" s="7" t="s">
        <v>1779</v>
      </c>
      <c r="Y107" s="7" t="s">
        <v>1781</v>
      </c>
      <c r="Z107" s="7">
        <v>3</v>
      </c>
      <c r="AA107" s="7">
        <v>12</v>
      </c>
      <c r="AB107" s="108">
        <f>1/100*60</f>
        <v>0.6</v>
      </c>
      <c r="AC107" s="108">
        <f>0.2/100*60</f>
        <v>0.12</v>
      </c>
      <c r="AD107" s="110">
        <v>7</v>
      </c>
      <c r="AE107" s="7">
        <f>1.95/100*60</f>
        <v>1.17</v>
      </c>
      <c r="AF107" s="7">
        <f>0.3/100*60</f>
        <v>0.18</v>
      </c>
      <c r="AG107" s="110">
        <v>7</v>
      </c>
      <c r="AH107" s="7">
        <f>0.75/100*60</f>
        <v>0.44999999999999996</v>
      </c>
      <c r="AI107" s="7">
        <f>0.4/100*60</f>
        <v>0.24</v>
      </c>
      <c r="AJ107" s="110">
        <v>7</v>
      </c>
      <c r="AK107" s="7">
        <f>1.8/100*60</f>
        <v>1.08</v>
      </c>
      <c r="AL107" s="7">
        <f>0.8/100*60</f>
        <v>0.48</v>
      </c>
      <c r="AM107" s="110">
        <v>7</v>
      </c>
      <c r="AN107" s="7">
        <f t="shared" si="17"/>
        <v>2.1002001216129598</v>
      </c>
      <c r="AO107" s="7">
        <f t="shared" si="18"/>
        <v>1.9214810988987503</v>
      </c>
      <c r="AP107" s="7">
        <f t="shared" si="19"/>
        <v>0.92148109889875029</v>
      </c>
      <c r="AQ107" s="7">
        <f t="shared" si="20"/>
        <v>-3.5042523519112578E-2</v>
      </c>
      <c r="AR107" s="7">
        <f t="shared" si="21"/>
        <v>3.5042523519112578E-2</v>
      </c>
      <c r="AS107" s="7">
        <f t="shared" si="22"/>
        <v>7</v>
      </c>
      <c r="AT107" s="184">
        <f t="shared" si="25"/>
        <v>0.26</v>
      </c>
      <c r="AU107" s="110"/>
      <c r="AV107" s="7"/>
      <c r="AW107" s="7"/>
      <c r="AX107" s="7" t="s">
        <v>1872</v>
      </c>
      <c r="AY107" s="7" t="s">
        <v>1509</v>
      </c>
      <c r="BD107" s="188"/>
    </row>
    <row r="108" spans="1:56">
      <c r="A108" s="7" t="s">
        <v>33</v>
      </c>
      <c r="B108" s="7" t="s">
        <v>75</v>
      </c>
      <c r="C108" s="7" t="s">
        <v>348</v>
      </c>
      <c r="D108" s="7" t="s">
        <v>349</v>
      </c>
      <c r="E108" s="7" t="s">
        <v>350</v>
      </c>
      <c r="F108" s="7" t="s">
        <v>974</v>
      </c>
      <c r="G108" s="7" t="s">
        <v>1886</v>
      </c>
      <c r="H108" s="7" t="s">
        <v>4181</v>
      </c>
      <c r="I108" s="100">
        <v>4.7214999999999993E-2</v>
      </c>
      <c r="J108" s="100">
        <f t="shared" si="14"/>
        <v>47.214999999999996</v>
      </c>
      <c r="K108" s="100">
        <f t="shared" si="15"/>
        <v>1.6740799940221798</v>
      </c>
      <c r="L108" s="73" t="s">
        <v>1517</v>
      </c>
      <c r="M108" s="7" t="s">
        <v>1887</v>
      </c>
      <c r="N108" s="7" t="s">
        <v>1640</v>
      </c>
      <c r="O108" s="7" t="s">
        <v>1505</v>
      </c>
      <c r="P108" s="108" t="s">
        <v>1492</v>
      </c>
      <c r="Q108" s="7" t="s">
        <v>1850</v>
      </c>
      <c r="R108" s="7">
        <v>40.5</v>
      </c>
      <c r="S108" s="7">
        <f t="shared" si="13"/>
        <v>40.5</v>
      </c>
      <c r="T108" s="7">
        <v>-82.5</v>
      </c>
      <c r="U108" s="7">
        <v>1</v>
      </c>
      <c r="V108" s="7">
        <v>21</v>
      </c>
      <c r="W108" s="7">
        <f t="shared" si="16"/>
        <v>1.3222192947339193</v>
      </c>
      <c r="X108" s="7" t="s">
        <v>1779</v>
      </c>
      <c r="Y108" s="7" t="s">
        <v>1781</v>
      </c>
      <c r="Z108" s="7">
        <v>15</v>
      </c>
      <c r="AA108" s="7">
        <v>20</v>
      </c>
      <c r="AB108" s="7">
        <v>35.96</v>
      </c>
      <c r="AC108" s="7">
        <v>1.4</v>
      </c>
      <c r="AD108" s="7">
        <v>43</v>
      </c>
      <c r="AE108" s="7">
        <v>61.24</v>
      </c>
      <c r="AF108" s="7">
        <v>1.2</v>
      </c>
      <c r="AG108" s="7">
        <v>33</v>
      </c>
      <c r="AH108" s="7">
        <v>29.03</v>
      </c>
      <c r="AI108" s="7">
        <v>0.8</v>
      </c>
      <c r="AJ108" s="7">
        <v>40</v>
      </c>
      <c r="AK108" s="7">
        <v>55.44</v>
      </c>
      <c r="AL108" s="7">
        <v>2</v>
      </c>
      <c r="AM108" s="7">
        <v>36</v>
      </c>
      <c r="AN108" s="7">
        <f t="shared" si="17"/>
        <v>2.9002203659733161</v>
      </c>
      <c r="AO108" s="7">
        <f t="shared" si="18"/>
        <v>2.3768790189569176</v>
      </c>
      <c r="AP108" s="7">
        <f t="shared" si="19"/>
        <v>1.3768790189569176</v>
      </c>
      <c r="AQ108" s="7">
        <f t="shared" si="20"/>
        <v>0.13921108716087563</v>
      </c>
      <c r="AR108" s="7">
        <f t="shared" si="21"/>
        <v>-0.13921108716087563</v>
      </c>
      <c r="AS108" s="7">
        <f t="shared" si="22"/>
        <v>37.333333333333336</v>
      </c>
      <c r="AT108" s="184">
        <f t="shared" si="25"/>
        <v>1.5333333333333332</v>
      </c>
      <c r="AU108" s="7"/>
      <c r="AV108" s="7" t="s">
        <v>1796</v>
      </c>
      <c r="AW108" s="7"/>
      <c r="AX108" s="7" t="s">
        <v>1887</v>
      </c>
      <c r="AY108" s="7" t="s">
        <v>1509</v>
      </c>
      <c r="BD108" s="188"/>
    </row>
    <row r="109" spans="1:56">
      <c r="A109" s="7" t="s">
        <v>33</v>
      </c>
      <c r="B109" s="7" t="s">
        <v>34</v>
      </c>
      <c r="C109" s="7" t="s">
        <v>282</v>
      </c>
      <c r="D109" s="7" t="s">
        <v>1560</v>
      </c>
      <c r="E109" s="7" t="s">
        <v>1561</v>
      </c>
      <c r="F109" s="7" t="s">
        <v>1888</v>
      </c>
      <c r="G109" s="7" t="s">
        <v>1889</v>
      </c>
      <c r="H109" s="7" t="s">
        <v>4180</v>
      </c>
      <c r="I109" s="100">
        <f>38.2/1000</f>
        <v>3.8200000000000005E-2</v>
      </c>
      <c r="J109" s="100">
        <f t="shared" si="14"/>
        <v>38.200000000000003</v>
      </c>
      <c r="K109" s="100">
        <f t="shared" si="15"/>
        <v>1.5820633629117087</v>
      </c>
      <c r="L109" s="73" t="s">
        <v>1517</v>
      </c>
      <c r="M109" s="7" t="s">
        <v>1890</v>
      </c>
      <c r="N109" s="7" t="s">
        <v>1538</v>
      </c>
      <c r="O109" s="7" t="s">
        <v>1494</v>
      </c>
      <c r="P109" s="108" t="s">
        <v>1492</v>
      </c>
      <c r="Q109" s="7" t="s">
        <v>1799</v>
      </c>
      <c r="R109" s="7">
        <v>-1.2833300000000001</v>
      </c>
      <c r="S109" s="7">
        <f t="shared" si="13"/>
        <v>1.2833300000000001</v>
      </c>
      <c r="T109" s="7">
        <v>36.816667000000002</v>
      </c>
      <c r="U109" s="7">
        <v>1</v>
      </c>
      <c r="V109" s="7">
        <v>90</v>
      </c>
      <c r="W109" s="7">
        <f t="shared" si="16"/>
        <v>1.954242509439325</v>
      </c>
      <c r="X109" s="7" t="s">
        <v>1779</v>
      </c>
      <c r="Y109" s="7" t="s">
        <v>1781</v>
      </c>
      <c r="Z109" s="7">
        <v>20.5</v>
      </c>
      <c r="AA109" s="7">
        <v>26.5</v>
      </c>
      <c r="AB109" s="7">
        <v>69.599999999999994</v>
      </c>
      <c r="AC109" s="7">
        <v>2</v>
      </c>
      <c r="AD109" s="7">
        <v>6</v>
      </c>
      <c r="AE109" s="7">
        <v>103</v>
      </c>
      <c r="AF109" s="7">
        <v>1.9</v>
      </c>
      <c r="AG109" s="7">
        <v>6</v>
      </c>
      <c r="AH109" s="7">
        <v>38.799999999999997</v>
      </c>
      <c r="AI109" s="7">
        <v>1.3</v>
      </c>
      <c r="AJ109" s="7">
        <v>6</v>
      </c>
      <c r="AK109" s="7">
        <v>64.5</v>
      </c>
      <c r="AL109" s="7">
        <v>1.8</v>
      </c>
      <c r="AM109" s="7">
        <v>6</v>
      </c>
      <c r="AN109" s="7">
        <f t="shared" si="17"/>
        <v>1.9218226542243009</v>
      </c>
      <c r="AO109" s="7">
        <f t="shared" si="18"/>
        <v>0.88088143754952142</v>
      </c>
      <c r="AP109" s="7">
        <f t="shared" si="19"/>
        <v>0.11911856245047858</v>
      </c>
      <c r="AQ109" s="7">
        <f t="shared" si="20"/>
        <v>-0.92038987397189476</v>
      </c>
      <c r="AR109" s="7">
        <f t="shared" si="21"/>
        <v>0.92038987397189476</v>
      </c>
      <c r="AS109" s="7">
        <f t="shared" si="22"/>
        <v>6</v>
      </c>
      <c r="AT109" s="184">
        <f t="shared" si="25"/>
        <v>1.9000000000000001</v>
      </c>
      <c r="AU109" s="7"/>
      <c r="AV109" s="7" t="s">
        <v>1891</v>
      </c>
      <c r="AW109" s="7"/>
      <c r="AX109" s="7" t="s">
        <v>1890</v>
      </c>
      <c r="AY109" s="7" t="s">
        <v>1509</v>
      </c>
      <c r="BD109" s="188"/>
    </row>
    <row r="110" spans="1:56">
      <c r="A110" s="7" t="s">
        <v>23</v>
      </c>
      <c r="B110" s="7" t="s">
        <v>1713</v>
      </c>
      <c r="C110" s="7" t="s">
        <v>1698</v>
      </c>
      <c r="D110" s="7" t="s">
        <v>1892</v>
      </c>
      <c r="E110" s="7" t="s">
        <v>1893</v>
      </c>
      <c r="F110" s="7" t="s">
        <v>1894</v>
      </c>
      <c r="G110" s="7" t="s">
        <v>1895</v>
      </c>
      <c r="H110" s="7" t="s">
        <v>4185</v>
      </c>
      <c r="I110" s="100">
        <f>38/1000</f>
        <v>3.7999999999999999E-2</v>
      </c>
      <c r="J110" s="100">
        <f t="shared" si="14"/>
        <v>38</v>
      </c>
      <c r="K110" s="100">
        <f t="shared" si="15"/>
        <v>1.5797835966168101</v>
      </c>
      <c r="L110" s="73" t="s">
        <v>1517</v>
      </c>
      <c r="M110" s="7" t="s">
        <v>1896</v>
      </c>
      <c r="N110" s="7" t="s">
        <v>1504</v>
      </c>
      <c r="O110" s="7" t="s">
        <v>1494</v>
      </c>
      <c r="P110" s="108" t="s">
        <v>1492</v>
      </c>
      <c r="Q110" s="7" t="s">
        <v>1897</v>
      </c>
      <c r="R110" s="7">
        <v>18.95</v>
      </c>
      <c r="S110" s="7">
        <f t="shared" si="13"/>
        <v>18.95</v>
      </c>
      <c r="T110" s="7">
        <v>72.8</v>
      </c>
      <c r="U110" s="7">
        <v>1</v>
      </c>
      <c r="V110" s="7">
        <v>30</v>
      </c>
      <c r="W110" s="7">
        <f t="shared" si="16"/>
        <v>1.4771212547196624</v>
      </c>
      <c r="X110" s="7" t="s">
        <v>1779</v>
      </c>
      <c r="Y110" s="7" t="s">
        <v>1781</v>
      </c>
      <c r="Z110" s="7">
        <v>25</v>
      </c>
      <c r="AA110" s="7">
        <v>30</v>
      </c>
      <c r="AB110" s="108">
        <v>6.5963875000000005E-2</v>
      </c>
      <c r="AC110" s="108">
        <v>3.4388750000000001E-3</v>
      </c>
      <c r="AD110" s="108">
        <v>6</v>
      </c>
      <c r="AE110" s="108">
        <v>9.9102124999999985E-2</v>
      </c>
      <c r="AF110" s="108">
        <v>4.3767500000000004E-3</v>
      </c>
      <c r="AG110" s="108">
        <v>6</v>
      </c>
      <c r="AH110" s="7"/>
      <c r="AI110" s="7"/>
      <c r="AJ110" s="7"/>
      <c r="AK110" s="108">
        <v>9.2224375000000025E-2</v>
      </c>
      <c r="AL110" s="108">
        <v>4.064125E-3</v>
      </c>
      <c r="AM110" s="108">
        <v>6</v>
      </c>
      <c r="AN110" s="7">
        <f t="shared" si="17"/>
        <v>2.2571146200669334</v>
      </c>
      <c r="AO110" s="7">
        <f t="shared" si="18"/>
        <v>1.954695536937626</v>
      </c>
      <c r="AP110" s="7">
        <f t="shared" si="19"/>
        <v>0.95469553693762599</v>
      </c>
      <c r="AQ110" s="7">
        <f t="shared" si="20"/>
        <v>-1.9680442125477472E-2</v>
      </c>
      <c r="AR110" s="7">
        <f t="shared" si="21"/>
        <v>1.9680442125477472E-2</v>
      </c>
      <c r="AS110" s="7">
        <f t="shared" si="22"/>
        <v>6</v>
      </c>
      <c r="AT110" s="184">
        <f t="shared" si="25"/>
        <v>3.9599166666666663E-3</v>
      </c>
      <c r="AU110" s="108"/>
      <c r="AV110" s="7"/>
      <c r="AW110" s="7"/>
      <c r="AX110" s="7" t="s">
        <v>1896</v>
      </c>
      <c r="AY110" s="7" t="s">
        <v>1509</v>
      </c>
      <c r="BD110" s="188"/>
    </row>
    <row r="111" spans="1:56">
      <c r="A111" s="7" t="s">
        <v>33</v>
      </c>
      <c r="B111" s="7" t="s">
        <v>75</v>
      </c>
      <c r="C111" s="7" t="s">
        <v>76</v>
      </c>
      <c r="D111" s="7" t="s">
        <v>369</v>
      </c>
      <c r="E111" s="7" t="s">
        <v>370</v>
      </c>
      <c r="F111" s="7" t="s">
        <v>1898</v>
      </c>
      <c r="G111" s="7" t="s">
        <v>1899</v>
      </c>
      <c r="H111" s="7" t="s">
        <v>4181</v>
      </c>
      <c r="I111" s="100">
        <f>34.2/1000</f>
        <v>3.4200000000000001E-2</v>
      </c>
      <c r="J111" s="100">
        <f t="shared" si="14"/>
        <v>34.200000000000003</v>
      </c>
      <c r="K111" s="100">
        <f t="shared" si="15"/>
        <v>1.5340261060561351</v>
      </c>
      <c r="L111" s="73" t="s">
        <v>1517</v>
      </c>
      <c r="M111" s="107" t="s">
        <v>1821</v>
      </c>
      <c r="N111" s="7" t="s">
        <v>1538</v>
      </c>
      <c r="O111" s="7" t="s">
        <v>1505</v>
      </c>
      <c r="P111" s="108" t="s">
        <v>1492</v>
      </c>
      <c r="Q111" s="7" t="s">
        <v>1900</v>
      </c>
      <c r="R111" s="7">
        <v>9.3167000000000009</v>
      </c>
      <c r="S111" s="7">
        <f t="shared" si="13"/>
        <v>9.3167000000000009</v>
      </c>
      <c r="T111" s="7">
        <v>123.3</v>
      </c>
      <c r="U111" s="7">
        <v>1</v>
      </c>
      <c r="V111" s="7">
        <v>8</v>
      </c>
      <c r="W111" s="7">
        <f t="shared" si="16"/>
        <v>0.90308998699194354</v>
      </c>
      <c r="X111" s="7" t="s">
        <v>1779</v>
      </c>
      <c r="Y111" s="7" t="s">
        <v>1781</v>
      </c>
      <c r="Z111" s="7">
        <v>20</v>
      </c>
      <c r="AA111" s="7">
        <v>30</v>
      </c>
      <c r="AB111" s="7">
        <v>9.5000000000000001E-2</v>
      </c>
      <c r="AC111" s="7">
        <v>0.02</v>
      </c>
      <c r="AD111" s="7">
        <v>6</v>
      </c>
      <c r="AE111" s="7">
        <v>0.18</v>
      </c>
      <c r="AF111" s="7">
        <v>0.02</v>
      </c>
      <c r="AG111" s="7">
        <v>6</v>
      </c>
      <c r="AH111" s="7">
        <v>0.08</v>
      </c>
      <c r="AI111" s="7">
        <v>0.02</v>
      </c>
      <c r="AJ111" s="7">
        <v>6</v>
      </c>
      <c r="AK111" s="7">
        <v>0.17</v>
      </c>
      <c r="AL111" s="7">
        <v>0.02</v>
      </c>
      <c r="AM111" s="7">
        <v>6</v>
      </c>
      <c r="AN111" s="7">
        <f t="shared" si="17"/>
        <v>1.8947368421052631</v>
      </c>
      <c r="AO111" s="7">
        <f t="shared" si="18"/>
        <v>1.7894736842105263</v>
      </c>
      <c r="AP111" s="7">
        <f t="shared" si="19"/>
        <v>0.78947368421052633</v>
      </c>
      <c r="AQ111" s="7">
        <f t="shared" si="20"/>
        <v>-0.10211258366016215</v>
      </c>
      <c r="AR111" s="7">
        <f t="shared" si="21"/>
        <v>0.10211258366016215</v>
      </c>
      <c r="AS111" s="7">
        <f t="shared" si="22"/>
        <v>6</v>
      </c>
      <c r="AT111" s="184">
        <f t="shared" si="25"/>
        <v>0.02</v>
      </c>
      <c r="AU111" s="7"/>
      <c r="AV111" s="7" t="s">
        <v>1824</v>
      </c>
      <c r="AW111" s="7" t="s">
        <v>1901</v>
      </c>
      <c r="AX111" s="107" t="s">
        <v>1821</v>
      </c>
      <c r="AY111" s="7" t="s">
        <v>1509</v>
      </c>
      <c r="BD111" s="188"/>
    </row>
    <row r="112" spans="1:56">
      <c r="A112" s="7" t="s">
        <v>33</v>
      </c>
      <c r="B112" s="7" t="s">
        <v>43</v>
      </c>
      <c r="C112" s="7" t="s">
        <v>44</v>
      </c>
      <c r="D112" s="7" t="s">
        <v>1902</v>
      </c>
      <c r="E112" s="7" t="s">
        <v>1903</v>
      </c>
      <c r="F112" s="7" t="s">
        <v>575</v>
      </c>
      <c r="G112" s="7" t="s">
        <v>1904</v>
      </c>
      <c r="H112" s="7" t="s">
        <v>4184</v>
      </c>
      <c r="I112" s="100">
        <f>32/1000</f>
        <v>3.2000000000000001E-2</v>
      </c>
      <c r="J112" s="100">
        <f t="shared" si="14"/>
        <v>32</v>
      </c>
      <c r="K112" s="100">
        <f t="shared" si="15"/>
        <v>1.505149978319906</v>
      </c>
      <c r="L112" s="73" t="s">
        <v>1517</v>
      </c>
      <c r="M112" s="7" t="s">
        <v>1905</v>
      </c>
      <c r="N112" s="7" t="s">
        <v>1640</v>
      </c>
      <c r="O112" s="7" t="s">
        <v>1505</v>
      </c>
      <c r="P112" s="108" t="s">
        <v>1492</v>
      </c>
      <c r="Q112" s="7" t="s">
        <v>1906</v>
      </c>
      <c r="R112" s="7">
        <v>30.05</v>
      </c>
      <c r="S112" s="7">
        <f t="shared" si="13"/>
        <v>30.05</v>
      </c>
      <c r="T112" s="7">
        <v>31.233332999999998</v>
      </c>
      <c r="U112" s="7">
        <v>1</v>
      </c>
      <c r="V112" s="7">
        <v>17</v>
      </c>
      <c r="W112" s="7">
        <f t="shared" si="16"/>
        <v>1.2304489213782739</v>
      </c>
      <c r="X112" s="7" t="s">
        <v>1779</v>
      </c>
      <c r="Y112" s="7" t="s">
        <v>1781</v>
      </c>
      <c r="Z112" s="7">
        <v>10</v>
      </c>
      <c r="AA112" s="7">
        <v>30</v>
      </c>
      <c r="AB112" s="7">
        <v>1.8499999999999999E-2</v>
      </c>
      <c r="AC112" s="7">
        <v>1.1000000000000001E-3</v>
      </c>
      <c r="AD112" s="7">
        <v>12</v>
      </c>
      <c r="AE112" s="7">
        <v>9.5600000000000004E-2</v>
      </c>
      <c r="AF112" s="7">
        <v>6.1999999999999998E-3</v>
      </c>
      <c r="AG112" s="7">
        <v>12</v>
      </c>
      <c r="AH112" s="7">
        <v>2.3199999999999998E-2</v>
      </c>
      <c r="AI112" s="7">
        <v>1E-3</v>
      </c>
      <c r="AJ112" s="7">
        <v>10</v>
      </c>
      <c r="AK112" s="7">
        <v>0.1075</v>
      </c>
      <c r="AL112" s="7">
        <v>4.1999999999999997E-3</v>
      </c>
      <c r="AM112" s="7">
        <v>10</v>
      </c>
      <c r="AN112" s="7">
        <f t="shared" si="17"/>
        <v>2.2732284459700849</v>
      </c>
      <c r="AO112" s="7">
        <f t="shared" si="18"/>
        <v>2.410562343274036</v>
      </c>
      <c r="AP112" s="7">
        <f t="shared" si="19"/>
        <v>1.410562343274036</v>
      </c>
      <c r="AQ112" s="7">
        <f t="shared" si="20"/>
        <v>0.1497000640217139</v>
      </c>
      <c r="AR112" s="7">
        <f t="shared" si="21"/>
        <v>-0.1497000640217139</v>
      </c>
      <c r="AS112" s="7">
        <f t="shared" si="22"/>
        <v>11.333333333333334</v>
      </c>
      <c r="AT112" s="184">
        <f t="shared" si="25"/>
        <v>3.8333333333333331E-3</v>
      </c>
      <c r="AU112" s="7"/>
      <c r="AV112" s="7" t="s">
        <v>1907</v>
      </c>
      <c r="AW112" s="7"/>
      <c r="AX112" s="7" t="s">
        <v>1908</v>
      </c>
      <c r="AY112" s="7" t="s">
        <v>1509</v>
      </c>
      <c r="BD112" s="188"/>
    </row>
    <row r="113" spans="1:56">
      <c r="A113" s="7" t="s">
        <v>33</v>
      </c>
      <c r="B113" s="7" t="s">
        <v>34</v>
      </c>
      <c r="C113" s="7" t="s">
        <v>66</v>
      </c>
      <c r="D113" s="7" t="s">
        <v>67</v>
      </c>
      <c r="E113" s="7" t="s">
        <v>1909</v>
      </c>
      <c r="F113" s="7" t="s">
        <v>1910</v>
      </c>
      <c r="G113" s="7" t="s">
        <v>1911</v>
      </c>
      <c r="H113" s="7" t="s">
        <v>4180</v>
      </c>
      <c r="I113" s="100">
        <f>30/1000</f>
        <v>0.03</v>
      </c>
      <c r="J113" s="100">
        <f t="shared" si="14"/>
        <v>30</v>
      </c>
      <c r="K113" s="100">
        <f t="shared" si="15"/>
        <v>1.4771212547196624</v>
      </c>
      <c r="L113" s="73" t="s">
        <v>1517</v>
      </c>
      <c r="M113" s="7" t="s">
        <v>1912</v>
      </c>
      <c r="N113" s="7" t="s">
        <v>1538</v>
      </c>
      <c r="O113" s="7" t="s">
        <v>1494</v>
      </c>
      <c r="P113" s="108" t="s">
        <v>1539</v>
      </c>
      <c r="Q113" s="7" t="s">
        <v>1913</v>
      </c>
      <c r="R113" s="7">
        <v>19.55</v>
      </c>
      <c r="S113" s="7">
        <f t="shared" si="13"/>
        <v>19.55</v>
      </c>
      <c r="T113" s="7">
        <v>72.83</v>
      </c>
      <c r="U113" s="7">
        <v>1</v>
      </c>
      <c r="V113" s="7">
        <v>30</v>
      </c>
      <c r="W113" s="7">
        <f t="shared" si="16"/>
        <v>1.4771212547196624</v>
      </c>
      <c r="X113" s="7" t="s">
        <v>1779</v>
      </c>
      <c r="Y113" s="7" t="s">
        <v>1781</v>
      </c>
      <c r="Z113" s="7">
        <v>26</v>
      </c>
      <c r="AA113" s="7">
        <v>36</v>
      </c>
      <c r="AB113" s="108">
        <v>2.36532075</v>
      </c>
      <c r="AC113" s="108">
        <v>5.7835625000000009E-2</v>
      </c>
      <c r="AD113" s="7">
        <v>6</v>
      </c>
      <c r="AE113" s="108">
        <v>2.0179943750000002</v>
      </c>
      <c r="AF113" s="108">
        <v>4.5643250000000003E-2</v>
      </c>
      <c r="AG113" s="7">
        <v>6</v>
      </c>
      <c r="AH113" s="7"/>
      <c r="AI113" s="7"/>
      <c r="AJ113" s="7"/>
      <c r="AK113" s="108">
        <v>3.8399728749999995</v>
      </c>
      <c r="AL113" s="108">
        <v>4.3767500000000001E-2</v>
      </c>
      <c r="AM113" s="7">
        <v>6</v>
      </c>
      <c r="AN113" s="7">
        <f t="shared" si="17"/>
        <v>0.85315886862278623</v>
      </c>
      <c r="AO113" s="7">
        <f t="shared" si="18"/>
        <v>1.6234469997356593</v>
      </c>
      <c r="AP113" s="7">
        <f t="shared" si="19"/>
        <v>0.62344699973565931</v>
      </c>
      <c r="AQ113" s="7">
        <f t="shared" si="20"/>
        <v>-0.20450441669598743</v>
      </c>
      <c r="AR113" s="7">
        <f t="shared" si="21"/>
        <v>0.20450441669598743</v>
      </c>
      <c r="AS113" s="7">
        <f t="shared" si="22"/>
        <v>6</v>
      </c>
      <c r="AT113" s="184">
        <f t="shared" si="25"/>
        <v>4.9082125000000004E-2</v>
      </c>
      <c r="AU113" s="7"/>
      <c r="AV113" s="7"/>
      <c r="AW113" s="7"/>
      <c r="AX113" s="7" t="s">
        <v>1914</v>
      </c>
      <c r="AY113" s="7" t="s">
        <v>1509</v>
      </c>
      <c r="BD113" s="188"/>
    </row>
    <row r="114" spans="1:56">
      <c r="A114" s="7" t="s">
        <v>33</v>
      </c>
      <c r="B114" s="7" t="s">
        <v>75</v>
      </c>
      <c r="C114" s="7" t="s">
        <v>76</v>
      </c>
      <c r="D114" s="7" t="s">
        <v>369</v>
      </c>
      <c r="E114" s="7" t="s">
        <v>370</v>
      </c>
      <c r="F114" s="7" t="s">
        <v>605</v>
      </c>
      <c r="G114" s="7" t="s">
        <v>1915</v>
      </c>
      <c r="H114" s="7" t="s">
        <v>4181</v>
      </c>
      <c r="I114" s="100">
        <f>30/1000</f>
        <v>0.03</v>
      </c>
      <c r="J114" s="100">
        <f t="shared" si="14"/>
        <v>30</v>
      </c>
      <c r="K114" s="100">
        <f t="shared" si="15"/>
        <v>1.4771212547196624</v>
      </c>
      <c r="L114" s="73" t="s">
        <v>1517</v>
      </c>
      <c r="M114" s="7" t="s">
        <v>1916</v>
      </c>
      <c r="N114" s="7" t="s">
        <v>1538</v>
      </c>
      <c r="O114" s="7" t="s">
        <v>1505</v>
      </c>
      <c r="P114" s="108" t="s">
        <v>1492</v>
      </c>
      <c r="Q114" s="7" t="s">
        <v>1917</v>
      </c>
      <c r="R114" s="7">
        <v>42.5</v>
      </c>
      <c r="S114" s="7">
        <f t="shared" si="13"/>
        <v>42.5</v>
      </c>
      <c r="T114" s="7">
        <v>-8.1</v>
      </c>
      <c r="U114" s="7">
        <v>1</v>
      </c>
      <c r="V114" s="7">
        <v>113</v>
      </c>
      <c r="W114" s="7">
        <f t="shared" si="16"/>
        <v>2.0530784434834195</v>
      </c>
      <c r="X114" s="7" t="s">
        <v>1779</v>
      </c>
      <c r="Y114" s="7" t="s">
        <v>1781</v>
      </c>
      <c r="Z114" s="7">
        <v>10</v>
      </c>
      <c r="AA114" s="7">
        <v>29</v>
      </c>
      <c r="AB114" s="7">
        <v>15</v>
      </c>
      <c r="AC114" s="7">
        <v>1</v>
      </c>
      <c r="AD114" s="7">
        <v>4</v>
      </c>
      <c r="AE114" s="7">
        <v>80</v>
      </c>
      <c r="AF114" s="7">
        <v>6</v>
      </c>
      <c r="AG114" s="7">
        <v>4</v>
      </c>
      <c r="AH114" s="7">
        <v>7</v>
      </c>
      <c r="AI114" s="7">
        <v>1</v>
      </c>
      <c r="AJ114" s="7">
        <v>4</v>
      </c>
      <c r="AK114" s="7">
        <v>95</v>
      </c>
      <c r="AL114" s="7">
        <v>15</v>
      </c>
      <c r="AM114" s="7">
        <v>4</v>
      </c>
      <c r="AN114" s="7">
        <f t="shared" si="17"/>
        <v>2.41340889710782</v>
      </c>
      <c r="AO114" s="7">
        <f t="shared" si="18"/>
        <v>2.6418719341119425</v>
      </c>
      <c r="AP114" s="7">
        <f t="shared" si="19"/>
        <v>1.6418719341119425</v>
      </c>
      <c r="AQ114" s="7">
        <f t="shared" si="20"/>
        <v>0.21560371043674234</v>
      </c>
      <c r="AR114" s="7">
        <f t="shared" si="21"/>
        <v>-0.21560371043674234</v>
      </c>
      <c r="AS114" s="7">
        <f t="shared" si="22"/>
        <v>4</v>
      </c>
      <c r="AT114" s="184">
        <f t="shared" si="25"/>
        <v>7.333333333333333</v>
      </c>
      <c r="AU114" s="7"/>
      <c r="AV114" s="7" t="s">
        <v>1796</v>
      </c>
      <c r="AW114" s="7"/>
      <c r="AX114" s="7" t="s">
        <v>1918</v>
      </c>
      <c r="AY114" s="7" t="s">
        <v>1509</v>
      </c>
      <c r="BD114" s="188"/>
    </row>
    <row r="115" spans="1:56">
      <c r="A115" s="7" t="s">
        <v>33</v>
      </c>
      <c r="B115" s="7" t="s">
        <v>43</v>
      </c>
      <c r="C115" s="7" t="s">
        <v>1550</v>
      </c>
      <c r="D115" s="7" t="s">
        <v>1551</v>
      </c>
      <c r="E115" s="7" t="s">
        <v>1552</v>
      </c>
      <c r="F115" s="7" t="s">
        <v>1553</v>
      </c>
      <c r="G115" s="7" t="s">
        <v>1554</v>
      </c>
      <c r="H115" s="7" t="s">
        <v>4184</v>
      </c>
      <c r="I115" s="100">
        <f>30/1000</f>
        <v>0.03</v>
      </c>
      <c r="J115" s="100">
        <f t="shared" si="14"/>
        <v>30</v>
      </c>
      <c r="K115" s="100">
        <f t="shared" si="15"/>
        <v>1.4771212547196624</v>
      </c>
      <c r="L115" s="73" t="s">
        <v>1517</v>
      </c>
      <c r="M115" s="7" t="s">
        <v>1555</v>
      </c>
      <c r="N115" s="7" t="s">
        <v>1538</v>
      </c>
      <c r="O115" s="7" t="s">
        <v>1505</v>
      </c>
      <c r="P115" s="108" t="s">
        <v>1539</v>
      </c>
      <c r="Q115" s="7" t="s">
        <v>1556</v>
      </c>
      <c r="R115" s="7">
        <v>25.72</v>
      </c>
      <c r="S115" s="7">
        <f t="shared" si="13"/>
        <v>25.72</v>
      </c>
      <c r="T115" s="7">
        <v>152.58000000000001</v>
      </c>
      <c r="U115" s="7">
        <v>1</v>
      </c>
      <c r="V115" s="7">
        <v>56</v>
      </c>
      <c r="W115" s="7">
        <f t="shared" si="16"/>
        <v>1.7481880270062005</v>
      </c>
      <c r="X115" s="7" t="s">
        <v>1779</v>
      </c>
      <c r="Y115" s="7" t="s">
        <v>1781</v>
      </c>
      <c r="Z115" s="7">
        <v>17</v>
      </c>
      <c r="AA115" s="7">
        <v>28</v>
      </c>
      <c r="AB115" s="108">
        <v>3.5714285714285712</v>
      </c>
      <c r="AC115" s="108">
        <v>3.5714285714285719E-2</v>
      </c>
      <c r="AD115" s="7">
        <v>6</v>
      </c>
      <c r="AE115" s="108">
        <v>7.1428571428571423</v>
      </c>
      <c r="AF115" s="108">
        <v>0.5357142857142857</v>
      </c>
      <c r="AG115" s="108">
        <v>6</v>
      </c>
      <c r="AH115" s="108">
        <v>2.6785714285714284</v>
      </c>
      <c r="AI115" s="108">
        <v>0.40178571428571425</v>
      </c>
      <c r="AJ115" s="108">
        <v>7</v>
      </c>
      <c r="AK115" s="108">
        <v>7.5892857142857153</v>
      </c>
      <c r="AL115" s="108">
        <v>0.75892857142857151</v>
      </c>
      <c r="AM115" s="7">
        <v>7</v>
      </c>
      <c r="AN115" s="7">
        <f t="shared" si="17"/>
        <v>1.8778618213234126</v>
      </c>
      <c r="AO115" s="7">
        <f t="shared" si="18"/>
        <v>1.9842620723736328</v>
      </c>
      <c r="AP115" s="7">
        <f t="shared" si="19"/>
        <v>0.98426207237363283</v>
      </c>
      <c r="AQ115" s="7">
        <f t="shared" si="20"/>
        <v>-6.4482350382221365E-3</v>
      </c>
      <c r="AR115" s="7">
        <f t="shared" si="21"/>
        <v>6.4482350382221365E-3</v>
      </c>
      <c r="AS115" s="7">
        <f t="shared" si="22"/>
        <v>6.333333333333333</v>
      </c>
      <c r="AT115" s="184">
        <f t="shared" si="25"/>
        <v>0.44345238095238093</v>
      </c>
      <c r="AU115" s="7"/>
      <c r="AV115" s="7"/>
      <c r="AW115" s="7"/>
      <c r="AX115" s="7" t="s">
        <v>1555</v>
      </c>
      <c r="AY115" s="7" t="s">
        <v>1509</v>
      </c>
      <c r="BD115" s="188"/>
    </row>
    <row r="116" spans="1:56">
      <c r="A116" s="7" t="s">
        <v>1876</v>
      </c>
      <c r="B116" s="7" t="s">
        <v>1919</v>
      </c>
      <c r="C116" s="7" t="s">
        <v>1878</v>
      </c>
      <c r="D116" s="7" t="s">
        <v>1920</v>
      </c>
      <c r="E116" s="7" t="s">
        <v>1921</v>
      </c>
      <c r="F116" s="7" t="s">
        <v>1922</v>
      </c>
      <c r="G116" s="7" t="s">
        <v>1923</v>
      </c>
      <c r="H116" s="7" t="s">
        <v>4186</v>
      </c>
      <c r="I116" s="100">
        <f>29/1000</f>
        <v>2.9000000000000001E-2</v>
      </c>
      <c r="J116" s="100">
        <f t="shared" si="14"/>
        <v>29</v>
      </c>
      <c r="K116" s="100">
        <f t="shared" si="15"/>
        <v>1.4623979978989561</v>
      </c>
      <c r="L116" s="73" t="s">
        <v>1517</v>
      </c>
      <c r="M116" s="7" t="s">
        <v>1924</v>
      </c>
      <c r="N116" s="7" t="s">
        <v>1504</v>
      </c>
      <c r="O116" s="7" t="s">
        <v>1505</v>
      </c>
      <c r="P116" s="108" t="s">
        <v>1492</v>
      </c>
      <c r="Q116" s="7" t="s">
        <v>1925</v>
      </c>
      <c r="R116" s="7">
        <v>47.516666999999998</v>
      </c>
      <c r="S116" s="7">
        <f t="shared" si="13"/>
        <v>47.516666999999998</v>
      </c>
      <c r="T116" s="7">
        <v>-52.983330000000002</v>
      </c>
      <c r="U116" s="7">
        <v>1</v>
      </c>
      <c r="V116" s="7">
        <v>35</v>
      </c>
      <c r="W116" s="7">
        <f t="shared" si="16"/>
        <v>1.5440680443502757</v>
      </c>
      <c r="X116" s="7" t="s">
        <v>1779</v>
      </c>
      <c r="Y116" s="7" t="s">
        <v>1781</v>
      </c>
      <c r="Z116" s="7">
        <v>0</v>
      </c>
      <c r="AA116" s="7">
        <v>15</v>
      </c>
      <c r="AB116" s="7">
        <v>5.36</v>
      </c>
      <c r="AC116" s="7">
        <v>0.28000000000000003</v>
      </c>
      <c r="AD116" s="7">
        <v>10</v>
      </c>
      <c r="AE116" s="7">
        <v>18.8</v>
      </c>
      <c r="AF116" s="7">
        <v>1.2</v>
      </c>
      <c r="AG116" s="7">
        <v>10</v>
      </c>
      <c r="AH116" s="7">
        <v>4.09</v>
      </c>
      <c r="AI116" s="7">
        <v>0.36</v>
      </c>
      <c r="AJ116" s="7">
        <v>10</v>
      </c>
      <c r="AK116" s="7">
        <v>18.8</v>
      </c>
      <c r="AL116" s="7">
        <v>1</v>
      </c>
      <c r="AM116" s="7">
        <v>9</v>
      </c>
      <c r="AN116" s="7">
        <f t="shared" si="17"/>
        <v>2.3084937675290904</v>
      </c>
      <c r="AO116" s="7">
        <f t="shared" si="18"/>
        <v>2.3084937675290904</v>
      </c>
      <c r="AP116" s="7">
        <f t="shared" si="19"/>
        <v>1.3084937675290904</v>
      </c>
      <c r="AQ116" s="7">
        <f t="shared" si="20"/>
        <v>0.11710343576303335</v>
      </c>
      <c r="AR116" s="7">
        <f t="shared" si="21"/>
        <v>-0.11710343576303335</v>
      </c>
      <c r="AS116" s="7">
        <f t="shared" si="22"/>
        <v>9.6666666666666661</v>
      </c>
      <c r="AT116" s="184">
        <f t="shared" si="25"/>
        <v>0.82666666666666666</v>
      </c>
      <c r="AU116" s="7"/>
      <c r="AV116" s="7" t="s">
        <v>1796</v>
      </c>
      <c r="AW116" s="7"/>
      <c r="AX116" s="7" t="s">
        <v>1924</v>
      </c>
      <c r="AY116" s="7" t="s">
        <v>1509</v>
      </c>
      <c r="BD116" s="188"/>
    </row>
    <row r="117" spans="1:56">
      <c r="A117" s="7" t="s">
        <v>33</v>
      </c>
      <c r="B117" s="7" t="s">
        <v>34</v>
      </c>
      <c r="C117" s="7" t="s">
        <v>66</v>
      </c>
      <c r="D117" s="7" t="s">
        <v>67</v>
      </c>
      <c r="E117" s="7" t="s">
        <v>1926</v>
      </c>
      <c r="F117" s="7" t="s">
        <v>1927</v>
      </c>
      <c r="G117" s="7" t="s">
        <v>1928</v>
      </c>
      <c r="H117" s="7" t="s">
        <v>4180</v>
      </c>
      <c r="I117" s="100">
        <f>28/1000</f>
        <v>2.8000000000000001E-2</v>
      </c>
      <c r="J117" s="100">
        <f t="shared" si="14"/>
        <v>28</v>
      </c>
      <c r="K117" s="100">
        <f t="shared" si="15"/>
        <v>1.4471580313422192</v>
      </c>
      <c r="L117" s="73" t="s">
        <v>1517</v>
      </c>
      <c r="M117" s="7" t="s">
        <v>1912</v>
      </c>
      <c r="N117" s="7" t="s">
        <v>1538</v>
      </c>
      <c r="O117" s="7" t="s">
        <v>1494</v>
      </c>
      <c r="P117" s="108" t="s">
        <v>1539</v>
      </c>
      <c r="Q117" s="7" t="s">
        <v>1913</v>
      </c>
      <c r="R117" s="7">
        <v>19.55</v>
      </c>
      <c r="S117" s="7">
        <f t="shared" si="13"/>
        <v>19.55</v>
      </c>
      <c r="T117" s="7">
        <v>72.83</v>
      </c>
      <c r="U117" s="7">
        <v>1</v>
      </c>
      <c r="V117" s="7">
        <v>30</v>
      </c>
      <c r="W117" s="7">
        <f t="shared" si="16"/>
        <v>1.4771212547196624</v>
      </c>
      <c r="X117" s="7" t="s">
        <v>1779</v>
      </c>
      <c r="Y117" s="7" t="s">
        <v>1781</v>
      </c>
      <c r="Z117" s="7">
        <v>26</v>
      </c>
      <c r="AA117" s="7">
        <v>36</v>
      </c>
      <c r="AB117" s="108">
        <v>2.5372645</v>
      </c>
      <c r="AC117" s="108">
        <v>2.188375E-2</v>
      </c>
      <c r="AD117" s="7">
        <v>6</v>
      </c>
      <c r="AE117" s="108">
        <v>5.4915707500000002</v>
      </c>
      <c r="AF117" s="108">
        <v>0.11129450000000002</v>
      </c>
      <c r="AG117" s="7">
        <v>6</v>
      </c>
      <c r="AH117" s="7"/>
      <c r="AI117" s="7"/>
      <c r="AJ117" s="7"/>
      <c r="AK117" s="108">
        <v>4.4026978750000012</v>
      </c>
      <c r="AL117" s="108">
        <v>7.1278499999999981E-2</v>
      </c>
      <c r="AM117" s="7">
        <v>6</v>
      </c>
      <c r="AN117" s="7">
        <f t="shared" si="17"/>
        <v>2.1643666830951207</v>
      </c>
      <c r="AO117" s="7">
        <f t="shared" si="18"/>
        <v>1.7352143913257767</v>
      </c>
      <c r="AP117" s="7">
        <f t="shared" si="19"/>
        <v>0.73521439132577671</v>
      </c>
      <c r="AQ117" s="7">
        <f t="shared" si="20"/>
        <v>-0.1329956973317804</v>
      </c>
      <c r="AR117" s="7">
        <f t="shared" si="21"/>
        <v>0.1329956973317804</v>
      </c>
      <c r="AS117" s="7">
        <f t="shared" si="22"/>
        <v>6</v>
      </c>
      <c r="AT117" s="184">
        <f t="shared" si="25"/>
        <v>6.8152250000000011E-2</v>
      </c>
      <c r="AU117" s="7"/>
      <c r="AV117" s="7"/>
      <c r="AW117" s="7"/>
      <c r="AX117" s="7" t="s">
        <v>1912</v>
      </c>
      <c r="AY117" s="7" t="s">
        <v>1509</v>
      </c>
      <c r="BD117" s="188"/>
    </row>
    <row r="118" spans="1:56">
      <c r="A118" s="7" t="s">
        <v>33</v>
      </c>
      <c r="B118" s="7" t="s">
        <v>34</v>
      </c>
      <c r="C118" s="7" t="s">
        <v>66</v>
      </c>
      <c r="D118" s="7" t="s">
        <v>67</v>
      </c>
      <c r="E118" s="7" t="s">
        <v>1929</v>
      </c>
      <c r="F118" s="7" t="s">
        <v>1930</v>
      </c>
      <c r="G118" s="7" t="s">
        <v>1931</v>
      </c>
      <c r="H118" s="7" t="s">
        <v>4180</v>
      </c>
      <c r="I118" s="100">
        <f>25/1000</f>
        <v>2.5000000000000001E-2</v>
      </c>
      <c r="J118" s="100">
        <f t="shared" si="14"/>
        <v>25</v>
      </c>
      <c r="K118" s="100">
        <f t="shared" si="15"/>
        <v>1.3979400086720377</v>
      </c>
      <c r="L118" s="73" t="s">
        <v>1517</v>
      </c>
      <c r="M118" s="7" t="s">
        <v>1912</v>
      </c>
      <c r="N118" s="7" t="s">
        <v>1538</v>
      </c>
      <c r="O118" s="7" t="s">
        <v>1494</v>
      </c>
      <c r="P118" s="108" t="s">
        <v>1539</v>
      </c>
      <c r="Q118" s="7" t="s">
        <v>1913</v>
      </c>
      <c r="R118" s="7">
        <v>19.55</v>
      </c>
      <c r="S118" s="7">
        <f t="shared" si="13"/>
        <v>19.55</v>
      </c>
      <c r="T118" s="7">
        <v>72.83</v>
      </c>
      <c r="U118" s="7">
        <v>1</v>
      </c>
      <c r="V118" s="7">
        <v>30</v>
      </c>
      <c r="W118" s="7">
        <f t="shared" si="16"/>
        <v>1.4771212547196624</v>
      </c>
      <c r="X118" s="7" t="s">
        <v>1779</v>
      </c>
      <c r="Y118" s="7" t="s">
        <v>1781</v>
      </c>
      <c r="Z118" s="7">
        <v>26</v>
      </c>
      <c r="AA118" s="7">
        <v>36</v>
      </c>
      <c r="AB118" s="108">
        <v>2.1830603750000002</v>
      </c>
      <c r="AC118" s="108">
        <v>1.6881750000000001E-2</v>
      </c>
      <c r="AD118" s="7">
        <v>6</v>
      </c>
      <c r="AE118" s="108">
        <v>4.6996916250000007</v>
      </c>
      <c r="AF118" s="108">
        <v>0.105042</v>
      </c>
      <c r="AG118" s="7">
        <v>6</v>
      </c>
      <c r="AH118" s="7"/>
      <c r="AI118" s="7"/>
      <c r="AJ118" s="7"/>
      <c r="AK118" s="108">
        <v>3.6523978750000001</v>
      </c>
      <c r="AL118" s="108">
        <v>4.0641250000000011E-2</v>
      </c>
      <c r="AM118" s="7">
        <v>6</v>
      </c>
      <c r="AN118" s="7">
        <f t="shared" si="17"/>
        <v>2.152799656308177</v>
      </c>
      <c r="AO118" s="7">
        <f t="shared" si="18"/>
        <v>1.673063153372476</v>
      </c>
      <c r="AP118" s="7">
        <f t="shared" si="19"/>
        <v>0.67306315337247602</v>
      </c>
      <c r="AQ118" s="7">
        <f t="shared" si="20"/>
        <v>-0.17129941225354312</v>
      </c>
      <c r="AR118" s="7">
        <f t="shared" si="21"/>
        <v>0.17129941225354312</v>
      </c>
      <c r="AS118" s="7">
        <f t="shared" si="22"/>
        <v>6</v>
      </c>
      <c r="AT118" s="184">
        <f t="shared" si="25"/>
        <v>5.4188333333333338E-2</v>
      </c>
      <c r="AU118" s="7"/>
      <c r="AV118" s="7"/>
      <c r="AW118" s="7"/>
      <c r="AX118" s="7" t="s">
        <v>1932</v>
      </c>
      <c r="AY118" s="7" t="s">
        <v>1509</v>
      </c>
      <c r="BD118" s="188"/>
    </row>
    <row r="119" spans="1:56">
      <c r="A119" s="7" t="s">
        <v>1933</v>
      </c>
      <c r="B119" s="7" t="s">
        <v>1934</v>
      </c>
      <c r="C119" s="7" t="s">
        <v>1935</v>
      </c>
      <c r="D119" s="7" t="s">
        <v>1936</v>
      </c>
      <c r="E119" s="7" t="s">
        <v>1937</v>
      </c>
      <c r="F119" s="7" t="s">
        <v>1938</v>
      </c>
      <c r="G119" s="7" t="s">
        <v>1939</v>
      </c>
      <c r="H119" s="7" t="s">
        <v>4186</v>
      </c>
      <c r="I119" s="100">
        <f>24/1000</f>
        <v>2.4E-2</v>
      </c>
      <c r="J119" s="100">
        <f t="shared" si="14"/>
        <v>24</v>
      </c>
      <c r="K119" s="100">
        <f t="shared" si="15"/>
        <v>1.3802112417116059</v>
      </c>
      <c r="L119" s="73" t="s">
        <v>1517</v>
      </c>
      <c r="M119" s="7" t="s">
        <v>1940</v>
      </c>
      <c r="N119" s="7" t="s">
        <v>1504</v>
      </c>
      <c r="O119" s="7" t="s">
        <v>1505</v>
      </c>
      <c r="P119" s="108" t="s">
        <v>1492</v>
      </c>
      <c r="Q119" s="7" t="s">
        <v>1941</v>
      </c>
      <c r="R119" s="7">
        <v>43.25</v>
      </c>
      <c r="S119" s="7">
        <f t="shared" si="13"/>
        <v>43.25</v>
      </c>
      <c r="T119" s="7">
        <v>-2.98333</v>
      </c>
      <c r="U119" s="7">
        <v>1</v>
      </c>
      <c r="V119" s="7">
        <v>28</v>
      </c>
      <c r="W119" s="7">
        <f t="shared" si="16"/>
        <v>1.4471580313422192</v>
      </c>
      <c r="X119" s="7" t="s">
        <v>1779</v>
      </c>
      <c r="Y119" s="7" t="s">
        <v>1781</v>
      </c>
      <c r="Z119" s="7">
        <v>20</v>
      </c>
      <c r="AA119" s="7">
        <v>25</v>
      </c>
      <c r="AB119" s="7">
        <v>0.95</v>
      </c>
      <c r="AC119" s="7"/>
      <c r="AD119" s="7">
        <v>25</v>
      </c>
      <c r="AE119" s="7">
        <v>1.2</v>
      </c>
      <c r="AF119" s="7"/>
      <c r="AG119" s="7">
        <v>25</v>
      </c>
      <c r="AH119" s="7">
        <v>1.25</v>
      </c>
      <c r="AI119" s="7"/>
      <c r="AJ119" s="7">
        <v>25</v>
      </c>
      <c r="AK119" s="7">
        <v>2</v>
      </c>
      <c r="AL119" s="7"/>
      <c r="AM119" s="7">
        <v>25</v>
      </c>
      <c r="AN119" s="7">
        <f t="shared" si="17"/>
        <v>1.5955678670360109</v>
      </c>
      <c r="AO119" s="7">
        <f t="shared" si="18"/>
        <v>4.4321329639889191</v>
      </c>
      <c r="AP119" s="7">
        <f t="shared" si="19"/>
        <v>3.4321329639889191</v>
      </c>
      <c r="AQ119" s="7">
        <f t="shared" si="20"/>
        <v>0.53569062381853583</v>
      </c>
      <c r="AR119" s="7">
        <f t="shared" si="21"/>
        <v>-0.53569062381853583</v>
      </c>
      <c r="AS119" s="7">
        <f t="shared" si="22"/>
        <v>25</v>
      </c>
      <c r="AT119" s="184"/>
      <c r="AU119" s="7"/>
      <c r="AV119" s="7" t="s">
        <v>1907</v>
      </c>
      <c r="AW119" s="7"/>
      <c r="AX119" s="107" t="s">
        <v>1942</v>
      </c>
      <c r="AY119" s="7" t="s">
        <v>1509</v>
      </c>
      <c r="BD119" s="188"/>
    </row>
    <row r="120" spans="1:56">
      <c r="A120" s="7" t="s">
        <v>1933</v>
      </c>
      <c r="B120" s="7" t="s">
        <v>1934</v>
      </c>
      <c r="C120" s="7" t="s">
        <v>1935</v>
      </c>
      <c r="D120" s="7" t="s">
        <v>1936</v>
      </c>
      <c r="E120" s="7" t="s">
        <v>1937</v>
      </c>
      <c r="F120" s="7" t="s">
        <v>1938</v>
      </c>
      <c r="G120" s="7" t="s">
        <v>1939</v>
      </c>
      <c r="H120" s="7" t="s">
        <v>4186</v>
      </c>
      <c r="I120" s="100">
        <f>24/1000</f>
        <v>2.4E-2</v>
      </c>
      <c r="J120" s="100">
        <f t="shared" si="14"/>
        <v>24</v>
      </c>
      <c r="K120" s="100">
        <f t="shared" si="15"/>
        <v>1.3802112417116059</v>
      </c>
      <c r="L120" s="73" t="s">
        <v>1517</v>
      </c>
      <c r="M120" s="7" t="s">
        <v>1940</v>
      </c>
      <c r="N120" s="7" t="s">
        <v>1504</v>
      </c>
      <c r="O120" s="7" t="s">
        <v>1505</v>
      </c>
      <c r="P120" s="108" t="s">
        <v>1492</v>
      </c>
      <c r="Q120" s="7" t="s">
        <v>1941</v>
      </c>
      <c r="R120" s="7">
        <v>43.25</v>
      </c>
      <c r="S120" s="7">
        <f t="shared" si="13"/>
        <v>43.25</v>
      </c>
      <c r="T120" s="7">
        <v>-2.98333</v>
      </c>
      <c r="U120" s="7">
        <v>1</v>
      </c>
      <c r="V120" s="7">
        <v>28</v>
      </c>
      <c r="W120" s="7">
        <f t="shared" si="16"/>
        <v>1.4471580313422192</v>
      </c>
      <c r="X120" s="7" t="s">
        <v>1779</v>
      </c>
      <c r="Y120" s="7" t="s">
        <v>1781</v>
      </c>
      <c r="Z120" s="7">
        <v>15</v>
      </c>
      <c r="AA120" s="7">
        <v>20</v>
      </c>
      <c r="AB120" s="7">
        <v>0.75</v>
      </c>
      <c r="AC120" s="7"/>
      <c r="AD120" s="7">
        <v>25</v>
      </c>
      <c r="AE120" s="7">
        <v>1.1000000000000001</v>
      </c>
      <c r="AF120" s="7"/>
      <c r="AG120" s="7">
        <v>25</v>
      </c>
      <c r="AH120" s="7">
        <v>0.7</v>
      </c>
      <c r="AI120" s="7"/>
      <c r="AJ120" s="7">
        <v>25</v>
      </c>
      <c r="AK120" s="7">
        <v>0.95</v>
      </c>
      <c r="AL120" s="7"/>
      <c r="AM120" s="7">
        <v>25</v>
      </c>
      <c r="AN120" s="7">
        <f t="shared" si="17"/>
        <v>2.1511111111111116</v>
      </c>
      <c r="AO120" s="7">
        <f t="shared" si="18"/>
        <v>1.6044444444444443</v>
      </c>
      <c r="AP120" s="7">
        <f t="shared" si="19"/>
        <v>0.60444444444444434</v>
      </c>
      <c r="AQ120" s="7">
        <f t="shared" si="20"/>
        <v>-0.21792570153521612</v>
      </c>
      <c r="AR120" s="7">
        <f t="shared" si="21"/>
        <v>0.21792570153521612</v>
      </c>
      <c r="AS120" s="7">
        <f t="shared" si="22"/>
        <v>25</v>
      </c>
      <c r="AT120" s="184"/>
      <c r="AU120" s="7"/>
      <c r="AV120" s="7" t="s">
        <v>1907</v>
      </c>
      <c r="AW120" s="7"/>
      <c r="AX120" s="107" t="s">
        <v>1942</v>
      </c>
      <c r="AY120" s="7" t="s">
        <v>1509</v>
      </c>
      <c r="BD120" s="188"/>
    </row>
    <row r="121" spans="1:56">
      <c r="A121" s="7" t="s">
        <v>1933</v>
      </c>
      <c r="B121" s="7" t="s">
        <v>1934</v>
      </c>
      <c r="C121" s="7" t="s">
        <v>1935</v>
      </c>
      <c r="D121" s="7" t="s">
        <v>1936</v>
      </c>
      <c r="E121" s="7" t="s">
        <v>1937</v>
      </c>
      <c r="F121" s="7" t="s">
        <v>1938</v>
      </c>
      <c r="G121" s="7" t="s">
        <v>1939</v>
      </c>
      <c r="H121" s="7" t="s">
        <v>4186</v>
      </c>
      <c r="I121" s="100">
        <f>24/1000</f>
        <v>2.4E-2</v>
      </c>
      <c r="J121" s="100">
        <f t="shared" si="14"/>
        <v>24</v>
      </c>
      <c r="K121" s="100">
        <f t="shared" si="15"/>
        <v>1.3802112417116059</v>
      </c>
      <c r="L121" s="73" t="s">
        <v>1517</v>
      </c>
      <c r="M121" s="7" t="s">
        <v>1940</v>
      </c>
      <c r="N121" s="7" t="s">
        <v>1504</v>
      </c>
      <c r="O121" s="7" t="s">
        <v>1505</v>
      </c>
      <c r="P121" s="108" t="s">
        <v>1492</v>
      </c>
      <c r="Q121" s="7" t="s">
        <v>1941</v>
      </c>
      <c r="R121" s="7">
        <v>43.25</v>
      </c>
      <c r="S121" s="7">
        <f t="shared" si="13"/>
        <v>43.25</v>
      </c>
      <c r="T121" s="7">
        <v>-2.98333</v>
      </c>
      <c r="U121" s="7">
        <v>1</v>
      </c>
      <c r="V121" s="7">
        <v>28</v>
      </c>
      <c r="W121" s="7">
        <f t="shared" si="16"/>
        <v>1.4471580313422192</v>
      </c>
      <c r="X121" s="7" t="s">
        <v>1779</v>
      </c>
      <c r="Y121" s="7" t="s">
        <v>1781</v>
      </c>
      <c r="Z121" s="7">
        <v>15</v>
      </c>
      <c r="AA121" s="7">
        <v>25</v>
      </c>
      <c r="AB121" s="7">
        <v>0.75</v>
      </c>
      <c r="AC121" s="7"/>
      <c r="AD121" s="7">
        <v>25</v>
      </c>
      <c r="AE121" s="7">
        <v>1.8</v>
      </c>
      <c r="AF121" s="7"/>
      <c r="AG121" s="7">
        <v>25</v>
      </c>
      <c r="AH121" s="7">
        <v>0.9</v>
      </c>
      <c r="AI121" s="7"/>
      <c r="AJ121" s="7">
        <v>25</v>
      </c>
      <c r="AK121" s="7">
        <v>2</v>
      </c>
      <c r="AL121" s="7"/>
      <c r="AM121" s="7">
        <v>25</v>
      </c>
      <c r="AN121" s="7">
        <f t="shared" si="17"/>
        <v>2.4</v>
      </c>
      <c r="AO121" s="7">
        <f t="shared" si="18"/>
        <v>2.6666666666666665</v>
      </c>
      <c r="AP121" s="7">
        <f t="shared" si="19"/>
        <v>1.6666666666666665</v>
      </c>
      <c r="AQ121" s="7">
        <f t="shared" si="20"/>
        <v>0.22210924816374664</v>
      </c>
      <c r="AR121" s="7">
        <f t="shared" si="21"/>
        <v>-0.22210924816374664</v>
      </c>
      <c r="AS121" s="7">
        <f t="shared" si="22"/>
        <v>25</v>
      </c>
      <c r="AT121" s="184"/>
      <c r="AU121" s="7"/>
      <c r="AV121" s="7" t="s">
        <v>1907</v>
      </c>
      <c r="AW121" s="7"/>
      <c r="AX121" s="107" t="s">
        <v>1942</v>
      </c>
      <c r="AY121" s="7" t="s">
        <v>1509</v>
      </c>
      <c r="BD121" s="188"/>
    </row>
    <row r="122" spans="1:56">
      <c r="A122" s="7" t="s">
        <v>33</v>
      </c>
      <c r="B122" s="7" t="s">
        <v>75</v>
      </c>
      <c r="C122" s="7" t="s">
        <v>76</v>
      </c>
      <c r="D122" s="7" t="s">
        <v>369</v>
      </c>
      <c r="E122" s="7" t="s">
        <v>370</v>
      </c>
      <c r="F122" s="7" t="s">
        <v>744</v>
      </c>
      <c r="G122" s="7" t="s">
        <v>1943</v>
      </c>
      <c r="H122" s="7" t="s">
        <v>4181</v>
      </c>
      <c r="I122" s="100">
        <f>20.45/1000</f>
        <v>2.0449999999999999E-2</v>
      </c>
      <c r="J122" s="100">
        <f t="shared" si="14"/>
        <v>20.45</v>
      </c>
      <c r="K122" s="100">
        <f t="shared" si="15"/>
        <v>1.3106933123433606</v>
      </c>
      <c r="L122" s="73" t="s">
        <v>1517</v>
      </c>
      <c r="M122" s="107" t="s">
        <v>1821</v>
      </c>
      <c r="N122" s="7" t="s">
        <v>1538</v>
      </c>
      <c r="O122" s="7" t="s">
        <v>1505</v>
      </c>
      <c r="P122" s="108" t="s">
        <v>1492</v>
      </c>
      <c r="Q122" s="7" t="s">
        <v>1823</v>
      </c>
      <c r="R122" s="7">
        <v>9.3166670000000007</v>
      </c>
      <c r="S122" s="7">
        <f t="shared" si="13"/>
        <v>9.3166670000000007</v>
      </c>
      <c r="T122" s="7">
        <v>123.3</v>
      </c>
      <c r="U122" s="7">
        <v>1</v>
      </c>
      <c r="V122" s="7">
        <v>8</v>
      </c>
      <c r="W122" s="7">
        <f t="shared" si="16"/>
        <v>0.90308998699194354</v>
      </c>
      <c r="X122" s="7" t="s">
        <v>1779</v>
      </c>
      <c r="Y122" s="7" t="s">
        <v>1781</v>
      </c>
      <c r="Z122" s="7">
        <v>20</v>
      </c>
      <c r="AA122" s="7">
        <v>30</v>
      </c>
      <c r="AB122" s="7">
        <v>0.09</v>
      </c>
      <c r="AC122" s="7">
        <v>0.02</v>
      </c>
      <c r="AD122" s="7">
        <v>6</v>
      </c>
      <c r="AE122" s="7">
        <v>0.19</v>
      </c>
      <c r="AF122" s="7">
        <v>0.02</v>
      </c>
      <c r="AG122" s="7">
        <v>6</v>
      </c>
      <c r="AH122" s="7">
        <v>0.13</v>
      </c>
      <c r="AI122" s="7">
        <v>0.02</v>
      </c>
      <c r="AJ122" s="7">
        <v>6</v>
      </c>
      <c r="AK122" s="7">
        <v>0.2</v>
      </c>
      <c r="AL122" s="7">
        <v>0.03</v>
      </c>
      <c r="AM122" s="7">
        <v>6</v>
      </c>
      <c r="AN122" s="7">
        <f t="shared" si="17"/>
        <v>2.1111111111111112</v>
      </c>
      <c r="AO122" s="7">
        <f t="shared" si="18"/>
        <v>2.2222222222222223</v>
      </c>
      <c r="AP122" s="7">
        <f t="shared" si="19"/>
        <v>1.2222222222222223</v>
      </c>
      <c r="AQ122" s="7">
        <f t="shared" si="20"/>
        <v>8.7505362283941332E-2</v>
      </c>
      <c r="AR122" s="7">
        <f t="shared" si="21"/>
        <v>-8.7505362283941332E-2</v>
      </c>
      <c r="AS122" s="7">
        <f t="shared" si="22"/>
        <v>6</v>
      </c>
      <c r="AT122" s="184">
        <f t="shared" ref="AT122:AT160" si="26">AVERAGE(AC122,AF122,AL122)</f>
        <v>2.3333333333333334E-2</v>
      </c>
      <c r="AU122" s="7"/>
      <c r="AV122" s="7" t="s">
        <v>1824</v>
      </c>
      <c r="AW122" s="7" t="s">
        <v>1825</v>
      </c>
      <c r="AX122" s="107" t="s">
        <v>1821</v>
      </c>
      <c r="AY122" s="7" t="s">
        <v>1509</v>
      </c>
      <c r="BD122" s="188"/>
    </row>
    <row r="123" spans="1:56">
      <c r="A123" s="7" t="s">
        <v>23</v>
      </c>
      <c r="B123" s="7" t="s">
        <v>1713</v>
      </c>
      <c r="C123" s="7" t="s">
        <v>1698</v>
      </c>
      <c r="D123" s="7" t="s">
        <v>1699</v>
      </c>
      <c r="E123" s="7" t="s">
        <v>1944</v>
      </c>
      <c r="F123" s="7" t="s">
        <v>1945</v>
      </c>
      <c r="G123" s="7" t="s">
        <v>1946</v>
      </c>
      <c r="H123" s="7" t="s">
        <v>4185</v>
      </c>
      <c r="I123" s="100">
        <f>20/1000</f>
        <v>0.02</v>
      </c>
      <c r="J123" s="100">
        <f t="shared" si="14"/>
        <v>20</v>
      </c>
      <c r="K123" s="100">
        <f t="shared" si="15"/>
        <v>1.3010299956639813</v>
      </c>
      <c r="L123" s="73" t="s">
        <v>1517</v>
      </c>
      <c r="M123" s="7" t="s">
        <v>1947</v>
      </c>
      <c r="N123" s="7" t="s">
        <v>1538</v>
      </c>
      <c r="O123" s="7" t="s">
        <v>1494</v>
      </c>
      <c r="P123" s="108" t="s">
        <v>1492</v>
      </c>
      <c r="Q123" s="7" t="s">
        <v>1948</v>
      </c>
      <c r="R123" s="7">
        <v>30.46</v>
      </c>
      <c r="S123" s="7">
        <f t="shared" ref="S123:S186" si="27">ABS(R123)</f>
        <v>30.46</v>
      </c>
      <c r="T123" s="7">
        <v>91.14</v>
      </c>
      <c r="U123" s="7">
        <v>1</v>
      </c>
      <c r="V123" s="7">
        <v>21</v>
      </c>
      <c r="W123" s="7">
        <f t="shared" si="16"/>
        <v>1.3222192947339193</v>
      </c>
      <c r="X123" s="7" t="s">
        <v>1779</v>
      </c>
      <c r="Y123" s="7" t="s">
        <v>1781</v>
      </c>
      <c r="Z123" s="7">
        <v>10</v>
      </c>
      <c r="AA123" s="7">
        <v>30</v>
      </c>
      <c r="AB123" s="108">
        <v>15.006</v>
      </c>
      <c r="AC123" s="108">
        <v>4.0641249999999998</v>
      </c>
      <c r="AD123" s="7">
        <v>8</v>
      </c>
      <c r="AE123" s="108">
        <v>60.961874999999992</v>
      </c>
      <c r="AF123" s="108">
        <v>15.63125</v>
      </c>
      <c r="AG123" s="7">
        <v>8</v>
      </c>
      <c r="AH123" s="108">
        <v>10.941875</v>
      </c>
      <c r="AI123" s="108">
        <v>2.1883750000000002</v>
      </c>
      <c r="AJ123" s="7">
        <v>8</v>
      </c>
      <c r="AK123" s="108">
        <v>51.583125000000003</v>
      </c>
      <c r="AL123" s="108">
        <v>9.3787499999999984</v>
      </c>
      <c r="AM123" s="108">
        <v>8</v>
      </c>
      <c r="AN123" s="7">
        <f t="shared" si="17"/>
        <v>2.0155644370746373</v>
      </c>
      <c r="AO123" s="7">
        <f t="shared" si="18"/>
        <v>1.8540496217739157</v>
      </c>
      <c r="AP123" s="7">
        <f t="shared" si="19"/>
        <v>0.85404962177391575</v>
      </c>
      <c r="AQ123" s="7">
        <f t="shared" si="20"/>
        <v>-6.800868078381074E-2</v>
      </c>
      <c r="AR123" s="7">
        <f t="shared" si="21"/>
        <v>6.800868078381074E-2</v>
      </c>
      <c r="AS123" s="7">
        <f t="shared" si="22"/>
        <v>8</v>
      </c>
      <c r="AT123" s="184">
        <f t="shared" si="26"/>
        <v>9.691374999999999</v>
      </c>
      <c r="AU123" s="108"/>
      <c r="AV123" s="7"/>
      <c r="AW123" s="7"/>
      <c r="AX123" s="7" t="s">
        <v>1947</v>
      </c>
      <c r="AY123" s="7" t="s">
        <v>1509</v>
      </c>
      <c r="BD123" s="188"/>
    </row>
    <row r="124" spans="1:56">
      <c r="A124" s="7" t="s">
        <v>23</v>
      </c>
      <c r="B124" s="7" t="s">
        <v>1713</v>
      </c>
      <c r="C124" s="7" t="s">
        <v>1698</v>
      </c>
      <c r="D124" s="7" t="s">
        <v>1699</v>
      </c>
      <c r="E124" s="7" t="s">
        <v>1944</v>
      </c>
      <c r="F124" s="7" t="s">
        <v>1949</v>
      </c>
      <c r="G124" s="7" t="s">
        <v>1950</v>
      </c>
      <c r="H124" s="7" t="s">
        <v>4185</v>
      </c>
      <c r="I124" s="100">
        <f>20/1000</f>
        <v>0.02</v>
      </c>
      <c r="J124" s="100">
        <f t="shared" si="14"/>
        <v>20</v>
      </c>
      <c r="K124" s="100">
        <f t="shared" si="15"/>
        <v>1.3010299956639813</v>
      </c>
      <c r="L124" s="73" t="s">
        <v>1517</v>
      </c>
      <c r="M124" s="7" t="s">
        <v>1947</v>
      </c>
      <c r="N124" s="7" t="s">
        <v>1538</v>
      </c>
      <c r="O124" s="7" t="s">
        <v>1494</v>
      </c>
      <c r="P124" s="108" t="s">
        <v>1492</v>
      </c>
      <c r="Q124" s="7" t="s">
        <v>1948</v>
      </c>
      <c r="R124" s="7">
        <v>30.46</v>
      </c>
      <c r="S124" s="7">
        <f t="shared" si="27"/>
        <v>30.46</v>
      </c>
      <c r="T124" s="7">
        <v>91.14</v>
      </c>
      <c r="U124" s="7">
        <v>1</v>
      </c>
      <c r="V124" s="7">
        <v>21</v>
      </c>
      <c r="W124" s="7">
        <f t="shared" si="16"/>
        <v>1.3222192947339193</v>
      </c>
      <c r="X124" s="7" t="s">
        <v>1779</v>
      </c>
      <c r="Y124" s="7" t="s">
        <v>1781</v>
      </c>
      <c r="Z124" s="7">
        <v>10</v>
      </c>
      <c r="AA124" s="7">
        <v>30</v>
      </c>
      <c r="AB124" s="108">
        <v>13.130249999999998</v>
      </c>
      <c r="AC124" s="108">
        <v>2.5009999999999999</v>
      </c>
      <c r="AD124" s="7">
        <v>8</v>
      </c>
      <c r="AE124" s="108">
        <v>75.967875000000006</v>
      </c>
      <c r="AF124" s="108">
        <v>14.068125</v>
      </c>
      <c r="AG124" s="7">
        <v>8</v>
      </c>
      <c r="AH124" s="108">
        <v>17.194375000000001</v>
      </c>
      <c r="AI124" s="108">
        <v>3.7515000000000001</v>
      </c>
      <c r="AJ124" s="7">
        <v>8</v>
      </c>
      <c r="AK124" s="108">
        <v>85.971874999999997</v>
      </c>
      <c r="AL124" s="108">
        <v>15.63125</v>
      </c>
      <c r="AM124" s="108">
        <v>8</v>
      </c>
      <c r="AN124" s="7">
        <f t="shared" si="17"/>
        <v>2.4053511772118195</v>
      </c>
      <c r="AO124" s="7">
        <f t="shared" si="18"/>
        <v>2.5588315785957949</v>
      </c>
      <c r="AP124" s="7">
        <f t="shared" si="19"/>
        <v>1.5588315785957949</v>
      </c>
      <c r="AQ124" s="7">
        <f t="shared" si="20"/>
        <v>0.19307770833190166</v>
      </c>
      <c r="AR124" s="7">
        <f t="shared" si="21"/>
        <v>-0.19307770833190166</v>
      </c>
      <c r="AS124" s="7">
        <f t="shared" si="22"/>
        <v>8</v>
      </c>
      <c r="AT124" s="184">
        <f t="shared" si="26"/>
        <v>10.733458333333333</v>
      </c>
      <c r="AU124" s="108"/>
      <c r="AV124" s="7"/>
      <c r="AW124" s="7"/>
      <c r="AX124" s="7" t="s">
        <v>1718</v>
      </c>
      <c r="AY124" s="7" t="s">
        <v>1509</v>
      </c>
      <c r="BD124" s="188"/>
    </row>
    <row r="125" spans="1:56">
      <c r="A125" s="7" t="s">
        <v>33</v>
      </c>
      <c r="B125" s="7" t="s">
        <v>75</v>
      </c>
      <c r="C125" s="7" t="s">
        <v>76</v>
      </c>
      <c r="D125" s="7" t="s">
        <v>721</v>
      </c>
      <c r="E125" s="7" t="s">
        <v>752</v>
      </c>
      <c r="F125" s="7" t="s">
        <v>755</v>
      </c>
      <c r="G125" s="7" t="s">
        <v>1570</v>
      </c>
      <c r="H125" s="7" t="s">
        <v>4181</v>
      </c>
      <c r="I125" s="100">
        <f>20/1000</f>
        <v>0.02</v>
      </c>
      <c r="J125" s="100">
        <f t="shared" si="14"/>
        <v>20</v>
      </c>
      <c r="K125" s="100">
        <f t="shared" si="15"/>
        <v>1.3010299956639813</v>
      </c>
      <c r="L125" s="73" t="s">
        <v>1517</v>
      </c>
      <c r="M125" s="7" t="s">
        <v>1951</v>
      </c>
      <c r="N125" s="7" t="s">
        <v>1538</v>
      </c>
      <c r="O125" s="7" t="s">
        <v>1505</v>
      </c>
      <c r="P125" s="108" t="s">
        <v>1492</v>
      </c>
      <c r="Q125" s="7" t="s">
        <v>1572</v>
      </c>
      <c r="R125" s="7">
        <v>33.85</v>
      </c>
      <c r="S125" s="7">
        <f t="shared" si="27"/>
        <v>33.85</v>
      </c>
      <c r="T125" s="7">
        <v>151.19999999999999</v>
      </c>
      <c r="U125" s="7">
        <v>1</v>
      </c>
      <c r="V125" s="7">
        <v>60</v>
      </c>
      <c r="W125" s="7">
        <f t="shared" si="16"/>
        <v>1.7781512503836436</v>
      </c>
      <c r="X125" s="7" t="s">
        <v>1779</v>
      </c>
      <c r="Y125" s="7" t="s">
        <v>1781</v>
      </c>
      <c r="Z125" s="7">
        <v>15</v>
      </c>
      <c r="AA125" s="7">
        <v>25</v>
      </c>
      <c r="AB125" s="108">
        <v>17.41</v>
      </c>
      <c r="AC125" s="108">
        <v>0.89</v>
      </c>
      <c r="AD125" s="7">
        <v>5</v>
      </c>
      <c r="AE125" s="7">
        <v>45.98</v>
      </c>
      <c r="AF125" s="7">
        <v>8.0399999999999991</v>
      </c>
      <c r="AG125" s="7">
        <v>5</v>
      </c>
      <c r="AH125" s="7">
        <v>17.86</v>
      </c>
      <c r="AI125" s="7">
        <v>1.34</v>
      </c>
      <c r="AJ125" s="7">
        <v>5</v>
      </c>
      <c r="AK125" s="108">
        <v>42.41</v>
      </c>
      <c r="AL125" s="108">
        <v>8.93</v>
      </c>
      <c r="AM125" s="108">
        <v>5</v>
      </c>
      <c r="AN125" s="7">
        <f t="shared" si="17"/>
        <v>2.6410109132682362</v>
      </c>
      <c r="AO125" s="7">
        <f t="shared" si="18"/>
        <v>2.4359563469270533</v>
      </c>
      <c r="AP125" s="7">
        <f t="shared" si="19"/>
        <v>1.4359563469270533</v>
      </c>
      <c r="AQ125" s="7">
        <f t="shared" si="20"/>
        <v>0.15744357497023023</v>
      </c>
      <c r="AR125" s="7">
        <f t="shared" si="21"/>
        <v>-0.15744357497023023</v>
      </c>
      <c r="AS125" s="7">
        <f t="shared" si="22"/>
        <v>5</v>
      </c>
      <c r="AT125" s="184">
        <f t="shared" si="26"/>
        <v>5.9533333333333331</v>
      </c>
      <c r="AU125" s="108"/>
      <c r="AV125" s="7"/>
      <c r="AW125" s="7"/>
      <c r="AX125" s="7" t="s">
        <v>1952</v>
      </c>
      <c r="AY125" s="7" t="s">
        <v>1509</v>
      </c>
      <c r="BD125" s="188"/>
    </row>
    <row r="126" spans="1:56">
      <c r="A126" s="7" t="s">
        <v>33</v>
      </c>
      <c r="B126" s="7" t="s">
        <v>75</v>
      </c>
      <c r="C126" s="7" t="s">
        <v>76</v>
      </c>
      <c r="D126" s="7" t="s">
        <v>369</v>
      </c>
      <c r="E126" s="7" t="s">
        <v>370</v>
      </c>
      <c r="F126" s="7" t="s">
        <v>556</v>
      </c>
      <c r="G126" s="7" t="s">
        <v>1953</v>
      </c>
      <c r="H126" s="7" t="s">
        <v>4181</v>
      </c>
      <c r="I126" s="100">
        <f>19/1000</f>
        <v>1.9E-2</v>
      </c>
      <c r="J126" s="100">
        <f t="shared" si="14"/>
        <v>19</v>
      </c>
      <c r="K126" s="100">
        <f t="shared" si="15"/>
        <v>1.2787536009528289</v>
      </c>
      <c r="L126" s="73" t="s">
        <v>1517</v>
      </c>
      <c r="M126" s="107" t="s">
        <v>1821</v>
      </c>
      <c r="N126" s="7" t="s">
        <v>1538</v>
      </c>
      <c r="O126" s="7" t="s">
        <v>1505</v>
      </c>
      <c r="P126" s="108" t="s">
        <v>1492</v>
      </c>
      <c r="Q126" s="7" t="s">
        <v>1823</v>
      </c>
      <c r="R126" s="7">
        <v>9.3166670000000007</v>
      </c>
      <c r="S126" s="7">
        <f t="shared" si="27"/>
        <v>9.3166670000000007</v>
      </c>
      <c r="T126" s="7">
        <v>123.3</v>
      </c>
      <c r="U126" s="7">
        <v>1</v>
      </c>
      <c r="V126" s="7">
        <v>8</v>
      </c>
      <c r="W126" s="7">
        <f t="shared" si="16"/>
        <v>0.90308998699194354</v>
      </c>
      <c r="X126" s="7" t="s">
        <v>1779</v>
      </c>
      <c r="Y126" s="7" t="s">
        <v>1781</v>
      </c>
      <c r="Z126" s="7">
        <v>20</v>
      </c>
      <c r="AA126" s="7">
        <v>30</v>
      </c>
      <c r="AB126" s="7">
        <v>7.0000000000000007E-2</v>
      </c>
      <c r="AC126" s="7">
        <v>1.4999999999999999E-2</v>
      </c>
      <c r="AD126" s="7">
        <v>6</v>
      </c>
      <c r="AE126" s="7">
        <v>0.14000000000000001</v>
      </c>
      <c r="AF126" s="7">
        <v>0.01</v>
      </c>
      <c r="AG126" s="7">
        <v>6</v>
      </c>
      <c r="AH126" s="7">
        <v>7.4999999999999997E-2</v>
      </c>
      <c r="AI126" s="7">
        <v>1.4999999999999999E-2</v>
      </c>
      <c r="AJ126" s="7">
        <v>6</v>
      </c>
      <c r="AK126" s="7">
        <v>0.2</v>
      </c>
      <c r="AL126" s="7">
        <v>1.4999999999999999E-2</v>
      </c>
      <c r="AM126" s="7">
        <v>6</v>
      </c>
      <c r="AN126" s="7">
        <f t="shared" si="17"/>
        <v>2</v>
      </c>
      <c r="AO126" s="7">
        <f t="shared" si="18"/>
        <v>2.8571428571428572</v>
      </c>
      <c r="AP126" s="7">
        <f t="shared" si="19"/>
        <v>1.8571428571428572</v>
      </c>
      <c r="AQ126" s="7">
        <f t="shared" si="20"/>
        <v>0.26907910023019183</v>
      </c>
      <c r="AR126" s="7">
        <f t="shared" si="21"/>
        <v>-0.26907910023019183</v>
      </c>
      <c r="AS126" s="7">
        <f t="shared" si="22"/>
        <v>6</v>
      </c>
      <c r="AT126" s="184">
        <f t="shared" si="26"/>
        <v>1.3333333333333334E-2</v>
      </c>
      <c r="AU126" s="7"/>
      <c r="AV126" s="7" t="s">
        <v>1824</v>
      </c>
      <c r="AW126" s="7" t="s">
        <v>1825</v>
      </c>
      <c r="AX126" s="107" t="s">
        <v>1821</v>
      </c>
      <c r="AY126" s="7" t="s">
        <v>1509</v>
      </c>
      <c r="BD126" s="188"/>
    </row>
    <row r="127" spans="1:56">
      <c r="A127" s="7" t="s">
        <v>33</v>
      </c>
      <c r="B127" s="7" t="s">
        <v>34</v>
      </c>
      <c r="C127" s="7" t="s">
        <v>282</v>
      </c>
      <c r="D127" s="7" t="s">
        <v>1954</v>
      </c>
      <c r="E127" s="7" t="s">
        <v>1955</v>
      </c>
      <c r="F127" s="7" t="s">
        <v>1956</v>
      </c>
      <c r="G127" s="7" t="s">
        <v>1957</v>
      </c>
      <c r="H127" s="7" t="s">
        <v>4180</v>
      </c>
      <c r="I127" s="100">
        <f>13.5/1000</f>
        <v>1.35E-2</v>
      </c>
      <c r="J127" s="100">
        <f t="shared" si="14"/>
        <v>13.5</v>
      </c>
      <c r="K127" s="100">
        <f t="shared" si="15"/>
        <v>1.1303337684950061</v>
      </c>
      <c r="L127" s="73" t="s">
        <v>1517</v>
      </c>
      <c r="M127" s="7" t="s">
        <v>1958</v>
      </c>
      <c r="N127" s="7" t="s">
        <v>1504</v>
      </c>
      <c r="O127" s="7" t="s">
        <v>1505</v>
      </c>
      <c r="P127" s="108" t="s">
        <v>1539</v>
      </c>
      <c r="Q127" s="7" t="s">
        <v>1959</v>
      </c>
      <c r="R127" s="7">
        <v>18.75</v>
      </c>
      <c r="S127" s="7">
        <f t="shared" si="27"/>
        <v>18.75</v>
      </c>
      <c r="T127" s="7">
        <v>146.6</v>
      </c>
      <c r="U127" s="7">
        <v>1</v>
      </c>
      <c r="V127" s="7">
        <v>21</v>
      </c>
      <c r="W127" s="7">
        <f t="shared" si="16"/>
        <v>1.3222192947339193</v>
      </c>
      <c r="X127" s="7" t="s">
        <v>1779</v>
      </c>
      <c r="Y127" s="7" t="s">
        <v>1781</v>
      </c>
      <c r="Z127" s="7">
        <v>22.5</v>
      </c>
      <c r="AA127" s="7">
        <v>25.5</v>
      </c>
      <c r="AB127" s="7">
        <v>5.0645250000000006</v>
      </c>
      <c r="AC127" s="7">
        <v>0.18757499999999999</v>
      </c>
      <c r="AD127" s="7">
        <v>19</v>
      </c>
      <c r="AE127" s="7">
        <v>4.8456875000000004</v>
      </c>
      <c r="AF127" s="7">
        <v>0.31262499999999999</v>
      </c>
      <c r="AG127" s="7">
        <v>19</v>
      </c>
      <c r="AH127" s="7">
        <v>7.1278499999999996</v>
      </c>
      <c r="AI127" s="7">
        <v>0.37514999999999998</v>
      </c>
      <c r="AJ127" s="7">
        <v>19</v>
      </c>
      <c r="AK127" s="108">
        <v>7.2216374999999999</v>
      </c>
      <c r="AL127" s="7">
        <v>0.31262499999999999</v>
      </c>
      <c r="AM127" s="7">
        <v>19</v>
      </c>
      <c r="AN127" s="7">
        <f t="shared" si="17"/>
        <v>0.86308906060428658</v>
      </c>
      <c r="AO127" s="7">
        <f t="shared" si="18"/>
        <v>3.2632966202470395</v>
      </c>
      <c r="AP127" s="7">
        <f t="shared" si="19"/>
        <v>2.2632966202470395</v>
      </c>
      <c r="AQ127" s="7">
        <f t="shared" si="20"/>
        <v>0.35493331831944525</v>
      </c>
      <c r="AR127" s="7">
        <f t="shared" si="21"/>
        <v>-0.35493331831944525</v>
      </c>
      <c r="AS127" s="7">
        <f t="shared" si="22"/>
        <v>19</v>
      </c>
      <c r="AT127" s="184">
        <f t="shared" si="26"/>
        <v>0.27094166666666664</v>
      </c>
      <c r="AU127" s="7"/>
      <c r="AV127" s="7"/>
      <c r="AW127" s="7"/>
      <c r="AX127" s="7" t="s">
        <v>1960</v>
      </c>
      <c r="AY127" s="7" t="s">
        <v>1509</v>
      </c>
      <c r="BD127" s="188"/>
    </row>
    <row r="128" spans="1:56">
      <c r="A128" s="7" t="s">
        <v>33</v>
      </c>
      <c r="B128" s="7" t="s">
        <v>34</v>
      </c>
      <c r="C128" s="7" t="s">
        <v>282</v>
      </c>
      <c r="D128" s="7" t="s">
        <v>1954</v>
      </c>
      <c r="E128" s="7" t="s">
        <v>1955</v>
      </c>
      <c r="F128" s="7" t="s">
        <v>1956</v>
      </c>
      <c r="G128" s="7" t="s">
        <v>1957</v>
      </c>
      <c r="H128" s="7" t="s">
        <v>4180</v>
      </c>
      <c r="I128" s="100">
        <f>13.5/1000</f>
        <v>1.35E-2</v>
      </c>
      <c r="J128" s="100">
        <f t="shared" si="14"/>
        <v>13.5</v>
      </c>
      <c r="K128" s="100">
        <f t="shared" si="15"/>
        <v>1.1303337684950061</v>
      </c>
      <c r="L128" s="73" t="s">
        <v>1517</v>
      </c>
      <c r="M128" s="7" t="s">
        <v>1958</v>
      </c>
      <c r="N128" s="7" t="s">
        <v>1504</v>
      </c>
      <c r="O128" s="7" t="s">
        <v>1505</v>
      </c>
      <c r="P128" s="108" t="s">
        <v>1539</v>
      </c>
      <c r="Q128" s="7" t="s">
        <v>1959</v>
      </c>
      <c r="R128" s="7">
        <v>18.75</v>
      </c>
      <c r="S128" s="7">
        <f t="shared" si="27"/>
        <v>18.75</v>
      </c>
      <c r="T128" s="7">
        <v>146.6</v>
      </c>
      <c r="U128" s="7">
        <v>1</v>
      </c>
      <c r="V128" s="7">
        <v>120</v>
      </c>
      <c r="W128" s="7">
        <f t="shared" si="16"/>
        <v>2.0791812460476247</v>
      </c>
      <c r="X128" s="7" t="s">
        <v>1779</v>
      </c>
      <c r="Y128" s="7" t="s">
        <v>1781</v>
      </c>
      <c r="Z128" s="7">
        <v>28.5</v>
      </c>
      <c r="AA128" s="7">
        <v>31.5</v>
      </c>
      <c r="AB128" s="7">
        <v>9.2224375000000016</v>
      </c>
      <c r="AC128" s="7">
        <v>0.31262499999999999</v>
      </c>
      <c r="AD128" s="7">
        <v>28</v>
      </c>
      <c r="AE128" s="7">
        <v>8.909812500000001</v>
      </c>
      <c r="AF128" s="7">
        <v>0.46893750000000006</v>
      </c>
      <c r="AG128" s="7">
        <v>28</v>
      </c>
      <c r="AH128" s="7">
        <v>13.7555</v>
      </c>
      <c r="AI128" s="7">
        <v>1.0941875000000001</v>
      </c>
      <c r="AJ128" s="7">
        <v>30</v>
      </c>
      <c r="AK128" s="108">
        <v>11.723437500000001</v>
      </c>
      <c r="AL128" s="108">
        <v>0.31262499999999999</v>
      </c>
      <c r="AM128" s="7">
        <v>30</v>
      </c>
      <c r="AN128" s="7">
        <f t="shared" si="17"/>
        <v>0.89140721879363616</v>
      </c>
      <c r="AO128" s="7">
        <f t="shared" si="18"/>
        <v>2.2251750027249226</v>
      </c>
      <c r="AP128" s="7">
        <f t="shared" si="19"/>
        <v>1.2251750027249226</v>
      </c>
      <c r="AQ128" s="7">
        <f t="shared" si="20"/>
        <v>8.8552458187164618E-2</v>
      </c>
      <c r="AR128" s="7">
        <f t="shared" si="21"/>
        <v>-8.8552458187164618E-2</v>
      </c>
      <c r="AS128" s="7">
        <f t="shared" si="22"/>
        <v>28.666666666666668</v>
      </c>
      <c r="AT128" s="184">
        <f t="shared" si="26"/>
        <v>0.36472916666666672</v>
      </c>
      <c r="AU128" s="7"/>
      <c r="AV128" s="7"/>
      <c r="AW128" s="7"/>
      <c r="AX128" s="7" t="s">
        <v>1958</v>
      </c>
      <c r="AY128" s="7" t="s">
        <v>1509</v>
      </c>
      <c r="BD128" s="188"/>
    </row>
    <row r="129" spans="1:56">
      <c r="A129" s="7" t="s">
        <v>33</v>
      </c>
      <c r="B129" s="7" t="s">
        <v>34</v>
      </c>
      <c r="C129" s="7" t="s">
        <v>282</v>
      </c>
      <c r="D129" s="7" t="s">
        <v>1961</v>
      </c>
      <c r="E129" s="7" t="s">
        <v>1962</v>
      </c>
      <c r="F129" s="7" t="s">
        <v>1963</v>
      </c>
      <c r="G129" s="7" t="s">
        <v>1964</v>
      </c>
      <c r="H129" s="7" t="s">
        <v>4180</v>
      </c>
      <c r="I129" s="100">
        <f>13.3/1000</f>
        <v>1.3300000000000001E-2</v>
      </c>
      <c r="J129" s="100">
        <f t="shared" si="14"/>
        <v>13.3</v>
      </c>
      <c r="K129" s="100">
        <f t="shared" si="15"/>
        <v>1.1238516409670858</v>
      </c>
      <c r="L129" s="73" t="s">
        <v>1517</v>
      </c>
      <c r="M129" s="7" t="s">
        <v>1965</v>
      </c>
      <c r="N129" s="7" t="s">
        <v>1504</v>
      </c>
      <c r="O129" s="7" t="s">
        <v>1505</v>
      </c>
      <c r="P129" s="108" t="s">
        <v>1492</v>
      </c>
      <c r="Q129" s="7" t="s">
        <v>1966</v>
      </c>
      <c r="R129" s="7">
        <v>54.085999999999999</v>
      </c>
      <c r="S129" s="7">
        <f t="shared" si="27"/>
        <v>54.085999999999999</v>
      </c>
      <c r="T129" s="7">
        <v>-4.7560000000000002</v>
      </c>
      <c r="U129" s="7">
        <v>1</v>
      </c>
      <c r="V129" s="7">
        <v>30</v>
      </c>
      <c r="W129" s="7">
        <f t="shared" si="16"/>
        <v>1.4771212547196624</v>
      </c>
      <c r="X129" s="7" t="s">
        <v>1779</v>
      </c>
      <c r="Y129" s="7" t="s">
        <v>1781</v>
      </c>
      <c r="Z129" s="7">
        <v>10</v>
      </c>
      <c r="AA129" s="7">
        <v>20</v>
      </c>
      <c r="AB129" s="7">
        <v>60</v>
      </c>
      <c r="AC129" s="7">
        <v>1.2</v>
      </c>
      <c r="AD129" s="7">
        <v>18</v>
      </c>
      <c r="AE129" s="7">
        <v>120</v>
      </c>
      <c r="AF129" s="7">
        <v>2</v>
      </c>
      <c r="AG129" s="7">
        <v>18</v>
      </c>
      <c r="AH129" s="7">
        <v>55</v>
      </c>
      <c r="AI129" s="7">
        <v>3</v>
      </c>
      <c r="AJ129" s="7">
        <v>18</v>
      </c>
      <c r="AK129" s="7">
        <v>85</v>
      </c>
      <c r="AL129" s="7">
        <v>4</v>
      </c>
      <c r="AM129" s="7">
        <v>18</v>
      </c>
      <c r="AN129" s="7">
        <f t="shared" si="17"/>
        <v>2</v>
      </c>
      <c r="AO129" s="7">
        <f t="shared" si="18"/>
        <v>1.4166666666666667</v>
      </c>
      <c r="AP129" s="7">
        <f t="shared" si="19"/>
        <v>0.41666666666666674</v>
      </c>
      <c r="AQ129" s="7">
        <f t="shared" si="20"/>
        <v>-0.37917018372551237</v>
      </c>
      <c r="AR129" s="7">
        <f t="shared" si="21"/>
        <v>0.37917018372551237</v>
      </c>
      <c r="AS129" s="7">
        <f t="shared" si="22"/>
        <v>18</v>
      </c>
      <c r="AT129" s="184">
        <f t="shared" si="26"/>
        <v>2.4</v>
      </c>
      <c r="AU129" s="7"/>
      <c r="AV129" s="7" t="s">
        <v>1907</v>
      </c>
      <c r="AW129" s="7"/>
      <c r="AX129" s="7" t="s">
        <v>1967</v>
      </c>
      <c r="AY129" s="7" t="s">
        <v>1509</v>
      </c>
      <c r="BD129" s="188"/>
    </row>
    <row r="130" spans="1:56">
      <c r="A130" s="7" t="s">
        <v>33</v>
      </c>
      <c r="B130" s="7" t="s">
        <v>75</v>
      </c>
      <c r="C130" s="7" t="s">
        <v>76</v>
      </c>
      <c r="D130" s="7" t="s">
        <v>369</v>
      </c>
      <c r="E130" s="7" t="s">
        <v>370</v>
      </c>
      <c r="F130" s="7" t="s">
        <v>1968</v>
      </c>
      <c r="G130" s="7" t="s">
        <v>1969</v>
      </c>
      <c r="H130" s="7" t="s">
        <v>4181</v>
      </c>
      <c r="I130" s="100">
        <f>12.5/1000</f>
        <v>1.2500000000000001E-2</v>
      </c>
      <c r="J130" s="100">
        <f t="shared" si="14"/>
        <v>12.5</v>
      </c>
      <c r="K130" s="100">
        <f t="shared" si="15"/>
        <v>1.0969100130080565</v>
      </c>
      <c r="L130" s="73" t="s">
        <v>1517</v>
      </c>
      <c r="M130" s="7" t="s">
        <v>1970</v>
      </c>
      <c r="N130" s="7" t="s">
        <v>1538</v>
      </c>
      <c r="O130" s="7" t="s">
        <v>1505</v>
      </c>
      <c r="P130" s="108" t="s">
        <v>1492</v>
      </c>
      <c r="Q130" s="7" t="s">
        <v>1971</v>
      </c>
      <c r="R130" s="7">
        <v>22.5</v>
      </c>
      <c r="S130" s="7">
        <f t="shared" si="27"/>
        <v>22.5</v>
      </c>
      <c r="T130" s="7">
        <v>120.8</v>
      </c>
      <c r="U130" s="7">
        <v>1</v>
      </c>
      <c r="V130" s="7">
        <v>18</v>
      </c>
      <c r="W130" s="7">
        <f t="shared" si="16"/>
        <v>1.255272505103306</v>
      </c>
      <c r="X130" s="7" t="s">
        <v>1779</v>
      </c>
      <c r="Y130" s="7" t="s">
        <v>1781</v>
      </c>
      <c r="Z130" s="7">
        <v>15</v>
      </c>
      <c r="AA130" s="7">
        <v>25</v>
      </c>
      <c r="AB130" s="108">
        <v>1.882148741496422</v>
      </c>
      <c r="AC130" s="108">
        <v>6.6062338302466939E-3</v>
      </c>
      <c r="AD130" s="108">
        <v>10</v>
      </c>
      <c r="AE130" s="108">
        <v>5.1838680877812484</v>
      </c>
      <c r="AF130" s="108">
        <v>6.5230985773854925E-3</v>
      </c>
      <c r="AG130" s="108">
        <v>10</v>
      </c>
      <c r="AH130" s="108">
        <v>1.5298679330481448</v>
      </c>
      <c r="AI130" s="108">
        <v>6.6107988314222255E-3</v>
      </c>
      <c r="AJ130" s="108">
        <v>10</v>
      </c>
      <c r="AK130" s="108">
        <v>4.5149603595927212</v>
      </c>
      <c r="AL130" s="108">
        <v>6.5185941364800529E-3</v>
      </c>
      <c r="AM130" s="108">
        <v>10</v>
      </c>
      <c r="AN130" s="7">
        <f t="shared" si="17"/>
        <v>2.7542287033381645</v>
      </c>
      <c r="AO130" s="7">
        <f t="shared" si="18"/>
        <v>2.3988329190194899</v>
      </c>
      <c r="AP130" s="7">
        <f t="shared" si="19"/>
        <v>1.3988329190194899</v>
      </c>
      <c r="AQ130" s="7">
        <f t="shared" si="20"/>
        <v>0.1460762023367127</v>
      </c>
      <c r="AR130" s="7">
        <f t="shared" si="21"/>
        <v>-0.1460762023367127</v>
      </c>
      <c r="AS130" s="7">
        <f t="shared" si="22"/>
        <v>10</v>
      </c>
      <c r="AT130" s="184">
        <f t="shared" si="26"/>
        <v>6.5493088480374122E-3</v>
      </c>
      <c r="AU130" s="7"/>
      <c r="AV130" s="7"/>
      <c r="AW130" s="7"/>
      <c r="AX130" s="7" t="s">
        <v>1970</v>
      </c>
      <c r="AY130" s="7" t="s">
        <v>1509</v>
      </c>
      <c r="BD130" s="188"/>
    </row>
    <row r="131" spans="1:56">
      <c r="A131" s="7" t="s">
        <v>33</v>
      </c>
      <c r="B131" s="7" t="s">
        <v>75</v>
      </c>
      <c r="C131" s="7" t="s">
        <v>76</v>
      </c>
      <c r="D131" s="7" t="s">
        <v>369</v>
      </c>
      <c r="E131" s="7" t="s">
        <v>1972</v>
      </c>
      <c r="F131" s="7" t="s">
        <v>595</v>
      </c>
      <c r="G131" s="7" t="s">
        <v>1973</v>
      </c>
      <c r="H131" s="7" t="s">
        <v>4181</v>
      </c>
      <c r="I131" s="100">
        <f>9.3/1000</f>
        <v>9.300000000000001E-3</v>
      </c>
      <c r="J131" s="100">
        <f t="shared" si="14"/>
        <v>9.3000000000000007</v>
      </c>
      <c r="K131" s="100">
        <f t="shared" si="15"/>
        <v>0.96848294855393513</v>
      </c>
      <c r="L131" s="73" t="s">
        <v>1517</v>
      </c>
      <c r="M131" s="107" t="s">
        <v>1821</v>
      </c>
      <c r="N131" s="7" t="s">
        <v>1640</v>
      </c>
      <c r="O131" s="7" t="s">
        <v>1505</v>
      </c>
      <c r="P131" s="108" t="s">
        <v>1492</v>
      </c>
      <c r="Q131" s="7" t="s">
        <v>1974</v>
      </c>
      <c r="R131" s="7">
        <v>9.3530560000000005</v>
      </c>
      <c r="S131" s="7">
        <f t="shared" si="27"/>
        <v>9.3530560000000005</v>
      </c>
      <c r="T131" s="7">
        <v>123.17916700000001</v>
      </c>
      <c r="U131" s="7">
        <v>1</v>
      </c>
      <c r="V131" s="7">
        <v>8</v>
      </c>
      <c r="W131" s="7">
        <f t="shared" si="16"/>
        <v>0.90308998699194354</v>
      </c>
      <c r="X131" s="7" t="s">
        <v>1779</v>
      </c>
      <c r="Y131" s="7" t="s">
        <v>1781</v>
      </c>
      <c r="Z131" s="7">
        <v>20</v>
      </c>
      <c r="AA131" s="7">
        <v>30</v>
      </c>
      <c r="AB131" s="7">
        <v>0.09</v>
      </c>
      <c r="AC131" s="7">
        <v>1.4999999999999999E-2</v>
      </c>
      <c r="AD131" s="7">
        <v>6</v>
      </c>
      <c r="AE131" s="7">
        <v>0.14499999999999999</v>
      </c>
      <c r="AF131" s="7">
        <v>1.4999999999999999E-2</v>
      </c>
      <c r="AG131" s="7">
        <v>6</v>
      </c>
      <c r="AH131" s="7">
        <v>0.105</v>
      </c>
      <c r="AI131" s="7">
        <v>1.4999999999999999E-2</v>
      </c>
      <c r="AJ131" s="7">
        <v>6</v>
      </c>
      <c r="AK131" s="7">
        <v>0.155</v>
      </c>
      <c r="AL131" s="7">
        <v>1.4999999999999999E-2</v>
      </c>
      <c r="AM131" s="7">
        <v>6</v>
      </c>
      <c r="AN131" s="7">
        <f t="shared" si="17"/>
        <v>1.6111111111111112</v>
      </c>
      <c r="AO131" s="7">
        <f t="shared" si="18"/>
        <v>1.7222222222222223</v>
      </c>
      <c r="AP131" s="7">
        <f t="shared" si="19"/>
        <v>0.72222222222222232</v>
      </c>
      <c r="AQ131" s="7">
        <f t="shared" si="20"/>
        <v>-0.14072823789744171</v>
      </c>
      <c r="AR131" s="7">
        <f t="shared" si="21"/>
        <v>0.14072823789744171</v>
      </c>
      <c r="AS131" s="7">
        <f t="shared" si="22"/>
        <v>6</v>
      </c>
      <c r="AT131" s="184">
        <f t="shared" si="26"/>
        <v>1.4999999999999999E-2</v>
      </c>
      <c r="AU131" s="7"/>
      <c r="AV131" s="7" t="s">
        <v>1824</v>
      </c>
      <c r="AW131" s="7" t="s">
        <v>1975</v>
      </c>
      <c r="AX131" s="107" t="s">
        <v>1821</v>
      </c>
      <c r="AY131" s="7" t="s">
        <v>1509</v>
      </c>
      <c r="BD131" s="188"/>
    </row>
    <row r="132" spans="1:56">
      <c r="A132" s="7" t="s">
        <v>33</v>
      </c>
      <c r="B132" s="7" t="s">
        <v>75</v>
      </c>
      <c r="C132" s="7" t="s">
        <v>348</v>
      </c>
      <c r="D132" s="7" t="s">
        <v>622</v>
      </c>
      <c r="E132" s="7" t="s">
        <v>1176</v>
      </c>
      <c r="F132" s="7" t="s">
        <v>646</v>
      </c>
      <c r="G132" s="7" t="s">
        <v>1976</v>
      </c>
      <c r="H132" s="7" t="s">
        <v>4181</v>
      </c>
      <c r="I132" s="100">
        <f>9/1000</f>
        <v>8.9999999999999993E-3</v>
      </c>
      <c r="J132" s="100">
        <f t="shared" si="14"/>
        <v>9</v>
      </c>
      <c r="K132" s="100">
        <f t="shared" si="15"/>
        <v>0.95424250943932487</v>
      </c>
      <c r="L132" s="73" t="s">
        <v>1517</v>
      </c>
      <c r="M132" s="7" t="s">
        <v>1977</v>
      </c>
      <c r="N132" s="7" t="s">
        <v>1640</v>
      </c>
      <c r="O132" s="7" t="s">
        <v>1494</v>
      </c>
      <c r="P132" s="108" t="s">
        <v>1492</v>
      </c>
      <c r="Q132" s="7" t="s">
        <v>1978</v>
      </c>
      <c r="R132" s="7">
        <v>45.5</v>
      </c>
      <c r="S132" s="7">
        <f t="shared" si="27"/>
        <v>45.5</v>
      </c>
      <c r="T132" s="7">
        <v>-122.9</v>
      </c>
      <c r="U132" s="7">
        <v>1</v>
      </c>
      <c r="V132" s="7">
        <v>7</v>
      </c>
      <c r="W132" s="7">
        <f t="shared" si="16"/>
        <v>0.84509804001425681</v>
      </c>
      <c r="X132" s="7" t="s">
        <v>1779</v>
      </c>
      <c r="Y132" s="7" t="s">
        <v>1781</v>
      </c>
      <c r="Z132" s="7">
        <v>5</v>
      </c>
      <c r="AA132" s="7">
        <v>20</v>
      </c>
      <c r="AB132" s="7">
        <v>12.8</v>
      </c>
      <c r="AC132" s="7">
        <v>2.5</v>
      </c>
      <c r="AD132" s="7">
        <v>9</v>
      </c>
      <c r="AE132" s="7">
        <v>59.9</v>
      </c>
      <c r="AF132" s="7">
        <v>2.6</v>
      </c>
      <c r="AG132" s="7">
        <v>9</v>
      </c>
      <c r="AH132" s="7">
        <v>11.1</v>
      </c>
      <c r="AI132" s="7">
        <v>0.7</v>
      </c>
      <c r="AJ132" s="7">
        <v>9</v>
      </c>
      <c r="AK132" s="7">
        <v>44.8</v>
      </c>
      <c r="AL132" s="7">
        <v>1.2</v>
      </c>
      <c r="AM132" s="7">
        <v>9</v>
      </c>
      <c r="AN132" s="7">
        <f t="shared" si="17"/>
        <v>2.7977650148591953</v>
      </c>
      <c r="AO132" s="7">
        <f t="shared" si="18"/>
        <v>2.3052181460292229</v>
      </c>
      <c r="AP132" s="7">
        <f t="shared" si="19"/>
        <v>1.3052181460292229</v>
      </c>
      <c r="AQ132" s="7">
        <f t="shared" si="20"/>
        <v>0.11601571270112752</v>
      </c>
      <c r="AR132" s="7">
        <f t="shared" si="21"/>
        <v>-0.11601571270112752</v>
      </c>
      <c r="AS132" s="7">
        <f t="shared" si="22"/>
        <v>9</v>
      </c>
      <c r="AT132" s="184">
        <f t="shared" si="26"/>
        <v>2.1</v>
      </c>
      <c r="AU132" s="7"/>
      <c r="AV132" s="7" t="s">
        <v>1796</v>
      </c>
      <c r="AW132" s="7"/>
      <c r="AX132" s="7" t="s">
        <v>1977</v>
      </c>
      <c r="AY132" s="7" t="s">
        <v>1509</v>
      </c>
      <c r="BD132" s="188"/>
    </row>
    <row r="133" spans="1:56">
      <c r="A133" s="7" t="s">
        <v>33</v>
      </c>
      <c r="B133" s="7" t="s">
        <v>34</v>
      </c>
      <c r="C133" s="7" t="s">
        <v>282</v>
      </c>
      <c r="D133" s="7" t="s">
        <v>1560</v>
      </c>
      <c r="E133" s="7" t="s">
        <v>1561</v>
      </c>
      <c r="F133" s="7" t="s">
        <v>1562</v>
      </c>
      <c r="G133" s="7" t="s">
        <v>1563</v>
      </c>
      <c r="H133" s="7" t="s">
        <v>4180</v>
      </c>
      <c r="I133" s="100">
        <f>8.99/1000</f>
        <v>8.9899999999999997E-3</v>
      </c>
      <c r="J133" s="100">
        <f t="shared" si="14"/>
        <v>8.99</v>
      </c>
      <c r="K133" s="100">
        <f t="shared" si="15"/>
        <v>0.95375969173322883</v>
      </c>
      <c r="L133" s="73" t="s">
        <v>1517</v>
      </c>
      <c r="M133" s="7" t="s">
        <v>1564</v>
      </c>
      <c r="N133" s="7" t="s">
        <v>1538</v>
      </c>
      <c r="O133" s="7" t="s">
        <v>1505</v>
      </c>
      <c r="P133" s="108" t="s">
        <v>1539</v>
      </c>
      <c r="Q133" s="7" t="s">
        <v>1565</v>
      </c>
      <c r="R133" s="7">
        <v>28</v>
      </c>
      <c r="S133" s="7">
        <f t="shared" si="27"/>
        <v>28</v>
      </c>
      <c r="T133" s="7">
        <v>153</v>
      </c>
      <c r="U133" s="7">
        <v>1</v>
      </c>
      <c r="V133" s="7">
        <v>28</v>
      </c>
      <c r="W133" s="7">
        <f t="shared" si="16"/>
        <v>1.4471580313422192</v>
      </c>
      <c r="X133" s="7" t="s">
        <v>1779</v>
      </c>
      <c r="Y133" s="7" t="s">
        <v>1778</v>
      </c>
      <c r="Z133" s="7">
        <v>14</v>
      </c>
      <c r="AA133" s="7">
        <v>22</v>
      </c>
      <c r="AB133" s="108">
        <v>1.95</v>
      </c>
      <c r="AC133" s="108">
        <v>0.1</v>
      </c>
      <c r="AD133" s="7">
        <v>15</v>
      </c>
      <c r="AE133" s="7">
        <v>3.65</v>
      </c>
      <c r="AF133" s="7">
        <v>0.2</v>
      </c>
      <c r="AG133" s="7">
        <v>15</v>
      </c>
      <c r="AH133" s="7">
        <v>1.2</v>
      </c>
      <c r="AI133" s="7">
        <v>0.05</v>
      </c>
      <c r="AJ133" s="7">
        <v>15</v>
      </c>
      <c r="AK133" s="108">
        <v>4</v>
      </c>
      <c r="AL133" s="108">
        <v>0.3</v>
      </c>
      <c r="AM133" s="108">
        <v>15</v>
      </c>
      <c r="AN133" s="7">
        <f t="shared" si="17"/>
        <v>2.1893884182909749</v>
      </c>
      <c r="AO133" s="7">
        <f t="shared" si="18"/>
        <v>2.4548882372790541</v>
      </c>
      <c r="AP133" s="7">
        <f t="shared" si="19"/>
        <v>1.4548882372790541</v>
      </c>
      <c r="AQ133" s="7">
        <f t="shared" si="20"/>
        <v>0.16312803720505875</v>
      </c>
      <c r="AR133" s="7">
        <f t="shared" si="21"/>
        <v>-0.16312803720505875</v>
      </c>
      <c r="AS133" s="7">
        <f t="shared" si="22"/>
        <v>15</v>
      </c>
      <c r="AT133" s="184">
        <f t="shared" si="26"/>
        <v>0.20000000000000004</v>
      </c>
      <c r="AU133" s="108"/>
      <c r="AV133" s="7"/>
      <c r="AW133" s="7"/>
      <c r="AX133" s="7" t="s">
        <v>1979</v>
      </c>
      <c r="AY133" s="7" t="s">
        <v>1509</v>
      </c>
      <c r="BD133" s="188"/>
    </row>
    <row r="134" spans="1:56">
      <c r="A134" s="7" t="s">
        <v>33</v>
      </c>
      <c r="B134" s="7" t="s">
        <v>43</v>
      </c>
      <c r="C134" s="7" t="s">
        <v>44</v>
      </c>
      <c r="D134" s="7" t="s">
        <v>113</v>
      </c>
      <c r="E134" s="7" t="s">
        <v>1980</v>
      </c>
      <c r="F134" s="7" t="s">
        <v>1981</v>
      </c>
      <c r="G134" s="7" t="s">
        <v>1982</v>
      </c>
      <c r="H134" s="7" t="s">
        <v>4184</v>
      </c>
      <c r="I134" s="100">
        <f>7.9/1000</f>
        <v>7.9000000000000008E-3</v>
      </c>
      <c r="J134" s="100">
        <f t="shared" si="14"/>
        <v>7.9</v>
      </c>
      <c r="K134" s="100">
        <f t="shared" si="15"/>
        <v>0.89762709129044149</v>
      </c>
      <c r="L134" s="73" t="s">
        <v>1517</v>
      </c>
      <c r="M134" s="7" t="s">
        <v>1983</v>
      </c>
      <c r="N134" s="7" t="s">
        <v>1640</v>
      </c>
      <c r="O134" s="7" t="s">
        <v>1505</v>
      </c>
      <c r="P134" s="108" t="s">
        <v>1492</v>
      </c>
      <c r="Q134" s="7" t="s">
        <v>1984</v>
      </c>
      <c r="R134" s="7">
        <v>43.216667000000001</v>
      </c>
      <c r="S134" s="7">
        <f t="shared" si="27"/>
        <v>43.216667000000001</v>
      </c>
      <c r="T134" s="7">
        <v>171.75</v>
      </c>
      <c r="U134" s="7">
        <v>1</v>
      </c>
      <c r="V134" s="7">
        <v>30</v>
      </c>
      <c r="W134" s="7">
        <f t="shared" si="16"/>
        <v>1.4771212547196624</v>
      </c>
      <c r="X134" s="7" t="s">
        <v>1779</v>
      </c>
      <c r="Y134" s="7" t="s">
        <v>1781</v>
      </c>
      <c r="Z134" s="7">
        <v>5</v>
      </c>
      <c r="AA134" s="7">
        <v>25</v>
      </c>
      <c r="AB134" s="7">
        <v>25</v>
      </c>
      <c r="AC134" s="7">
        <v>1</v>
      </c>
      <c r="AD134" s="7">
        <v>12</v>
      </c>
      <c r="AE134" s="7">
        <v>110</v>
      </c>
      <c r="AF134" s="7">
        <v>1</v>
      </c>
      <c r="AG134" s="7">
        <v>12</v>
      </c>
      <c r="AH134" s="7">
        <v>28</v>
      </c>
      <c r="AI134" s="7">
        <v>1</v>
      </c>
      <c r="AJ134" s="7">
        <v>12</v>
      </c>
      <c r="AK134" s="7">
        <v>80</v>
      </c>
      <c r="AL134" s="7">
        <v>1</v>
      </c>
      <c r="AM134" s="7">
        <v>12</v>
      </c>
      <c r="AN134" s="7">
        <f t="shared" si="17"/>
        <v>2.0976176963403033</v>
      </c>
      <c r="AO134" s="7">
        <f t="shared" si="18"/>
        <v>1.7888543819998317</v>
      </c>
      <c r="AP134" s="7">
        <f t="shared" si="19"/>
        <v>0.78885438199983171</v>
      </c>
      <c r="AQ134" s="7">
        <f t="shared" si="20"/>
        <v>-0.10245296810596688</v>
      </c>
      <c r="AR134" s="7">
        <f t="shared" si="21"/>
        <v>0.10245296810596688</v>
      </c>
      <c r="AS134" s="7">
        <f t="shared" si="22"/>
        <v>12</v>
      </c>
      <c r="AT134" s="184">
        <f t="shared" si="26"/>
        <v>1</v>
      </c>
      <c r="AU134" s="7"/>
      <c r="AV134" s="7" t="s">
        <v>1796</v>
      </c>
      <c r="AW134" s="7"/>
      <c r="AX134" s="7" t="s">
        <v>1983</v>
      </c>
      <c r="AY134" s="7" t="s">
        <v>1509</v>
      </c>
      <c r="BD134" s="188"/>
    </row>
    <row r="135" spans="1:56">
      <c r="A135" s="7" t="s">
        <v>33</v>
      </c>
      <c r="B135" s="7" t="s">
        <v>43</v>
      </c>
      <c r="C135" s="7" t="s">
        <v>44</v>
      </c>
      <c r="D135" s="7" t="s">
        <v>113</v>
      </c>
      <c r="E135" s="7" t="s">
        <v>1980</v>
      </c>
      <c r="F135" s="7" t="s">
        <v>1981</v>
      </c>
      <c r="G135" s="7" t="s">
        <v>1982</v>
      </c>
      <c r="H135" s="7" t="s">
        <v>4184</v>
      </c>
      <c r="I135" s="100">
        <f>AVERAGE(6, 8.5, 7.9)/1000</f>
        <v>7.4666666666666657E-3</v>
      </c>
      <c r="J135" s="100">
        <f t="shared" si="14"/>
        <v>7.4666666666666659</v>
      </c>
      <c r="K135" s="100">
        <f t="shared" si="15"/>
        <v>0.87312676361450037</v>
      </c>
      <c r="L135" s="73" t="s">
        <v>1517</v>
      </c>
      <c r="M135" s="7" t="s">
        <v>1983</v>
      </c>
      <c r="N135" s="7" t="s">
        <v>1640</v>
      </c>
      <c r="O135" s="7" t="s">
        <v>1505</v>
      </c>
      <c r="P135" s="108" t="s">
        <v>1492</v>
      </c>
      <c r="Q135" s="7" t="s">
        <v>1985</v>
      </c>
      <c r="R135" s="7">
        <v>-43.53</v>
      </c>
      <c r="S135" s="7">
        <f t="shared" si="27"/>
        <v>43.53</v>
      </c>
      <c r="T135" s="7">
        <v>172.62027800000001</v>
      </c>
      <c r="U135" s="7">
        <v>1</v>
      </c>
      <c r="V135" s="7">
        <v>30</v>
      </c>
      <c r="W135" s="7">
        <f t="shared" si="16"/>
        <v>1.4771212547196624</v>
      </c>
      <c r="X135" s="7" t="s">
        <v>1779</v>
      </c>
      <c r="Y135" s="7" t="s">
        <v>1781</v>
      </c>
      <c r="Z135" s="7">
        <v>5</v>
      </c>
      <c r="AA135" s="7">
        <v>25</v>
      </c>
      <c r="AB135" s="7">
        <v>15</v>
      </c>
      <c r="AC135" s="7">
        <v>1</v>
      </c>
      <c r="AD135" s="7">
        <v>12</v>
      </c>
      <c r="AE135" s="7">
        <v>90</v>
      </c>
      <c r="AF135" s="7">
        <v>1</v>
      </c>
      <c r="AG135" s="7">
        <v>12</v>
      </c>
      <c r="AH135" s="7">
        <v>30</v>
      </c>
      <c r="AI135" s="7">
        <v>1</v>
      </c>
      <c r="AJ135" s="7">
        <v>12</v>
      </c>
      <c r="AK135" s="7">
        <v>90</v>
      </c>
      <c r="AL135" s="7">
        <v>1</v>
      </c>
      <c r="AM135" s="7">
        <v>12</v>
      </c>
      <c r="AN135" s="7">
        <f t="shared" si="17"/>
        <v>2.4494897427831779</v>
      </c>
      <c r="AO135" s="7">
        <f t="shared" si="18"/>
        <v>2.4494897427831779</v>
      </c>
      <c r="AP135" s="7">
        <f t="shared" si="19"/>
        <v>1.4494897427831779</v>
      </c>
      <c r="AQ135" s="7">
        <f t="shared" si="20"/>
        <v>0.1615146620125773</v>
      </c>
      <c r="AR135" s="7">
        <f t="shared" si="21"/>
        <v>-0.1615146620125773</v>
      </c>
      <c r="AS135" s="7">
        <f t="shared" si="22"/>
        <v>12</v>
      </c>
      <c r="AT135" s="184">
        <f t="shared" si="26"/>
        <v>1</v>
      </c>
      <c r="AU135" s="7"/>
      <c r="AV135" s="7" t="s">
        <v>1796</v>
      </c>
      <c r="AW135" s="7"/>
      <c r="AX135" s="7" t="s">
        <v>1983</v>
      </c>
      <c r="AY135" s="7" t="s">
        <v>1509</v>
      </c>
      <c r="BD135" s="188"/>
    </row>
    <row r="136" spans="1:56">
      <c r="A136" s="7" t="s">
        <v>33</v>
      </c>
      <c r="B136" s="7" t="s">
        <v>75</v>
      </c>
      <c r="C136" s="7" t="s">
        <v>76</v>
      </c>
      <c r="D136" s="7" t="s">
        <v>369</v>
      </c>
      <c r="E136" s="7" t="s">
        <v>370</v>
      </c>
      <c r="F136" s="7" t="s">
        <v>588</v>
      </c>
      <c r="G136" s="7" t="s">
        <v>1986</v>
      </c>
      <c r="H136" s="7" t="s">
        <v>4181</v>
      </c>
      <c r="I136" s="100">
        <f>7/1000</f>
        <v>7.0000000000000001E-3</v>
      </c>
      <c r="J136" s="100">
        <f t="shared" ref="J136:J199" si="28">I136*1000</f>
        <v>7</v>
      </c>
      <c r="K136" s="100">
        <f t="shared" ref="K136:K199" si="29">LOG(J136)</f>
        <v>0.84509804001425681</v>
      </c>
      <c r="L136" s="73" t="s">
        <v>1517</v>
      </c>
      <c r="M136" s="7" t="s">
        <v>1987</v>
      </c>
      <c r="N136" s="7" t="s">
        <v>1538</v>
      </c>
      <c r="O136" s="7" t="s">
        <v>1505</v>
      </c>
      <c r="P136" s="108" t="s">
        <v>1492</v>
      </c>
      <c r="Q136" s="7" t="s">
        <v>1988</v>
      </c>
      <c r="R136" s="7">
        <v>40.078366000000003</v>
      </c>
      <c r="S136" s="7">
        <f t="shared" si="27"/>
        <v>40.078366000000003</v>
      </c>
      <c r="T136" s="7">
        <v>-74.852509999999995</v>
      </c>
      <c r="U136" s="7">
        <v>1</v>
      </c>
      <c r="V136" s="7">
        <v>6</v>
      </c>
      <c r="W136" s="7">
        <f t="shared" ref="W136:W199" si="30">LOG(V136)</f>
        <v>0.77815125038364363</v>
      </c>
      <c r="X136" s="7" t="s">
        <v>1779</v>
      </c>
      <c r="Y136" s="7" t="s">
        <v>1781</v>
      </c>
      <c r="Z136" s="7">
        <v>5</v>
      </c>
      <c r="AA136" s="7">
        <v>25</v>
      </c>
      <c r="AB136" s="7">
        <v>0.02</v>
      </c>
      <c r="AC136" s="7">
        <v>3.5000000000000001E-3</v>
      </c>
      <c r="AD136" s="7">
        <v>24</v>
      </c>
      <c r="AE136" s="7">
        <v>6.6000000000000003E-2</v>
      </c>
      <c r="AF136" s="7">
        <v>5.4999999999999997E-3</v>
      </c>
      <c r="AG136" s="7">
        <v>24</v>
      </c>
      <c r="AH136" s="7">
        <v>0.02</v>
      </c>
      <c r="AI136" s="7">
        <v>2E-3</v>
      </c>
      <c r="AJ136" s="7">
        <v>24</v>
      </c>
      <c r="AK136" s="7">
        <v>0.14499999999999999</v>
      </c>
      <c r="AL136" s="7">
        <v>0.01</v>
      </c>
      <c r="AM136" s="7">
        <v>24</v>
      </c>
      <c r="AN136" s="7">
        <f t="shared" ref="AN136:AN199" si="31">(AE136/AB136)^(10/(AA136-Z136))</f>
        <v>1.8165902124584952</v>
      </c>
      <c r="AO136" s="7">
        <f t="shared" ref="AO136:AO199" si="32">(AK136/AB136)^(10/(AA136-Z136))</f>
        <v>2.6925824035672519</v>
      </c>
      <c r="AP136" s="7">
        <f t="shared" ref="AP136:AP199" si="33">ABS(AO136-1)</f>
        <v>1.6925824035672519</v>
      </c>
      <c r="AQ136" s="7">
        <f t="shared" ref="AQ136:AQ199" si="34">LOG(AP136+0.001)</f>
        <v>0.2288063326865184</v>
      </c>
      <c r="AR136" s="7">
        <f t="shared" ref="AR136:AR199" si="35">AQ136*-1</f>
        <v>-0.2288063326865184</v>
      </c>
      <c r="AS136" s="7">
        <f t="shared" ref="AS136:AS199" si="36">AVERAGE(AD136,AG136,AM136)</f>
        <v>24</v>
      </c>
      <c r="AT136" s="184">
        <f t="shared" si="26"/>
        <v>6.3333333333333332E-3</v>
      </c>
      <c r="AU136" s="7"/>
      <c r="AV136" s="7" t="s">
        <v>1989</v>
      </c>
      <c r="AW136" s="7"/>
      <c r="AX136" s="7" t="s">
        <v>1987</v>
      </c>
      <c r="AY136" s="7" t="s">
        <v>1509</v>
      </c>
      <c r="BD136" s="188"/>
    </row>
    <row r="137" spans="1:56">
      <c r="A137" s="7" t="s">
        <v>33</v>
      </c>
      <c r="B137" s="7" t="s">
        <v>75</v>
      </c>
      <c r="C137" s="7" t="s">
        <v>76</v>
      </c>
      <c r="D137" s="7" t="s">
        <v>369</v>
      </c>
      <c r="E137" s="7" t="s">
        <v>370</v>
      </c>
      <c r="F137" s="7" t="s">
        <v>588</v>
      </c>
      <c r="G137" s="7" t="s">
        <v>1986</v>
      </c>
      <c r="H137" s="7" t="s">
        <v>4181</v>
      </c>
      <c r="I137" s="100">
        <f>7/1000</f>
        <v>7.0000000000000001E-3</v>
      </c>
      <c r="J137" s="100">
        <f t="shared" si="28"/>
        <v>7</v>
      </c>
      <c r="K137" s="100">
        <f t="shared" si="29"/>
        <v>0.84509804001425681</v>
      </c>
      <c r="L137" s="73" t="s">
        <v>1517</v>
      </c>
      <c r="M137" s="7" t="s">
        <v>1987</v>
      </c>
      <c r="N137" s="7" t="s">
        <v>1538</v>
      </c>
      <c r="O137" s="7" t="s">
        <v>1505</v>
      </c>
      <c r="P137" s="108" t="s">
        <v>1492</v>
      </c>
      <c r="Q137" s="7" t="s">
        <v>1988</v>
      </c>
      <c r="R137" s="7">
        <v>40.078366000000003</v>
      </c>
      <c r="S137" s="7">
        <f t="shared" si="27"/>
        <v>40.078366000000003</v>
      </c>
      <c r="T137" s="7">
        <v>-74.852509999999995</v>
      </c>
      <c r="U137" s="7">
        <v>1</v>
      </c>
      <c r="V137" s="7">
        <v>6</v>
      </c>
      <c r="W137" s="7">
        <f t="shared" si="30"/>
        <v>0.77815125038364363</v>
      </c>
      <c r="X137" s="7" t="s">
        <v>1779</v>
      </c>
      <c r="Y137" s="7" t="s">
        <v>1781</v>
      </c>
      <c r="Z137" s="7">
        <v>15</v>
      </c>
      <c r="AA137" s="7">
        <v>25</v>
      </c>
      <c r="AB137" s="7">
        <v>0.05</v>
      </c>
      <c r="AC137" s="7">
        <v>4.0000000000000001E-3</v>
      </c>
      <c r="AD137" s="7">
        <v>24</v>
      </c>
      <c r="AE137" s="7">
        <v>8.3000000000000004E-2</v>
      </c>
      <c r="AF137" s="7">
        <v>8.5000000000000006E-3</v>
      </c>
      <c r="AG137" s="7">
        <v>24</v>
      </c>
      <c r="AH137" s="7">
        <v>0.04</v>
      </c>
      <c r="AI137" s="7">
        <v>4.0000000000000001E-3</v>
      </c>
      <c r="AJ137" s="7">
        <v>24</v>
      </c>
      <c r="AK137" s="7">
        <v>0.14499999999999999</v>
      </c>
      <c r="AL137" s="7">
        <v>0.01</v>
      </c>
      <c r="AM137" s="7">
        <v>24</v>
      </c>
      <c r="AN137" s="7">
        <f t="shared" si="31"/>
        <v>1.66</v>
      </c>
      <c r="AO137" s="7">
        <f t="shared" si="32"/>
        <v>2.8999999999999995</v>
      </c>
      <c r="AP137" s="7">
        <f t="shared" si="33"/>
        <v>1.8999999999999995</v>
      </c>
      <c r="AQ137" s="7">
        <f t="shared" si="34"/>
        <v>0.278982116865443</v>
      </c>
      <c r="AR137" s="7">
        <f t="shared" si="35"/>
        <v>-0.278982116865443</v>
      </c>
      <c r="AS137" s="7">
        <f t="shared" si="36"/>
        <v>24</v>
      </c>
      <c r="AT137" s="184">
        <f t="shared" si="26"/>
        <v>7.4999999999999997E-3</v>
      </c>
      <c r="AU137" s="7"/>
      <c r="AV137" s="7" t="s">
        <v>1989</v>
      </c>
      <c r="AW137" s="7"/>
      <c r="AX137" s="7" t="s">
        <v>1987</v>
      </c>
      <c r="AY137" s="7" t="s">
        <v>1509</v>
      </c>
      <c r="BD137" s="188"/>
    </row>
    <row r="138" spans="1:56">
      <c r="A138" s="7" t="s">
        <v>33</v>
      </c>
      <c r="B138" s="7" t="s">
        <v>43</v>
      </c>
      <c r="C138" s="7" t="s">
        <v>44</v>
      </c>
      <c r="D138" s="185" t="s">
        <v>1990</v>
      </c>
      <c r="E138" s="7" t="s">
        <v>1991</v>
      </c>
      <c r="F138" s="7" t="s">
        <v>1992</v>
      </c>
      <c r="G138" s="7" t="s">
        <v>1993</v>
      </c>
      <c r="H138" s="7" t="s">
        <v>4184</v>
      </c>
      <c r="I138" s="100">
        <f>7/1000</f>
        <v>7.0000000000000001E-3</v>
      </c>
      <c r="J138" s="100">
        <f t="shared" si="28"/>
        <v>7</v>
      </c>
      <c r="K138" s="100">
        <f t="shared" si="29"/>
        <v>0.84509804001425681</v>
      </c>
      <c r="L138" s="73" t="s">
        <v>1517</v>
      </c>
      <c r="M138" s="7" t="s">
        <v>1994</v>
      </c>
      <c r="N138" s="7" t="s">
        <v>1640</v>
      </c>
      <c r="O138" s="7" t="s">
        <v>1505</v>
      </c>
      <c r="P138" s="108" t="s">
        <v>1492</v>
      </c>
      <c r="Q138" s="7" t="s">
        <v>1995</v>
      </c>
      <c r="R138" s="7">
        <v>18.316666999999999</v>
      </c>
      <c r="S138" s="7">
        <f t="shared" si="27"/>
        <v>18.316666999999999</v>
      </c>
      <c r="T138" s="7">
        <v>-65.783332999999999</v>
      </c>
      <c r="U138" s="7">
        <v>1</v>
      </c>
      <c r="V138" s="7">
        <v>14</v>
      </c>
      <c r="W138" s="7">
        <f t="shared" si="30"/>
        <v>1.146128035678238</v>
      </c>
      <c r="X138" s="7" t="s">
        <v>1779</v>
      </c>
      <c r="Y138" s="7" t="s">
        <v>1781</v>
      </c>
      <c r="Z138" s="7">
        <v>15</v>
      </c>
      <c r="AA138" s="7">
        <v>30</v>
      </c>
      <c r="AB138" s="7">
        <v>0.16</v>
      </c>
      <c r="AC138" s="7">
        <v>8.0000000000000002E-3</v>
      </c>
      <c r="AD138" s="7">
        <v>10</v>
      </c>
      <c r="AE138" s="7">
        <v>1.04</v>
      </c>
      <c r="AF138" s="7">
        <v>0.111</v>
      </c>
      <c r="AG138" s="7">
        <v>10</v>
      </c>
      <c r="AH138" s="7">
        <v>0.18</v>
      </c>
      <c r="AI138" s="7">
        <v>2.1000000000000001E-2</v>
      </c>
      <c r="AJ138" s="7">
        <v>14</v>
      </c>
      <c r="AK138" s="7">
        <v>0.82</v>
      </c>
      <c r="AL138" s="7">
        <v>7.3999999999999996E-2</v>
      </c>
      <c r="AM138" s="7">
        <v>14</v>
      </c>
      <c r="AN138" s="7">
        <f t="shared" si="31"/>
        <v>3.482909883941308</v>
      </c>
      <c r="AO138" s="7">
        <f t="shared" si="32"/>
        <v>2.9725505342181733</v>
      </c>
      <c r="AP138" s="7">
        <f t="shared" si="33"/>
        <v>1.9725505342181733</v>
      </c>
      <c r="AQ138" s="7">
        <f t="shared" si="34"/>
        <v>0.29524825130468657</v>
      </c>
      <c r="AR138" s="7">
        <f t="shared" si="35"/>
        <v>-0.29524825130468657</v>
      </c>
      <c r="AS138" s="7">
        <f t="shared" si="36"/>
        <v>11.333333333333334</v>
      </c>
      <c r="AT138" s="184">
        <f t="shared" si="26"/>
        <v>6.433333333333334E-2</v>
      </c>
      <c r="AU138" s="7"/>
      <c r="AV138" s="7" t="s">
        <v>1996</v>
      </c>
      <c r="AW138" s="7" t="s">
        <v>1997</v>
      </c>
      <c r="AX138" s="7" t="s">
        <v>1998</v>
      </c>
      <c r="AY138" s="7" t="s">
        <v>1509</v>
      </c>
      <c r="BD138" s="188"/>
    </row>
    <row r="139" spans="1:56">
      <c r="A139" s="7" t="s">
        <v>33</v>
      </c>
      <c r="B139" s="7" t="s">
        <v>43</v>
      </c>
      <c r="C139" s="7" t="s">
        <v>44</v>
      </c>
      <c r="D139" s="185" t="s">
        <v>1990</v>
      </c>
      <c r="E139" s="7" t="s">
        <v>1991</v>
      </c>
      <c r="F139" s="7" t="s">
        <v>1992</v>
      </c>
      <c r="G139" s="7" t="s">
        <v>1993</v>
      </c>
      <c r="H139" s="7" t="s">
        <v>4184</v>
      </c>
      <c r="I139" s="100">
        <f>7/1000</f>
        <v>7.0000000000000001E-3</v>
      </c>
      <c r="J139" s="100">
        <f t="shared" si="28"/>
        <v>7</v>
      </c>
      <c r="K139" s="100">
        <f t="shared" si="29"/>
        <v>0.84509804001425681</v>
      </c>
      <c r="L139" s="73" t="s">
        <v>1517</v>
      </c>
      <c r="M139" s="7" t="s">
        <v>1994</v>
      </c>
      <c r="N139" s="7" t="s">
        <v>1640</v>
      </c>
      <c r="O139" s="7" t="s">
        <v>1505</v>
      </c>
      <c r="P139" s="108" t="s">
        <v>1492</v>
      </c>
      <c r="Q139" s="7" t="s">
        <v>1995</v>
      </c>
      <c r="R139" s="7">
        <v>18.316666999999999</v>
      </c>
      <c r="S139" s="7">
        <f t="shared" si="27"/>
        <v>18.316666999999999</v>
      </c>
      <c r="T139" s="7">
        <v>-65.783332999999999</v>
      </c>
      <c r="U139" s="7">
        <v>1</v>
      </c>
      <c r="V139" s="7">
        <v>14</v>
      </c>
      <c r="W139" s="7">
        <f t="shared" si="30"/>
        <v>1.146128035678238</v>
      </c>
      <c r="X139" s="7" t="s">
        <v>1779</v>
      </c>
      <c r="Y139" s="7" t="s">
        <v>1781</v>
      </c>
      <c r="Z139" s="7">
        <v>15</v>
      </c>
      <c r="AA139" s="7">
        <v>30</v>
      </c>
      <c r="AB139" s="7">
        <v>0.32</v>
      </c>
      <c r="AC139" s="7">
        <v>5.2999999999999999E-2</v>
      </c>
      <c r="AD139" s="7">
        <v>10</v>
      </c>
      <c r="AE139" s="7">
        <v>1.5</v>
      </c>
      <c r="AF139" s="7">
        <v>0.126</v>
      </c>
      <c r="AG139" s="7">
        <v>10</v>
      </c>
      <c r="AH139" s="7">
        <v>0.32</v>
      </c>
      <c r="AI139" s="7">
        <v>3.2000000000000001E-2</v>
      </c>
      <c r="AJ139" s="7">
        <v>14</v>
      </c>
      <c r="AK139" s="7">
        <v>1.2</v>
      </c>
      <c r="AL139" s="7">
        <v>0.108</v>
      </c>
      <c r="AM139" s="7">
        <v>14</v>
      </c>
      <c r="AN139" s="7">
        <f t="shared" si="31"/>
        <v>2.8008779665982275</v>
      </c>
      <c r="AO139" s="7">
        <f t="shared" si="32"/>
        <v>2.4137234615140741</v>
      </c>
      <c r="AP139" s="7">
        <f t="shared" si="33"/>
        <v>1.4137234615140741</v>
      </c>
      <c r="AQ139" s="7">
        <f t="shared" si="34"/>
        <v>0.15067155584921235</v>
      </c>
      <c r="AR139" s="7">
        <f t="shared" si="35"/>
        <v>-0.15067155584921235</v>
      </c>
      <c r="AS139" s="7">
        <f t="shared" si="36"/>
        <v>11.333333333333334</v>
      </c>
      <c r="AT139" s="184">
        <f t="shared" si="26"/>
        <v>9.5666666666666664E-2</v>
      </c>
      <c r="AU139" s="7"/>
      <c r="AV139" s="7" t="s">
        <v>1996</v>
      </c>
      <c r="AW139" s="7" t="s">
        <v>1997</v>
      </c>
      <c r="AX139" s="7" t="s">
        <v>1998</v>
      </c>
      <c r="AY139" s="7" t="s">
        <v>1509</v>
      </c>
      <c r="BD139" s="188"/>
    </row>
    <row r="140" spans="1:56">
      <c r="A140" s="7" t="s">
        <v>33</v>
      </c>
      <c r="B140" s="7" t="s">
        <v>75</v>
      </c>
      <c r="C140" s="7" t="s">
        <v>76</v>
      </c>
      <c r="D140" s="7" t="s">
        <v>369</v>
      </c>
      <c r="E140" s="7" t="s">
        <v>370</v>
      </c>
      <c r="F140" s="7" t="s">
        <v>588</v>
      </c>
      <c r="G140" s="7" t="s">
        <v>1986</v>
      </c>
      <c r="H140" s="7" t="s">
        <v>4181</v>
      </c>
      <c r="I140" s="100">
        <f>7/1000</f>
        <v>7.0000000000000001E-3</v>
      </c>
      <c r="J140" s="100">
        <f t="shared" si="28"/>
        <v>7</v>
      </c>
      <c r="K140" s="100">
        <f t="shared" si="29"/>
        <v>0.84509804001425681</v>
      </c>
      <c r="L140" s="73" t="s">
        <v>1517</v>
      </c>
      <c r="M140" s="7" t="s">
        <v>1987</v>
      </c>
      <c r="N140" s="7" t="s">
        <v>1538</v>
      </c>
      <c r="O140" s="7" t="s">
        <v>1505</v>
      </c>
      <c r="P140" s="108" t="s">
        <v>1492</v>
      </c>
      <c r="Q140" s="7" t="s">
        <v>1988</v>
      </c>
      <c r="R140" s="7">
        <v>40.078366000000003</v>
      </c>
      <c r="S140" s="7">
        <f t="shared" si="27"/>
        <v>40.078366000000003</v>
      </c>
      <c r="T140" s="7">
        <v>-74.852509999999995</v>
      </c>
      <c r="U140" s="7">
        <v>1</v>
      </c>
      <c r="V140" s="7">
        <v>6</v>
      </c>
      <c r="W140" s="7">
        <f t="shared" si="30"/>
        <v>0.77815125038364363</v>
      </c>
      <c r="X140" s="7" t="s">
        <v>1779</v>
      </c>
      <c r="Y140" s="7" t="s">
        <v>1781</v>
      </c>
      <c r="Z140" s="7">
        <v>5</v>
      </c>
      <c r="AA140" s="7">
        <v>15</v>
      </c>
      <c r="AB140" s="7">
        <v>0.02</v>
      </c>
      <c r="AC140" s="7">
        <v>3.5000000000000001E-3</v>
      </c>
      <c r="AD140" s="7">
        <v>24</v>
      </c>
      <c r="AE140" s="7">
        <v>4.2000000000000003E-2</v>
      </c>
      <c r="AF140" s="7">
        <v>6.0000000000000001E-3</v>
      </c>
      <c r="AG140" s="7">
        <v>24</v>
      </c>
      <c r="AH140" s="7">
        <v>1.7999999999999999E-2</v>
      </c>
      <c r="AI140" s="7">
        <v>1.5E-3</v>
      </c>
      <c r="AJ140" s="7">
        <v>24</v>
      </c>
      <c r="AK140" s="7">
        <v>0.05</v>
      </c>
      <c r="AL140" s="7">
        <v>4.0000000000000001E-3</v>
      </c>
      <c r="AM140" s="7">
        <v>24</v>
      </c>
      <c r="AN140" s="7">
        <f t="shared" si="31"/>
        <v>2.1</v>
      </c>
      <c r="AO140" s="7">
        <f t="shared" si="32"/>
        <v>2.5</v>
      </c>
      <c r="AP140" s="7">
        <f t="shared" si="33"/>
        <v>1.5</v>
      </c>
      <c r="AQ140" s="7">
        <f t="shared" si="34"/>
        <v>0.17638069224327035</v>
      </c>
      <c r="AR140" s="7">
        <f t="shared" si="35"/>
        <v>-0.17638069224327035</v>
      </c>
      <c r="AS140" s="7">
        <f t="shared" si="36"/>
        <v>24</v>
      </c>
      <c r="AT140" s="184">
        <f t="shared" si="26"/>
        <v>4.4999999999999997E-3</v>
      </c>
      <c r="AU140" s="7"/>
      <c r="AV140" s="7" t="s">
        <v>1989</v>
      </c>
      <c r="AW140" s="7"/>
      <c r="AX140" s="7" t="s">
        <v>1987</v>
      </c>
      <c r="AY140" s="7" t="s">
        <v>1509</v>
      </c>
      <c r="BD140" s="188"/>
    </row>
    <row r="141" spans="1:56">
      <c r="A141" s="7" t="s">
        <v>33</v>
      </c>
      <c r="B141" s="7" t="s">
        <v>43</v>
      </c>
      <c r="C141" s="7" t="s">
        <v>44</v>
      </c>
      <c r="D141" s="7" t="s">
        <v>45</v>
      </c>
      <c r="E141" s="7" t="s">
        <v>1999</v>
      </c>
      <c r="F141" s="7" t="s">
        <v>950</v>
      </c>
      <c r="G141" s="7" t="s">
        <v>2000</v>
      </c>
      <c r="H141" s="7" t="s">
        <v>4184</v>
      </c>
      <c r="I141" s="100">
        <f>4.18/1000</f>
        <v>4.1799999999999997E-3</v>
      </c>
      <c r="J141" s="100">
        <f t="shared" si="28"/>
        <v>4.18</v>
      </c>
      <c r="K141" s="100">
        <f t="shared" si="29"/>
        <v>0.62117628177503514</v>
      </c>
      <c r="L141" s="73" t="s">
        <v>1517</v>
      </c>
      <c r="M141" s="7" t="s">
        <v>2001</v>
      </c>
      <c r="N141" s="7" t="s">
        <v>1640</v>
      </c>
      <c r="O141" s="7" t="s">
        <v>1505</v>
      </c>
      <c r="P141" s="108" t="s">
        <v>1492</v>
      </c>
      <c r="Q141" s="7" t="s">
        <v>2002</v>
      </c>
      <c r="R141" s="7">
        <v>33.299999999999997</v>
      </c>
      <c r="S141" s="7">
        <f t="shared" si="27"/>
        <v>33.299999999999997</v>
      </c>
      <c r="T141" s="7">
        <v>-111.83333</v>
      </c>
      <c r="U141" s="7">
        <v>1</v>
      </c>
      <c r="V141" s="7">
        <v>30</v>
      </c>
      <c r="W141" s="7">
        <f t="shared" si="30"/>
        <v>1.4771212547196624</v>
      </c>
      <c r="X141" s="7" t="s">
        <v>1779</v>
      </c>
      <c r="Y141" s="7" t="s">
        <v>1781</v>
      </c>
      <c r="Z141" s="7">
        <v>5</v>
      </c>
      <c r="AA141" s="7">
        <v>35</v>
      </c>
      <c r="AB141" s="7">
        <v>7.4999999999999997E-2</v>
      </c>
      <c r="AC141" s="7">
        <v>1E-3</v>
      </c>
      <c r="AD141" s="7">
        <v>10</v>
      </c>
      <c r="AE141" s="7">
        <v>0.18</v>
      </c>
      <c r="AF141" s="7">
        <v>1.5E-3</v>
      </c>
      <c r="AG141" s="7">
        <v>10</v>
      </c>
      <c r="AH141" s="7">
        <v>0.62</v>
      </c>
      <c r="AI141" s="7">
        <v>5.0000000000000001E-4</v>
      </c>
      <c r="AJ141" s="7">
        <v>10</v>
      </c>
      <c r="AK141" s="7">
        <v>0.17499999999999999</v>
      </c>
      <c r="AL141" s="7">
        <v>2E-3</v>
      </c>
      <c r="AM141" s="7">
        <v>10</v>
      </c>
      <c r="AN141" s="7">
        <f t="shared" si="31"/>
        <v>1.338865900164339</v>
      </c>
      <c r="AO141" s="7">
        <f t="shared" si="32"/>
        <v>1.3263524026321307</v>
      </c>
      <c r="AP141" s="7">
        <f t="shared" si="33"/>
        <v>0.32635240263213072</v>
      </c>
      <c r="AQ141" s="7">
        <f t="shared" si="34"/>
        <v>-0.48498446718723537</v>
      </c>
      <c r="AR141" s="7">
        <f t="shared" si="35"/>
        <v>0.48498446718723537</v>
      </c>
      <c r="AS141" s="7">
        <f t="shared" si="36"/>
        <v>10</v>
      </c>
      <c r="AT141" s="184">
        <f t="shared" si="26"/>
        <v>1.5000000000000002E-3</v>
      </c>
      <c r="AU141" s="7"/>
      <c r="AV141" s="7" t="s">
        <v>1907</v>
      </c>
      <c r="AW141" s="7"/>
      <c r="AX141" s="7" t="s">
        <v>2003</v>
      </c>
      <c r="AY141" s="7" t="s">
        <v>1509</v>
      </c>
      <c r="BD141" s="188"/>
    </row>
    <row r="142" spans="1:56">
      <c r="A142" s="7" t="s">
        <v>33</v>
      </c>
      <c r="B142" s="7" t="s">
        <v>43</v>
      </c>
      <c r="C142" s="7" t="s">
        <v>44</v>
      </c>
      <c r="D142" s="7" t="s">
        <v>2004</v>
      </c>
      <c r="E142" s="7" t="s">
        <v>2005</v>
      </c>
      <c r="F142" s="7" t="s">
        <v>2006</v>
      </c>
      <c r="G142" s="7" t="s">
        <v>2007</v>
      </c>
      <c r="H142" s="7" t="s">
        <v>4184</v>
      </c>
      <c r="I142" s="100">
        <f>4/1000</f>
        <v>4.0000000000000001E-3</v>
      </c>
      <c r="J142" s="100">
        <f t="shared" si="28"/>
        <v>4</v>
      </c>
      <c r="K142" s="100">
        <f t="shared" si="29"/>
        <v>0.6020599913279624</v>
      </c>
      <c r="L142" s="73" t="s">
        <v>1517</v>
      </c>
      <c r="M142" s="7" t="s">
        <v>2008</v>
      </c>
      <c r="N142" s="7" t="s">
        <v>1640</v>
      </c>
      <c r="O142" s="7" t="s">
        <v>1505</v>
      </c>
      <c r="P142" s="108" t="s">
        <v>1492</v>
      </c>
      <c r="Q142" s="7" t="s">
        <v>2009</v>
      </c>
      <c r="R142" s="7">
        <v>32.700000000000003</v>
      </c>
      <c r="S142" s="7">
        <f t="shared" si="27"/>
        <v>32.700000000000003</v>
      </c>
      <c r="T142" s="7">
        <v>-86.7</v>
      </c>
      <c r="U142" s="7">
        <v>1</v>
      </c>
      <c r="V142" s="7">
        <v>14</v>
      </c>
      <c r="W142" s="7">
        <f t="shared" si="30"/>
        <v>1.146128035678238</v>
      </c>
      <c r="X142" s="7" t="s">
        <v>1779</v>
      </c>
      <c r="Y142" s="7" t="s">
        <v>1781</v>
      </c>
      <c r="Z142" s="7">
        <v>10</v>
      </c>
      <c r="AA142" s="7">
        <v>30</v>
      </c>
      <c r="AB142" s="7">
        <v>2.9000000000000001E-2</v>
      </c>
      <c r="AC142" s="7">
        <v>2E-3</v>
      </c>
      <c r="AD142" s="7">
        <v>10</v>
      </c>
      <c r="AE142" s="7">
        <v>0.37</v>
      </c>
      <c r="AF142" s="7">
        <v>2.9000000000000001E-2</v>
      </c>
      <c r="AG142" s="7">
        <v>10</v>
      </c>
      <c r="AH142" s="7">
        <v>3.1E-2</v>
      </c>
      <c r="AI142" s="7">
        <v>2E-3</v>
      </c>
      <c r="AJ142" s="7">
        <v>10</v>
      </c>
      <c r="AK142" s="7">
        <v>0.27</v>
      </c>
      <c r="AL142" s="7">
        <v>2.1000000000000001E-2</v>
      </c>
      <c r="AM142" s="7">
        <v>10</v>
      </c>
      <c r="AN142" s="7">
        <f t="shared" si="31"/>
        <v>3.5719211482975335</v>
      </c>
      <c r="AO142" s="7">
        <f t="shared" si="32"/>
        <v>3.0512857662936468</v>
      </c>
      <c r="AP142" s="7">
        <f t="shared" si="33"/>
        <v>2.0512857662936468</v>
      </c>
      <c r="AQ142" s="7">
        <f t="shared" si="34"/>
        <v>0.3122378330886828</v>
      </c>
      <c r="AR142" s="7">
        <f t="shared" si="35"/>
        <v>-0.3122378330886828</v>
      </c>
      <c r="AS142" s="7">
        <f t="shared" si="36"/>
        <v>10</v>
      </c>
      <c r="AT142" s="184">
        <f t="shared" si="26"/>
        <v>1.7333333333333336E-2</v>
      </c>
      <c r="AU142" s="7"/>
      <c r="AV142" s="7" t="s">
        <v>2010</v>
      </c>
      <c r="AW142" s="7"/>
      <c r="AX142" s="107" t="s">
        <v>2011</v>
      </c>
      <c r="AY142" s="7" t="s">
        <v>1509</v>
      </c>
      <c r="BD142" s="188"/>
    </row>
    <row r="143" spans="1:56">
      <c r="A143" s="7" t="s">
        <v>33</v>
      </c>
      <c r="B143" s="7" t="s">
        <v>43</v>
      </c>
      <c r="C143" s="7" t="s">
        <v>44</v>
      </c>
      <c r="D143" s="7" t="s">
        <v>1990</v>
      </c>
      <c r="E143" s="7" t="s">
        <v>1991</v>
      </c>
      <c r="F143" s="7" t="s">
        <v>2012</v>
      </c>
      <c r="G143" s="7" t="s">
        <v>2013</v>
      </c>
      <c r="H143" s="7" t="s">
        <v>4184</v>
      </c>
      <c r="I143" s="100">
        <f>3.97/1000</f>
        <v>3.9700000000000004E-3</v>
      </c>
      <c r="J143" s="100">
        <f t="shared" si="28"/>
        <v>3.9700000000000006</v>
      </c>
      <c r="K143" s="100">
        <f t="shared" si="29"/>
        <v>0.59879050676311518</v>
      </c>
      <c r="L143" s="73" t="s">
        <v>1517</v>
      </c>
      <c r="M143" s="7" t="s">
        <v>2014</v>
      </c>
      <c r="N143" s="7" t="s">
        <v>1640</v>
      </c>
      <c r="O143" s="7" t="s">
        <v>1505</v>
      </c>
      <c r="P143" s="108" t="s">
        <v>1492</v>
      </c>
      <c r="Q143" s="7" t="s">
        <v>2009</v>
      </c>
      <c r="R143" s="7">
        <v>32.700000000000003</v>
      </c>
      <c r="S143" s="7">
        <f t="shared" si="27"/>
        <v>32.700000000000003</v>
      </c>
      <c r="T143" s="7">
        <v>-86.7</v>
      </c>
      <c r="U143" s="7">
        <v>1</v>
      </c>
      <c r="V143" s="7">
        <v>14</v>
      </c>
      <c r="W143" s="7">
        <f t="shared" si="30"/>
        <v>1.146128035678238</v>
      </c>
      <c r="X143" s="7" t="s">
        <v>1779</v>
      </c>
      <c r="Y143" s="7" t="s">
        <v>1781</v>
      </c>
      <c r="Z143" s="7">
        <v>10</v>
      </c>
      <c r="AA143" s="7">
        <v>30</v>
      </c>
      <c r="AB143" s="7">
        <v>5.1999999999999998E-2</v>
      </c>
      <c r="AC143" s="7">
        <v>3.0000000000000001E-3</v>
      </c>
      <c r="AD143" s="7">
        <v>10</v>
      </c>
      <c r="AE143" s="7">
        <v>0.49399999999999999</v>
      </c>
      <c r="AF143" s="7">
        <v>3.5999999999999997E-2</v>
      </c>
      <c r="AG143" s="7">
        <v>10</v>
      </c>
      <c r="AH143" s="7">
        <v>3.6999999999999998E-2</v>
      </c>
      <c r="AI143" s="7">
        <v>6.0000000000000001E-3</v>
      </c>
      <c r="AJ143" s="7">
        <v>10</v>
      </c>
      <c r="AK143" s="7">
        <v>0.434</v>
      </c>
      <c r="AL143" s="7">
        <v>2.3E-2</v>
      </c>
      <c r="AM143" s="7">
        <v>10</v>
      </c>
      <c r="AN143" s="7">
        <f t="shared" si="31"/>
        <v>3.082207001484488</v>
      </c>
      <c r="AO143" s="7">
        <f t="shared" si="32"/>
        <v>2.8889710704944496</v>
      </c>
      <c r="AP143" s="7">
        <f t="shared" si="33"/>
        <v>1.8889710704944496</v>
      </c>
      <c r="AQ143" s="7">
        <f t="shared" si="34"/>
        <v>0.27645515654320107</v>
      </c>
      <c r="AR143" s="7">
        <f t="shared" si="35"/>
        <v>-0.27645515654320107</v>
      </c>
      <c r="AS143" s="7">
        <f t="shared" si="36"/>
        <v>10</v>
      </c>
      <c r="AT143" s="184">
        <f t="shared" si="26"/>
        <v>2.0666666666666667E-2</v>
      </c>
      <c r="AU143" s="7"/>
      <c r="AV143" s="7" t="s">
        <v>2010</v>
      </c>
      <c r="AW143" s="7"/>
      <c r="AX143" s="107" t="s">
        <v>2011</v>
      </c>
      <c r="AY143" s="7" t="s">
        <v>1509</v>
      </c>
      <c r="BD143" s="188"/>
    </row>
    <row r="144" spans="1:56">
      <c r="A144" s="7" t="s">
        <v>33</v>
      </c>
      <c r="B144" s="7" t="s">
        <v>43</v>
      </c>
      <c r="C144" s="7" t="s">
        <v>44</v>
      </c>
      <c r="D144" s="7" t="s">
        <v>1902</v>
      </c>
      <c r="E144" s="7" t="s">
        <v>2015</v>
      </c>
      <c r="F144" s="7" t="s">
        <v>2016</v>
      </c>
      <c r="G144" s="7" t="s">
        <v>2017</v>
      </c>
      <c r="H144" s="7" t="s">
        <v>4184</v>
      </c>
      <c r="I144" s="100">
        <f>3.5/1000</f>
        <v>3.5000000000000001E-3</v>
      </c>
      <c r="J144" s="100">
        <f t="shared" si="28"/>
        <v>3.5</v>
      </c>
      <c r="K144" s="100">
        <f t="shared" si="29"/>
        <v>0.54406804435027567</v>
      </c>
      <c r="L144" s="73" t="s">
        <v>1517</v>
      </c>
      <c r="M144" s="7" t="s">
        <v>2018</v>
      </c>
      <c r="N144" s="7" t="s">
        <v>1640</v>
      </c>
      <c r="O144" s="7" t="s">
        <v>1505</v>
      </c>
      <c r="P144" s="108" t="s">
        <v>1539</v>
      </c>
      <c r="Q144" s="7" t="s">
        <v>2019</v>
      </c>
      <c r="R144" s="7">
        <v>50.878999999999998</v>
      </c>
      <c r="S144" s="7">
        <f t="shared" si="27"/>
        <v>50.878999999999998</v>
      </c>
      <c r="T144" s="7">
        <v>-1.633</v>
      </c>
      <c r="U144" s="7">
        <v>1</v>
      </c>
      <c r="V144" s="7">
        <v>16</v>
      </c>
      <c r="W144" s="7">
        <f t="shared" si="30"/>
        <v>1.2041199826559248</v>
      </c>
      <c r="X144" s="7" t="s">
        <v>1779</v>
      </c>
      <c r="Y144" s="7" t="s">
        <v>1781</v>
      </c>
      <c r="Z144" s="7">
        <v>10</v>
      </c>
      <c r="AA144" s="7">
        <v>30</v>
      </c>
      <c r="AB144" s="7">
        <v>0.1237</v>
      </c>
      <c r="AC144" s="7">
        <v>1.7600000000000001E-2</v>
      </c>
      <c r="AD144" s="7">
        <v>8</v>
      </c>
      <c r="AE144" s="7">
        <v>0.45500000000000002</v>
      </c>
      <c r="AF144" s="7">
        <v>1.3100000000000001E-2</v>
      </c>
      <c r="AG144" s="7">
        <v>10</v>
      </c>
      <c r="AH144" s="7">
        <v>6.8699999999999997E-2</v>
      </c>
      <c r="AI144" s="7">
        <v>4.4999999999999997E-3</v>
      </c>
      <c r="AJ144" s="7">
        <v>5</v>
      </c>
      <c r="AK144" s="7">
        <v>0.31259999999999999</v>
      </c>
      <c r="AL144" s="7">
        <v>2.92E-2</v>
      </c>
      <c r="AM144" s="7">
        <v>5</v>
      </c>
      <c r="AN144" s="7">
        <f t="shared" si="31"/>
        <v>1.9178774308947188</v>
      </c>
      <c r="AO144" s="7">
        <f t="shared" si="32"/>
        <v>1.5896797316287239</v>
      </c>
      <c r="AP144" s="7">
        <f t="shared" si="33"/>
        <v>0.58967973162872389</v>
      </c>
      <c r="AQ144" s="7">
        <f t="shared" si="34"/>
        <v>-0.22864793111076948</v>
      </c>
      <c r="AR144" s="7">
        <f t="shared" si="35"/>
        <v>0.22864793111076948</v>
      </c>
      <c r="AS144" s="7">
        <f t="shared" si="36"/>
        <v>7.666666666666667</v>
      </c>
      <c r="AT144" s="184">
        <f t="shared" si="26"/>
        <v>1.9966666666666667E-2</v>
      </c>
      <c r="AU144" s="7"/>
      <c r="AV144" s="7" t="s">
        <v>1907</v>
      </c>
      <c r="AW144" s="7"/>
      <c r="AX144" s="7" t="s">
        <v>1908</v>
      </c>
      <c r="AY144" s="7" t="s">
        <v>1509</v>
      </c>
      <c r="BD144" s="188"/>
    </row>
    <row r="145" spans="1:56">
      <c r="A145" s="7" t="s">
        <v>33</v>
      </c>
      <c r="B145" s="7" t="s">
        <v>43</v>
      </c>
      <c r="C145" s="7" t="s">
        <v>44</v>
      </c>
      <c r="D145" s="7" t="s">
        <v>202</v>
      </c>
      <c r="E145" s="7" t="s">
        <v>2015</v>
      </c>
      <c r="F145" s="7" t="s">
        <v>2016</v>
      </c>
      <c r="G145" s="7" t="s">
        <v>2017</v>
      </c>
      <c r="H145" s="7" t="s">
        <v>4184</v>
      </c>
      <c r="I145" s="100">
        <f>3.5/1000</f>
        <v>3.5000000000000001E-3</v>
      </c>
      <c r="J145" s="100">
        <f t="shared" si="28"/>
        <v>3.5</v>
      </c>
      <c r="K145" s="100">
        <f t="shared" si="29"/>
        <v>0.54406804435027567</v>
      </c>
      <c r="L145" s="73" t="s">
        <v>1517</v>
      </c>
      <c r="M145" s="7" t="s">
        <v>2018</v>
      </c>
      <c r="N145" s="7" t="s">
        <v>1640</v>
      </c>
      <c r="O145" s="7" t="s">
        <v>1505</v>
      </c>
      <c r="P145" s="108" t="s">
        <v>1492</v>
      </c>
      <c r="Q145" s="7" t="s">
        <v>2019</v>
      </c>
      <c r="R145" s="7">
        <v>50.878999999999998</v>
      </c>
      <c r="S145" s="7">
        <f t="shared" si="27"/>
        <v>50.878999999999998</v>
      </c>
      <c r="T145" s="7">
        <v>-1.633</v>
      </c>
      <c r="U145" s="7">
        <v>1</v>
      </c>
      <c r="V145" s="7">
        <v>15</v>
      </c>
      <c r="W145" s="7">
        <f t="shared" si="30"/>
        <v>1.1760912590556813</v>
      </c>
      <c r="X145" s="7" t="s">
        <v>1779</v>
      </c>
      <c r="Y145" s="7" t="s">
        <v>1781</v>
      </c>
      <c r="Z145" s="7">
        <v>10</v>
      </c>
      <c r="AA145" s="7">
        <v>30</v>
      </c>
      <c r="AB145" s="7">
        <v>8.5099999999999995E-2</v>
      </c>
      <c r="AC145" s="7">
        <v>6.1999999999999998E-3</v>
      </c>
      <c r="AD145" s="7">
        <v>10</v>
      </c>
      <c r="AE145" s="7">
        <v>0.3241</v>
      </c>
      <c r="AF145" s="7">
        <v>1.7299999999999999E-2</v>
      </c>
      <c r="AG145" s="7">
        <v>10</v>
      </c>
      <c r="AH145" s="7">
        <v>5.3999999999999999E-2</v>
      </c>
      <c r="AI145" s="7">
        <v>3.5000000000000001E-3</v>
      </c>
      <c r="AJ145" s="7">
        <v>10</v>
      </c>
      <c r="AK145" s="7">
        <v>0.22370000000000001</v>
      </c>
      <c r="AL145" s="7">
        <v>1.0699999999999999E-2</v>
      </c>
      <c r="AM145" s="7">
        <v>10</v>
      </c>
      <c r="AN145" s="7">
        <f t="shared" si="31"/>
        <v>1.9515277693508721</v>
      </c>
      <c r="AO145" s="7">
        <f t="shared" si="32"/>
        <v>1.6213180287689646</v>
      </c>
      <c r="AP145" s="7">
        <f t="shared" si="33"/>
        <v>0.62131802876896458</v>
      </c>
      <c r="AQ145" s="7">
        <f t="shared" si="34"/>
        <v>-0.20598761717162814</v>
      </c>
      <c r="AR145" s="7">
        <f t="shared" si="35"/>
        <v>0.20598761717162814</v>
      </c>
      <c r="AS145" s="7">
        <f t="shared" si="36"/>
        <v>10</v>
      </c>
      <c r="AT145" s="184">
        <f t="shared" si="26"/>
        <v>1.14E-2</v>
      </c>
      <c r="AU145" s="7"/>
      <c r="AV145" s="7" t="s">
        <v>1907</v>
      </c>
      <c r="AW145" s="7"/>
      <c r="AX145" s="7" t="s">
        <v>1908</v>
      </c>
      <c r="AY145" s="7" t="s">
        <v>1509</v>
      </c>
      <c r="BD145" s="188"/>
    </row>
    <row r="146" spans="1:56">
      <c r="A146" s="7" t="s">
        <v>33</v>
      </c>
      <c r="B146" s="7" t="s">
        <v>34</v>
      </c>
      <c r="C146" s="7" t="s">
        <v>282</v>
      </c>
      <c r="D146" s="7" t="s">
        <v>1954</v>
      </c>
      <c r="E146" s="7" t="s">
        <v>2020</v>
      </c>
      <c r="F146" s="7" t="s">
        <v>2021</v>
      </c>
      <c r="G146" s="7" t="s">
        <v>2022</v>
      </c>
      <c r="H146" s="7" t="s">
        <v>4180</v>
      </c>
      <c r="I146" s="100">
        <f>3.34/1000</f>
        <v>3.3399999999999997E-3</v>
      </c>
      <c r="J146" s="100">
        <f t="shared" si="28"/>
        <v>3.34</v>
      </c>
      <c r="K146" s="100">
        <f t="shared" si="29"/>
        <v>0.52374646681156445</v>
      </c>
      <c r="L146" s="73" t="s">
        <v>1517</v>
      </c>
      <c r="M146" s="7" t="s">
        <v>2023</v>
      </c>
      <c r="N146" s="7" t="s">
        <v>1504</v>
      </c>
      <c r="O146" s="7" t="s">
        <v>1505</v>
      </c>
      <c r="P146" s="108" t="s">
        <v>1492</v>
      </c>
      <c r="Q146" s="7" t="s">
        <v>2024</v>
      </c>
      <c r="R146" s="7">
        <v>14.65</v>
      </c>
      <c r="S146" s="7">
        <f t="shared" si="27"/>
        <v>14.65</v>
      </c>
      <c r="T146" s="7">
        <v>145.44999999999999</v>
      </c>
      <c r="U146" s="7">
        <v>1</v>
      </c>
      <c r="V146" s="7">
        <v>22</v>
      </c>
      <c r="W146" s="7">
        <f t="shared" si="30"/>
        <v>1.3424226808222062</v>
      </c>
      <c r="X146" s="7" t="s">
        <v>1779</v>
      </c>
      <c r="Y146" s="7" t="s">
        <v>1781</v>
      </c>
      <c r="Z146" s="7">
        <v>29</v>
      </c>
      <c r="AA146" s="7">
        <v>32</v>
      </c>
      <c r="AB146" s="7">
        <v>0.28299999999999997</v>
      </c>
      <c r="AC146" s="7">
        <v>5.6000000000000001E-2</v>
      </c>
      <c r="AD146" s="7">
        <v>12</v>
      </c>
      <c r="AE146" s="108">
        <v>0.39800000000000002</v>
      </c>
      <c r="AF146" s="108">
        <v>8.5000000000000006E-2</v>
      </c>
      <c r="AG146" s="108">
        <v>12</v>
      </c>
      <c r="AH146" s="7"/>
      <c r="AI146" s="7"/>
      <c r="AJ146" s="7"/>
      <c r="AK146" s="108">
        <v>0.35</v>
      </c>
      <c r="AL146" s="108">
        <v>0.06</v>
      </c>
      <c r="AM146" s="108">
        <v>9</v>
      </c>
      <c r="AN146" s="7">
        <f t="shared" si="31"/>
        <v>3.1164162136204276</v>
      </c>
      <c r="AO146" s="7">
        <f t="shared" si="32"/>
        <v>2.0305110757102791</v>
      </c>
      <c r="AP146" s="7">
        <f t="shared" si="33"/>
        <v>1.0305110757102791</v>
      </c>
      <c r="AQ146" s="7">
        <f t="shared" si="34"/>
        <v>1.3473895512304867E-2</v>
      </c>
      <c r="AR146" s="7">
        <f t="shared" si="35"/>
        <v>-1.3473895512304867E-2</v>
      </c>
      <c r="AS146" s="7">
        <f t="shared" si="36"/>
        <v>11</v>
      </c>
      <c r="AT146" s="184">
        <f t="shared" si="26"/>
        <v>6.7000000000000004E-2</v>
      </c>
      <c r="AU146" s="108"/>
      <c r="AV146" s="7"/>
      <c r="AW146" s="7"/>
      <c r="AX146" s="7" t="s">
        <v>2025</v>
      </c>
      <c r="AY146" s="7" t="s">
        <v>1509</v>
      </c>
      <c r="BD146" s="188"/>
    </row>
    <row r="147" spans="1:56">
      <c r="A147" s="7" t="s">
        <v>33</v>
      </c>
      <c r="B147" s="7" t="s">
        <v>75</v>
      </c>
      <c r="C147" s="7" t="s">
        <v>348</v>
      </c>
      <c r="D147" s="7" t="s">
        <v>622</v>
      </c>
      <c r="E147" s="7" t="s">
        <v>683</v>
      </c>
      <c r="F147" s="7" t="s">
        <v>682</v>
      </c>
      <c r="G147" s="7" t="s">
        <v>2026</v>
      </c>
      <c r="H147" s="7" t="s">
        <v>4181</v>
      </c>
      <c r="I147" s="100">
        <f>AVERAGE(2.82, 3.1, 3.34)/1000</f>
        <v>3.0866666666666664E-3</v>
      </c>
      <c r="J147" s="100">
        <f t="shared" si="28"/>
        <v>3.0866666666666664</v>
      </c>
      <c r="K147" s="100">
        <f t="shared" si="29"/>
        <v>0.48948973196227186</v>
      </c>
      <c r="L147" s="73" t="s">
        <v>1517</v>
      </c>
      <c r="M147" s="7" t="s">
        <v>2027</v>
      </c>
      <c r="N147" s="7" t="s">
        <v>1538</v>
      </c>
      <c r="O147" s="7" t="s">
        <v>1494</v>
      </c>
      <c r="P147" s="108" t="s">
        <v>1492</v>
      </c>
      <c r="Q147" s="7" t="s">
        <v>2028</v>
      </c>
      <c r="R147" s="7">
        <v>36.200000000000003</v>
      </c>
      <c r="S147" s="7">
        <f t="shared" si="27"/>
        <v>36.200000000000003</v>
      </c>
      <c r="T147" s="7">
        <v>86.75</v>
      </c>
      <c r="U147" s="7">
        <v>1</v>
      </c>
      <c r="V147" s="7">
        <v>84</v>
      </c>
      <c r="W147" s="7">
        <f t="shared" si="30"/>
        <v>1.9242792860618816</v>
      </c>
      <c r="X147" s="7" t="s">
        <v>1779</v>
      </c>
      <c r="Y147" s="7" t="s">
        <v>2029</v>
      </c>
      <c r="Z147" s="7">
        <v>8</v>
      </c>
      <c r="AA147" s="7">
        <v>26</v>
      </c>
      <c r="AB147" s="108">
        <v>2.7232142857142856</v>
      </c>
      <c r="AC147" s="108">
        <v>0.26785714285714285</v>
      </c>
      <c r="AD147" s="108">
        <v>10</v>
      </c>
      <c r="AE147" s="108">
        <v>6.2053571428571432</v>
      </c>
      <c r="AF147" s="108">
        <v>0.26785714285714285</v>
      </c>
      <c r="AG147" s="108">
        <v>10</v>
      </c>
      <c r="AH147" s="108">
        <v>1.4732142857142858</v>
      </c>
      <c r="AI147" s="108">
        <v>0.26785714285714285</v>
      </c>
      <c r="AJ147" s="108">
        <v>10</v>
      </c>
      <c r="AK147" s="108">
        <v>4.6428571428571432</v>
      </c>
      <c r="AL147" s="108">
        <v>0.3125</v>
      </c>
      <c r="AM147" s="108">
        <v>10</v>
      </c>
      <c r="AN147" s="7">
        <f t="shared" si="31"/>
        <v>1.5802065934910383</v>
      </c>
      <c r="AO147" s="7">
        <f t="shared" si="32"/>
        <v>1.345005836917547</v>
      </c>
      <c r="AP147" s="7">
        <f t="shared" si="33"/>
        <v>0.34500583691754705</v>
      </c>
      <c r="AQ147" s="7">
        <f t="shared" si="34"/>
        <v>-0.46091657484970777</v>
      </c>
      <c r="AR147" s="7">
        <f t="shared" si="35"/>
        <v>0.46091657484970777</v>
      </c>
      <c r="AS147" s="7">
        <f t="shared" si="36"/>
        <v>10</v>
      </c>
      <c r="AT147" s="184">
        <f t="shared" si="26"/>
        <v>0.28273809523809523</v>
      </c>
      <c r="AU147" s="108"/>
      <c r="AV147" s="7" t="s">
        <v>2030</v>
      </c>
      <c r="AW147" s="7"/>
      <c r="AX147" s="7" t="s">
        <v>2027</v>
      </c>
      <c r="AY147" s="7" t="s">
        <v>1509</v>
      </c>
      <c r="BD147" s="188"/>
    </row>
    <row r="148" spans="1:56">
      <c r="A148" s="7" t="s">
        <v>1876</v>
      </c>
      <c r="B148" s="7" t="s">
        <v>1919</v>
      </c>
      <c r="C148" s="7" t="s">
        <v>1878</v>
      </c>
      <c r="D148" s="7" t="s">
        <v>1920</v>
      </c>
      <c r="E148" s="7" t="s">
        <v>1921</v>
      </c>
      <c r="F148" s="7" t="s">
        <v>2031</v>
      </c>
      <c r="G148" s="7" t="s">
        <v>2032</v>
      </c>
      <c r="H148" s="7" t="s">
        <v>4186</v>
      </c>
      <c r="I148" s="100">
        <f>AVERAGE(2.25, 2.45, 4.33)/1000</f>
        <v>3.0100000000000001E-3</v>
      </c>
      <c r="J148" s="100">
        <f t="shared" si="28"/>
        <v>3.0100000000000002</v>
      </c>
      <c r="K148" s="100">
        <f t="shared" si="29"/>
        <v>0.4785664955938434</v>
      </c>
      <c r="L148" s="73" t="s">
        <v>1517</v>
      </c>
      <c r="M148" s="7" t="s">
        <v>2033</v>
      </c>
      <c r="N148" s="7" t="s">
        <v>1504</v>
      </c>
      <c r="O148" s="7" t="s">
        <v>1505</v>
      </c>
      <c r="P148" s="108" t="s">
        <v>1492</v>
      </c>
      <c r="Q148" s="7" t="s">
        <v>2034</v>
      </c>
      <c r="R148" s="7">
        <v>44.604444000000001</v>
      </c>
      <c r="S148" s="7">
        <f t="shared" si="27"/>
        <v>44.604444000000001</v>
      </c>
      <c r="T148" s="7">
        <v>-124.054722</v>
      </c>
      <c r="U148" s="7">
        <v>1</v>
      </c>
      <c r="V148" s="7">
        <v>30</v>
      </c>
      <c r="W148" s="7">
        <f t="shared" si="30"/>
        <v>1.4771212547196624</v>
      </c>
      <c r="X148" s="7" t="s">
        <v>1779</v>
      </c>
      <c r="Y148" s="7" t="s">
        <v>1781</v>
      </c>
      <c r="Z148" s="7">
        <v>9</v>
      </c>
      <c r="AA148" s="7">
        <v>18</v>
      </c>
      <c r="AB148" s="7">
        <v>95</v>
      </c>
      <c r="AC148" s="7">
        <v>10</v>
      </c>
      <c r="AD148" s="7">
        <v>10</v>
      </c>
      <c r="AE148" s="7">
        <v>250</v>
      </c>
      <c r="AF148" s="7">
        <v>40</v>
      </c>
      <c r="AG148" s="7">
        <v>10</v>
      </c>
      <c r="AH148" s="7">
        <v>90</v>
      </c>
      <c r="AI148" s="7">
        <v>10</v>
      </c>
      <c r="AJ148" s="7">
        <v>6</v>
      </c>
      <c r="AK148" s="7">
        <v>240</v>
      </c>
      <c r="AL148" s="7">
        <v>40</v>
      </c>
      <c r="AM148" s="7">
        <v>6</v>
      </c>
      <c r="AN148" s="7">
        <f t="shared" si="31"/>
        <v>2.9302664648041112</v>
      </c>
      <c r="AO148" s="7">
        <f t="shared" si="32"/>
        <v>2.8003253050950652</v>
      </c>
      <c r="AP148" s="7">
        <f t="shared" si="33"/>
        <v>1.8003253050950652</v>
      </c>
      <c r="AQ148" s="7">
        <f t="shared" si="34"/>
        <v>0.25559215004890068</v>
      </c>
      <c r="AR148" s="7">
        <f t="shared" si="35"/>
        <v>-0.25559215004890068</v>
      </c>
      <c r="AS148" s="7">
        <f t="shared" si="36"/>
        <v>8.6666666666666661</v>
      </c>
      <c r="AT148" s="184">
        <f t="shared" si="26"/>
        <v>30</v>
      </c>
      <c r="AU148" s="7"/>
      <c r="AV148" s="7" t="s">
        <v>1796</v>
      </c>
      <c r="AW148" s="7" t="s">
        <v>2035</v>
      </c>
      <c r="AX148" s="7" t="s">
        <v>2036</v>
      </c>
      <c r="AY148" s="7" t="s">
        <v>1509</v>
      </c>
      <c r="BD148" s="188"/>
    </row>
    <row r="149" spans="1:56">
      <c r="A149" s="7" t="s">
        <v>33</v>
      </c>
      <c r="B149" s="7" t="s">
        <v>75</v>
      </c>
      <c r="C149" s="7" t="s">
        <v>348</v>
      </c>
      <c r="D149" s="7" t="s">
        <v>349</v>
      </c>
      <c r="E149" s="7" t="s">
        <v>350</v>
      </c>
      <c r="F149" s="7" t="s">
        <v>351</v>
      </c>
      <c r="G149" s="7" t="s">
        <v>1848</v>
      </c>
      <c r="H149" s="7" t="s">
        <v>4181</v>
      </c>
      <c r="I149" s="100">
        <f>0.00207</f>
        <v>2.0699999999999998E-3</v>
      </c>
      <c r="J149" s="100">
        <f t="shared" si="28"/>
        <v>2.0699999999999998</v>
      </c>
      <c r="K149" s="100">
        <f t="shared" si="29"/>
        <v>0.31597034545691771</v>
      </c>
      <c r="L149" s="73" t="s">
        <v>1517</v>
      </c>
      <c r="M149" s="7" t="s">
        <v>1849</v>
      </c>
      <c r="N149" s="7" t="s">
        <v>1640</v>
      </c>
      <c r="O149" s="7" t="s">
        <v>1505</v>
      </c>
      <c r="P149" s="108" t="s">
        <v>1492</v>
      </c>
      <c r="Q149" s="7" t="s">
        <v>1850</v>
      </c>
      <c r="R149" s="7">
        <v>40.5</v>
      </c>
      <c r="S149" s="7">
        <f t="shared" si="27"/>
        <v>40.5</v>
      </c>
      <c r="T149" s="7">
        <v>-82.5</v>
      </c>
      <c r="U149" s="7">
        <v>1</v>
      </c>
      <c r="V149" s="7">
        <v>21</v>
      </c>
      <c r="W149" s="7">
        <f t="shared" si="30"/>
        <v>1.3222192947339193</v>
      </c>
      <c r="X149" s="7" t="s">
        <v>1779</v>
      </c>
      <c r="Y149" s="7" t="s">
        <v>1781</v>
      </c>
      <c r="Z149" s="7">
        <v>5</v>
      </c>
      <c r="AA149" s="7">
        <v>10</v>
      </c>
      <c r="AB149" s="7">
        <v>16.91</v>
      </c>
      <c r="AC149" s="7">
        <v>1.37</v>
      </c>
      <c r="AD149" s="7">
        <v>28</v>
      </c>
      <c r="AE149" s="7">
        <v>22.49</v>
      </c>
      <c r="AF149" s="7">
        <v>0.9</v>
      </c>
      <c r="AG149" s="7">
        <v>28</v>
      </c>
      <c r="AH149" s="7">
        <v>24.59</v>
      </c>
      <c r="AI149" s="7">
        <v>1.33</v>
      </c>
      <c r="AJ149" s="7">
        <v>43</v>
      </c>
      <c r="AK149" s="7">
        <v>31.42</v>
      </c>
      <c r="AL149" s="7">
        <v>1.5</v>
      </c>
      <c r="AM149" s="7">
        <v>33</v>
      </c>
      <c r="AN149" s="7">
        <f t="shared" si="31"/>
        <v>1.7688528093035065</v>
      </c>
      <c r="AO149" s="7">
        <f t="shared" si="32"/>
        <v>3.452432102189174</v>
      </c>
      <c r="AP149" s="7">
        <f t="shared" si="33"/>
        <v>2.452432102189174</v>
      </c>
      <c r="AQ149" s="7">
        <f t="shared" si="34"/>
        <v>0.38977404354676876</v>
      </c>
      <c r="AR149" s="7">
        <f t="shared" si="35"/>
        <v>-0.38977404354676876</v>
      </c>
      <c r="AS149" s="7">
        <f t="shared" si="36"/>
        <v>29.666666666666668</v>
      </c>
      <c r="AT149" s="184">
        <f t="shared" si="26"/>
        <v>1.2566666666666666</v>
      </c>
      <c r="AU149" s="7"/>
      <c r="AV149" s="7" t="s">
        <v>1796</v>
      </c>
      <c r="AW149" s="7"/>
      <c r="AX149" s="7" t="s">
        <v>1849</v>
      </c>
      <c r="AY149" s="7" t="s">
        <v>1509</v>
      </c>
      <c r="BD149" s="188"/>
    </row>
    <row r="150" spans="1:56">
      <c r="A150" s="7" t="s">
        <v>33</v>
      </c>
      <c r="B150" s="7" t="s">
        <v>75</v>
      </c>
      <c r="C150" s="7" t="s">
        <v>348</v>
      </c>
      <c r="D150" s="7" t="s">
        <v>349</v>
      </c>
      <c r="E150" s="7" t="s">
        <v>350</v>
      </c>
      <c r="F150" s="7" t="s">
        <v>351</v>
      </c>
      <c r="G150" s="7" t="s">
        <v>1848</v>
      </c>
      <c r="H150" s="7" t="s">
        <v>4181</v>
      </c>
      <c r="I150" s="100">
        <f>0.00192</f>
        <v>1.92E-3</v>
      </c>
      <c r="J150" s="100">
        <f t="shared" si="28"/>
        <v>1.9200000000000002</v>
      </c>
      <c r="K150" s="100">
        <f t="shared" si="29"/>
        <v>0.28330122870354962</v>
      </c>
      <c r="L150" s="73" t="s">
        <v>1517</v>
      </c>
      <c r="M150" s="7" t="s">
        <v>1849</v>
      </c>
      <c r="N150" s="7" t="s">
        <v>1640</v>
      </c>
      <c r="O150" s="7" t="s">
        <v>1505</v>
      </c>
      <c r="P150" s="108" t="s">
        <v>1492</v>
      </c>
      <c r="Q150" s="7" t="s">
        <v>1850</v>
      </c>
      <c r="R150" s="7">
        <v>40.5</v>
      </c>
      <c r="S150" s="7">
        <f t="shared" si="27"/>
        <v>40.5</v>
      </c>
      <c r="T150" s="7">
        <v>-82.5</v>
      </c>
      <c r="U150" s="7">
        <v>1</v>
      </c>
      <c r="V150" s="7">
        <v>21</v>
      </c>
      <c r="W150" s="7">
        <f t="shared" si="30"/>
        <v>1.3222192947339193</v>
      </c>
      <c r="X150" s="7" t="s">
        <v>1779</v>
      </c>
      <c r="Y150" s="7" t="s">
        <v>1781</v>
      </c>
      <c r="Z150" s="7">
        <v>5</v>
      </c>
      <c r="AA150" s="7">
        <v>20</v>
      </c>
      <c r="AB150" s="7">
        <v>16.91</v>
      </c>
      <c r="AC150" s="7">
        <v>1.37</v>
      </c>
      <c r="AD150" s="7">
        <v>28</v>
      </c>
      <c r="AE150" s="7">
        <v>57.31</v>
      </c>
      <c r="AF150" s="7">
        <v>1.3</v>
      </c>
      <c r="AG150" s="7">
        <v>25</v>
      </c>
      <c r="AH150" s="7">
        <v>20.79</v>
      </c>
      <c r="AI150" s="7">
        <v>1.1000000000000001</v>
      </c>
      <c r="AJ150" s="7">
        <v>28</v>
      </c>
      <c r="AK150" s="7">
        <v>50.71</v>
      </c>
      <c r="AL150" s="7">
        <v>1.83</v>
      </c>
      <c r="AM150" s="7">
        <v>29</v>
      </c>
      <c r="AN150" s="7">
        <f t="shared" si="31"/>
        <v>2.2562706838975246</v>
      </c>
      <c r="AO150" s="7">
        <f t="shared" si="32"/>
        <v>2.0795370800270589</v>
      </c>
      <c r="AP150" s="7">
        <f t="shared" si="33"/>
        <v>1.0795370800270589</v>
      </c>
      <c r="AQ150" s="7">
        <f t="shared" si="34"/>
        <v>3.3639674851678937E-2</v>
      </c>
      <c r="AR150" s="7">
        <f t="shared" si="35"/>
        <v>-3.3639674851678937E-2</v>
      </c>
      <c r="AS150" s="7">
        <f t="shared" si="36"/>
        <v>27.333333333333332</v>
      </c>
      <c r="AT150" s="184">
        <f t="shared" si="26"/>
        <v>1.5</v>
      </c>
      <c r="AU150" s="7"/>
      <c r="AV150" s="7" t="s">
        <v>1796</v>
      </c>
      <c r="AW150" s="7"/>
      <c r="AX150" s="7" t="s">
        <v>1849</v>
      </c>
      <c r="AY150" s="7" t="s">
        <v>1509</v>
      </c>
      <c r="BD150" s="188"/>
    </row>
    <row r="151" spans="1:56">
      <c r="A151" s="7" t="s">
        <v>33</v>
      </c>
      <c r="B151" s="7" t="s">
        <v>75</v>
      </c>
      <c r="C151" s="7" t="s">
        <v>348</v>
      </c>
      <c r="D151" s="7" t="s">
        <v>349</v>
      </c>
      <c r="E151" s="7" t="s">
        <v>350</v>
      </c>
      <c r="F151" s="7" t="s">
        <v>351</v>
      </c>
      <c r="G151" s="7" t="s">
        <v>1848</v>
      </c>
      <c r="H151" s="7" t="s">
        <v>4181</v>
      </c>
      <c r="I151" s="100">
        <v>1.8966666666666665E-3</v>
      </c>
      <c r="J151" s="100">
        <f t="shared" si="28"/>
        <v>1.8966666666666665</v>
      </c>
      <c r="K151" s="100">
        <f t="shared" si="29"/>
        <v>0.27799101167540868</v>
      </c>
      <c r="L151" s="73" t="s">
        <v>1517</v>
      </c>
      <c r="M151" s="7" t="s">
        <v>1849</v>
      </c>
      <c r="N151" s="7" t="s">
        <v>1640</v>
      </c>
      <c r="O151" s="7" t="s">
        <v>1505</v>
      </c>
      <c r="P151" s="108" t="s">
        <v>1492</v>
      </c>
      <c r="Q151" s="7" t="s">
        <v>1850</v>
      </c>
      <c r="R151" s="7">
        <v>40.5</v>
      </c>
      <c r="S151" s="7">
        <f t="shared" si="27"/>
        <v>40.5</v>
      </c>
      <c r="T151" s="7">
        <v>-82.5</v>
      </c>
      <c r="U151" s="7">
        <v>1</v>
      </c>
      <c r="V151" s="7">
        <v>21</v>
      </c>
      <c r="W151" s="7">
        <f t="shared" si="30"/>
        <v>1.3222192947339193</v>
      </c>
      <c r="X151" s="7" t="s">
        <v>1779</v>
      </c>
      <c r="Y151" s="7" t="s">
        <v>1781</v>
      </c>
      <c r="Z151" s="7">
        <v>15</v>
      </c>
      <c r="AA151" s="7">
        <v>20</v>
      </c>
      <c r="AB151" s="7">
        <v>34.380000000000003</v>
      </c>
      <c r="AC151" s="7">
        <v>1.3</v>
      </c>
      <c r="AD151" s="7">
        <v>29</v>
      </c>
      <c r="AE151" s="7">
        <v>60.57</v>
      </c>
      <c r="AF151" s="7">
        <v>2.7</v>
      </c>
      <c r="AG151" s="7">
        <v>23</v>
      </c>
      <c r="AH151" s="7">
        <v>22.39</v>
      </c>
      <c r="AI151" s="7">
        <v>1.5</v>
      </c>
      <c r="AJ151" s="7">
        <v>23</v>
      </c>
      <c r="AK151" s="7">
        <v>50.71</v>
      </c>
      <c r="AL151" s="7">
        <v>1.83</v>
      </c>
      <c r="AM151" s="7">
        <v>29</v>
      </c>
      <c r="AN151" s="7">
        <f t="shared" si="31"/>
        <v>3.1038691373591729</v>
      </c>
      <c r="AO151" s="7">
        <f t="shared" si="32"/>
        <v>2.1755820973610143</v>
      </c>
      <c r="AP151" s="7">
        <f t="shared" si="33"/>
        <v>1.1755820973610143</v>
      </c>
      <c r="AQ151" s="7">
        <f t="shared" si="34"/>
        <v>7.0622235963314198E-2</v>
      </c>
      <c r="AR151" s="7">
        <f t="shared" si="35"/>
        <v>-7.0622235963314198E-2</v>
      </c>
      <c r="AS151" s="7">
        <f t="shared" si="36"/>
        <v>27</v>
      </c>
      <c r="AT151" s="184">
        <f t="shared" si="26"/>
        <v>1.9433333333333334</v>
      </c>
      <c r="AU151" s="7"/>
      <c r="AV151" s="7" t="s">
        <v>1796</v>
      </c>
      <c r="AW151" s="7"/>
      <c r="AX151" s="7" t="s">
        <v>1849</v>
      </c>
      <c r="AY151" s="7" t="s">
        <v>1509</v>
      </c>
      <c r="BD151" s="188"/>
    </row>
    <row r="152" spans="1:56">
      <c r="A152" s="7" t="s">
        <v>33</v>
      </c>
      <c r="B152" s="7" t="s">
        <v>75</v>
      </c>
      <c r="C152" s="7" t="s">
        <v>348</v>
      </c>
      <c r="D152" s="7" t="s">
        <v>349</v>
      </c>
      <c r="E152" s="7" t="s">
        <v>350</v>
      </c>
      <c r="F152" s="7" t="s">
        <v>351</v>
      </c>
      <c r="G152" s="7" t="s">
        <v>1848</v>
      </c>
      <c r="H152" s="7" t="s">
        <v>4181</v>
      </c>
      <c r="I152" s="100">
        <v>1.6999999999999999E-3</v>
      </c>
      <c r="J152" s="100">
        <f t="shared" si="28"/>
        <v>1.7</v>
      </c>
      <c r="K152" s="100">
        <f t="shared" si="29"/>
        <v>0.23044892137827391</v>
      </c>
      <c r="L152" s="73" t="s">
        <v>1517</v>
      </c>
      <c r="M152" s="7" t="s">
        <v>1849</v>
      </c>
      <c r="N152" s="7" t="s">
        <v>1640</v>
      </c>
      <c r="O152" s="7" t="s">
        <v>1505</v>
      </c>
      <c r="P152" s="108" t="s">
        <v>1492</v>
      </c>
      <c r="Q152" s="7" t="s">
        <v>1850</v>
      </c>
      <c r="R152" s="7">
        <v>40.5</v>
      </c>
      <c r="S152" s="7">
        <f t="shared" si="27"/>
        <v>40.5</v>
      </c>
      <c r="T152" s="7">
        <v>-82.5</v>
      </c>
      <c r="U152" s="7">
        <v>1</v>
      </c>
      <c r="V152" s="7">
        <v>21</v>
      </c>
      <c r="W152" s="7">
        <f t="shared" si="30"/>
        <v>1.3222192947339193</v>
      </c>
      <c r="X152" s="7" t="s">
        <v>1779</v>
      </c>
      <c r="Y152" s="7" t="s">
        <v>1781</v>
      </c>
      <c r="Z152" s="7">
        <v>5</v>
      </c>
      <c r="AA152" s="7">
        <v>15</v>
      </c>
      <c r="AB152" s="7">
        <v>16.91</v>
      </c>
      <c r="AC152" s="7">
        <v>1.37</v>
      </c>
      <c r="AD152" s="7">
        <v>28</v>
      </c>
      <c r="AE152" s="7">
        <v>33.83</v>
      </c>
      <c r="AF152" s="7">
        <v>1.61</v>
      </c>
      <c r="AG152" s="7">
        <v>27</v>
      </c>
      <c r="AH152" s="7">
        <v>24.66</v>
      </c>
      <c r="AI152" s="7">
        <v>1.18</v>
      </c>
      <c r="AJ152" s="7">
        <v>43</v>
      </c>
      <c r="AK152" s="7">
        <v>34.380000000000003</v>
      </c>
      <c r="AL152" s="7">
        <v>1.3</v>
      </c>
      <c r="AM152" s="7">
        <v>29</v>
      </c>
      <c r="AN152" s="7">
        <f t="shared" si="31"/>
        <v>2.0005913660555881</v>
      </c>
      <c r="AO152" s="7">
        <f t="shared" si="32"/>
        <v>2.0331164991129511</v>
      </c>
      <c r="AP152" s="7">
        <f t="shared" si="33"/>
        <v>1.0331164991129511</v>
      </c>
      <c r="AQ152" s="7">
        <f t="shared" si="34"/>
        <v>1.4569467260719806E-2</v>
      </c>
      <c r="AR152" s="7">
        <f t="shared" si="35"/>
        <v>-1.4569467260719806E-2</v>
      </c>
      <c r="AS152" s="7">
        <f t="shared" si="36"/>
        <v>28</v>
      </c>
      <c r="AT152" s="184">
        <f t="shared" si="26"/>
        <v>1.4266666666666667</v>
      </c>
      <c r="AU152" s="7"/>
      <c r="AV152" s="7" t="s">
        <v>1796</v>
      </c>
      <c r="AW152" s="7"/>
      <c r="AX152" s="7" t="s">
        <v>1849</v>
      </c>
      <c r="AY152" s="7" t="s">
        <v>1509</v>
      </c>
      <c r="BD152" s="188"/>
    </row>
    <row r="153" spans="1:56">
      <c r="A153" s="7" t="s">
        <v>33</v>
      </c>
      <c r="B153" s="7" t="s">
        <v>75</v>
      </c>
      <c r="C153" s="7" t="s">
        <v>348</v>
      </c>
      <c r="D153" s="7" t="s">
        <v>349</v>
      </c>
      <c r="E153" s="7" t="s">
        <v>2037</v>
      </c>
      <c r="F153" s="7" t="s">
        <v>2038</v>
      </c>
      <c r="G153" s="7" t="s">
        <v>2039</v>
      </c>
      <c r="H153" s="7" t="s">
        <v>4181</v>
      </c>
      <c r="I153" s="100">
        <f t="shared" ref="I153:I158" si="37">1.63/1000</f>
        <v>1.6299999999999999E-3</v>
      </c>
      <c r="J153" s="100">
        <f t="shared" si="28"/>
        <v>1.63</v>
      </c>
      <c r="K153" s="100">
        <f t="shared" si="29"/>
        <v>0.21218760440395779</v>
      </c>
      <c r="L153" s="73" t="s">
        <v>1517</v>
      </c>
      <c r="M153" s="7" t="s">
        <v>2040</v>
      </c>
      <c r="N153" s="7" t="s">
        <v>1640</v>
      </c>
      <c r="O153" s="7" t="s">
        <v>1505</v>
      </c>
      <c r="P153" s="108" t="s">
        <v>1492</v>
      </c>
      <c r="Q153" s="7" t="s">
        <v>2041</v>
      </c>
      <c r="R153" s="7">
        <v>9.5666670000000007</v>
      </c>
      <c r="S153" s="7">
        <f t="shared" si="27"/>
        <v>9.5666670000000007</v>
      </c>
      <c r="T153" s="7">
        <v>-83.75</v>
      </c>
      <c r="U153" s="7">
        <v>1</v>
      </c>
      <c r="V153" s="7">
        <v>20</v>
      </c>
      <c r="W153" s="7">
        <f t="shared" si="30"/>
        <v>1.3010299956639813</v>
      </c>
      <c r="X153" s="7" t="s">
        <v>1779</v>
      </c>
      <c r="Y153" s="7" t="s">
        <v>1781</v>
      </c>
      <c r="Z153" s="7">
        <v>5</v>
      </c>
      <c r="AA153" s="7">
        <v>15</v>
      </c>
      <c r="AB153" s="7">
        <v>0.72</v>
      </c>
      <c r="AC153" s="7">
        <v>0.15</v>
      </c>
      <c r="AD153" s="7">
        <v>6</v>
      </c>
      <c r="AE153" s="7">
        <v>2.1</v>
      </c>
      <c r="AF153" s="7">
        <v>0.15</v>
      </c>
      <c r="AG153" s="7">
        <v>7</v>
      </c>
      <c r="AH153" s="7">
        <v>0.8</v>
      </c>
      <c r="AI153" s="7">
        <v>0.15</v>
      </c>
      <c r="AJ153" s="7">
        <v>7</v>
      </c>
      <c r="AK153" s="7">
        <v>2.4</v>
      </c>
      <c r="AL153" s="7">
        <v>0.15</v>
      </c>
      <c r="AM153" s="7">
        <v>6</v>
      </c>
      <c r="AN153" s="7">
        <f t="shared" si="31"/>
        <v>2.916666666666667</v>
      </c>
      <c r="AO153" s="7">
        <f t="shared" si="32"/>
        <v>3.3333333333333335</v>
      </c>
      <c r="AP153" s="7">
        <f t="shared" si="33"/>
        <v>2.3333333333333335</v>
      </c>
      <c r="AQ153" s="7">
        <f t="shared" si="34"/>
        <v>0.36816287162832906</v>
      </c>
      <c r="AR153" s="7">
        <f t="shared" si="35"/>
        <v>-0.36816287162832906</v>
      </c>
      <c r="AS153" s="7">
        <f t="shared" si="36"/>
        <v>6.333333333333333</v>
      </c>
      <c r="AT153" s="184">
        <f t="shared" si="26"/>
        <v>0.15</v>
      </c>
      <c r="AU153" s="7"/>
      <c r="AV153" s="7" t="s">
        <v>2042</v>
      </c>
      <c r="AW153" s="7"/>
      <c r="AX153" s="7" t="s">
        <v>2040</v>
      </c>
      <c r="AY153" s="7" t="s">
        <v>1509</v>
      </c>
      <c r="BD153" s="188"/>
    </row>
    <row r="154" spans="1:56">
      <c r="A154" s="7" t="s">
        <v>33</v>
      </c>
      <c r="B154" s="7" t="s">
        <v>75</v>
      </c>
      <c r="C154" s="7" t="s">
        <v>348</v>
      </c>
      <c r="D154" s="7" t="s">
        <v>349</v>
      </c>
      <c r="E154" s="7" t="s">
        <v>2037</v>
      </c>
      <c r="F154" s="7" t="s">
        <v>2038</v>
      </c>
      <c r="G154" s="7" t="s">
        <v>2039</v>
      </c>
      <c r="H154" s="7" t="s">
        <v>4181</v>
      </c>
      <c r="I154" s="100">
        <f t="shared" si="37"/>
        <v>1.6299999999999999E-3</v>
      </c>
      <c r="J154" s="100">
        <f t="shared" si="28"/>
        <v>1.63</v>
      </c>
      <c r="K154" s="100">
        <f t="shared" si="29"/>
        <v>0.21218760440395779</v>
      </c>
      <c r="L154" s="73" t="s">
        <v>1517</v>
      </c>
      <c r="M154" s="7" t="s">
        <v>2040</v>
      </c>
      <c r="N154" s="7" t="s">
        <v>1640</v>
      </c>
      <c r="O154" s="7" t="s">
        <v>1505</v>
      </c>
      <c r="P154" s="108" t="s">
        <v>1492</v>
      </c>
      <c r="Q154" s="7" t="s">
        <v>2041</v>
      </c>
      <c r="R154" s="7">
        <v>9.5666670000000007</v>
      </c>
      <c r="S154" s="7">
        <f t="shared" si="27"/>
        <v>9.5666670000000007</v>
      </c>
      <c r="T154" s="7">
        <v>-83.75</v>
      </c>
      <c r="U154" s="7">
        <v>1</v>
      </c>
      <c r="V154" s="7">
        <v>20</v>
      </c>
      <c r="W154" s="7">
        <f t="shared" si="30"/>
        <v>1.3010299956639813</v>
      </c>
      <c r="X154" s="7" t="s">
        <v>1779</v>
      </c>
      <c r="Y154" s="7" t="s">
        <v>1781</v>
      </c>
      <c r="Z154" s="7">
        <v>15</v>
      </c>
      <c r="AA154" s="7">
        <v>20</v>
      </c>
      <c r="AB154" s="7">
        <v>2.4</v>
      </c>
      <c r="AC154" s="7">
        <v>0.15</v>
      </c>
      <c r="AD154" s="7">
        <v>6</v>
      </c>
      <c r="AE154" s="7">
        <v>2.9</v>
      </c>
      <c r="AF154" s="7">
        <v>0.15</v>
      </c>
      <c r="AG154" s="7">
        <v>7</v>
      </c>
      <c r="AH154" s="7">
        <v>2.4</v>
      </c>
      <c r="AI154" s="7">
        <v>0.15</v>
      </c>
      <c r="AJ154" s="7">
        <v>4</v>
      </c>
      <c r="AK154" s="7">
        <v>3.2</v>
      </c>
      <c r="AL154" s="7">
        <v>0.15</v>
      </c>
      <c r="AM154" s="7">
        <v>7</v>
      </c>
      <c r="AN154" s="7">
        <f t="shared" si="31"/>
        <v>1.4600694444444442</v>
      </c>
      <c r="AO154" s="7">
        <f t="shared" si="32"/>
        <v>1.7777777777777781</v>
      </c>
      <c r="AP154" s="7">
        <f t="shared" si="33"/>
        <v>0.77777777777777812</v>
      </c>
      <c r="AQ154" s="7">
        <f t="shared" si="34"/>
        <v>-0.10858644945578035</v>
      </c>
      <c r="AR154" s="7">
        <f t="shared" si="35"/>
        <v>0.10858644945578035</v>
      </c>
      <c r="AS154" s="7">
        <f t="shared" si="36"/>
        <v>6.666666666666667</v>
      </c>
      <c r="AT154" s="184">
        <f t="shared" si="26"/>
        <v>0.15</v>
      </c>
      <c r="AU154" s="7"/>
      <c r="AV154" s="7" t="s">
        <v>2042</v>
      </c>
      <c r="AW154" s="7"/>
      <c r="AX154" s="7" t="s">
        <v>2040</v>
      </c>
      <c r="AY154" s="7" t="s">
        <v>1509</v>
      </c>
      <c r="BD154" s="188"/>
    </row>
    <row r="155" spans="1:56">
      <c r="A155" s="7" t="s">
        <v>33</v>
      </c>
      <c r="B155" s="7" t="s">
        <v>75</v>
      </c>
      <c r="C155" s="7" t="s">
        <v>348</v>
      </c>
      <c r="D155" s="7" t="s">
        <v>349</v>
      </c>
      <c r="E155" s="7" t="s">
        <v>2037</v>
      </c>
      <c r="F155" s="7" t="s">
        <v>2038</v>
      </c>
      <c r="G155" s="7" t="s">
        <v>2039</v>
      </c>
      <c r="H155" s="7" t="s">
        <v>4181</v>
      </c>
      <c r="I155" s="100">
        <f t="shared" si="37"/>
        <v>1.6299999999999999E-3</v>
      </c>
      <c r="J155" s="100">
        <f t="shared" si="28"/>
        <v>1.63</v>
      </c>
      <c r="K155" s="100">
        <f t="shared" si="29"/>
        <v>0.21218760440395779</v>
      </c>
      <c r="L155" s="73" t="s">
        <v>1517</v>
      </c>
      <c r="M155" s="7" t="s">
        <v>2040</v>
      </c>
      <c r="N155" s="7" t="s">
        <v>1640</v>
      </c>
      <c r="O155" s="7" t="s">
        <v>1505</v>
      </c>
      <c r="P155" s="108" t="s">
        <v>1492</v>
      </c>
      <c r="Q155" s="7" t="s">
        <v>2041</v>
      </c>
      <c r="R155" s="7">
        <v>9.5666670000000007</v>
      </c>
      <c r="S155" s="7">
        <f t="shared" si="27"/>
        <v>9.5666670000000007</v>
      </c>
      <c r="T155" s="7">
        <v>-83.75</v>
      </c>
      <c r="U155" s="7">
        <v>1</v>
      </c>
      <c r="V155" s="7">
        <v>20</v>
      </c>
      <c r="W155" s="7">
        <f t="shared" si="30"/>
        <v>1.3010299956639813</v>
      </c>
      <c r="X155" s="7" t="s">
        <v>1779</v>
      </c>
      <c r="Y155" s="7" t="s">
        <v>1781</v>
      </c>
      <c r="Z155" s="7">
        <v>5</v>
      </c>
      <c r="AA155" s="7">
        <v>10</v>
      </c>
      <c r="AB155" s="7">
        <v>0.72</v>
      </c>
      <c r="AC155" s="7">
        <v>0.15</v>
      </c>
      <c r="AD155" s="7">
        <v>6</v>
      </c>
      <c r="AE155" s="7">
        <v>1.1000000000000001</v>
      </c>
      <c r="AF155" s="7">
        <v>0.15</v>
      </c>
      <c r="AG155" s="7">
        <v>7</v>
      </c>
      <c r="AH155" s="7">
        <v>0.85</v>
      </c>
      <c r="AI155" s="7">
        <v>0.15</v>
      </c>
      <c r="AJ155" s="7">
        <v>7</v>
      </c>
      <c r="AK155" s="7">
        <v>1.2</v>
      </c>
      <c r="AL155" s="7">
        <v>1</v>
      </c>
      <c r="AM155" s="7">
        <v>7</v>
      </c>
      <c r="AN155" s="7">
        <f t="shared" si="31"/>
        <v>2.3341049382716053</v>
      </c>
      <c r="AO155" s="7">
        <f t="shared" si="32"/>
        <v>2.7777777777777781</v>
      </c>
      <c r="AP155" s="7">
        <f t="shared" si="33"/>
        <v>1.7777777777777781</v>
      </c>
      <c r="AQ155" s="7">
        <f t="shared" si="34"/>
        <v>0.25012169518168048</v>
      </c>
      <c r="AR155" s="7">
        <f t="shared" si="35"/>
        <v>-0.25012169518168048</v>
      </c>
      <c r="AS155" s="7">
        <f t="shared" si="36"/>
        <v>6.666666666666667</v>
      </c>
      <c r="AT155" s="184">
        <f t="shared" si="26"/>
        <v>0.43333333333333335</v>
      </c>
      <c r="AU155" s="7"/>
      <c r="AV155" s="7" t="s">
        <v>2042</v>
      </c>
      <c r="AW155" s="7"/>
      <c r="AX155" s="7" t="s">
        <v>2040</v>
      </c>
      <c r="AY155" s="7" t="s">
        <v>1509</v>
      </c>
      <c r="BD155" s="188"/>
    </row>
    <row r="156" spans="1:56">
      <c r="A156" s="7" t="s">
        <v>33</v>
      </c>
      <c r="B156" s="7" t="s">
        <v>75</v>
      </c>
      <c r="C156" s="7" t="s">
        <v>348</v>
      </c>
      <c r="D156" s="7" t="s">
        <v>349</v>
      </c>
      <c r="E156" s="7" t="s">
        <v>2037</v>
      </c>
      <c r="F156" s="7" t="s">
        <v>2038</v>
      </c>
      <c r="G156" s="7" t="s">
        <v>2039</v>
      </c>
      <c r="H156" s="7" t="s">
        <v>4181</v>
      </c>
      <c r="I156" s="100">
        <f t="shared" si="37"/>
        <v>1.6299999999999999E-3</v>
      </c>
      <c r="J156" s="100">
        <f t="shared" si="28"/>
        <v>1.63</v>
      </c>
      <c r="K156" s="100">
        <f t="shared" si="29"/>
        <v>0.21218760440395779</v>
      </c>
      <c r="L156" s="73" t="s">
        <v>1517</v>
      </c>
      <c r="M156" s="7" t="s">
        <v>2040</v>
      </c>
      <c r="N156" s="7" t="s">
        <v>1640</v>
      </c>
      <c r="O156" s="7" t="s">
        <v>1505</v>
      </c>
      <c r="P156" s="108" t="s">
        <v>1492</v>
      </c>
      <c r="Q156" s="7" t="s">
        <v>2041</v>
      </c>
      <c r="R156" s="7">
        <v>9.5666670000000007</v>
      </c>
      <c r="S156" s="7">
        <f t="shared" si="27"/>
        <v>9.5666670000000007</v>
      </c>
      <c r="T156" s="7">
        <v>-83.75</v>
      </c>
      <c r="U156" s="7">
        <v>1</v>
      </c>
      <c r="V156" s="7">
        <v>20</v>
      </c>
      <c r="W156" s="7">
        <f t="shared" si="30"/>
        <v>1.3010299956639813</v>
      </c>
      <c r="X156" s="7" t="s">
        <v>1779</v>
      </c>
      <c r="Y156" s="7" t="s">
        <v>1781</v>
      </c>
      <c r="Z156" s="7">
        <v>10</v>
      </c>
      <c r="AA156" s="7">
        <v>15</v>
      </c>
      <c r="AB156" s="7">
        <v>1.2</v>
      </c>
      <c r="AC156" s="7">
        <v>1</v>
      </c>
      <c r="AD156" s="7">
        <v>7</v>
      </c>
      <c r="AE156" s="7">
        <v>2.2000000000000002</v>
      </c>
      <c r="AF156" s="7">
        <v>0.15</v>
      </c>
      <c r="AG156" s="7">
        <v>6</v>
      </c>
      <c r="AH156" s="7">
        <v>1.6</v>
      </c>
      <c r="AI156" s="7">
        <v>0.15</v>
      </c>
      <c r="AJ156" s="7">
        <v>7</v>
      </c>
      <c r="AK156" s="7">
        <v>2.4</v>
      </c>
      <c r="AL156" s="7">
        <v>0.15</v>
      </c>
      <c r="AM156" s="7">
        <v>6</v>
      </c>
      <c r="AN156" s="7">
        <f t="shared" si="31"/>
        <v>3.3611111111111116</v>
      </c>
      <c r="AO156" s="7">
        <f t="shared" si="32"/>
        <v>4</v>
      </c>
      <c r="AP156" s="7">
        <f t="shared" si="33"/>
        <v>3</v>
      </c>
      <c r="AQ156" s="7">
        <f t="shared" si="34"/>
        <v>0.4772659954248526</v>
      </c>
      <c r="AR156" s="7">
        <f t="shared" si="35"/>
        <v>-0.4772659954248526</v>
      </c>
      <c r="AS156" s="7">
        <f t="shared" si="36"/>
        <v>6.333333333333333</v>
      </c>
      <c r="AT156" s="184">
        <f t="shared" si="26"/>
        <v>0.43333333333333329</v>
      </c>
      <c r="AU156" s="7"/>
      <c r="AV156" s="7" t="s">
        <v>2042</v>
      </c>
      <c r="AW156" s="7"/>
      <c r="AX156" s="7" t="s">
        <v>2040</v>
      </c>
      <c r="AY156" s="7" t="s">
        <v>1509</v>
      </c>
      <c r="BD156" s="188"/>
    </row>
    <row r="157" spans="1:56">
      <c r="A157" s="7" t="s">
        <v>33</v>
      </c>
      <c r="B157" s="7" t="s">
        <v>75</v>
      </c>
      <c r="C157" s="7" t="s">
        <v>348</v>
      </c>
      <c r="D157" s="7" t="s">
        <v>349</v>
      </c>
      <c r="E157" s="7" t="s">
        <v>2037</v>
      </c>
      <c r="F157" s="7" t="s">
        <v>2038</v>
      </c>
      <c r="G157" s="7" t="s">
        <v>2039</v>
      </c>
      <c r="H157" s="7" t="s">
        <v>4181</v>
      </c>
      <c r="I157" s="100">
        <f t="shared" si="37"/>
        <v>1.6299999999999999E-3</v>
      </c>
      <c r="J157" s="100">
        <f t="shared" si="28"/>
        <v>1.63</v>
      </c>
      <c r="K157" s="100">
        <f t="shared" si="29"/>
        <v>0.21218760440395779</v>
      </c>
      <c r="L157" s="73" t="s">
        <v>1517</v>
      </c>
      <c r="M157" s="7" t="s">
        <v>2040</v>
      </c>
      <c r="N157" s="7" t="s">
        <v>1640</v>
      </c>
      <c r="O157" s="7" t="s">
        <v>1505</v>
      </c>
      <c r="P157" s="108" t="s">
        <v>1492</v>
      </c>
      <c r="Q157" s="7" t="s">
        <v>2041</v>
      </c>
      <c r="R157" s="7">
        <v>9.5666670000000007</v>
      </c>
      <c r="S157" s="7">
        <f t="shared" si="27"/>
        <v>9.5666670000000007</v>
      </c>
      <c r="T157" s="7">
        <v>-83.75</v>
      </c>
      <c r="U157" s="7">
        <v>1</v>
      </c>
      <c r="V157" s="7">
        <v>20</v>
      </c>
      <c r="W157" s="7">
        <f t="shared" si="30"/>
        <v>1.3010299956639813</v>
      </c>
      <c r="X157" s="7" t="s">
        <v>1779</v>
      </c>
      <c r="Y157" s="7" t="s">
        <v>1781</v>
      </c>
      <c r="Z157" s="7">
        <v>10</v>
      </c>
      <c r="AA157" s="7">
        <v>20</v>
      </c>
      <c r="AB157" s="7">
        <v>1.2</v>
      </c>
      <c r="AC157" s="7">
        <v>1</v>
      </c>
      <c r="AD157" s="7">
        <v>7</v>
      </c>
      <c r="AE157" s="7">
        <v>3.5</v>
      </c>
      <c r="AF157" s="7">
        <v>0.15</v>
      </c>
      <c r="AG157" s="7">
        <v>5</v>
      </c>
      <c r="AH157" s="7">
        <v>1.2</v>
      </c>
      <c r="AI157" s="7">
        <v>0.15</v>
      </c>
      <c r="AJ157" s="7">
        <v>7</v>
      </c>
      <c r="AK157" s="7">
        <v>3.2</v>
      </c>
      <c r="AL157" s="7">
        <v>0.15</v>
      </c>
      <c r="AM157" s="7">
        <v>7</v>
      </c>
      <c r="AN157" s="7">
        <f t="shared" si="31"/>
        <v>2.916666666666667</v>
      </c>
      <c r="AO157" s="7">
        <f t="shared" si="32"/>
        <v>2.666666666666667</v>
      </c>
      <c r="AP157" s="7">
        <f t="shared" si="33"/>
        <v>1.666666666666667</v>
      </c>
      <c r="AQ157" s="7">
        <f t="shared" si="34"/>
        <v>0.22210924816374678</v>
      </c>
      <c r="AR157" s="7">
        <f t="shared" si="35"/>
        <v>-0.22210924816374678</v>
      </c>
      <c r="AS157" s="7">
        <f t="shared" si="36"/>
        <v>6.333333333333333</v>
      </c>
      <c r="AT157" s="184">
        <f t="shared" si="26"/>
        <v>0.43333333333333329</v>
      </c>
      <c r="AU157" s="7"/>
      <c r="AV157" s="7" t="s">
        <v>2042</v>
      </c>
      <c r="AW157" s="7"/>
      <c r="AX157" s="7" t="s">
        <v>2040</v>
      </c>
      <c r="AY157" s="7" t="s">
        <v>1509</v>
      </c>
      <c r="BD157" s="188"/>
    </row>
    <row r="158" spans="1:56">
      <c r="A158" s="7" t="s">
        <v>33</v>
      </c>
      <c r="B158" s="7" t="s">
        <v>75</v>
      </c>
      <c r="C158" s="7" t="s">
        <v>348</v>
      </c>
      <c r="D158" s="7" t="s">
        <v>349</v>
      </c>
      <c r="E158" s="7" t="s">
        <v>2037</v>
      </c>
      <c r="F158" s="7" t="s">
        <v>2038</v>
      </c>
      <c r="G158" s="7" t="s">
        <v>2039</v>
      </c>
      <c r="H158" s="7" t="s">
        <v>4181</v>
      </c>
      <c r="I158" s="100">
        <f t="shared" si="37"/>
        <v>1.6299999999999999E-3</v>
      </c>
      <c r="J158" s="100">
        <f t="shared" si="28"/>
        <v>1.63</v>
      </c>
      <c r="K158" s="100">
        <f t="shared" si="29"/>
        <v>0.21218760440395779</v>
      </c>
      <c r="L158" s="73" t="s">
        <v>1517</v>
      </c>
      <c r="M158" s="7" t="s">
        <v>2040</v>
      </c>
      <c r="N158" s="7" t="s">
        <v>1640</v>
      </c>
      <c r="O158" s="7" t="s">
        <v>1505</v>
      </c>
      <c r="P158" s="108" t="s">
        <v>1492</v>
      </c>
      <c r="Q158" s="7" t="s">
        <v>2041</v>
      </c>
      <c r="R158" s="7">
        <v>9.5666670000000007</v>
      </c>
      <c r="S158" s="7">
        <f t="shared" si="27"/>
        <v>9.5666670000000007</v>
      </c>
      <c r="T158" s="7">
        <v>-83.75</v>
      </c>
      <c r="U158" s="7">
        <v>1</v>
      </c>
      <c r="V158" s="7">
        <v>20</v>
      </c>
      <c r="W158" s="7">
        <f t="shared" si="30"/>
        <v>1.3010299956639813</v>
      </c>
      <c r="X158" s="7" t="s">
        <v>1779</v>
      </c>
      <c r="Y158" s="7" t="s">
        <v>1781</v>
      </c>
      <c r="Z158" s="7">
        <v>5</v>
      </c>
      <c r="AA158" s="7">
        <v>20</v>
      </c>
      <c r="AB158" s="7">
        <v>0.72</v>
      </c>
      <c r="AC158" s="7">
        <v>0.15</v>
      </c>
      <c r="AD158" s="7">
        <v>6</v>
      </c>
      <c r="AE158" s="7">
        <v>3.2</v>
      </c>
      <c r="AF158" s="7">
        <v>0.15</v>
      </c>
      <c r="AG158" s="7">
        <v>7</v>
      </c>
      <c r="AH158" s="7">
        <v>0.8</v>
      </c>
      <c r="AI158" s="7">
        <v>0.15</v>
      </c>
      <c r="AJ158" s="7">
        <v>7</v>
      </c>
      <c r="AK158" s="7">
        <v>3.2</v>
      </c>
      <c r="AL158" s="7">
        <v>0.15</v>
      </c>
      <c r="AM158" s="7">
        <v>7</v>
      </c>
      <c r="AN158" s="7">
        <f t="shared" si="31"/>
        <v>2.7032008869215112</v>
      </c>
      <c r="AO158" s="7">
        <f t="shared" si="32"/>
        <v>2.7032008869215112</v>
      </c>
      <c r="AP158" s="7">
        <f t="shared" si="33"/>
        <v>1.7032008869215112</v>
      </c>
      <c r="AQ158" s="7">
        <f t="shared" si="34"/>
        <v>0.23152078699126821</v>
      </c>
      <c r="AR158" s="7">
        <f t="shared" si="35"/>
        <v>-0.23152078699126821</v>
      </c>
      <c r="AS158" s="7">
        <f t="shared" si="36"/>
        <v>6.666666666666667</v>
      </c>
      <c r="AT158" s="184">
        <f t="shared" si="26"/>
        <v>0.15</v>
      </c>
      <c r="AU158" s="7"/>
      <c r="AV158" s="7" t="s">
        <v>2042</v>
      </c>
      <c r="AW158" s="7"/>
      <c r="AX158" s="7" t="s">
        <v>2040</v>
      </c>
      <c r="AY158" s="7" t="s">
        <v>1509</v>
      </c>
      <c r="BD158" s="188"/>
    </row>
    <row r="159" spans="1:56">
      <c r="A159" s="7" t="s">
        <v>23</v>
      </c>
      <c r="B159" s="7" t="s">
        <v>1713</v>
      </c>
      <c r="C159" s="7" t="s">
        <v>1698</v>
      </c>
      <c r="D159" s="7" t="s">
        <v>2043</v>
      </c>
      <c r="E159" s="7" t="s">
        <v>2044</v>
      </c>
      <c r="F159" s="7" t="s">
        <v>1162</v>
      </c>
      <c r="G159" s="7" t="s">
        <v>2045</v>
      </c>
      <c r="H159" s="7" t="s">
        <v>4185</v>
      </c>
      <c r="I159" s="100">
        <f>1.62/1000</f>
        <v>1.6200000000000001E-3</v>
      </c>
      <c r="J159" s="100">
        <f t="shared" si="28"/>
        <v>1.62</v>
      </c>
      <c r="K159" s="100">
        <f t="shared" si="29"/>
        <v>0.20951501454263097</v>
      </c>
      <c r="L159" s="73" t="s">
        <v>1517</v>
      </c>
      <c r="M159" s="7" t="s">
        <v>2046</v>
      </c>
      <c r="N159" s="7" t="s">
        <v>1504</v>
      </c>
      <c r="O159" s="7" t="s">
        <v>1505</v>
      </c>
      <c r="P159" s="108" t="s">
        <v>1539</v>
      </c>
      <c r="Q159" s="7" t="s">
        <v>2047</v>
      </c>
      <c r="R159" s="7">
        <v>36.1</v>
      </c>
      <c r="S159" s="7">
        <f t="shared" si="27"/>
        <v>36.1</v>
      </c>
      <c r="T159" s="7">
        <v>120.4</v>
      </c>
      <c r="U159" s="7">
        <v>1</v>
      </c>
      <c r="V159" s="7">
        <v>10</v>
      </c>
      <c r="W159" s="7">
        <f t="shared" si="30"/>
        <v>1</v>
      </c>
      <c r="X159" s="7" t="s">
        <v>1779</v>
      </c>
      <c r="Y159" s="7" t="s">
        <v>1781</v>
      </c>
      <c r="Z159" s="7">
        <v>19</v>
      </c>
      <c r="AA159" s="7">
        <v>31</v>
      </c>
      <c r="AB159" s="108">
        <v>58</v>
      </c>
      <c r="AC159" s="108">
        <v>7</v>
      </c>
      <c r="AD159" s="7">
        <v>5</v>
      </c>
      <c r="AE159" s="7">
        <v>150</v>
      </c>
      <c r="AF159" s="7">
        <v>12</v>
      </c>
      <c r="AG159" s="7">
        <v>5</v>
      </c>
      <c r="AH159" s="7">
        <v>45</v>
      </c>
      <c r="AI159" s="7">
        <v>10</v>
      </c>
      <c r="AJ159" s="7">
        <v>5</v>
      </c>
      <c r="AK159" s="108">
        <v>107</v>
      </c>
      <c r="AL159" s="108">
        <v>9</v>
      </c>
      <c r="AM159" s="108">
        <v>5</v>
      </c>
      <c r="AN159" s="7">
        <f t="shared" si="31"/>
        <v>2.2074254969451146</v>
      </c>
      <c r="AO159" s="7">
        <f t="shared" si="32"/>
        <v>1.6658267053376214</v>
      </c>
      <c r="AP159" s="7">
        <f t="shared" si="33"/>
        <v>0.66582670533762145</v>
      </c>
      <c r="AQ159" s="7">
        <f t="shared" si="34"/>
        <v>-0.1759870156998766</v>
      </c>
      <c r="AR159" s="7">
        <f t="shared" si="35"/>
        <v>0.1759870156998766</v>
      </c>
      <c r="AS159" s="7">
        <f t="shared" si="36"/>
        <v>5</v>
      </c>
      <c r="AT159" s="184">
        <f t="shared" si="26"/>
        <v>9.3333333333333339</v>
      </c>
      <c r="AU159" s="108"/>
      <c r="AV159" s="7" t="s">
        <v>2048</v>
      </c>
      <c r="AW159" s="7"/>
      <c r="AX159" s="7" t="s">
        <v>2046</v>
      </c>
      <c r="AY159" s="7" t="s">
        <v>1509</v>
      </c>
      <c r="BD159" s="188"/>
    </row>
    <row r="160" spans="1:56">
      <c r="A160" s="7" t="s">
        <v>33</v>
      </c>
      <c r="B160" s="7" t="s">
        <v>34</v>
      </c>
      <c r="C160" s="7" t="s">
        <v>282</v>
      </c>
      <c r="D160" s="7" t="s">
        <v>2049</v>
      </c>
      <c r="E160" s="7" t="s">
        <v>2050</v>
      </c>
      <c r="F160" s="7" t="s">
        <v>2051</v>
      </c>
      <c r="G160" s="7" t="s">
        <v>2052</v>
      </c>
      <c r="H160" s="7" t="s">
        <v>4180</v>
      </c>
      <c r="I160" s="100">
        <f>1.49/1000</f>
        <v>1.49E-3</v>
      </c>
      <c r="J160" s="100">
        <f t="shared" si="28"/>
        <v>1.49</v>
      </c>
      <c r="K160" s="100">
        <f t="shared" si="29"/>
        <v>0.17318626841227402</v>
      </c>
      <c r="L160" s="73" t="s">
        <v>1517</v>
      </c>
      <c r="M160" s="7" t="s">
        <v>2023</v>
      </c>
      <c r="N160" s="7" t="s">
        <v>1504</v>
      </c>
      <c r="O160" s="7" t="s">
        <v>1505</v>
      </c>
      <c r="P160" s="108" t="s">
        <v>1492</v>
      </c>
      <c r="Q160" s="7" t="s">
        <v>2024</v>
      </c>
      <c r="R160" s="7">
        <v>14.65</v>
      </c>
      <c r="S160" s="7">
        <f t="shared" si="27"/>
        <v>14.65</v>
      </c>
      <c r="T160" s="7">
        <v>145.44999999999999</v>
      </c>
      <c r="U160" s="7">
        <v>1</v>
      </c>
      <c r="V160" s="7">
        <v>7</v>
      </c>
      <c r="W160" s="7">
        <f t="shared" si="30"/>
        <v>0.84509804001425681</v>
      </c>
      <c r="X160" s="7" t="s">
        <v>1779</v>
      </c>
      <c r="Y160" s="7" t="s">
        <v>1781</v>
      </c>
      <c r="Z160" s="7">
        <v>29</v>
      </c>
      <c r="AA160" s="7">
        <v>32</v>
      </c>
      <c r="AB160" s="7">
        <v>0.26600000000000001</v>
      </c>
      <c r="AC160" s="7">
        <v>3.3000000000000002E-2</v>
      </c>
      <c r="AD160" s="7">
        <v>8</v>
      </c>
      <c r="AE160" s="108">
        <v>0.35599999999999998</v>
      </c>
      <c r="AF160" s="108">
        <v>9.1999999999999998E-2</v>
      </c>
      <c r="AG160" s="7">
        <v>6</v>
      </c>
      <c r="AH160" s="7"/>
      <c r="AI160" s="7"/>
      <c r="AJ160" s="7"/>
      <c r="AK160" s="108">
        <v>0.45500000000000002</v>
      </c>
      <c r="AL160" s="108">
        <v>0.1</v>
      </c>
      <c r="AM160" s="108">
        <v>6</v>
      </c>
      <c r="AN160" s="7">
        <f t="shared" si="31"/>
        <v>2.641767164109857</v>
      </c>
      <c r="AO160" s="7">
        <f t="shared" si="32"/>
        <v>5.9854829783887764</v>
      </c>
      <c r="AP160" s="7">
        <f t="shared" si="33"/>
        <v>4.9854829783887764</v>
      </c>
      <c r="AQ160" s="7">
        <f t="shared" si="34"/>
        <v>0.6977943408927102</v>
      </c>
      <c r="AR160" s="7">
        <f t="shared" si="35"/>
        <v>-0.6977943408927102</v>
      </c>
      <c r="AS160" s="7">
        <f t="shared" si="36"/>
        <v>6.666666666666667</v>
      </c>
      <c r="AT160" s="184">
        <f t="shared" si="26"/>
        <v>7.4999999999999997E-2</v>
      </c>
      <c r="AU160" s="108"/>
      <c r="AV160" s="7"/>
      <c r="AW160" s="7"/>
      <c r="AX160" s="7" t="s">
        <v>2023</v>
      </c>
      <c r="AY160" s="7" t="s">
        <v>1509</v>
      </c>
      <c r="BD160" s="188"/>
    </row>
    <row r="161" spans="1:56">
      <c r="A161" s="7" t="s">
        <v>33</v>
      </c>
      <c r="B161" s="7" t="s">
        <v>75</v>
      </c>
      <c r="C161" s="7" t="s">
        <v>76</v>
      </c>
      <c r="D161" s="7" t="s">
        <v>77</v>
      </c>
      <c r="E161" s="7" t="s">
        <v>503</v>
      </c>
      <c r="F161" s="7" t="s">
        <v>507</v>
      </c>
      <c r="G161" s="7" t="s">
        <v>2053</v>
      </c>
      <c r="H161" s="7" t="s">
        <v>4181</v>
      </c>
      <c r="I161" s="100">
        <f>1.42/1000</f>
        <v>1.4199999999999998E-3</v>
      </c>
      <c r="J161" s="100">
        <f t="shared" si="28"/>
        <v>1.42</v>
      </c>
      <c r="K161" s="100">
        <f t="shared" si="29"/>
        <v>0.15228834438305647</v>
      </c>
      <c r="L161" s="73" t="s">
        <v>1517</v>
      </c>
      <c r="M161" s="7" t="s">
        <v>2054</v>
      </c>
      <c r="N161" s="7" t="s">
        <v>1538</v>
      </c>
      <c r="O161" s="7" t="s">
        <v>1505</v>
      </c>
      <c r="P161" s="108" t="s">
        <v>1492</v>
      </c>
      <c r="Q161" s="7" t="s">
        <v>2055</v>
      </c>
      <c r="R161" s="7">
        <v>42.078111100000001</v>
      </c>
      <c r="S161" s="7">
        <f t="shared" si="27"/>
        <v>42.078111100000001</v>
      </c>
      <c r="T161" s="7">
        <v>-96.926944000000006</v>
      </c>
      <c r="U161" s="7">
        <v>1</v>
      </c>
      <c r="V161" s="7">
        <v>7</v>
      </c>
      <c r="W161" s="7">
        <f t="shared" si="30"/>
        <v>0.84509804001425681</v>
      </c>
      <c r="X161" s="7" t="s">
        <v>1779</v>
      </c>
      <c r="Y161" s="7" t="s">
        <v>1781</v>
      </c>
      <c r="Z161" s="7">
        <v>5</v>
      </c>
      <c r="AA161" s="7">
        <v>25</v>
      </c>
      <c r="AB161" s="7">
        <v>0.12</v>
      </c>
      <c r="AC161" s="7"/>
      <c r="AD161" s="7">
        <v>6</v>
      </c>
      <c r="AE161" s="7">
        <v>0.35</v>
      </c>
      <c r="AF161" s="7"/>
      <c r="AG161" s="7">
        <v>6</v>
      </c>
      <c r="AH161" s="7">
        <v>0.09</v>
      </c>
      <c r="AI161" s="7"/>
      <c r="AJ161" s="7">
        <v>6</v>
      </c>
      <c r="AK161" s="7">
        <v>0.23</v>
      </c>
      <c r="AL161" s="7"/>
      <c r="AM161" s="7">
        <v>6</v>
      </c>
      <c r="AN161" s="7">
        <f t="shared" si="31"/>
        <v>1.707825127659933</v>
      </c>
      <c r="AO161" s="7">
        <f t="shared" si="32"/>
        <v>1.3844373104863459</v>
      </c>
      <c r="AP161" s="7">
        <f t="shared" si="33"/>
        <v>0.38443731048634588</v>
      </c>
      <c r="AQ161" s="7">
        <f t="shared" si="34"/>
        <v>-0.4140462477655486</v>
      </c>
      <c r="AR161" s="7">
        <f t="shared" si="35"/>
        <v>0.4140462477655486</v>
      </c>
      <c r="AS161" s="7">
        <f t="shared" si="36"/>
        <v>6</v>
      </c>
      <c r="AT161" s="184"/>
      <c r="AU161" s="7"/>
      <c r="AV161" s="7" t="s">
        <v>1796</v>
      </c>
      <c r="AW161" s="7"/>
      <c r="AX161" s="7" t="s">
        <v>2056</v>
      </c>
      <c r="AY161" s="7" t="s">
        <v>1509</v>
      </c>
      <c r="BD161" s="188"/>
    </row>
    <row r="162" spans="1:56">
      <c r="A162" s="7" t="s">
        <v>33</v>
      </c>
      <c r="B162" s="7" t="s">
        <v>75</v>
      </c>
      <c r="C162" s="7" t="s">
        <v>76</v>
      </c>
      <c r="D162" s="7" t="s">
        <v>77</v>
      </c>
      <c r="E162" s="7" t="s">
        <v>503</v>
      </c>
      <c r="F162" s="7" t="s">
        <v>507</v>
      </c>
      <c r="G162" s="7" t="s">
        <v>2053</v>
      </c>
      <c r="H162" s="7" t="s">
        <v>4181</v>
      </c>
      <c r="I162" s="100">
        <f>1.42/1000</f>
        <v>1.4199999999999998E-3</v>
      </c>
      <c r="J162" s="100">
        <f t="shared" si="28"/>
        <v>1.42</v>
      </c>
      <c r="K162" s="100">
        <f t="shared" si="29"/>
        <v>0.15228834438305647</v>
      </c>
      <c r="L162" s="73" t="s">
        <v>1517</v>
      </c>
      <c r="M162" s="7" t="s">
        <v>2054</v>
      </c>
      <c r="N162" s="7" t="s">
        <v>1538</v>
      </c>
      <c r="O162" s="7" t="s">
        <v>1505</v>
      </c>
      <c r="P162" s="108" t="s">
        <v>1492</v>
      </c>
      <c r="Q162" s="7" t="s">
        <v>2055</v>
      </c>
      <c r="R162" s="7">
        <v>42.078111100000001</v>
      </c>
      <c r="S162" s="7">
        <f t="shared" si="27"/>
        <v>42.078111100000001</v>
      </c>
      <c r="T162" s="7">
        <v>-96.926944000000006</v>
      </c>
      <c r="U162" s="7">
        <v>1</v>
      </c>
      <c r="V162" s="7">
        <v>7</v>
      </c>
      <c r="W162" s="7">
        <f t="shared" si="30"/>
        <v>0.84509804001425681</v>
      </c>
      <c r="X162" s="7" t="s">
        <v>1779</v>
      </c>
      <c r="Y162" s="7" t="s">
        <v>1781</v>
      </c>
      <c r="Z162" s="7">
        <v>15</v>
      </c>
      <c r="AA162" s="7">
        <v>25</v>
      </c>
      <c r="AB162" s="7">
        <v>0.2</v>
      </c>
      <c r="AC162" s="7"/>
      <c r="AD162" s="7">
        <v>6</v>
      </c>
      <c r="AE162" s="7">
        <v>0.32</v>
      </c>
      <c r="AF162" s="7"/>
      <c r="AG162" s="7">
        <v>6</v>
      </c>
      <c r="AH162" s="7">
        <v>0.22</v>
      </c>
      <c r="AI162" s="7"/>
      <c r="AJ162" s="7">
        <v>6</v>
      </c>
      <c r="AK162" s="7">
        <v>0.23</v>
      </c>
      <c r="AL162" s="7"/>
      <c r="AM162" s="7">
        <v>6</v>
      </c>
      <c r="AN162" s="7">
        <f t="shared" si="31"/>
        <v>1.5999999999999999</v>
      </c>
      <c r="AO162" s="7">
        <f t="shared" si="32"/>
        <v>1.1499999999999999</v>
      </c>
      <c r="AP162" s="7">
        <f t="shared" si="33"/>
        <v>0.14999999999999991</v>
      </c>
      <c r="AQ162" s="7">
        <f t="shared" si="34"/>
        <v>-0.82102305270683085</v>
      </c>
      <c r="AR162" s="7">
        <f t="shared" si="35"/>
        <v>0.82102305270683085</v>
      </c>
      <c r="AS162" s="7">
        <f t="shared" si="36"/>
        <v>6</v>
      </c>
      <c r="AT162" s="184"/>
      <c r="AU162" s="7"/>
      <c r="AV162" s="7" t="s">
        <v>1796</v>
      </c>
      <c r="AW162" s="7"/>
      <c r="AX162" s="7" t="s">
        <v>2056</v>
      </c>
      <c r="AY162" s="7" t="s">
        <v>1509</v>
      </c>
      <c r="BD162" s="188"/>
    </row>
    <row r="163" spans="1:56">
      <c r="A163" s="7" t="s">
        <v>33</v>
      </c>
      <c r="B163" s="7" t="s">
        <v>75</v>
      </c>
      <c r="C163" s="7" t="s">
        <v>76</v>
      </c>
      <c r="D163" s="7" t="s">
        <v>77</v>
      </c>
      <c r="E163" s="7" t="s">
        <v>503</v>
      </c>
      <c r="F163" s="7" t="s">
        <v>507</v>
      </c>
      <c r="G163" s="7" t="s">
        <v>2053</v>
      </c>
      <c r="H163" s="7" t="s">
        <v>4181</v>
      </c>
      <c r="I163" s="100">
        <f>1.42/1000</f>
        <v>1.4199999999999998E-3</v>
      </c>
      <c r="J163" s="100">
        <f t="shared" si="28"/>
        <v>1.42</v>
      </c>
      <c r="K163" s="100">
        <f t="shared" si="29"/>
        <v>0.15228834438305647</v>
      </c>
      <c r="L163" s="73" t="s">
        <v>1517</v>
      </c>
      <c r="M163" s="7" t="s">
        <v>2054</v>
      </c>
      <c r="N163" s="7" t="s">
        <v>1538</v>
      </c>
      <c r="O163" s="7" t="s">
        <v>1505</v>
      </c>
      <c r="P163" s="108" t="s">
        <v>1492</v>
      </c>
      <c r="Q163" s="7" t="s">
        <v>2055</v>
      </c>
      <c r="R163" s="7">
        <v>42.078111100000001</v>
      </c>
      <c r="S163" s="7">
        <f t="shared" si="27"/>
        <v>42.078111100000001</v>
      </c>
      <c r="T163" s="7">
        <v>-96.926944000000006</v>
      </c>
      <c r="U163" s="7">
        <v>1</v>
      </c>
      <c r="V163" s="7">
        <v>7</v>
      </c>
      <c r="W163" s="7">
        <f t="shared" si="30"/>
        <v>0.84509804001425681</v>
      </c>
      <c r="X163" s="7" t="s">
        <v>1779</v>
      </c>
      <c r="Y163" s="7" t="s">
        <v>1781</v>
      </c>
      <c r="Z163" s="7">
        <v>5</v>
      </c>
      <c r="AA163" s="7">
        <v>15</v>
      </c>
      <c r="AB163" s="7">
        <v>0.12</v>
      </c>
      <c r="AC163" s="7"/>
      <c r="AD163" s="7">
        <v>6</v>
      </c>
      <c r="AE163" s="7">
        <v>0.21</v>
      </c>
      <c r="AF163" s="7"/>
      <c r="AG163" s="7">
        <v>6</v>
      </c>
      <c r="AH163" s="7">
        <v>0.14000000000000001</v>
      </c>
      <c r="AI163" s="7"/>
      <c r="AJ163" s="7">
        <v>6</v>
      </c>
      <c r="AK163" s="7">
        <v>0.2</v>
      </c>
      <c r="AL163" s="7"/>
      <c r="AM163" s="7">
        <v>6</v>
      </c>
      <c r="AN163" s="7">
        <f t="shared" si="31"/>
        <v>1.75</v>
      </c>
      <c r="AO163" s="7">
        <f t="shared" si="32"/>
        <v>1.6666666666666667</v>
      </c>
      <c r="AP163" s="7">
        <f t="shared" si="33"/>
        <v>0.66666666666666674</v>
      </c>
      <c r="AQ163" s="7">
        <f t="shared" si="34"/>
        <v>-0.17544030542608616</v>
      </c>
      <c r="AR163" s="7">
        <f t="shared" si="35"/>
        <v>0.17544030542608616</v>
      </c>
      <c r="AS163" s="7">
        <f t="shared" si="36"/>
        <v>6</v>
      </c>
      <c r="AT163" s="184"/>
      <c r="AU163" s="7"/>
      <c r="AV163" s="7" t="s">
        <v>1796</v>
      </c>
      <c r="AW163" s="7"/>
      <c r="AX163" s="7" t="s">
        <v>2056</v>
      </c>
      <c r="AY163" s="7" t="s">
        <v>1509</v>
      </c>
      <c r="BD163" s="188"/>
    </row>
    <row r="164" spans="1:56">
      <c r="A164" s="7" t="s">
        <v>33</v>
      </c>
      <c r="B164" s="7" t="s">
        <v>75</v>
      </c>
      <c r="C164" s="7" t="s">
        <v>348</v>
      </c>
      <c r="D164" s="7" t="s">
        <v>349</v>
      </c>
      <c r="E164" s="7" t="s">
        <v>350</v>
      </c>
      <c r="F164" s="7" t="s">
        <v>974</v>
      </c>
      <c r="G164" s="7" t="s">
        <v>1886</v>
      </c>
      <c r="H164" s="7" t="s">
        <v>4181</v>
      </c>
      <c r="I164" s="100">
        <v>1.16E-3</v>
      </c>
      <c r="J164" s="100">
        <f t="shared" si="28"/>
        <v>1.1599999999999999</v>
      </c>
      <c r="K164" s="100">
        <f t="shared" si="29"/>
        <v>6.445798922691845E-2</v>
      </c>
      <c r="L164" s="73" t="s">
        <v>1517</v>
      </c>
      <c r="M164" s="7" t="s">
        <v>1887</v>
      </c>
      <c r="N164" s="7" t="s">
        <v>1640</v>
      </c>
      <c r="O164" s="7" t="s">
        <v>1505</v>
      </c>
      <c r="P164" s="108" t="s">
        <v>1492</v>
      </c>
      <c r="Q164" s="7" t="s">
        <v>1850</v>
      </c>
      <c r="R164" s="7">
        <v>40.5</v>
      </c>
      <c r="S164" s="7">
        <f t="shared" si="27"/>
        <v>40.5</v>
      </c>
      <c r="T164" s="7">
        <v>-82.5</v>
      </c>
      <c r="U164" s="7">
        <v>1</v>
      </c>
      <c r="V164" s="7">
        <v>21</v>
      </c>
      <c r="W164" s="7">
        <f t="shared" si="30"/>
        <v>1.3222192947339193</v>
      </c>
      <c r="X164" s="7" t="s">
        <v>1779</v>
      </c>
      <c r="Y164" s="7" t="s">
        <v>1781</v>
      </c>
      <c r="Z164" s="7">
        <v>5</v>
      </c>
      <c r="AA164" s="7">
        <v>15</v>
      </c>
      <c r="AB164" s="7">
        <v>16.190000000000001</v>
      </c>
      <c r="AC164" s="7">
        <v>1.34</v>
      </c>
      <c r="AD164" s="7">
        <v>41</v>
      </c>
      <c r="AE164" s="7">
        <v>44.49</v>
      </c>
      <c r="AF164" s="7">
        <v>1.2</v>
      </c>
      <c r="AG164" s="7">
        <v>44</v>
      </c>
      <c r="AH164" s="7">
        <v>23.98</v>
      </c>
      <c r="AI164" s="7">
        <v>1.2</v>
      </c>
      <c r="AJ164" s="7">
        <v>45</v>
      </c>
      <c r="AK164" s="7">
        <v>35.96</v>
      </c>
      <c r="AL164" s="7">
        <v>1.4</v>
      </c>
      <c r="AM164" s="7">
        <v>43</v>
      </c>
      <c r="AN164" s="7">
        <f t="shared" si="31"/>
        <v>2.7479925880172944</v>
      </c>
      <c r="AO164" s="7">
        <f t="shared" si="32"/>
        <v>2.221124150710315</v>
      </c>
      <c r="AP164" s="7">
        <f t="shared" si="33"/>
        <v>1.221124150710315</v>
      </c>
      <c r="AQ164" s="7">
        <f t="shared" si="34"/>
        <v>8.7115326389077055E-2</v>
      </c>
      <c r="AR164" s="7">
        <f t="shared" si="35"/>
        <v>-8.7115326389077055E-2</v>
      </c>
      <c r="AS164" s="7">
        <f t="shared" si="36"/>
        <v>42.666666666666664</v>
      </c>
      <c r="AT164" s="184">
        <f>AVERAGE(AC164,AF164,AL164)</f>
        <v>1.3133333333333332</v>
      </c>
      <c r="AU164" s="7"/>
      <c r="AV164" s="7" t="s">
        <v>1796</v>
      </c>
      <c r="AW164" s="7"/>
      <c r="AX164" s="7" t="s">
        <v>1887</v>
      </c>
      <c r="AY164" s="7" t="s">
        <v>1509</v>
      </c>
      <c r="BD164" s="188"/>
    </row>
    <row r="165" spans="1:56">
      <c r="A165" s="7" t="s">
        <v>33</v>
      </c>
      <c r="B165" s="7" t="s">
        <v>75</v>
      </c>
      <c r="C165" s="7" t="s">
        <v>348</v>
      </c>
      <c r="D165" s="7" t="s">
        <v>349</v>
      </c>
      <c r="E165" s="7" t="s">
        <v>350</v>
      </c>
      <c r="F165" s="7" t="s">
        <v>974</v>
      </c>
      <c r="G165" s="7" t="s">
        <v>1886</v>
      </c>
      <c r="H165" s="7" t="s">
        <v>4181</v>
      </c>
      <c r="I165" s="100">
        <v>1.1100000000000001E-3</v>
      </c>
      <c r="J165" s="100">
        <f t="shared" si="28"/>
        <v>1.1100000000000001</v>
      </c>
      <c r="K165" s="100">
        <f t="shared" si="29"/>
        <v>4.5322978786657475E-2</v>
      </c>
      <c r="L165" s="73" t="s">
        <v>1517</v>
      </c>
      <c r="M165" s="7" t="s">
        <v>1887</v>
      </c>
      <c r="N165" s="7" t="s">
        <v>1640</v>
      </c>
      <c r="O165" s="7" t="s">
        <v>1505</v>
      </c>
      <c r="P165" s="108" t="s">
        <v>1492</v>
      </c>
      <c r="Q165" s="7" t="s">
        <v>1850</v>
      </c>
      <c r="R165" s="7">
        <v>40.5</v>
      </c>
      <c r="S165" s="7">
        <f t="shared" si="27"/>
        <v>40.5</v>
      </c>
      <c r="T165" s="7">
        <v>-82.5</v>
      </c>
      <c r="U165" s="7">
        <v>1</v>
      </c>
      <c r="V165" s="7">
        <v>21</v>
      </c>
      <c r="W165" s="7">
        <f t="shared" si="30"/>
        <v>1.3222192947339193</v>
      </c>
      <c r="X165" s="7" t="s">
        <v>1779</v>
      </c>
      <c r="Y165" s="7" t="s">
        <v>1781</v>
      </c>
      <c r="Z165" s="7">
        <v>10</v>
      </c>
      <c r="AA165" s="7">
        <v>20</v>
      </c>
      <c r="AB165" s="7">
        <v>29.39</v>
      </c>
      <c r="AC165" s="7">
        <v>1.8</v>
      </c>
      <c r="AD165" s="7">
        <v>25</v>
      </c>
      <c r="AE165" s="7">
        <v>72.709999999999994</v>
      </c>
      <c r="AF165" s="7">
        <v>1.5</v>
      </c>
      <c r="AG165" s="7">
        <v>38</v>
      </c>
      <c r="AH165" s="7">
        <v>20.2</v>
      </c>
      <c r="AI165" s="7">
        <v>1.1000000000000001</v>
      </c>
      <c r="AJ165" s="7">
        <v>32</v>
      </c>
      <c r="AK165" s="7">
        <v>55.44</v>
      </c>
      <c r="AL165" s="7">
        <v>2</v>
      </c>
      <c r="AM165" s="7">
        <v>36</v>
      </c>
      <c r="AN165" s="7">
        <f t="shared" si="31"/>
        <v>2.473970738346376</v>
      </c>
      <c r="AO165" s="7">
        <f t="shared" si="32"/>
        <v>1.8863559033684927</v>
      </c>
      <c r="AP165" s="7">
        <f t="shared" si="33"/>
        <v>0.88635590336849268</v>
      </c>
      <c r="AQ165" s="7">
        <f t="shared" si="34"/>
        <v>-5.1902157092951894E-2</v>
      </c>
      <c r="AR165" s="7">
        <f t="shared" si="35"/>
        <v>5.1902157092951894E-2</v>
      </c>
      <c r="AS165" s="7">
        <f t="shared" si="36"/>
        <v>33</v>
      </c>
      <c r="AT165" s="184">
        <f>AVERAGE(AC165,AF165,AL165)</f>
        <v>1.7666666666666666</v>
      </c>
      <c r="AU165" s="7"/>
      <c r="AV165" s="7" t="s">
        <v>1796</v>
      </c>
      <c r="AW165" s="7"/>
      <c r="AX165" s="7" t="s">
        <v>1887</v>
      </c>
      <c r="AY165" s="7" t="s">
        <v>1509</v>
      </c>
      <c r="BD165" s="188"/>
    </row>
    <row r="166" spans="1:56">
      <c r="A166" s="7" t="s">
        <v>33</v>
      </c>
      <c r="B166" s="7" t="s">
        <v>75</v>
      </c>
      <c r="C166" s="7" t="s">
        <v>76</v>
      </c>
      <c r="D166" s="7" t="s">
        <v>77</v>
      </c>
      <c r="E166" s="7" t="s">
        <v>664</v>
      </c>
      <c r="F166" s="7" t="s">
        <v>665</v>
      </c>
      <c r="G166" s="7" t="s">
        <v>2057</v>
      </c>
      <c r="H166" s="7" t="s">
        <v>4181</v>
      </c>
      <c r="I166" s="100">
        <f>1.1/1000</f>
        <v>1.1000000000000001E-3</v>
      </c>
      <c r="J166" s="100">
        <f t="shared" si="28"/>
        <v>1.1000000000000001</v>
      </c>
      <c r="K166" s="100">
        <f t="shared" si="29"/>
        <v>4.1392685158225077E-2</v>
      </c>
      <c r="L166" s="73" t="s">
        <v>1517</v>
      </c>
      <c r="M166" s="7" t="s">
        <v>2054</v>
      </c>
      <c r="N166" s="7" t="s">
        <v>1538</v>
      </c>
      <c r="O166" s="7" t="s">
        <v>1505</v>
      </c>
      <c r="P166" s="108" t="s">
        <v>1492</v>
      </c>
      <c r="Q166" s="7" t="s">
        <v>2055</v>
      </c>
      <c r="R166" s="7">
        <v>42.078111100000001</v>
      </c>
      <c r="S166" s="7">
        <f t="shared" si="27"/>
        <v>42.078111100000001</v>
      </c>
      <c r="T166" s="7">
        <v>-96.926944000000006</v>
      </c>
      <c r="U166" s="7">
        <v>1</v>
      </c>
      <c r="V166" s="7">
        <v>7</v>
      </c>
      <c r="W166" s="7">
        <f t="shared" si="30"/>
        <v>0.84509804001425681</v>
      </c>
      <c r="X166" s="7" t="s">
        <v>1779</v>
      </c>
      <c r="Y166" s="7" t="s">
        <v>1781</v>
      </c>
      <c r="Z166" s="7">
        <v>5</v>
      </c>
      <c r="AA166" s="7">
        <v>15</v>
      </c>
      <c r="AB166" s="7">
        <v>0.04</v>
      </c>
      <c r="AC166" s="7"/>
      <c r="AD166" s="7">
        <v>6</v>
      </c>
      <c r="AE166" s="7">
        <v>0.09</v>
      </c>
      <c r="AF166" s="7"/>
      <c r="AG166" s="7">
        <v>6</v>
      </c>
      <c r="AH166" s="7">
        <v>0.05</v>
      </c>
      <c r="AI166" s="7"/>
      <c r="AJ166" s="7">
        <v>6</v>
      </c>
      <c r="AK166" s="7">
        <v>0.11</v>
      </c>
      <c r="AL166" s="7"/>
      <c r="AM166" s="7">
        <v>6</v>
      </c>
      <c r="AN166" s="7">
        <f t="shared" si="31"/>
        <v>2.25</v>
      </c>
      <c r="AO166" s="7">
        <f t="shared" si="32"/>
        <v>2.75</v>
      </c>
      <c r="AP166" s="7">
        <f t="shared" si="33"/>
        <v>1.75</v>
      </c>
      <c r="AQ166" s="7">
        <f t="shared" si="34"/>
        <v>0.24328614608344612</v>
      </c>
      <c r="AR166" s="7">
        <f t="shared" si="35"/>
        <v>-0.24328614608344612</v>
      </c>
      <c r="AS166" s="7">
        <f t="shared" si="36"/>
        <v>6</v>
      </c>
      <c r="AT166" s="184"/>
      <c r="AU166" s="7"/>
      <c r="AV166" s="7" t="s">
        <v>1796</v>
      </c>
      <c r="AW166" s="7"/>
      <c r="AX166" s="7" t="s">
        <v>2056</v>
      </c>
      <c r="AY166" s="7" t="s">
        <v>1509</v>
      </c>
      <c r="BD166" s="188"/>
    </row>
    <row r="167" spans="1:56">
      <c r="A167" s="7" t="s">
        <v>33</v>
      </c>
      <c r="B167" s="7" t="s">
        <v>75</v>
      </c>
      <c r="C167" s="7" t="s">
        <v>76</v>
      </c>
      <c r="D167" s="7" t="s">
        <v>77</v>
      </c>
      <c r="E167" s="7" t="s">
        <v>664</v>
      </c>
      <c r="F167" s="7" t="s">
        <v>665</v>
      </c>
      <c r="G167" s="7" t="s">
        <v>2057</v>
      </c>
      <c r="H167" s="7" t="s">
        <v>4181</v>
      </c>
      <c r="I167" s="100">
        <f>1.1/1000</f>
        <v>1.1000000000000001E-3</v>
      </c>
      <c r="J167" s="100">
        <f t="shared" si="28"/>
        <v>1.1000000000000001</v>
      </c>
      <c r="K167" s="100">
        <f t="shared" si="29"/>
        <v>4.1392685158225077E-2</v>
      </c>
      <c r="L167" s="73" t="s">
        <v>1517</v>
      </c>
      <c r="M167" s="7" t="s">
        <v>2054</v>
      </c>
      <c r="N167" s="7" t="s">
        <v>1538</v>
      </c>
      <c r="O167" s="7" t="s">
        <v>1505</v>
      </c>
      <c r="P167" s="108" t="s">
        <v>1492</v>
      </c>
      <c r="Q167" s="7" t="s">
        <v>2055</v>
      </c>
      <c r="R167" s="7">
        <v>42.078111100000001</v>
      </c>
      <c r="S167" s="7">
        <f t="shared" si="27"/>
        <v>42.078111100000001</v>
      </c>
      <c r="T167" s="7">
        <v>-96.926944000000006</v>
      </c>
      <c r="U167" s="7">
        <v>1</v>
      </c>
      <c r="V167" s="7">
        <v>7</v>
      </c>
      <c r="W167" s="7">
        <f t="shared" si="30"/>
        <v>0.84509804001425681</v>
      </c>
      <c r="X167" s="7" t="s">
        <v>1779</v>
      </c>
      <c r="Y167" s="7" t="s">
        <v>1781</v>
      </c>
      <c r="Z167" s="7">
        <v>15</v>
      </c>
      <c r="AA167" s="7">
        <v>25</v>
      </c>
      <c r="AB167" s="7">
        <v>0.05</v>
      </c>
      <c r="AC167" s="7"/>
      <c r="AD167" s="7">
        <v>6</v>
      </c>
      <c r="AE167" s="7">
        <v>0.19</v>
      </c>
      <c r="AF167" s="7"/>
      <c r="AG167" s="7">
        <v>6</v>
      </c>
      <c r="AH167" s="7">
        <v>0.14000000000000001</v>
      </c>
      <c r="AI167" s="7"/>
      <c r="AJ167" s="7">
        <v>6</v>
      </c>
      <c r="AK167" s="7">
        <v>0.23</v>
      </c>
      <c r="AL167" s="7"/>
      <c r="AM167" s="7">
        <v>6</v>
      </c>
      <c r="AN167" s="7">
        <f t="shared" si="31"/>
        <v>3.8</v>
      </c>
      <c r="AO167" s="7">
        <f t="shared" si="32"/>
        <v>4.5999999999999996</v>
      </c>
      <c r="AP167" s="7">
        <f t="shared" si="33"/>
        <v>3.5999999999999996</v>
      </c>
      <c r="AQ167" s="7">
        <f t="shared" si="34"/>
        <v>0.55642312137128525</v>
      </c>
      <c r="AR167" s="7">
        <f t="shared" si="35"/>
        <v>-0.55642312137128525</v>
      </c>
      <c r="AS167" s="7">
        <f t="shared" si="36"/>
        <v>6</v>
      </c>
      <c r="AT167" s="184"/>
      <c r="AU167" s="7"/>
      <c r="AV167" s="7" t="s">
        <v>1796</v>
      </c>
      <c r="AW167" s="7"/>
      <c r="AX167" s="7" t="s">
        <v>2056</v>
      </c>
      <c r="AY167" s="7" t="s">
        <v>1509</v>
      </c>
      <c r="BD167" s="188"/>
    </row>
    <row r="168" spans="1:56">
      <c r="A168" s="7" t="s">
        <v>33</v>
      </c>
      <c r="B168" s="7" t="s">
        <v>75</v>
      </c>
      <c r="C168" s="7" t="s">
        <v>76</v>
      </c>
      <c r="D168" s="7" t="s">
        <v>77</v>
      </c>
      <c r="E168" s="7" t="s">
        <v>664</v>
      </c>
      <c r="F168" s="7" t="s">
        <v>665</v>
      </c>
      <c r="G168" s="7" t="s">
        <v>2057</v>
      </c>
      <c r="H168" s="7" t="s">
        <v>4181</v>
      </c>
      <c r="I168" s="100">
        <f>1.1/1000</f>
        <v>1.1000000000000001E-3</v>
      </c>
      <c r="J168" s="100">
        <f t="shared" si="28"/>
        <v>1.1000000000000001</v>
      </c>
      <c r="K168" s="100">
        <f t="shared" si="29"/>
        <v>4.1392685158225077E-2</v>
      </c>
      <c r="L168" s="73" t="s">
        <v>1517</v>
      </c>
      <c r="M168" s="7" t="s">
        <v>2054</v>
      </c>
      <c r="N168" s="7" t="s">
        <v>1538</v>
      </c>
      <c r="O168" s="7" t="s">
        <v>1505</v>
      </c>
      <c r="P168" s="108" t="s">
        <v>1492</v>
      </c>
      <c r="Q168" s="7" t="s">
        <v>2055</v>
      </c>
      <c r="R168" s="7">
        <v>42.078111100000001</v>
      </c>
      <c r="S168" s="7">
        <f t="shared" si="27"/>
        <v>42.078111100000001</v>
      </c>
      <c r="T168" s="7">
        <v>-96.926944000000006</v>
      </c>
      <c r="U168" s="7">
        <v>1</v>
      </c>
      <c r="V168" s="7">
        <v>7</v>
      </c>
      <c r="W168" s="7">
        <f t="shared" si="30"/>
        <v>0.84509804001425681</v>
      </c>
      <c r="X168" s="7" t="s">
        <v>1779</v>
      </c>
      <c r="Y168" s="7" t="s">
        <v>1781</v>
      </c>
      <c r="Z168" s="7">
        <v>5</v>
      </c>
      <c r="AA168" s="7">
        <v>25</v>
      </c>
      <c r="AB168" s="7">
        <v>0.04</v>
      </c>
      <c r="AC168" s="7"/>
      <c r="AD168" s="7">
        <v>6</v>
      </c>
      <c r="AE168" s="7">
        <v>0.2</v>
      </c>
      <c r="AF168" s="7"/>
      <c r="AG168" s="7">
        <v>6</v>
      </c>
      <c r="AH168" s="7">
        <v>0.08</v>
      </c>
      <c r="AI168" s="7"/>
      <c r="AJ168" s="7">
        <v>6</v>
      </c>
      <c r="AK168" s="7">
        <v>0.23</v>
      </c>
      <c r="AL168" s="7"/>
      <c r="AM168" s="7">
        <v>6</v>
      </c>
      <c r="AN168" s="7">
        <f t="shared" si="31"/>
        <v>2.2360679774997898</v>
      </c>
      <c r="AO168" s="7">
        <f t="shared" si="32"/>
        <v>2.3979157616563596</v>
      </c>
      <c r="AP168" s="7">
        <f t="shared" si="33"/>
        <v>1.3979157616563596</v>
      </c>
      <c r="AQ168" s="7">
        <f t="shared" si="34"/>
        <v>0.14579156342014765</v>
      </c>
      <c r="AR168" s="7">
        <f t="shared" si="35"/>
        <v>-0.14579156342014765</v>
      </c>
      <c r="AS168" s="7">
        <f t="shared" si="36"/>
        <v>6</v>
      </c>
      <c r="AT168" s="184"/>
      <c r="AU168" s="7"/>
      <c r="AV168" s="7" t="s">
        <v>1796</v>
      </c>
      <c r="AW168" s="7"/>
      <c r="AX168" s="7" t="s">
        <v>2056</v>
      </c>
      <c r="AY168" s="7" t="s">
        <v>1509</v>
      </c>
      <c r="BD168" s="188"/>
    </row>
    <row r="169" spans="1:56">
      <c r="A169" s="7" t="s">
        <v>33</v>
      </c>
      <c r="B169" s="7" t="s">
        <v>75</v>
      </c>
      <c r="C169" s="7" t="s">
        <v>348</v>
      </c>
      <c r="D169" s="7" t="s">
        <v>349</v>
      </c>
      <c r="E169" s="7" t="s">
        <v>350</v>
      </c>
      <c r="F169" s="7" t="s">
        <v>974</v>
      </c>
      <c r="G169" s="7" t="s">
        <v>1886</v>
      </c>
      <c r="H169" s="7" t="s">
        <v>4181</v>
      </c>
      <c r="I169" s="100">
        <v>1.09E-3</v>
      </c>
      <c r="J169" s="100">
        <f t="shared" si="28"/>
        <v>1.0900000000000001</v>
      </c>
      <c r="K169" s="100">
        <f t="shared" si="29"/>
        <v>3.7426497940623665E-2</v>
      </c>
      <c r="L169" s="73" t="s">
        <v>1517</v>
      </c>
      <c r="M169" s="7" t="s">
        <v>1887</v>
      </c>
      <c r="N169" s="7" t="s">
        <v>1640</v>
      </c>
      <c r="O169" s="7" t="s">
        <v>1505</v>
      </c>
      <c r="P169" s="108" t="s">
        <v>1492</v>
      </c>
      <c r="Q169" s="7" t="s">
        <v>1850</v>
      </c>
      <c r="R169" s="7">
        <v>40.5</v>
      </c>
      <c r="S169" s="7">
        <f t="shared" si="27"/>
        <v>40.5</v>
      </c>
      <c r="T169" s="7">
        <v>-82.5</v>
      </c>
      <c r="U169" s="7">
        <v>1</v>
      </c>
      <c r="V169" s="7">
        <v>21</v>
      </c>
      <c r="W169" s="7">
        <f t="shared" si="30"/>
        <v>1.3222192947339193</v>
      </c>
      <c r="X169" s="7" t="s">
        <v>1779</v>
      </c>
      <c r="Y169" s="7" t="s">
        <v>1781</v>
      </c>
      <c r="Z169" s="7">
        <v>5</v>
      </c>
      <c r="AA169" s="7">
        <v>20</v>
      </c>
      <c r="AB169" s="7">
        <v>16.190000000000001</v>
      </c>
      <c r="AC169" s="7">
        <v>1.34</v>
      </c>
      <c r="AD169" s="7">
        <v>41</v>
      </c>
      <c r="AE169" s="7">
        <v>68.099999999999994</v>
      </c>
      <c r="AF169" s="7">
        <v>1.1000000000000001</v>
      </c>
      <c r="AG169" s="7">
        <v>31</v>
      </c>
      <c r="AH169" s="7">
        <v>20.38</v>
      </c>
      <c r="AI169" s="7">
        <v>1.3</v>
      </c>
      <c r="AJ169" s="7">
        <v>39</v>
      </c>
      <c r="AK169" s="7">
        <v>55.44</v>
      </c>
      <c r="AL169" s="7">
        <v>2</v>
      </c>
      <c r="AM169" s="7">
        <v>36</v>
      </c>
      <c r="AN169" s="7">
        <f t="shared" si="31"/>
        <v>2.6057545739811863</v>
      </c>
      <c r="AO169" s="7">
        <f t="shared" si="32"/>
        <v>2.2718740376074233</v>
      </c>
      <c r="AP169" s="7">
        <f t="shared" si="33"/>
        <v>1.2718740376074233</v>
      </c>
      <c r="AQ169" s="7">
        <f t="shared" si="34"/>
        <v>0.10478542841508509</v>
      </c>
      <c r="AR169" s="7">
        <f t="shared" si="35"/>
        <v>-0.10478542841508509</v>
      </c>
      <c r="AS169" s="7">
        <f t="shared" si="36"/>
        <v>36</v>
      </c>
      <c r="AT169" s="184">
        <f t="shared" ref="AT169:AT188" si="38">AVERAGE(AC169,AF169,AL169)</f>
        <v>1.4800000000000002</v>
      </c>
      <c r="AU169" s="7"/>
      <c r="AV169" s="7" t="s">
        <v>1796</v>
      </c>
      <c r="AW169" s="7"/>
      <c r="AX169" s="7" t="s">
        <v>1887</v>
      </c>
      <c r="AY169" s="7" t="s">
        <v>1509</v>
      </c>
      <c r="BD169" s="188"/>
    </row>
    <row r="170" spans="1:56">
      <c r="A170" s="7" t="s">
        <v>33</v>
      </c>
      <c r="B170" s="7" t="s">
        <v>75</v>
      </c>
      <c r="C170" s="7" t="s">
        <v>348</v>
      </c>
      <c r="D170" s="7" t="s">
        <v>349</v>
      </c>
      <c r="E170" s="7" t="s">
        <v>350</v>
      </c>
      <c r="F170" s="7" t="s">
        <v>974</v>
      </c>
      <c r="G170" s="7" t="s">
        <v>1886</v>
      </c>
      <c r="H170" s="7" t="s">
        <v>4181</v>
      </c>
      <c r="I170" s="100">
        <f>0.00107</f>
        <v>1.07E-3</v>
      </c>
      <c r="J170" s="100">
        <f t="shared" si="28"/>
        <v>1.07</v>
      </c>
      <c r="K170" s="100">
        <f t="shared" si="29"/>
        <v>2.9383777685209667E-2</v>
      </c>
      <c r="L170" s="73" t="s">
        <v>1517</v>
      </c>
      <c r="M170" s="7" t="s">
        <v>1887</v>
      </c>
      <c r="N170" s="7" t="s">
        <v>1640</v>
      </c>
      <c r="O170" s="7" t="s">
        <v>1505</v>
      </c>
      <c r="P170" s="108" t="s">
        <v>1492</v>
      </c>
      <c r="Q170" s="7" t="s">
        <v>1850</v>
      </c>
      <c r="R170" s="7">
        <v>40.5</v>
      </c>
      <c r="S170" s="7">
        <f t="shared" si="27"/>
        <v>40.5</v>
      </c>
      <c r="T170" s="7">
        <v>-82.5</v>
      </c>
      <c r="U170" s="7">
        <v>1</v>
      </c>
      <c r="V170" s="7">
        <v>21</v>
      </c>
      <c r="W170" s="7">
        <f t="shared" si="30"/>
        <v>1.3222192947339193</v>
      </c>
      <c r="X170" s="7" t="s">
        <v>1779</v>
      </c>
      <c r="Y170" s="7" t="s">
        <v>1781</v>
      </c>
      <c r="Z170" s="7">
        <v>5</v>
      </c>
      <c r="AA170" s="7">
        <v>10</v>
      </c>
      <c r="AB170" s="7">
        <v>16.190000000000001</v>
      </c>
      <c r="AC170" s="7">
        <v>1.34</v>
      </c>
      <c r="AD170" s="7">
        <v>41</v>
      </c>
      <c r="AE170" s="7">
        <v>21.88</v>
      </c>
      <c r="AF170" s="7">
        <v>1.3</v>
      </c>
      <c r="AG170" s="7">
        <v>21</v>
      </c>
      <c r="AH170" s="7">
        <v>25.57</v>
      </c>
      <c r="AI170" s="7">
        <v>2</v>
      </c>
      <c r="AJ170" s="7">
        <v>38</v>
      </c>
      <c r="AK170" s="7">
        <v>29.39</v>
      </c>
      <c r="AL170" s="7">
        <v>1.8</v>
      </c>
      <c r="AM170" s="7">
        <v>25</v>
      </c>
      <c r="AN170" s="7">
        <f t="shared" si="31"/>
        <v>1.8264211927462672</v>
      </c>
      <c r="AO170" s="7">
        <f t="shared" si="32"/>
        <v>3.2953797954417903</v>
      </c>
      <c r="AP170" s="7">
        <f t="shared" si="33"/>
        <v>2.2953797954417903</v>
      </c>
      <c r="AQ170" s="7">
        <f t="shared" si="34"/>
        <v>0.36104371709875982</v>
      </c>
      <c r="AR170" s="7">
        <f t="shared" si="35"/>
        <v>-0.36104371709875982</v>
      </c>
      <c r="AS170" s="7">
        <f t="shared" si="36"/>
        <v>29</v>
      </c>
      <c r="AT170" s="184">
        <f t="shared" si="38"/>
        <v>1.4800000000000002</v>
      </c>
      <c r="AU170" s="7"/>
      <c r="AV170" s="7" t="s">
        <v>1796</v>
      </c>
      <c r="AW170" s="7"/>
      <c r="AX170" s="7" t="s">
        <v>1887</v>
      </c>
      <c r="AY170" s="7" t="s">
        <v>1509</v>
      </c>
      <c r="BD170" s="188"/>
    </row>
    <row r="171" spans="1:56">
      <c r="A171" s="7" t="s">
        <v>23</v>
      </c>
      <c r="B171" s="7" t="s">
        <v>1713</v>
      </c>
      <c r="C171" s="7" t="s">
        <v>2058</v>
      </c>
      <c r="D171" s="7" t="s">
        <v>2059</v>
      </c>
      <c r="E171" s="7" t="s">
        <v>2060</v>
      </c>
      <c r="F171" s="7" t="s">
        <v>2061</v>
      </c>
      <c r="G171" s="7" t="s">
        <v>2062</v>
      </c>
      <c r="H171" s="7" t="s">
        <v>4185</v>
      </c>
      <c r="I171" s="100">
        <f>0.93/1000</f>
        <v>9.3000000000000005E-4</v>
      </c>
      <c r="J171" s="100">
        <f t="shared" si="28"/>
        <v>0.93</v>
      </c>
      <c r="K171" s="100">
        <f t="shared" si="29"/>
        <v>-3.1517051446064863E-2</v>
      </c>
      <c r="L171" s="73" t="s">
        <v>1517</v>
      </c>
      <c r="M171" s="7" t="s">
        <v>2063</v>
      </c>
      <c r="N171" s="7" t="s">
        <v>1504</v>
      </c>
      <c r="O171" s="7" t="s">
        <v>1505</v>
      </c>
      <c r="P171" s="108" t="s">
        <v>1492</v>
      </c>
      <c r="Q171" s="7" t="s">
        <v>1884</v>
      </c>
      <c r="R171" s="7">
        <v>67.55</v>
      </c>
      <c r="S171" s="7">
        <f t="shared" si="27"/>
        <v>67.55</v>
      </c>
      <c r="T171" s="7">
        <v>68.099999999999994</v>
      </c>
      <c r="U171" s="7">
        <v>1</v>
      </c>
      <c r="V171" s="7">
        <v>60</v>
      </c>
      <c r="W171" s="7">
        <f t="shared" si="30"/>
        <v>1.7781512503836436</v>
      </c>
      <c r="X171" s="7" t="s">
        <v>1779</v>
      </c>
      <c r="Y171" s="7" t="s">
        <v>1781</v>
      </c>
      <c r="Z171" s="7">
        <v>0.9</v>
      </c>
      <c r="AA171" s="7">
        <v>3</v>
      </c>
      <c r="AB171" s="7">
        <v>8.25</v>
      </c>
      <c r="AC171" s="7">
        <v>2.14</v>
      </c>
      <c r="AD171" s="7">
        <v>0</v>
      </c>
      <c r="AE171" s="7">
        <v>9.76</v>
      </c>
      <c r="AF171" s="7">
        <v>2.65</v>
      </c>
      <c r="AG171" s="7">
        <v>10</v>
      </c>
      <c r="AH171" s="7"/>
      <c r="AI171" s="7"/>
      <c r="AJ171" s="7"/>
      <c r="AK171" s="7">
        <v>14.93</v>
      </c>
      <c r="AL171" s="7">
        <v>4.07</v>
      </c>
      <c r="AM171" s="108">
        <v>10</v>
      </c>
      <c r="AN171" s="7">
        <f t="shared" si="31"/>
        <v>2.2263804344849691</v>
      </c>
      <c r="AO171" s="7">
        <f t="shared" si="32"/>
        <v>16.853673160848558</v>
      </c>
      <c r="AP171" s="7">
        <f t="shared" si="33"/>
        <v>15.853673160848558</v>
      </c>
      <c r="AQ171" s="7">
        <f t="shared" si="34"/>
        <v>1.2001572936098435</v>
      </c>
      <c r="AR171" s="7">
        <f t="shared" si="35"/>
        <v>-1.2001572936098435</v>
      </c>
      <c r="AS171" s="7">
        <f t="shared" si="36"/>
        <v>6.666666666666667</v>
      </c>
      <c r="AT171" s="184">
        <f t="shared" si="38"/>
        <v>2.9533333333333331</v>
      </c>
      <c r="AU171" s="108"/>
      <c r="AV171" s="7"/>
      <c r="AW171" s="7"/>
      <c r="AX171" s="7" t="s">
        <v>2063</v>
      </c>
      <c r="AY171" s="7" t="s">
        <v>1509</v>
      </c>
      <c r="BD171" s="188"/>
    </row>
    <row r="172" spans="1:56">
      <c r="A172" s="7" t="s">
        <v>33</v>
      </c>
      <c r="B172" s="7" t="s">
        <v>34</v>
      </c>
      <c r="C172" s="7" t="s">
        <v>1512</v>
      </c>
      <c r="D172" s="7" t="s">
        <v>1513</v>
      </c>
      <c r="E172" s="7" t="s">
        <v>1514</v>
      </c>
      <c r="F172" s="7" t="s">
        <v>1515</v>
      </c>
      <c r="G172" s="7" t="s">
        <v>1516</v>
      </c>
      <c r="H172" s="7" t="s">
        <v>4180</v>
      </c>
      <c r="I172" s="100">
        <f>(AVERAGE(0.016, 1.57,0.026, 2))/1000</f>
        <v>9.0300000000000005E-4</v>
      </c>
      <c r="J172" s="100">
        <f t="shared" si="28"/>
        <v>0.90300000000000002</v>
      </c>
      <c r="K172" s="100">
        <f t="shared" si="29"/>
        <v>-4.4312249686494193E-2</v>
      </c>
      <c r="L172" s="73" t="s">
        <v>1517</v>
      </c>
      <c r="M172" s="7" t="s">
        <v>2064</v>
      </c>
      <c r="N172" s="7" t="s">
        <v>1504</v>
      </c>
      <c r="O172" s="7" t="s">
        <v>1505</v>
      </c>
      <c r="P172" s="108" t="s">
        <v>1539</v>
      </c>
      <c r="Q172" s="7" t="s">
        <v>2065</v>
      </c>
      <c r="R172" s="7">
        <v>66.599999999999994</v>
      </c>
      <c r="S172" s="7">
        <f t="shared" si="27"/>
        <v>66.599999999999994</v>
      </c>
      <c r="T172" s="7">
        <v>15.8</v>
      </c>
      <c r="U172" s="7">
        <v>1</v>
      </c>
      <c r="V172" s="7">
        <v>76</v>
      </c>
      <c r="W172" s="7">
        <f t="shared" si="30"/>
        <v>1.8808135922807914</v>
      </c>
      <c r="X172" s="7" t="s">
        <v>1779</v>
      </c>
      <c r="Y172" s="7" t="s">
        <v>1781</v>
      </c>
      <c r="Z172" s="7">
        <v>4</v>
      </c>
      <c r="AA172" s="7">
        <v>12.6</v>
      </c>
      <c r="AB172" s="108">
        <v>19.695374999999999</v>
      </c>
      <c r="AC172" s="108">
        <v>0.98690108665921439</v>
      </c>
      <c r="AD172" s="7">
        <v>29</v>
      </c>
      <c r="AE172" s="108">
        <v>98.164249999999996</v>
      </c>
      <c r="AF172" s="108">
        <v>3.1392490165676303</v>
      </c>
      <c r="AG172" s="7">
        <v>30</v>
      </c>
      <c r="AH172" s="108">
        <v>5.6272500000000001</v>
      </c>
      <c r="AI172" s="108">
        <v>0.17123176454005257</v>
      </c>
      <c r="AJ172" s="7">
        <v>30</v>
      </c>
      <c r="AK172" s="108">
        <v>14.380749999999999</v>
      </c>
      <c r="AL172" s="108">
        <v>0.45661803877347346</v>
      </c>
      <c r="AM172" s="7">
        <v>30</v>
      </c>
      <c r="AN172" s="7">
        <f t="shared" si="31"/>
        <v>6.4736634042860919</v>
      </c>
      <c r="AO172" s="7">
        <f t="shared" si="32"/>
        <v>0.69371787694848874</v>
      </c>
      <c r="AP172" s="7">
        <f t="shared" si="33"/>
        <v>0.30628212305151126</v>
      </c>
      <c r="AQ172" s="7">
        <f t="shared" si="34"/>
        <v>-0.51246270523636206</v>
      </c>
      <c r="AR172" s="7">
        <f t="shared" si="35"/>
        <v>0.51246270523636206</v>
      </c>
      <c r="AS172" s="7">
        <f t="shared" si="36"/>
        <v>29.666666666666668</v>
      </c>
      <c r="AT172" s="184">
        <f t="shared" si="38"/>
        <v>1.5275893806667726</v>
      </c>
      <c r="AU172" s="7"/>
      <c r="AV172" s="7" t="s">
        <v>1608</v>
      </c>
      <c r="AW172" s="7"/>
      <c r="AX172" s="7" t="s">
        <v>2064</v>
      </c>
      <c r="AY172" s="7" t="s">
        <v>1509</v>
      </c>
      <c r="BD172" s="188"/>
    </row>
    <row r="173" spans="1:56">
      <c r="A173" s="7" t="s">
        <v>33</v>
      </c>
      <c r="B173" s="7" t="s">
        <v>34</v>
      </c>
      <c r="C173" s="7" t="s">
        <v>1512</v>
      </c>
      <c r="D173" s="7" t="s">
        <v>1513</v>
      </c>
      <c r="E173" s="7" t="s">
        <v>1514</v>
      </c>
      <c r="F173" s="7" t="s">
        <v>1515</v>
      </c>
      <c r="G173" s="7" t="s">
        <v>1516</v>
      </c>
      <c r="H173" s="7" t="s">
        <v>4180</v>
      </c>
      <c r="I173" s="100">
        <f>(AVERAGE(0.016, 1.57,0.026, 2))/1000</f>
        <v>9.0300000000000005E-4</v>
      </c>
      <c r="J173" s="100">
        <f t="shared" si="28"/>
        <v>0.90300000000000002</v>
      </c>
      <c r="K173" s="100">
        <f t="shared" si="29"/>
        <v>-4.4312249686494193E-2</v>
      </c>
      <c r="L173" s="73" t="s">
        <v>1517</v>
      </c>
      <c r="M173" s="7" t="s">
        <v>2064</v>
      </c>
      <c r="N173" s="7" t="s">
        <v>1504</v>
      </c>
      <c r="O173" s="7" t="s">
        <v>1505</v>
      </c>
      <c r="P173" s="108" t="s">
        <v>1539</v>
      </c>
      <c r="Q173" s="7" t="s">
        <v>2066</v>
      </c>
      <c r="R173" s="7">
        <v>63.5</v>
      </c>
      <c r="S173" s="7">
        <f t="shared" si="27"/>
        <v>63.5</v>
      </c>
      <c r="T173" s="7">
        <v>21.5</v>
      </c>
      <c r="U173" s="7">
        <v>1</v>
      </c>
      <c r="V173" s="7">
        <v>76</v>
      </c>
      <c r="W173" s="7">
        <f t="shared" si="30"/>
        <v>1.8808135922807914</v>
      </c>
      <c r="X173" s="7" t="s">
        <v>1779</v>
      </c>
      <c r="Y173" s="7" t="s">
        <v>1781</v>
      </c>
      <c r="Z173" s="7">
        <v>4</v>
      </c>
      <c r="AA173" s="7">
        <v>12.6</v>
      </c>
      <c r="AB173" s="108">
        <v>20.63325</v>
      </c>
      <c r="AC173" s="108">
        <v>2.0756824709121777</v>
      </c>
      <c r="AD173" s="7">
        <v>12</v>
      </c>
      <c r="AE173" s="108">
        <v>57.522999999999996</v>
      </c>
      <c r="AF173" s="108">
        <v>13.445055927737899</v>
      </c>
      <c r="AG173" s="7">
        <v>10</v>
      </c>
      <c r="AH173" s="108">
        <v>6.8777499999999998</v>
      </c>
      <c r="AI173" s="108">
        <v>2.0547811744806306</v>
      </c>
      <c r="AJ173" s="7">
        <v>30</v>
      </c>
      <c r="AK173" s="108">
        <v>21.571124999999999</v>
      </c>
      <c r="AL173" s="108">
        <v>0.97031333239363116</v>
      </c>
      <c r="AM173" s="7">
        <v>30</v>
      </c>
      <c r="AN173" s="7">
        <f t="shared" si="31"/>
        <v>3.294278669911209</v>
      </c>
      <c r="AO173" s="7">
        <f t="shared" si="32"/>
        <v>1.0530472416520691</v>
      </c>
      <c r="AP173" s="7">
        <f t="shared" si="33"/>
        <v>5.3047241652069088E-2</v>
      </c>
      <c r="AQ173" s="7">
        <f t="shared" si="34"/>
        <v>-1.26722646574127</v>
      </c>
      <c r="AR173" s="7">
        <f t="shared" si="35"/>
        <v>1.26722646574127</v>
      </c>
      <c r="AS173" s="7">
        <f t="shared" si="36"/>
        <v>17.333333333333332</v>
      </c>
      <c r="AT173" s="184">
        <f t="shared" si="38"/>
        <v>5.4970172436812357</v>
      </c>
      <c r="AU173" s="7"/>
      <c r="AV173" s="7" t="s">
        <v>1608</v>
      </c>
      <c r="AW173" s="7"/>
      <c r="AX173" s="7" t="s">
        <v>2067</v>
      </c>
      <c r="AY173" s="7" t="s">
        <v>1509</v>
      </c>
      <c r="BD173" s="188"/>
    </row>
    <row r="174" spans="1:56">
      <c r="A174" s="7" t="s">
        <v>33</v>
      </c>
      <c r="B174" s="7" t="s">
        <v>75</v>
      </c>
      <c r="C174" s="7" t="s">
        <v>348</v>
      </c>
      <c r="D174" s="7" t="s">
        <v>349</v>
      </c>
      <c r="E174" s="7" t="s">
        <v>393</v>
      </c>
      <c r="F174" s="7" t="s">
        <v>2068</v>
      </c>
      <c r="G174" s="7" t="s">
        <v>2069</v>
      </c>
      <c r="H174" s="7" t="s">
        <v>4181</v>
      </c>
      <c r="I174" s="100">
        <f>0.84/1000</f>
        <v>8.3999999999999993E-4</v>
      </c>
      <c r="J174" s="100">
        <f t="shared" si="28"/>
        <v>0.84</v>
      </c>
      <c r="K174" s="100">
        <f t="shared" si="29"/>
        <v>-7.5720713938118356E-2</v>
      </c>
      <c r="L174" s="73" t="s">
        <v>1517</v>
      </c>
      <c r="M174" s="107" t="s">
        <v>2070</v>
      </c>
      <c r="N174" s="7" t="s">
        <v>1538</v>
      </c>
      <c r="O174" s="7" t="s">
        <v>1505</v>
      </c>
      <c r="P174" s="108" t="s">
        <v>1492</v>
      </c>
      <c r="Q174" s="7" t="s">
        <v>2071</v>
      </c>
      <c r="R174" s="7">
        <v>36.07638</v>
      </c>
      <c r="S174" s="7">
        <f t="shared" si="27"/>
        <v>36.07638</v>
      </c>
      <c r="T174" s="7">
        <v>-94.16</v>
      </c>
      <c r="U174" s="7">
        <v>1</v>
      </c>
      <c r="V174" s="7">
        <v>14</v>
      </c>
      <c r="W174" s="7">
        <f t="shared" si="30"/>
        <v>1.146128035678238</v>
      </c>
      <c r="X174" s="7" t="s">
        <v>1779</v>
      </c>
      <c r="Y174" s="7" t="s">
        <v>1781</v>
      </c>
      <c r="Z174" s="7">
        <v>20</v>
      </c>
      <c r="AA174" s="7">
        <v>25</v>
      </c>
      <c r="AB174" s="7">
        <v>46.5</v>
      </c>
      <c r="AC174" s="7">
        <v>1.1299999999999999</v>
      </c>
      <c r="AD174" s="7">
        <v>15</v>
      </c>
      <c r="AE174" s="7">
        <v>75.2</v>
      </c>
      <c r="AF174" s="7">
        <v>1.79</v>
      </c>
      <c r="AG174" s="7">
        <v>15</v>
      </c>
      <c r="AH174" s="7">
        <v>54.7</v>
      </c>
      <c r="AI174" s="7">
        <v>1.97</v>
      </c>
      <c r="AJ174" s="7">
        <v>15</v>
      </c>
      <c r="AK174" s="7">
        <v>76</v>
      </c>
      <c r="AL174" s="7">
        <v>1.56</v>
      </c>
      <c r="AM174" s="7">
        <v>15</v>
      </c>
      <c r="AN174" s="7">
        <f t="shared" si="31"/>
        <v>2.6153497514163488</v>
      </c>
      <c r="AO174" s="7">
        <f t="shared" si="32"/>
        <v>2.6712914787836746</v>
      </c>
      <c r="AP174" s="7">
        <f t="shared" si="33"/>
        <v>1.6712914787836746</v>
      </c>
      <c r="AQ174" s="7">
        <f t="shared" si="34"/>
        <v>0.22331197680793199</v>
      </c>
      <c r="AR174" s="7">
        <f t="shared" si="35"/>
        <v>-0.22331197680793199</v>
      </c>
      <c r="AS174" s="7">
        <f t="shared" si="36"/>
        <v>15</v>
      </c>
      <c r="AT174" s="184">
        <f t="shared" si="38"/>
        <v>1.4933333333333334</v>
      </c>
      <c r="AU174" s="7"/>
      <c r="AV174" s="7" t="s">
        <v>2072</v>
      </c>
      <c r="AW174" s="7"/>
      <c r="AX174" s="107" t="s">
        <v>2070</v>
      </c>
      <c r="AY174" s="7" t="s">
        <v>1509</v>
      </c>
      <c r="BD174" s="188"/>
    </row>
    <row r="175" spans="1:56">
      <c r="A175" s="7" t="s">
        <v>33</v>
      </c>
      <c r="B175" s="7" t="s">
        <v>75</v>
      </c>
      <c r="C175" s="7" t="s">
        <v>348</v>
      </c>
      <c r="D175" s="7" t="s">
        <v>349</v>
      </c>
      <c r="E175" s="7" t="s">
        <v>817</v>
      </c>
      <c r="F175" s="7" t="s">
        <v>618</v>
      </c>
      <c r="G175" s="7" t="s">
        <v>2073</v>
      </c>
      <c r="H175" s="7" t="s">
        <v>4181</v>
      </c>
      <c r="I175" s="100">
        <f>0.77/1000</f>
        <v>7.7000000000000007E-4</v>
      </c>
      <c r="J175" s="100">
        <f t="shared" si="28"/>
        <v>0.77</v>
      </c>
      <c r="K175" s="100">
        <f t="shared" si="29"/>
        <v>-0.11350927482751812</v>
      </c>
      <c r="L175" s="73" t="s">
        <v>1517</v>
      </c>
      <c r="M175" s="107" t="s">
        <v>2070</v>
      </c>
      <c r="N175" s="7" t="s">
        <v>1640</v>
      </c>
      <c r="O175" s="7" t="s">
        <v>1505</v>
      </c>
      <c r="P175" s="108" t="s">
        <v>1492</v>
      </c>
      <c r="Q175" s="7" t="s">
        <v>2071</v>
      </c>
      <c r="R175" s="7">
        <v>36.076388999999999</v>
      </c>
      <c r="S175" s="7">
        <f t="shared" si="27"/>
        <v>36.076388999999999</v>
      </c>
      <c r="T175" s="7">
        <v>-94.16</v>
      </c>
      <c r="U175" s="7">
        <v>1</v>
      </c>
      <c r="V175" s="7">
        <v>14</v>
      </c>
      <c r="W175" s="7">
        <f t="shared" si="30"/>
        <v>1.146128035678238</v>
      </c>
      <c r="X175" s="7" t="s">
        <v>1779</v>
      </c>
      <c r="Y175" s="7" t="s">
        <v>1781</v>
      </c>
      <c r="Z175" s="7">
        <v>10</v>
      </c>
      <c r="AA175" s="7">
        <v>15</v>
      </c>
      <c r="AB175" s="7">
        <v>14.8</v>
      </c>
      <c r="AC175" s="7">
        <v>0.38</v>
      </c>
      <c r="AD175" s="7">
        <v>15</v>
      </c>
      <c r="AE175" s="7">
        <v>26.3</v>
      </c>
      <c r="AF175" s="7">
        <v>0.67</v>
      </c>
      <c r="AG175" s="7">
        <v>15</v>
      </c>
      <c r="AH175" s="7">
        <v>15.8</v>
      </c>
      <c r="AI175" s="7">
        <v>0.38</v>
      </c>
      <c r="AJ175" s="7">
        <v>15</v>
      </c>
      <c r="AK175" s="7">
        <v>21.8</v>
      </c>
      <c r="AL175" s="7">
        <v>0.64</v>
      </c>
      <c r="AM175" s="7">
        <v>15</v>
      </c>
      <c r="AN175" s="7">
        <f t="shared" si="31"/>
        <v>3.1578250547845141</v>
      </c>
      <c r="AO175" s="7">
        <f t="shared" si="32"/>
        <v>2.1696493791088387</v>
      </c>
      <c r="AP175" s="7">
        <f t="shared" si="33"/>
        <v>1.1696493791088387</v>
      </c>
      <c r="AQ175" s="7">
        <f t="shared" si="34"/>
        <v>6.8426839120547381E-2</v>
      </c>
      <c r="AR175" s="7">
        <f t="shared" si="35"/>
        <v>-6.8426839120547381E-2</v>
      </c>
      <c r="AS175" s="7">
        <f t="shared" si="36"/>
        <v>15</v>
      </c>
      <c r="AT175" s="184">
        <f t="shared" si="38"/>
        <v>0.56333333333333335</v>
      </c>
      <c r="AU175" s="7"/>
      <c r="AV175" s="7" t="s">
        <v>2072</v>
      </c>
      <c r="AW175" s="7"/>
      <c r="AX175" s="107" t="s">
        <v>2074</v>
      </c>
      <c r="AY175" s="7" t="s">
        <v>1509</v>
      </c>
      <c r="BD175" s="188"/>
    </row>
    <row r="176" spans="1:56">
      <c r="A176" s="7" t="s">
        <v>33</v>
      </c>
      <c r="B176" s="7" t="s">
        <v>75</v>
      </c>
      <c r="C176" s="7" t="s">
        <v>348</v>
      </c>
      <c r="D176" s="7" t="s">
        <v>349</v>
      </c>
      <c r="E176" s="7" t="s">
        <v>393</v>
      </c>
      <c r="F176" s="7" t="s">
        <v>2068</v>
      </c>
      <c r="G176" s="7" t="s">
        <v>2069</v>
      </c>
      <c r="H176" s="7" t="s">
        <v>4181</v>
      </c>
      <c r="I176" s="100">
        <f>AVERAGE(0.78, 0.8, 0.65, 0.79)/1000</f>
        <v>7.5500000000000003E-4</v>
      </c>
      <c r="J176" s="100">
        <f t="shared" si="28"/>
        <v>0.755</v>
      </c>
      <c r="K176" s="100">
        <f t="shared" si="29"/>
        <v>-0.12205304837081175</v>
      </c>
      <c r="L176" s="73" t="s">
        <v>1517</v>
      </c>
      <c r="M176" s="107" t="s">
        <v>2075</v>
      </c>
      <c r="N176" s="7" t="s">
        <v>1538</v>
      </c>
      <c r="O176" s="7" t="s">
        <v>1505</v>
      </c>
      <c r="P176" s="108" t="s">
        <v>1492</v>
      </c>
      <c r="Q176" s="7" t="s">
        <v>2071</v>
      </c>
      <c r="R176" s="7">
        <v>36.076388999999999</v>
      </c>
      <c r="S176" s="7">
        <f t="shared" si="27"/>
        <v>36.076388999999999</v>
      </c>
      <c r="T176" s="7">
        <v>-94.16</v>
      </c>
      <c r="U176" s="7">
        <v>1</v>
      </c>
      <c r="V176" s="7">
        <v>14</v>
      </c>
      <c r="W176" s="7">
        <f t="shared" si="30"/>
        <v>1.146128035678238</v>
      </c>
      <c r="X176" s="7" t="s">
        <v>1779</v>
      </c>
      <c r="Y176" s="7" t="s">
        <v>1781</v>
      </c>
      <c r="Z176" s="7">
        <v>15</v>
      </c>
      <c r="AA176" s="7">
        <v>20</v>
      </c>
      <c r="AB176" s="7">
        <v>178.7</v>
      </c>
      <c r="AC176" s="7">
        <v>8.9</v>
      </c>
      <c r="AD176" s="7">
        <v>15</v>
      </c>
      <c r="AE176" s="7">
        <v>260</v>
      </c>
      <c r="AF176" s="7">
        <v>12.5</v>
      </c>
      <c r="AG176" s="7">
        <v>15</v>
      </c>
      <c r="AH176" s="7">
        <v>150</v>
      </c>
      <c r="AI176" s="7">
        <v>6.9</v>
      </c>
      <c r="AJ176" s="7">
        <v>15</v>
      </c>
      <c r="AK176" s="7">
        <v>223.3</v>
      </c>
      <c r="AL176" s="7">
        <v>12.3</v>
      </c>
      <c r="AM176" s="7">
        <v>15</v>
      </c>
      <c r="AN176" s="7">
        <f t="shared" si="31"/>
        <v>2.1168865859222663</v>
      </c>
      <c r="AO176" s="7">
        <f t="shared" si="32"/>
        <v>1.56145093160233</v>
      </c>
      <c r="AP176" s="7">
        <f t="shared" si="33"/>
        <v>0.56145093160232995</v>
      </c>
      <c r="AQ176" s="7">
        <f t="shared" si="34"/>
        <v>-0.24991535955236585</v>
      </c>
      <c r="AR176" s="7">
        <f t="shared" si="35"/>
        <v>0.24991535955236585</v>
      </c>
      <c r="AS176" s="7">
        <f t="shared" si="36"/>
        <v>15</v>
      </c>
      <c r="AT176" s="184">
        <f t="shared" si="38"/>
        <v>11.233333333333334</v>
      </c>
      <c r="AU176" s="7"/>
      <c r="AV176" s="7" t="s">
        <v>1796</v>
      </c>
      <c r="AW176" s="7"/>
      <c r="AX176" s="107" t="s">
        <v>2075</v>
      </c>
      <c r="AY176" s="7" t="s">
        <v>1509</v>
      </c>
      <c r="BD176" s="188"/>
    </row>
    <row r="177" spans="1:56">
      <c r="A177" s="7" t="s">
        <v>33</v>
      </c>
      <c r="B177" s="7" t="s">
        <v>75</v>
      </c>
      <c r="C177" s="7" t="s">
        <v>348</v>
      </c>
      <c r="D177" s="7" t="s">
        <v>349</v>
      </c>
      <c r="E177" s="7" t="s">
        <v>393</v>
      </c>
      <c r="F177" s="7" t="s">
        <v>2068</v>
      </c>
      <c r="G177" s="7" t="s">
        <v>2069</v>
      </c>
      <c r="H177" s="7" t="s">
        <v>4181</v>
      </c>
      <c r="I177" s="100">
        <f>AVERAGE(0.78, 0.8, 0.65, 0.79)/1000</f>
        <v>7.5500000000000003E-4</v>
      </c>
      <c r="J177" s="100">
        <f t="shared" si="28"/>
        <v>0.755</v>
      </c>
      <c r="K177" s="100">
        <f t="shared" si="29"/>
        <v>-0.12205304837081175</v>
      </c>
      <c r="L177" s="73" t="s">
        <v>1517</v>
      </c>
      <c r="M177" s="107" t="s">
        <v>2075</v>
      </c>
      <c r="N177" s="7" t="s">
        <v>1538</v>
      </c>
      <c r="O177" s="7" t="s">
        <v>1505</v>
      </c>
      <c r="P177" s="108" t="s">
        <v>1492</v>
      </c>
      <c r="Q177" s="7" t="s">
        <v>2071</v>
      </c>
      <c r="R177" s="7">
        <v>36.076388999999999</v>
      </c>
      <c r="S177" s="7">
        <f t="shared" si="27"/>
        <v>36.076388999999999</v>
      </c>
      <c r="T177" s="7">
        <v>-94.16</v>
      </c>
      <c r="U177" s="7">
        <v>1</v>
      </c>
      <c r="V177" s="7">
        <v>14</v>
      </c>
      <c r="W177" s="7">
        <f t="shared" si="30"/>
        <v>1.146128035678238</v>
      </c>
      <c r="X177" s="7" t="s">
        <v>1779</v>
      </c>
      <c r="Y177" s="7" t="s">
        <v>1781</v>
      </c>
      <c r="Z177" s="7">
        <v>5</v>
      </c>
      <c r="AA177" s="7">
        <v>10</v>
      </c>
      <c r="AB177" s="7">
        <v>41.3</v>
      </c>
      <c r="AC177" s="7">
        <v>3.1</v>
      </c>
      <c r="AD177" s="7">
        <v>15</v>
      </c>
      <c r="AE177" s="7">
        <v>111.3</v>
      </c>
      <c r="AF177" s="7">
        <v>8.6</v>
      </c>
      <c r="AG177" s="7">
        <v>15</v>
      </c>
      <c r="AH177" s="7">
        <v>68</v>
      </c>
      <c r="AI177" s="7">
        <v>2.2000000000000002</v>
      </c>
      <c r="AJ177" s="7">
        <v>15</v>
      </c>
      <c r="AK177" s="7">
        <v>107.3</v>
      </c>
      <c r="AL177" s="7">
        <v>6.8</v>
      </c>
      <c r="AM177" s="7">
        <v>15</v>
      </c>
      <c r="AN177" s="7">
        <f t="shared" si="31"/>
        <v>7.262568227520827</v>
      </c>
      <c r="AO177" s="7">
        <f t="shared" si="32"/>
        <v>6.7499311129220443</v>
      </c>
      <c r="AP177" s="7">
        <f t="shared" si="33"/>
        <v>5.7499311129220443</v>
      </c>
      <c r="AQ177" s="7">
        <f t="shared" si="34"/>
        <v>0.75973816546644168</v>
      </c>
      <c r="AR177" s="7">
        <f t="shared" si="35"/>
        <v>-0.75973816546644168</v>
      </c>
      <c r="AS177" s="7">
        <f t="shared" si="36"/>
        <v>15</v>
      </c>
      <c r="AT177" s="184">
        <f t="shared" si="38"/>
        <v>6.166666666666667</v>
      </c>
      <c r="AU177" s="7"/>
      <c r="AV177" s="7" t="s">
        <v>1796</v>
      </c>
      <c r="AW177" s="7"/>
      <c r="AX177" s="107" t="s">
        <v>2075</v>
      </c>
      <c r="AY177" s="7" t="s">
        <v>1509</v>
      </c>
      <c r="BD177" s="188"/>
    </row>
    <row r="178" spans="1:56">
      <c r="A178" s="7" t="s">
        <v>33</v>
      </c>
      <c r="B178" s="7" t="s">
        <v>75</v>
      </c>
      <c r="C178" s="7" t="s">
        <v>348</v>
      </c>
      <c r="D178" s="7" t="s">
        <v>349</v>
      </c>
      <c r="E178" s="7" t="s">
        <v>393</v>
      </c>
      <c r="F178" s="7" t="s">
        <v>2068</v>
      </c>
      <c r="G178" s="7" t="s">
        <v>2069</v>
      </c>
      <c r="H178" s="7" t="s">
        <v>4181</v>
      </c>
      <c r="I178" s="100">
        <f>AVERAGE(0.78, 0.8, 0.65, 0.79)/1000</f>
        <v>7.5500000000000003E-4</v>
      </c>
      <c r="J178" s="100">
        <f t="shared" si="28"/>
        <v>0.755</v>
      </c>
      <c r="K178" s="100">
        <f t="shared" si="29"/>
        <v>-0.12205304837081175</v>
      </c>
      <c r="L178" s="73" t="s">
        <v>1517</v>
      </c>
      <c r="M178" s="107" t="s">
        <v>2075</v>
      </c>
      <c r="N178" s="7" t="s">
        <v>1538</v>
      </c>
      <c r="O178" s="7" t="s">
        <v>1505</v>
      </c>
      <c r="P178" s="108" t="s">
        <v>1492</v>
      </c>
      <c r="Q178" s="7" t="s">
        <v>2071</v>
      </c>
      <c r="R178" s="7">
        <v>36.076388999999999</v>
      </c>
      <c r="S178" s="7">
        <f t="shared" si="27"/>
        <v>36.076388999999999</v>
      </c>
      <c r="T178" s="7">
        <v>-94.16</v>
      </c>
      <c r="U178" s="7">
        <v>1</v>
      </c>
      <c r="V178" s="7">
        <v>14</v>
      </c>
      <c r="W178" s="7">
        <f t="shared" si="30"/>
        <v>1.146128035678238</v>
      </c>
      <c r="X178" s="7" t="s">
        <v>1779</v>
      </c>
      <c r="Y178" s="7" t="s">
        <v>1781</v>
      </c>
      <c r="Z178" s="7">
        <v>10</v>
      </c>
      <c r="AA178" s="7">
        <v>15</v>
      </c>
      <c r="AB178" s="7">
        <v>107.3</v>
      </c>
      <c r="AC178" s="7">
        <v>6.8</v>
      </c>
      <c r="AD178" s="7">
        <v>15</v>
      </c>
      <c r="AE178" s="7">
        <v>183.3</v>
      </c>
      <c r="AF178" s="7">
        <v>7.5</v>
      </c>
      <c r="AG178" s="7">
        <v>15</v>
      </c>
      <c r="AH178" s="7">
        <v>80</v>
      </c>
      <c r="AI178" s="7">
        <v>4.4000000000000004</v>
      </c>
      <c r="AJ178" s="7">
        <v>15</v>
      </c>
      <c r="AK178" s="7">
        <v>178.7</v>
      </c>
      <c r="AL178" s="7">
        <v>8.9</v>
      </c>
      <c r="AM178" s="7">
        <v>15</v>
      </c>
      <c r="AN178" s="7">
        <f t="shared" si="31"/>
        <v>2.9182701035064698</v>
      </c>
      <c r="AO178" s="7">
        <f t="shared" si="32"/>
        <v>2.7736372487794538</v>
      </c>
      <c r="AP178" s="7">
        <f t="shared" si="33"/>
        <v>1.7736372487794538</v>
      </c>
      <c r="AQ178" s="7">
        <f t="shared" si="34"/>
        <v>0.24910959291018486</v>
      </c>
      <c r="AR178" s="7">
        <f t="shared" si="35"/>
        <v>-0.24910959291018486</v>
      </c>
      <c r="AS178" s="7">
        <f t="shared" si="36"/>
        <v>15</v>
      </c>
      <c r="AT178" s="184">
        <f t="shared" si="38"/>
        <v>7.7333333333333343</v>
      </c>
      <c r="AU178" s="7"/>
      <c r="AV178" s="7" t="s">
        <v>1796</v>
      </c>
      <c r="AW178" s="7"/>
      <c r="AX178" s="107" t="s">
        <v>2075</v>
      </c>
      <c r="AY178" s="7" t="s">
        <v>1509</v>
      </c>
      <c r="BD178" s="188"/>
    </row>
    <row r="179" spans="1:56">
      <c r="A179" s="7" t="s">
        <v>33</v>
      </c>
      <c r="B179" s="7" t="s">
        <v>75</v>
      </c>
      <c r="C179" s="7" t="s">
        <v>348</v>
      </c>
      <c r="D179" s="7" t="s">
        <v>349</v>
      </c>
      <c r="E179" s="7" t="s">
        <v>817</v>
      </c>
      <c r="F179" s="7" t="s">
        <v>618</v>
      </c>
      <c r="G179" s="7" t="s">
        <v>2073</v>
      </c>
      <c r="H179" s="7" t="s">
        <v>4181</v>
      </c>
      <c r="I179" s="100">
        <f>0.75/1000</f>
        <v>7.5000000000000002E-4</v>
      </c>
      <c r="J179" s="100">
        <f t="shared" si="28"/>
        <v>0.75</v>
      </c>
      <c r="K179" s="100">
        <f t="shared" si="29"/>
        <v>-0.12493873660829995</v>
      </c>
      <c r="L179" s="73" t="s">
        <v>1517</v>
      </c>
      <c r="M179" s="107" t="s">
        <v>2070</v>
      </c>
      <c r="N179" s="7" t="s">
        <v>1640</v>
      </c>
      <c r="O179" s="7" t="s">
        <v>1505</v>
      </c>
      <c r="P179" s="108" t="s">
        <v>1492</v>
      </c>
      <c r="Q179" s="7" t="s">
        <v>2071</v>
      </c>
      <c r="R179" s="7">
        <v>36.076388999999999</v>
      </c>
      <c r="S179" s="7">
        <f t="shared" si="27"/>
        <v>36.076388999999999</v>
      </c>
      <c r="T179" s="7">
        <v>-94.16</v>
      </c>
      <c r="U179" s="7">
        <v>1</v>
      </c>
      <c r="V179" s="7">
        <v>14</v>
      </c>
      <c r="W179" s="7">
        <f t="shared" si="30"/>
        <v>1.146128035678238</v>
      </c>
      <c r="X179" s="7" t="s">
        <v>1779</v>
      </c>
      <c r="Y179" s="7" t="s">
        <v>1781</v>
      </c>
      <c r="Z179" s="7">
        <v>5</v>
      </c>
      <c r="AA179" s="7">
        <v>10</v>
      </c>
      <c r="AB179" s="7">
        <v>13.8</v>
      </c>
      <c r="AC179" s="7">
        <v>0.43</v>
      </c>
      <c r="AD179" s="7">
        <v>15</v>
      </c>
      <c r="AE179" s="7">
        <v>19.3</v>
      </c>
      <c r="AF179" s="7">
        <v>0.69</v>
      </c>
      <c r="AG179" s="7">
        <v>15</v>
      </c>
      <c r="AH179" s="7">
        <v>13.3</v>
      </c>
      <c r="AI179" s="7">
        <v>0.25</v>
      </c>
      <c r="AJ179" s="7">
        <v>15</v>
      </c>
      <c r="AK179" s="7">
        <v>14.8</v>
      </c>
      <c r="AL179" s="7">
        <v>0.38</v>
      </c>
      <c r="AM179" s="7">
        <v>15</v>
      </c>
      <c r="AN179" s="7">
        <f t="shared" si="31"/>
        <v>1.955944129384583</v>
      </c>
      <c r="AO179" s="7">
        <f t="shared" si="32"/>
        <v>1.1501785339214452</v>
      </c>
      <c r="AP179" s="7">
        <f t="shared" si="33"/>
        <v>0.1501785339214452</v>
      </c>
      <c r="AQ179" s="7">
        <f t="shared" si="34"/>
        <v>-0.82050987061588654</v>
      </c>
      <c r="AR179" s="7">
        <f t="shared" si="35"/>
        <v>0.82050987061588654</v>
      </c>
      <c r="AS179" s="7">
        <f t="shared" si="36"/>
        <v>15</v>
      </c>
      <c r="AT179" s="184">
        <f t="shared" si="38"/>
        <v>0.5</v>
      </c>
      <c r="AU179" s="7"/>
      <c r="AV179" s="7" t="s">
        <v>2072</v>
      </c>
      <c r="AW179" s="7" t="s">
        <v>2076</v>
      </c>
      <c r="AX179" s="107" t="s">
        <v>2074</v>
      </c>
      <c r="AY179" s="7" t="s">
        <v>1509</v>
      </c>
      <c r="BD179" s="188"/>
    </row>
    <row r="180" spans="1:56">
      <c r="A180" s="7" t="s">
        <v>33</v>
      </c>
      <c r="B180" s="7" t="s">
        <v>75</v>
      </c>
      <c r="C180" s="7" t="s">
        <v>348</v>
      </c>
      <c r="D180" s="7" t="s">
        <v>349</v>
      </c>
      <c r="E180" s="7" t="s">
        <v>393</v>
      </c>
      <c r="F180" s="7" t="s">
        <v>2068</v>
      </c>
      <c r="G180" s="7" t="s">
        <v>2069</v>
      </c>
      <c r="H180" s="7" t="s">
        <v>4181</v>
      </c>
      <c r="I180" s="100">
        <f>0.71/1000</f>
        <v>7.0999999999999991E-4</v>
      </c>
      <c r="J180" s="100">
        <f t="shared" si="28"/>
        <v>0.71</v>
      </c>
      <c r="K180" s="100">
        <f t="shared" si="29"/>
        <v>-0.14874165128092473</v>
      </c>
      <c r="L180" s="73" t="s">
        <v>1517</v>
      </c>
      <c r="M180" s="107" t="s">
        <v>2070</v>
      </c>
      <c r="N180" s="7" t="s">
        <v>1538</v>
      </c>
      <c r="O180" s="7" t="s">
        <v>1505</v>
      </c>
      <c r="P180" s="108" t="s">
        <v>1492</v>
      </c>
      <c r="Q180" s="7" t="s">
        <v>2071</v>
      </c>
      <c r="R180" s="7">
        <v>36.07638</v>
      </c>
      <c r="S180" s="7">
        <f t="shared" si="27"/>
        <v>36.07638</v>
      </c>
      <c r="T180" s="7">
        <v>-94.16</v>
      </c>
      <c r="U180" s="7">
        <v>1</v>
      </c>
      <c r="V180" s="7">
        <v>14</v>
      </c>
      <c r="W180" s="7">
        <f t="shared" si="30"/>
        <v>1.146128035678238</v>
      </c>
      <c r="X180" s="7" t="s">
        <v>1779</v>
      </c>
      <c r="Y180" s="7" t="s">
        <v>1781</v>
      </c>
      <c r="Z180" s="7">
        <v>15</v>
      </c>
      <c r="AA180" s="7">
        <v>20</v>
      </c>
      <c r="AB180" s="7">
        <v>21.8</v>
      </c>
      <c r="AC180" s="7">
        <v>0.64</v>
      </c>
      <c r="AD180" s="7">
        <v>15</v>
      </c>
      <c r="AE180" s="7">
        <v>61.9</v>
      </c>
      <c r="AF180" s="7">
        <v>3.23</v>
      </c>
      <c r="AG180" s="7">
        <v>15</v>
      </c>
      <c r="AH180" s="7">
        <v>47.3</v>
      </c>
      <c r="AI180" s="7">
        <v>2.1</v>
      </c>
      <c r="AJ180" s="7">
        <v>15</v>
      </c>
      <c r="AK180" s="7">
        <v>46.5</v>
      </c>
      <c r="AL180" s="7">
        <v>1.1299999999999999</v>
      </c>
      <c r="AM180" s="7">
        <v>15</v>
      </c>
      <c r="AN180" s="7">
        <f t="shared" si="31"/>
        <v>8.0624736975002094</v>
      </c>
      <c r="AO180" s="7">
        <f t="shared" si="32"/>
        <v>4.5498064136015488</v>
      </c>
      <c r="AP180" s="7">
        <f t="shared" si="33"/>
        <v>3.5498064136015488</v>
      </c>
      <c r="AQ180" s="7">
        <f t="shared" si="34"/>
        <v>0.55032699564817167</v>
      </c>
      <c r="AR180" s="7">
        <f t="shared" si="35"/>
        <v>-0.55032699564817167</v>
      </c>
      <c r="AS180" s="7">
        <f t="shared" si="36"/>
        <v>15</v>
      </c>
      <c r="AT180" s="184">
        <f t="shared" si="38"/>
        <v>1.6666666666666667</v>
      </c>
      <c r="AU180" s="7"/>
      <c r="AV180" s="7" t="s">
        <v>2072</v>
      </c>
      <c r="AW180" s="7"/>
      <c r="AX180" s="107" t="s">
        <v>2070</v>
      </c>
      <c r="AY180" s="7" t="s">
        <v>1509</v>
      </c>
      <c r="BD180" s="188"/>
    </row>
    <row r="181" spans="1:56">
      <c r="A181" s="7" t="s">
        <v>33</v>
      </c>
      <c r="B181" s="7" t="s">
        <v>75</v>
      </c>
      <c r="C181" s="7" t="s">
        <v>348</v>
      </c>
      <c r="D181" s="7" t="s">
        <v>349</v>
      </c>
      <c r="E181" s="7" t="s">
        <v>817</v>
      </c>
      <c r="F181" s="7" t="s">
        <v>618</v>
      </c>
      <c r="G181" s="7" t="s">
        <v>2073</v>
      </c>
      <c r="H181" s="7" t="s">
        <v>4181</v>
      </c>
      <c r="I181" s="100">
        <f>0.71/1000</f>
        <v>7.0999999999999991E-4</v>
      </c>
      <c r="J181" s="100">
        <f t="shared" si="28"/>
        <v>0.71</v>
      </c>
      <c r="K181" s="100">
        <f t="shared" si="29"/>
        <v>-0.14874165128092473</v>
      </c>
      <c r="L181" s="73" t="s">
        <v>1517</v>
      </c>
      <c r="M181" s="107" t="s">
        <v>2070</v>
      </c>
      <c r="N181" s="7" t="s">
        <v>1640</v>
      </c>
      <c r="O181" s="7" t="s">
        <v>1505</v>
      </c>
      <c r="P181" s="108" t="s">
        <v>1492</v>
      </c>
      <c r="Q181" s="7" t="s">
        <v>2071</v>
      </c>
      <c r="R181" s="7">
        <v>36.076388999999999</v>
      </c>
      <c r="S181" s="7">
        <f t="shared" si="27"/>
        <v>36.076388999999999</v>
      </c>
      <c r="T181" s="7">
        <v>-94.16</v>
      </c>
      <c r="U181" s="7">
        <v>1</v>
      </c>
      <c r="V181" s="7">
        <v>14</v>
      </c>
      <c r="W181" s="7">
        <f t="shared" si="30"/>
        <v>1.146128035678238</v>
      </c>
      <c r="X181" s="7" t="s">
        <v>1779</v>
      </c>
      <c r="Y181" s="7" t="s">
        <v>1781</v>
      </c>
      <c r="Z181" s="7">
        <v>20</v>
      </c>
      <c r="AA181" s="7">
        <v>25</v>
      </c>
      <c r="AB181" s="7">
        <v>46.5</v>
      </c>
      <c r="AC181" s="7">
        <v>1.1299999999999999</v>
      </c>
      <c r="AD181" s="7">
        <v>15</v>
      </c>
      <c r="AE181" s="7">
        <v>75.2</v>
      </c>
      <c r="AF181" s="7">
        <v>1.79</v>
      </c>
      <c r="AG181" s="7">
        <v>15</v>
      </c>
      <c r="AH181" s="7">
        <v>54.7</v>
      </c>
      <c r="AI181" s="7">
        <v>1.97</v>
      </c>
      <c r="AJ181" s="7">
        <v>15</v>
      </c>
      <c r="AK181" s="7">
        <v>76</v>
      </c>
      <c r="AL181" s="7">
        <v>1.56</v>
      </c>
      <c r="AM181" s="7">
        <v>15</v>
      </c>
      <c r="AN181" s="7">
        <f t="shared" si="31"/>
        <v>2.6153497514163488</v>
      </c>
      <c r="AO181" s="7">
        <f t="shared" si="32"/>
        <v>2.6712914787836746</v>
      </c>
      <c r="AP181" s="7">
        <f t="shared" si="33"/>
        <v>1.6712914787836746</v>
      </c>
      <c r="AQ181" s="7">
        <f t="shared" si="34"/>
        <v>0.22331197680793199</v>
      </c>
      <c r="AR181" s="7">
        <f t="shared" si="35"/>
        <v>-0.22331197680793199</v>
      </c>
      <c r="AS181" s="7">
        <f t="shared" si="36"/>
        <v>15</v>
      </c>
      <c r="AT181" s="184">
        <f t="shared" si="38"/>
        <v>1.4933333333333334</v>
      </c>
      <c r="AU181" s="7"/>
      <c r="AV181" s="7" t="s">
        <v>2072</v>
      </c>
      <c r="AW181" s="7"/>
      <c r="AX181" s="107" t="s">
        <v>2074</v>
      </c>
      <c r="AY181" s="7" t="s">
        <v>1509</v>
      </c>
      <c r="BD181" s="188"/>
    </row>
    <row r="182" spans="1:56">
      <c r="A182" s="7" t="s">
        <v>33</v>
      </c>
      <c r="B182" s="7" t="s">
        <v>75</v>
      </c>
      <c r="C182" s="7" t="s">
        <v>348</v>
      </c>
      <c r="D182" s="7" t="s">
        <v>349</v>
      </c>
      <c r="E182" s="7" t="s">
        <v>817</v>
      </c>
      <c r="F182" s="7" t="s">
        <v>618</v>
      </c>
      <c r="G182" s="7" t="s">
        <v>2073</v>
      </c>
      <c r="H182" s="7" t="s">
        <v>4181</v>
      </c>
      <c r="I182" s="100">
        <f>0.66/1000</f>
        <v>6.6E-4</v>
      </c>
      <c r="J182" s="100">
        <f t="shared" si="28"/>
        <v>0.66</v>
      </c>
      <c r="K182" s="100">
        <f t="shared" si="29"/>
        <v>-0.18045606445813131</v>
      </c>
      <c r="L182" s="73" t="s">
        <v>1517</v>
      </c>
      <c r="M182" s="107" t="s">
        <v>2070</v>
      </c>
      <c r="N182" s="7" t="s">
        <v>1640</v>
      </c>
      <c r="O182" s="7" t="s">
        <v>1505</v>
      </c>
      <c r="P182" s="108" t="s">
        <v>1492</v>
      </c>
      <c r="Q182" s="7" t="s">
        <v>2071</v>
      </c>
      <c r="R182" s="7">
        <v>36.076388999999999</v>
      </c>
      <c r="S182" s="7">
        <f t="shared" si="27"/>
        <v>36.076388999999999</v>
      </c>
      <c r="T182" s="7">
        <v>-94.16</v>
      </c>
      <c r="U182" s="7">
        <v>1</v>
      </c>
      <c r="V182" s="7">
        <v>14</v>
      </c>
      <c r="W182" s="7">
        <f t="shared" si="30"/>
        <v>1.146128035678238</v>
      </c>
      <c r="X182" s="7" t="s">
        <v>1779</v>
      </c>
      <c r="Y182" s="7" t="s">
        <v>1781</v>
      </c>
      <c r="Z182" s="7">
        <v>15</v>
      </c>
      <c r="AA182" s="7">
        <v>20</v>
      </c>
      <c r="AB182" s="7">
        <v>21.8</v>
      </c>
      <c r="AC182" s="7">
        <v>0.64</v>
      </c>
      <c r="AD182" s="7">
        <v>15</v>
      </c>
      <c r="AE182" s="7">
        <v>61.9</v>
      </c>
      <c r="AF182" s="7">
        <v>3.23</v>
      </c>
      <c r="AG182" s="7">
        <v>15</v>
      </c>
      <c r="AH182" s="7">
        <v>47.3</v>
      </c>
      <c r="AI182" s="7">
        <v>2.1</v>
      </c>
      <c r="AJ182" s="7">
        <v>15</v>
      </c>
      <c r="AK182" s="7">
        <v>46.5</v>
      </c>
      <c r="AL182" s="7">
        <v>1.1299999999999999</v>
      </c>
      <c r="AM182" s="7">
        <v>15</v>
      </c>
      <c r="AN182" s="7">
        <f t="shared" si="31"/>
        <v>8.0624736975002094</v>
      </c>
      <c r="AO182" s="7">
        <f t="shared" si="32"/>
        <v>4.5498064136015488</v>
      </c>
      <c r="AP182" s="7">
        <f t="shared" si="33"/>
        <v>3.5498064136015488</v>
      </c>
      <c r="AQ182" s="7">
        <f t="shared" si="34"/>
        <v>0.55032699564817167</v>
      </c>
      <c r="AR182" s="7">
        <f t="shared" si="35"/>
        <v>-0.55032699564817167</v>
      </c>
      <c r="AS182" s="7">
        <f t="shared" si="36"/>
        <v>15</v>
      </c>
      <c r="AT182" s="184">
        <f t="shared" si="38"/>
        <v>1.6666666666666667</v>
      </c>
      <c r="AU182" s="7"/>
      <c r="AV182" s="7" t="s">
        <v>2072</v>
      </c>
      <c r="AW182" s="7"/>
      <c r="AX182" s="107" t="s">
        <v>2074</v>
      </c>
      <c r="AY182" s="7" t="s">
        <v>1509</v>
      </c>
      <c r="BD182" s="188"/>
    </row>
    <row r="183" spans="1:56">
      <c r="A183" s="7" t="s">
        <v>33</v>
      </c>
      <c r="B183" s="7" t="s">
        <v>75</v>
      </c>
      <c r="C183" s="7" t="s">
        <v>348</v>
      </c>
      <c r="D183" s="7" t="s">
        <v>349</v>
      </c>
      <c r="E183" s="7" t="s">
        <v>393</v>
      </c>
      <c r="F183" s="7" t="s">
        <v>2068</v>
      </c>
      <c r="G183" s="7" t="s">
        <v>2069</v>
      </c>
      <c r="H183" s="7" t="s">
        <v>4181</v>
      </c>
      <c r="I183" s="100">
        <f>0.64/1000</f>
        <v>6.4000000000000005E-4</v>
      </c>
      <c r="J183" s="100">
        <f t="shared" si="28"/>
        <v>0.64</v>
      </c>
      <c r="K183" s="100">
        <f t="shared" si="29"/>
        <v>-0.19382002601611281</v>
      </c>
      <c r="L183" s="73" t="s">
        <v>1517</v>
      </c>
      <c r="M183" s="107" t="s">
        <v>2070</v>
      </c>
      <c r="N183" s="7" t="s">
        <v>1538</v>
      </c>
      <c r="O183" s="7" t="s">
        <v>1505</v>
      </c>
      <c r="P183" s="108" t="s">
        <v>1492</v>
      </c>
      <c r="Q183" s="7" t="s">
        <v>2071</v>
      </c>
      <c r="R183" s="7">
        <v>36.07638</v>
      </c>
      <c r="S183" s="7">
        <f t="shared" si="27"/>
        <v>36.07638</v>
      </c>
      <c r="T183" s="7">
        <v>-94.16</v>
      </c>
      <c r="U183" s="7">
        <v>1</v>
      </c>
      <c r="V183" s="7">
        <v>14</v>
      </c>
      <c r="W183" s="7">
        <f t="shared" si="30"/>
        <v>1.146128035678238</v>
      </c>
      <c r="X183" s="7" t="s">
        <v>1779</v>
      </c>
      <c r="Y183" s="7" t="s">
        <v>1781</v>
      </c>
      <c r="Z183" s="7">
        <v>5</v>
      </c>
      <c r="AA183" s="7">
        <v>10</v>
      </c>
      <c r="AB183" s="7">
        <v>13.8</v>
      </c>
      <c r="AC183" s="7">
        <v>0.43</v>
      </c>
      <c r="AD183" s="7">
        <v>15</v>
      </c>
      <c r="AE183" s="7">
        <v>19.3</v>
      </c>
      <c r="AF183" s="7">
        <v>0.69</v>
      </c>
      <c r="AG183" s="7">
        <v>15</v>
      </c>
      <c r="AH183" s="7">
        <v>13.3</v>
      </c>
      <c r="AI183" s="7">
        <v>0.25</v>
      </c>
      <c r="AJ183" s="7">
        <v>15</v>
      </c>
      <c r="AK183" s="7">
        <v>14.8</v>
      </c>
      <c r="AL183" s="7">
        <v>0.38</v>
      </c>
      <c r="AM183" s="7">
        <v>15</v>
      </c>
      <c r="AN183" s="7">
        <f t="shared" si="31"/>
        <v>1.955944129384583</v>
      </c>
      <c r="AO183" s="7">
        <f t="shared" si="32"/>
        <v>1.1501785339214452</v>
      </c>
      <c r="AP183" s="7">
        <f t="shared" si="33"/>
        <v>0.1501785339214452</v>
      </c>
      <c r="AQ183" s="7">
        <f t="shared" si="34"/>
        <v>-0.82050987061588654</v>
      </c>
      <c r="AR183" s="7">
        <f t="shared" si="35"/>
        <v>0.82050987061588654</v>
      </c>
      <c r="AS183" s="7">
        <f t="shared" si="36"/>
        <v>15</v>
      </c>
      <c r="AT183" s="184">
        <f t="shared" si="38"/>
        <v>0.5</v>
      </c>
      <c r="AU183" s="7"/>
      <c r="AV183" s="7" t="s">
        <v>2072</v>
      </c>
      <c r="AW183" s="7" t="s">
        <v>2077</v>
      </c>
      <c r="AX183" s="107" t="s">
        <v>2070</v>
      </c>
      <c r="AY183" s="7" t="s">
        <v>1509</v>
      </c>
      <c r="BD183" s="188"/>
    </row>
    <row r="184" spans="1:56">
      <c r="A184" s="7" t="s">
        <v>33</v>
      </c>
      <c r="B184" s="7" t="s">
        <v>75</v>
      </c>
      <c r="C184" s="7" t="s">
        <v>348</v>
      </c>
      <c r="D184" s="7" t="s">
        <v>349</v>
      </c>
      <c r="E184" s="7" t="s">
        <v>393</v>
      </c>
      <c r="F184" s="7" t="s">
        <v>2068</v>
      </c>
      <c r="G184" s="7" t="s">
        <v>2069</v>
      </c>
      <c r="H184" s="7" t="s">
        <v>4181</v>
      </c>
      <c r="I184" s="100">
        <f>0.63/1000</f>
        <v>6.3000000000000003E-4</v>
      </c>
      <c r="J184" s="100">
        <f t="shared" si="28"/>
        <v>0.63</v>
      </c>
      <c r="K184" s="100">
        <f t="shared" si="29"/>
        <v>-0.20065945054641829</v>
      </c>
      <c r="L184" s="73" t="s">
        <v>1517</v>
      </c>
      <c r="M184" s="107" t="s">
        <v>2070</v>
      </c>
      <c r="N184" s="7" t="s">
        <v>1538</v>
      </c>
      <c r="O184" s="7" t="s">
        <v>1505</v>
      </c>
      <c r="P184" s="108" t="s">
        <v>1492</v>
      </c>
      <c r="Q184" s="7" t="s">
        <v>2071</v>
      </c>
      <c r="R184" s="7">
        <v>36.07638</v>
      </c>
      <c r="S184" s="7">
        <f t="shared" si="27"/>
        <v>36.07638</v>
      </c>
      <c r="T184" s="7">
        <v>-94.16</v>
      </c>
      <c r="U184" s="7">
        <v>1</v>
      </c>
      <c r="V184" s="7">
        <v>14</v>
      </c>
      <c r="W184" s="7">
        <f t="shared" si="30"/>
        <v>1.146128035678238</v>
      </c>
      <c r="X184" s="7" t="s">
        <v>1779</v>
      </c>
      <c r="Y184" s="7" t="s">
        <v>1781</v>
      </c>
      <c r="Z184" s="7">
        <v>10</v>
      </c>
      <c r="AA184" s="7">
        <v>15</v>
      </c>
      <c r="AB184" s="7">
        <v>14.8</v>
      </c>
      <c r="AC184" s="7">
        <v>0.38</v>
      </c>
      <c r="AD184" s="7">
        <v>15</v>
      </c>
      <c r="AE184" s="7">
        <v>26.3</v>
      </c>
      <c r="AF184" s="7">
        <v>0.67</v>
      </c>
      <c r="AG184" s="7">
        <v>15</v>
      </c>
      <c r="AH184" s="7">
        <v>15.8</v>
      </c>
      <c r="AI184" s="7">
        <v>0.38</v>
      </c>
      <c r="AJ184" s="7">
        <v>15</v>
      </c>
      <c r="AK184" s="7">
        <v>21.8</v>
      </c>
      <c r="AL184" s="7">
        <v>0.64</v>
      </c>
      <c r="AM184" s="7">
        <v>15</v>
      </c>
      <c r="AN184" s="7">
        <f t="shared" si="31"/>
        <v>3.1578250547845141</v>
      </c>
      <c r="AO184" s="7">
        <f t="shared" si="32"/>
        <v>2.1696493791088387</v>
      </c>
      <c r="AP184" s="7">
        <f t="shared" si="33"/>
        <v>1.1696493791088387</v>
      </c>
      <c r="AQ184" s="7">
        <f t="shared" si="34"/>
        <v>6.8426839120547381E-2</v>
      </c>
      <c r="AR184" s="7">
        <f t="shared" si="35"/>
        <v>-6.8426839120547381E-2</v>
      </c>
      <c r="AS184" s="7">
        <f t="shared" si="36"/>
        <v>15</v>
      </c>
      <c r="AT184" s="184">
        <f t="shared" si="38"/>
        <v>0.56333333333333335</v>
      </c>
      <c r="AU184" s="7"/>
      <c r="AV184" s="7" t="s">
        <v>2072</v>
      </c>
      <c r="AW184" s="7"/>
      <c r="AX184" s="107" t="s">
        <v>2070</v>
      </c>
      <c r="AY184" s="7" t="s">
        <v>1509</v>
      </c>
      <c r="BD184" s="188"/>
    </row>
    <row r="185" spans="1:56">
      <c r="A185" s="7" t="s">
        <v>33</v>
      </c>
      <c r="B185" s="7" t="s">
        <v>34</v>
      </c>
      <c r="C185" s="7" t="s">
        <v>1621</v>
      </c>
      <c r="D185" s="7" t="s">
        <v>1750</v>
      </c>
      <c r="E185" s="7" t="s">
        <v>2078</v>
      </c>
      <c r="F185" s="7" t="s">
        <v>2079</v>
      </c>
      <c r="G185" s="7" t="s">
        <v>2080</v>
      </c>
      <c r="H185" s="7" t="s">
        <v>4180</v>
      </c>
      <c r="I185" s="100">
        <f>0.61/1000</f>
        <v>6.0999999999999997E-4</v>
      </c>
      <c r="J185" s="100">
        <f t="shared" si="28"/>
        <v>0.61</v>
      </c>
      <c r="K185" s="100">
        <f t="shared" si="29"/>
        <v>-0.21467016498923297</v>
      </c>
      <c r="L185" s="73" t="s">
        <v>1517</v>
      </c>
      <c r="M185" s="7" t="s">
        <v>2081</v>
      </c>
      <c r="N185" s="7" t="s">
        <v>1538</v>
      </c>
      <c r="O185" s="7" t="s">
        <v>1505</v>
      </c>
      <c r="P185" s="108" t="s">
        <v>1539</v>
      </c>
      <c r="Q185" s="7" t="s">
        <v>2082</v>
      </c>
      <c r="R185" s="7">
        <v>36.241943999999997</v>
      </c>
      <c r="S185" s="7">
        <f t="shared" si="27"/>
        <v>36.241943999999997</v>
      </c>
      <c r="T185" s="7">
        <v>-116.8258</v>
      </c>
      <c r="U185" s="7">
        <v>1</v>
      </c>
      <c r="V185" s="7">
        <v>14</v>
      </c>
      <c r="W185" s="7">
        <f t="shared" si="30"/>
        <v>1.146128035678238</v>
      </c>
      <c r="X185" s="7" t="s">
        <v>1779</v>
      </c>
      <c r="Y185" s="7" t="s">
        <v>1781</v>
      </c>
      <c r="Z185" s="7">
        <v>15</v>
      </c>
      <c r="AA185" s="7">
        <v>30</v>
      </c>
      <c r="AB185" s="7">
        <v>6.6000000000000003E-2</v>
      </c>
      <c r="AC185" s="7">
        <v>1.2999999999999999E-2</v>
      </c>
      <c r="AD185" s="7">
        <v>6</v>
      </c>
      <c r="AE185" s="7">
        <v>0.34100000000000003</v>
      </c>
      <c r="AF185" s="7">
        <v>2.1999999999999999E-2</v>
      </c>
      <c r="AG185" s="7">
        <v>6</v>
      </c>
      <c r="AH185" s="7">
        <v>0.03</v>
      </c>
      <c r="AI185" s="7">
        <v>8.9999999999999993E-3</v>
      </c>
      <c r="AJ185" s="7">
        <v>6</v>
      </c>
      <c r="AK185" s="7">
        <v>0.24</v>
      </c>
      <c r="AL185" s="7">
        <v>1.0999999999999999E-2</v>
      </c>
      <c r="AM185" s="7">
        <v>6</v>
      </c>
      <c r="AN185" s="7">
        <f t="shared" si="31"/>
        <v>2.9886401665943843</v>
      </c>
      <c r="AO185" s="7">
        <f t="shared" si="32"/>
        <v>2.3647117215479763</v>
      </c>
      <c r="AP185" s="7">
        <f t="shared" si="33"/>
        <v>1.3647117215479763</v>
      </c>
      <c r="AQ185" s="7">
        <f t="shared" si="34"/>
        <v>0.13535903686118736</v>
      </c>
      <c r="AR185" s="7">
        <f t="shared" si="35"/>
        <v>-0.13535903686118736</v>
      </c>
      <c r="AS185" s="7">
        <f t="shared" si="36"/>
        <v>6</v>
      </c>
      <c r="AT185" s="184">
        <f t="shared" si="38"/>
        <v>1.5333333333333332E-2</v>
      </c>
      <c r="AU185" s="7"/>
      <c r="AV185" s="7" t="s">
        <v>1907</v>
      </c>
      <c r="AW185" s="7"/>
      <c r="AX185" s="7" t="s">
        <v>2081</v>
      </c>
      <c r="AY185" s="7" t="s">
        <v>1509</v>
      </c>
    </row>
    <row r="186" spans="1:56">
      <c r="A186" s="7" t="s">
        <v>33</v>
      </c>
      <c r="B186" s="7" t="s">
        <v>43</v>
      </c>
      <c r="C186" s="7" t="s">
        <v>348</v>
      </c>
      <c r="D186" s="7" t="s">
        <v>349</v>
      </c>
      <c r="E186" s="7" t="s">
        <v>393</v>
      </c>
      <c r="F186" s="7" t="s">
        <v>2083</v>
      </c>
      <c r="G186" s="7" t="s">
        <v>2084</v>
      </c>
      <c r="H186" s="7" t="s">
        <v>4184</v>
      </c>
      <c r="I186" s="100">
        <f>AVERAGE(0.579, 0.483, 0.313, 0.496)/1000</f>
        <v>4.6774999999999996E-4</v>
      </c>
      <c r="J186" s="100">
        <f t="shared" si="28"/>
        <v>0.46774999999999994</v>
      </c>
      <c r="K186" s="100">
        <f t="shared" si="29"/>
        <v>-0.32998620382795252</v>
      </c>
      <c r="L186" s="73" t="s">
        <v>1517</v>
      </c>
      <c r="M186" s="7" t="s">
        <v>2085</v>
      </c>
      <c r="N186" s="7" t="s">
        <v>1538</v>
      </c>
      <c r="O186" s="7" t="s">
        <v>1505</v>
      </c>
      <c r="P186" s="108" t="s">
        <v>1492</v>
      </c>
      <c r="Q186" s="7" t="s">
        <v>2086</v>
      </c>
      <c r="R186" s="7">
        <v>29.725277999999999</v>
      </c>
      <c r="S186" s="7">
        <f t="shared" si="27"/>
        <v>29.725277999999999</v>
      </c>
      <c r="T186" s="7">
        <v>-99.761388999999994</v>
      </c>
      <c r="U186" s="7">
        <v>1</v>
      </c>
      <c r="V186" s="7">
        <v>25</v>
      </c>
      <c r="W186" s="7">
        <f t="shared" si="30"/>
        <v>1.3979400086720377</v>
      </c>
      <c r="X186" s="7" t="s">
        <v>1779</v>
      </c>
      <c r="Y186" s="7" t="s">
        <v>1781</v>
      </c>
      <c r="Z186" s="7">
        <v>5</v>
      </c>
      <c r="AA186" s="7">
        <v>10</v>
      </c>
      <c r="AB186" s="7">
        <v>29</v>
      </c>
      <c r="AC186" s="7">
        <v>1.27</v>
      </c>
      <c r="AD186" s="7">
        <v>11</v>
      </c>
      <c r="AE186" s="7">
        <v>74.349999999999994</v>
      </c>
      <c r="AF186" s="7">
        <v>3.76</v>
      </c>
      <c r="AG186" s="7">
        <v>11</v>
      </c>
      <c r="AH186" s="7">
        <v>42.51</v>
      </c>
      <c r="AI186" s="7">
        <v>3.07</v>
      </c>
      <c r="AJ186" s="7">
        <v>11</v>
      </c>
      <c r="AK186" s="7">
        <v>102.95</v>
      </c>
      <c r="AL186" s="7">
        <v>10.26</v>
      </c>
      <c r="AM186" s="7">
        <v>11</v>
      </c>
      <c r="AN186" s="7">
        <f t="shared" si="31"/>
        <v>6.5730350772889405</v>
      </c>
      <c r="AO186" s="7">
        <f t="shared" si="32"/>
        <v>12.602500000000003</v>
      </c>
      <c r="AP186" s="7">
        <f t="shared" si="33"/>
        <v>11.602500000000003</v>
      </c>
      <c r="AQ186" s="7">
        <f t="shared" si="34"/>
        <v>1.0645890065905224</v>
      </c>
      <c r="AR186" s="7">
        <f t="shared" si="35"/>
        <v>-1.0645890065905224</v>
      </c>
      <c r="AS186" s="7">
        <f t="shared" si="36"/>
        <v>11</v>
      </c>
      <c r="AT186" s="184">
        <f t="shared" si="38"/>
        <v>5.0966666666666667</v>
      </c>
      <c r="AU186" s="7"/>
      <c r="AV186" s="7" t="s">
        <v>1796</v>
      </c>
      <c r="AW186" s="7"/>
      <c r="AX186" s="7" t="s">
        <v>2085</v>
      </c>
      <c r="AY186" s="7" t="s">
        <v>1509</v>
      </c>
    </row>
    <row r="187" spans="1:56">
      <c r="A187" s="7" t="s">
        <v>33</v>
      </c>
      <c r="B187" s="7" t="s">
        <v>43</v>
      </c>
      <c r="C187" s="7" t="s">
        <v>348</v>
      </c>
      <c r="D187" s="7" t="s">
        <v>349</v>
      </c>
      <c r="E187" s="7" t="s">
        <v>393</v>
      </c>
      <c r="F187" s="7" t="s">
        <v>2083</v>
      </c>
      <c r="G187" s="7" t="s">
        <v>2084</v>
      </c>
      <c r="H187" s="7" t="s">
        <v>4184</v>
      </c>
      <c r="I187" s="100">
        <f>AVERAGE(0.579, 0.483, 0.313, 0.496)/1000</f>
        <v>4.6774999999999996E-4</v>
      </c>
      <c r="J187" s="100">
        <f t="shared" si="28"/>
        <v>0.46774999999999994</v>
      </c>
      <c r="K187" s="100">
        <f t="shared" si="29"/>
        <v>-0.32998620382795252</v>
      </c>
      <c r="L187" s="73" t="s">
        <v>1517</v>
      </c>
      <c r="M187" s="7" t="s">
        <v>2085</v>
      </c>
      <c r="N187" s="7" t="s">
        <v>1538</v>
      </c>
      <c r="O187" s="7" t="s">
        <v>1505</v>
      </c>
      <c r="P187" s="108" t="s">
        <v>1492</v>
      </c>
      <c r="Q187" s="7" t="s">
        <v>2086</v>
      </c>
      <c r="R187" s="7">
        <v>29.725277999999999</v>
      </c>
      <c r="S187" s="7">
        <f t="shared" ref="S187:S250" si="39">ABS(R187)</f>
        <v>29.725277999999999</v>
      </c>
      <c r="T187" s="7">
        <v>-99.761388999999994</v>
      </c>
      <c r="U187" s="7">
        <v>1</v>
      </c>
      <c r="V187" s="7">
        <v>25</v>
      </c>
      <c r="W187" s="7">
        <f t="shared" si="30"/>
        <v>1.3979400086720377</v>
      </c>
      <c r="X187" s="7" t="s">
        <v>1779</v>
      </c>
      <c r="Y187" s="7" t="s">
        <v>1781</v>
      </c>
      <c r="Z187" s="7">
        <v>15</v>
      </c>
      <c r="AA187" s="7">
        <v>20</v>
      </c>
      <c r="AB187" s="7">
        <v>151.19999999999999</v>
      </c>
      <c r="AC187" s="7">
        <v>7.6</v>
      </c>
      <c r="AD187" s="7">
        <v>10</v>
      </c>
      <c r="AE187" s="7">
        <v>288.36</v>
      </c>
      <c r="AF187" s="7">
        <v>14.46</v>
      </c>
      <c r="AG187" s="7">
        <v>10</v>
      </c>
      <c r="AH187" s="7">
        <v>137.19999999999999</v>
      </c>
      <c r="AI187" s="7">
        <v>7.4</v>
      </c>
      <c r="AJ187" s="7">
        <v>9</v>
      </c>
      <c r="AK187" s="7">
        <v>249.82</v>
      </c>
      <c r="AL187" s="7">
        <v>15.35</v>
      </c>
      <c r="AM187" s="7">
        <v>9</v>
      </c>
      <c r="AN187" s="7">
        <f t="shared" si="31"/>
        <v>3.6371938775510215</v>
      </c>
      <c r="AO187" s="7">
        <f t="shared" si="32"/>
        <v>2.7299256914700036</v>
      </c>
      <c r="AP187" s="7">
        <f t="shared" si="33"/>
        <v>1.7299256914700036</v>
      </c>
      <c r="AQ187" s="7">
        <f t="shared" si="34"/>
        <v>0.23827842404105606</v>
      </c>
      <c r="AR187" s="7">
        <f t="shared" si="35"/>
        <v>-0.23827842404105606</v>
      </c>
      <c r="AS187" s="7">
        <f t="shared" si="36"/>
        <v>9.6666666666666661</v>
      </c>
      <c r="AT187" s="184">
        <f t="shared" si="38"/>
        <v>12.47</v>
      </c>
      <c r="AU187" s="7"/>
      <c r="AV187" s="7" t="s">
        <v>1796</v>
      </c>
      <c r="AW187" s="7"/>
      <c r="AX187" s="7" t="s">
        <v>2085</v>
      </c>
      <c r="AY187" s="7" t="s">
        <v>1509</v>
      </c>
    </row>
    <row r="188" spans="1:56">
      <c r="A188" s="7" t="s">
        <v>33</v>
      </c>
      <c r="B188" s="7" t="s">
        <v>43</v>
      </c>
      <c r="C188" s="7" t="s">
        <v>348</v>
      </c>
      <c r="D188" s="7" t="s">
        <v>349</v>
      </c>
      <c r="E188" s="7" t="s">
        <v>393</v>
      </c>
      <c r="F188" s="7" t="s">
        <v>2083</v>
      </c>
      <c r="G188" s="7" t="s">
        <v>2084</v>
      </c>
      <c r="H188" s="7" t="s">
        <v>4184</v>
      </c>
      <c r="I188" s="100">
        <f>AVERAGE(0.579, 0.483, 0.313, 0.496)/1000</f>
        <v>4.6774999999999996E-4</v>
      </c>
      <c r="J188" s="100">
        <f t="shared" si="28"/>
        <v>0.46774999999999994</v>
      </c>
      <c r="K188" s="100">
        <f t="shared" si="29"/>
        <v>-0.32998620382795252</v>
      </c>
      <c r="L188" s="73" t="s">
        <v>1517</v>
      </c>
      <c r="M188" s="7" t="s">
        <v>2085</v>
      </c>
      <c r="N188" s="7" t="s">
        <v>1538</v>
      </c>
      <c r="O188" s="7" t="s">
        <v>1505</v>
      </c>
      <c r="P188" s="108" t="s">
        <v>1492</v>
      </c>
      <c r="Q188" s="7" t="s">
        <v>2086</v>
      </c>
      <c r="R188" s="7">
        <v>29.725277999999999</v>
      </c>
      <c r="S188" s="7">
        <f t="shared" si="39"/>
        <v>29.725277999999999</v>
      </c>
      <c r="T188" s="7">
        <v>-99.761388999999994</v>
      </c>
      <c r="U188" s="7">
        <v>1</v>
      </c>
      <c r="V188" s="7">
        <v>25</v>
      </c>
      <c r="W188" s="7">
        <f t="shared" si="30"/>
        <v>1.3979400086720377</v>
      </c>
      <c r="X188" s="7" t="s">
        <v>1779</v>
      </c>
      <c r="Y188" s="7" t="s">
        <v>1781</v>
      </c>
      <c r="Z188" s="7">
        <v>10</v>
      </c>
      <c r="AA188" s="7">
        <v>15</v>
      </c>
      <c r="AB188" s="7">
        <v>102.95</v>
      </c>
      <c r="AC188" s="7">
        <v>10.26</v>
      </c>
      <c r="AD188" s="7">
        <v>11</v>
      </c>
      <c r="AE188" s="7">
        <v>158.94999999999999</v>
      </c>
      <c r="AF188" s="7">
        <v>11.48</v>
      </c>
      <c r="AG188" s="7">
        <v>11</v>
      </c>
      <c r="AH188" s="7">
        <v>101.56</v>
      </c>
      <c r="AI188" s="7">
        <v>6.49</v>
      </c>
      <c r="AJ188" s="7">
        <v>10</v>
      </c>
      <c r="AK188" s="7">
        <v>151.19999999999999</v>
      </c>
      <c r="AL188" s="7">
        <v>7.6</v>
      </c>
      <c r="AM188" s="7">
        <v>10</v>
      </c>
      <c r="AN188" s="7">
        <f t="shared" si="31"/>
        <v>2.3837920254861382</v>
      </c>
      <c r="AO188" s="7">
        <f t="shared" si="32"/>
        <v>2.1570036520979805</v>
      </c>
      <c r="AP188" s="7">
        <f t="shared" si="33"/>
        <v>1.1570036520979805</v>
      </c>
      <c r="AQ188" s="7">
        <f t="shared" si="34"/>
        <v>6.3709929066287141E-2</v>
      </c>
      <c r="AR188" s="7">
        <f t="shared" si="35"/>
        <v>-6.3709929066287141E-2</v>
      </c>
      <c r="AS188" s="7">
        <f t="shared" si="36"/>
        <v>10.666666666666666</v>
      </c>
      <c r="AT188" s="184">
        <f t="shared" si="38"/>
        <v>9.7800000000000011</v>
      </c>
      <c r="AU188" s="7"/>
      <c r="AV188" s="7" t="s">
        <v>1796</v>
      </c>
      <c r="AW188" s="7"/>
      <c r="AX188" s="7" t="s">
        <v>2085</v>
      </c>
      <c r="AY188" s="7" t="s">
        <v>1509</v>
      </c>
    </row>
    <row r="189" spans="1:56">
      <c r="A189" s="7" t="s">
        <v>23</v>
      </c>
      <c r="B189" s="7" t="s">
        <v>24</v>
      </c>
      <c r="C189" s="7" t="s">
        <v>1644</v>
      </c>
      <c r="D189" s="7" t="s">
        <v>1645</v>
      </c>
      <c r="E189" s="7" t="s">
        <v>1646</v>
      </c>
      <c r="F189" s="7" t="s">
        <v>1647</v>
      </c>
      <c r="G189" s="7" t="s">
        <v>1648</v>
      </c>
      <c r="H189" s="7" t="s">
        <v>4185</v>
      </c>
      <c r="I189" s="100">
        <f>322/1000000</f>
        <v>3.2200000000000002E-4</v>
      </c>
      <c r="J189" s="100">
        <f t="shared" si="28"/>
        <v>0.32200000000000001</v>
      </c>
      <c r="K189" s="100">
        <f t="shared" si="29"/>
        <v>-0.49214412830416909</v>
      </c>
      <c r="L189" s="73" t="s">
        <v>1517</v>
      </c>
      <c r="M189" s="7" t="s">
        <v>1649</v>
      </c>
      <c r="N189" s="7" t="s">
        <v>1640</v>
      </c>
      <c r="O189" s="7" t="s">
        <v>1494</v>
      </c>
      <c r="P189" s="108" t="s">
        <v>1492</v>
      </c>
      <c r="Q189" s="7" t="s">
        <v>1650</v>
      </c>
      <c r="R189" s="7">
        <v>29.9</v>
      </c>
      <c r="S189" s="7">
        <f t="shared" si="39"/>
        <v>29.9</v>
      </c>
      <c r="T189" s="7">
        <v>31.05</v>
      </c>
      <c r="U189" s="7">
        <v>1</v>
      </c>
      <c r="V189" s="7">
        <v>8</v>
      </c>
      <c r="W189" s="7">
        <f t="shared" si="30"/>
        <v>0.90308998699194354</v>
      </c>
      <c r="X189" s="7" t="s">
        <v>1779</v>
      </c>
      <c r="Y189" s="7" t="s">
        <v>1781</v>
      </c>
      <c r="Z189" s="7">
        <v>25</v>
      </c>
      <c r="AA189" s="7">
        <v>33</v>
      </c>
      <c r="AB189" s="108">
        <v>11.474981173075284</v>
      </c>
      <c r="AC189" s="108"/>
      <c r="AD189" s="108">
        <v>7</v>
      </c>
      <c r="AE189" s="108">
        <v>9.7667929640605013</v>
      </c>
      <c r="AF189" s="108"/>
      <c r="AG189" s="108">
        <v>7</v>
      </c>
      <c r="AH189" s="108">
        <v>8.3128890029592277</v>
      </c>
      <c r="AI189" s="108"/>
      <c r="AJ189" s="108">
        <v>7</v>
      </c>
      <c r="AK189" s="108">
        <v>15.479323680916591</v>
      </c>
      <c r="AL189" s="7"/>
      <c r="AM189" s="108">
        <v>7</v>
      </c>
      <c r="AN189" s="7">
        <f t="shared" si="31"/>
        <v>0.81752303794365</v>
      </c>
      <c r="AO189" s="7">
        <f t="shared" si="32"/>
        <v>1.453784385607662</v>
      </c>
      <c r="AP189" s="7">
        <f t="shared" si="33"/>
        <v>0.45378438560766199</v>
      </c>
      <c r="AQ189" s="7">
        <f t="shared" si="34"/>
        <v>-0.34219445462819392</v>
      </c>
      <c r="AR189" s="7">
        <f t="shared" si="35"/>
        <v>0.34219445462819392</v>
      </c>
      <c r="AS189" s="7">
        <f t="shared" si="36"/>
        <v>7</v>
      </c>
      <c r="AT189" s="184"/>
      <c r="AU189" s="108"/>
      <c r="AV189" s="7" t="s">
        <v>2087</v>
      </c>
      <c r="AW189" s="7"/>
      <c r="AX189" s="7" t="s">
        <v>2088</v>
      </c>
      <c r="AY189" s="7" t="s">
        <v>1509</v>
      </c>
    </row>
    <row r="190" spans="1:56">
      <c r="A190" s="7" t="s">
        <v>33</v>
      </c>
      <c r="B190" s="7" t="s">
        <v>75</v>
      </c>
      <c r="C190" s="7" t="s">
        <v>76</v>
      </c>
      <c r="D190" s="7" t="s">
        <v>606</v>
      </c>
      <c r="E190" s="7" t="s">
        <v>2089</v>
      </c>
      <c r="F190" s="7" t="s">
        <v>2090</v>
      </c>
      <c r="G190" s="7" t="s">
        <v>2091</v>
      </c>
      <c r="H190" s="7" t="s">
        <v>4181</v>
      </c>
      <c r="I190" s="100">
        <f>300/1000000</f>
        <v>2.9999999999999997E-4</v>
      </c>
      <c r="J190" s="100">
        <f t="shared" si="28"/>
        <v>0.3</v>
      </c>
      <c r="K190" s="100">
        <f t="shared" si="29"/>
        <v>-0.52287874528033762</v>
      </c>
      <c r="L190" s="73" t="s">
        <v>1517</v>
      </c>
      <c r="M190" s="7" t="s">
        <v>2092</v>
      </c>
      <c r="N190" s="110" t="s">
        <v>1640</v>
      </c>
      <c r="O190" s="110" t="s">
        <v>1505</v>
      </c>
      <c r="P190" s="108" t="s">
        <v>1635</v>
      </c>
      <c r="Q190" s="110" t="s">
        <v>2093</v>
      </c>
      <c r="R190" s="110">
        <v>24.1</v>
      </c>
      <c r="S190" s="7">
        <f t="shared" si="39"/>
        <v>24.1</v>
      </c>
      <c r="T190" s="110">
        <v>120.55</v>
      </c>
      <c r="U190" s="7">
        <v>1</v>
      </c>
      <c r="V190" s="7">
        <v>10</v>
      </c>
      <c r="W190" s="7">
        <f t="shared" si="30"/>
        <v>1</v>
      </c>
      <c r="X190" s="7" t="s">
        <v>1779</v>
      </c>
      <c r="Y190" s="7" t="s">
        <v>1781</v>
      </c>
      <c r="Z190" s="7">
        <v>22</v>
      </c>
      <c r="AA190" s="7">
        <v>32</v>
      </c>
      <c r="AB190" s="108">
        <v>0.95</v>
      </c>
      <c r="AC190" s="108">
        <v>0.05</v>
      </c>
      <c r="AD190" s="110">
        <v>10</v>
      </c>
      <c r="AE190" s="7">
        <v>2.2999999999999998</v>
      </c>
      <c r="AF190" s="7">
        <v>0.2</v>
      </c>
      <c r="AG190" s="110">
        <v>10</v>
      </c>
      <c r="AH190" s="7">
        <v>0.6</v>
      </c>
      <c r="AI190" s="7">
        <v>0.1</v>
      </c>
      <c r="AJ190" s="110">
        <v>10</v>
      </c>
      <c r="AK190" s="7">
        <v>2.1</v>
      </c>
      <c r="AL190" s="7">
        <v>0.1</v>
      </c>
      <c r="AM190" s="110">
        <v>10</v>
      </c>
      <c r="AN190" s="7">
        <f t="shared" si="31"/>
        <v>2.4210526315789473</v>
      </c>
      <c r="AO190" s="7">
        <f t="shared" si="32"/>
        <v>2.2105263157894739</v>
      </c>
      <c r="AP190" s="7">
        <f t="shared" si="33"/>
        <v>1.2105263157894739</v>
      </c>
      <c r="AQ190" s="7">
        <f t="shared" si="34"/>
        <v>8.3332851967566221E-2</v>
      </c>
      <c r="AR190" s="7">
        <f t="shared" si="35"/>
        <v>-8.3332851967566221E-2</v>
      </c>
      <c r="AS190" s="7">
        <f t="shared" si="36"/>
        <v>10</v>
      </c>
      <c r="AT190" s="184">
        <f t="shared" ref="AT190:AT221" si="40">AVERAGE(AC190,AF190,AL190)</f>
        <v>0.11666666666666665</v>
      </c>
      <c r="AU190" s="110"/>
      <c r="AV190" s="7"/>
      <c r="AW190" s="7"/>
      <c r="AX190" s="7" t="s">
        <v>2094</v>
      </c>
      <c r="AY190" s="7" t="s">
        <v>1509</v>
      </c>
    </row>
    <row r="191" spans="1:56">
      <c r="A191" s="7" t="s">
        <v>33</v>
      </c>
      <c r="B191" s="7" t="s">
        <v>34</v>
      </c>
      <c r="C191" s="7" t="s">
        <v>282</v>
      </c>
      <c r="D191" s="7" t="s">
        <v>1840</v>
      </c>
      <c r="E191" s="7" t="s">
        <v>1841</v>
      </c>
      <c r="F191" s="7" t="s">
        <v>435</v>
      </c>
      <c r="G191" s="7" t="s">
        <v>2095</v>
      </c>
      <c r="H191" s="7" t="s">
        <v>4180</v>
      </c>
      <c r="I191" s="100">
        <f>280/1000000</f>
        <v>2.7999999999999998E-4</v>
      </c>
      <c r="J191" s="100">
        <f t="shared" si="28"/>
        <v>0.27999999999999997</v>
      </c>
      <c r="K191" s="100">
        <f t="shared" si="29"/>
        <v>-0.55284196865778079</v>
      </c>
      <c r="L191" s="73" t="s">
        <v>1517</v>
      </c>
      <c r="M191" s="7" t="s">
        <v>2096</v>
      </c>
      <c r="N191" s="7" t="s">
        <v>1504</v>
      </c>
      <c r="O191" s="7" t="s">
        <v>1505</v>
      </c>
      <c r="P191" s="108" t="s">
        <v>1539</v>
      </c>
      <c r="Q191" s="7" t="s">
        <v>2097</v>
      </c>
      <c r="R191" s="7">
        <v>47.65</v>
      </c>
      <c r="S191" s="7">
        <f t="shared" si="39"/>
        <v>47.65</v>
      </c>
      <c r="T191" s="7">
        <v>52.7</v>
      </c>
      <c r="U191" s="7">
        <v>1</v>
      </c>
      <c r="V191" s="7">
        <v>28</v>
      </c>
      <c r="W191" s="7">
        <f t="shared" si="30"/>
        <v>1.4471580313422192</v>
      </c>
      <c r="X191" s="7" t="s">
        <v>1779</v>
      </c>
      <c r="Y191" s="7" t="s">
        <v>1781</v>
      </c>
      <c r="Z191" s="7">
        <v>3</v>
      </c>
      <c r="AA191" s="7">
        <v>11</v>
      </c>
      <c r="AB191" s="108">
        <v>2.3840782500000004</v>
      </c>
      <c r="AC191" s="108">
        <v>0.390156</v>
      </c>
      <c r="AD191" s="108">
        <v>9</v>
      </c>
      <c r="AE191" s="108">
        <v>7.503000000000001</v>
      </c>
      <c r="AF191" s="108">
        <v>0.62524999999999997</v>
      </c>
      <c r="AG191" s="108">
        <v>9</v>
      </c>
      <c r="AH191" s="108">
        <v>4.3767500000000004</v>
      </c>
      <c r="AI191" s="108">
        <v>0.62524999999999997</v>
      </c>
      <c r="AJ191" s="108">
        <v>9</v>
      </c>
      <c r="AK191" s="108">
        <v>9.4175155000000021</v>
      </c>
      <c r="AL191" s="108">
        <v>1.1982916249999997</v>
      </c>
      <c r="AM191" s="108">
        <v>9</v>
      </c>
      <c r="AN191" s="7">
        <f t="shared" si="31"/>
        <v>4.1917275880508837</v>
      </c>
      <c r="AO191" s="7">
        <f t="shared" si="32"/>
        <v>5.5689048483060324</v>
      </c>
      <c r="AP191" s="7">
        <f t="shared" si="33"/>
        <v>4.5689048483060324</v>
      </c>
      <c r="AQ191" s="7">
        <f t="shared" si="34"/>
        <v>0.65990715755653717</v>
      </c>
      <c r="AR191" s="7">
        <f t="shared" si="35"/>
        <v>-0.65990715755653717</v>
      </c>
      <c r="AS191" s="7">
        <f t="shared" si="36"/>
        <v>9</v>
      </c>
      <c r="AT191" s="184">
        <f t="shared" si="40"/>
        <v>0.73789920833333333</v>
      </c>
      <c r="AU191" s="108"/>
      <c r="AV191" s="7"/>
      <c r="AW191" s="7"/>
      <c r="AX191" s="7" t="s">
        <v>2096</v>
      </c>
      <c r="AY191" s="7" t="s">
        <v>1509</v>
      </c>
    </row>
    <row r="192" spans="1:56">
      <c r="A192" s="7" t="s">
        <v>33</v>
      </c>
      <c r="B192" s="7" t="s">
        <v>75</v>
      </c>
      <c r="C192" s="7" t="s">
        <v>76</v>
      </c>
      <c r="D192" s="7" t="s">
        <v>721</v>
      </c>
      <c r="E192" s="7" t="s">
        <v>752</v>
      </c>
      <c r="F192" s="7" t="s">
        <v>755</v>
      </c>
      <c r="G192" s="7" t="s">
        <v>1570</v>
      </c>
      <c r="H192" s="7" t="s">
        <v>4181</v>
      </c>
      <c r="I192" s="100">
        <f>AVERAGE(0.18,0.36)/1000</f>
        <v>2.7E-4</v>
      </c>
      <c r="J192" s="100">
        <f t="shared" si="28"/>
        <v>0.27</v>
      </c>
      <c r="K192" s="100">
        <f t="shared" si="29"/>
        <v>-0.56863623584101264</v>
      </c>
      <c r="L192" s="73" t="s">
        <v>1517</v>
      </c>
      <c r="M192" s="7" t="s">
        <v>2098</v>
      </c>
      <c r="N192" s="7" t="s">
        <v>1538</v>
      </c>
      <c r="O192" s="7" t="s">
        <v>1505</v>
      </c>
      <c r="P192" s="108" t="s">
        <v>1539</v>
      </c>
      <c r="Q192" s="7" t="s">
        <v>2099</v>
      </c>
      <c r="R192" s="7">
        <v>-33.859971999999999</v>
      </c>
      <c r="S192" s="7">
        <f t="shared" si="39"/>
        <v>33.859971999999999</v>
      </c>
      <c r="T192" s="7">
        <v>151.21</v>
      </c>
      <c r="U192" s="7">
        <v>1</v>
      </c>
      <c r="V192" s="7">
        <v>90</v>
      </c>
      <c r="W192" s="7">
        <f t="shared" si="30"/>
        <v>1.954242509439325</v>
      </c>
      <c r="X192" s="7" t="s">
        <v>1779</v>
      </c>
      <c r="Y192" s="7" t="s">
        <v>1781</v>
      </c>
      <c r="Z192" s="7">
        <v>15</v>
      </c>
      <c r="AA192" s="7">
        <v>25</v>
      </c>
      <c r="AB192" s="7">
        <v>7.4999999999999997E-2</v>
      </c>
      <c r="AC192" s="7">
        <v>3.0000000000000001E-3</v>
      </c>
      <c r="AD192" s="7">
        <v>30</v>
      </c>
      <c r="AE192" s="7">
        <v>0.218</v>
      </c>
      <c r="AF192" s="7">
        <v>1.2E-2</v>
      </c>
      <c r="AG192" s="7">
        <v>30</v>
      </c>
      <c r="AH192" s="7">
        <v>7.0000000000000007E-2</v>
      </c>
      <c r="AI192" s="7">
        <v>3.0000000000000001E-3</v>
      </c>
      <c r="AJ192" s="7">
        <v>30</v>
      </c>
      <c r="AK192" s="7">
        <v>0.184</v>
      </c>
      <c r="AL192" s="7">
        <v>1.4E-2</v>
      </c>
      <c r="AM192" s="7">
        <v>30</v>
      </c>
      <c r="AN192" s="7">
        <f t="shared" si="31"/>
        <v>2.9066666666666667</v>
      </c>
      <c r="AO192" s="7">
        <f t="shared" si="32"/>
        <v>2.4533333333333336</v>
      </c>
      <c r="AP192" s="7">
        <f t="shared" si="33"/>
        <v>1.4533333333333336</v>
      </c>
      <c r="AQ192" s="7">
        <f t="shared" si="34"/>
        <v>0.16266395826715774</v>
      </c>
      <c r="AR192" s="7">
        <f t="shared" si="35"/>
        <v>-0.16266395826715774</v>
      </c>
      <c r="AS192" s="7">
        <f t="shared" si="36"/>
        <v>30</v>
      </c>
      <c r="AT192" s="184">
        <f t="shared" si="40"/>
        <v>9.6666666666666654E-3</v>
      </c>
      <c r="AU192" s="7"/>
      <c r="AV192" s="7" t="s">
        <v>1907</v>
      </c>
      <c r="AW192" s="7"/>
      <c r="AX192" s="7" t="s">
        <v>2098</v>
      </c>
      <c r="AY192" s="7" t="s">
        <v>1509</v>
      </c>
    </row>
    <row r="193" spans="1:51">
      <c r="A193" s="7" t="s">
        <v>179</v>
      </c>
      <c r="B193" s="7" t="s">
        <v>2100</v>
      </c>
      <c r="C193" s="7" t="s">
        <v>2101</v>
      </c>
      <c r="D193" s="7" t="s">
        <v>2102</v>
      </c>
      <c r="E193" s="7" t="s">
        <v>2103</v>
      </c>
      <c r="F193" s="7" t="s">
        <v>2104</v>
      </c>
      <c r="G193" s="7" t="s">
        <v>2105</v>
      </c>
      <c r="H193" s="7" t="s">
        <v>4186</v>
      </c>
      <c r="I193" s="100">
        <f>0.175/1000</f>
        <v>1.75E-4</v>
      </c>
      <c r="J193" s="100">
        <f t="shared" si="28"/>
        <v>0.17499999999999999</v>
      </c>
      <c r="K193" s="100">
        <f t="shared" si="29"/>
        <v>-0.75696195131370558</v>
      </c>
      <c r="L193" s="73" t="s">
        <v>1517</v>
      </c>
      <c r="M193" s="7" t="s">
        <v>2106</v>
      </c>
      <c r="N193" s="7" t="s">
        <v>1640</v>
      </c>
      <c r="O193" s="7" t="s">
        <v>1505</v>
      </c>
      <c r="P193" s="108" t="s">
        <v>1492</v>
      </c>
      <c r="Q193" s="7" t="s">
        <v>2107</v>
      </c>
      <c r="R193" s="7">
        <v>39.283329999999999</v>
      </c>
      <c r="S193" s="7">
        <f t="shared" si="39"/>
        <v>39.283329999999999</v>
      </c>
      <c r="T193" s="7">
        <v>-76.616667000000007</v>
      </c>
      <c r="U193" s="7">
        <v>1</v>
      </c>
      <c r="V193" s="7">
        <v>28</v>
      </c>
      <c r="W193" s="7">
        <f t="shared" si="30"/>
        <v>1.4471580313422192</v>
      </c>
      <c r="X193" s="7" t="s">
        <v>1779</v>
      </c>
      <c r="Y193" s="7" t="s">
        <v>1781</v>
      </c>
      <c r="Z193" s="7">
        <v>15</v>
      </c>
      <c r="AA193" s="7">
        <v>25</v>
      </c>
      <c r="AB193" s="7">
        <v>1.85</v>
      </c>
      <c r="AC193" s="7">
        <v>0.14000000000000001</v>
      </c>
      <c r="AD193" s="7">
        <v>9</v>
      </c>
      <c r="AE193" s="7">
        <v>2.4</v>
      </c>
      <c r="AF193" s="7">
        <v>0.19</v>
      </c>
      <c r="AG193" s="7">
        <v>6</v>
      </c>
      <c r="AH193" s="7"/>
      <c r="AI193" s="7"/>
      <c r="AJ193" s="7"/>
      <c r="AK193" s="7">
        <v>3.54</v>
      </c>
      <c r="AL193" s="7">
        <v>0.34</v>
      </c>
      <c r="AM193" s="7">
        <v>6</v>
      </c>
      <c r="AN193" s="7">
        <f t="shared" si="31"/>
        <v>1.2972972972972971</v>
      </c>
      <c r="AO193" s="7">
        <f t="shared" si="32"/>
        <v>1.9135135135135135</v>
      </c>
      <c r="AP193" s="7">
        <f t="shared" si="33"/>
        <v>0.91351351351351351</v>
      </c>
      <c r="AQ193" s="7">
        <f t="shared" si="34"/>
        <v>-3.8809872690583808E-2</v>
      </c>
      <c r="AR193" s="7">
        <f t="shared" si="35"/>
        <v>3.8809872690583808E-2</v>
      </c>
      <c r="AS193" s="7">
        <f t="shared" si="36"/>
        <v>7</v>
      </c>
      <c r="AT193" s="184">
        <f t="shared" si="40"/>
        <v>0.22333333333333336</v>
      </c>
      <c r="AU193" s="7"/>
      <c r="AV193" s="7" t="s">
        <v>2108</v>
      </c>
      <c r="AW193" s="7"/>
      <c r="AX193" s="7" t="s">
        <v>2106</v>
      </c>
      <c r="AY193" s="7" t="s">
        <v>1509</v>
      </c>
    </row>
    <row r="194" spans="1:51">
      <c r="A194" s="7" t="s">
        <v>179</v>
      </c>
      <c r="B194" s="7" t="s">
        <v>2100</v>
      </c>
      <c r="C194" s="7" t="s">
        <v>2101</v>
      </c>
      <c r="D194" s="7" t="s">
        <v>2102</v>
      </c>
      <c r="E194" s="7" t="s">
        <v>2103</v>
      </c>
      <c r="F194" s="7" t="s">
        <v>2104</v>
      </c>
      <c r="G194" s="7" t="s">
        <v>2105</v>
      </c>
      <c r="H194" s="7" t="s">
        <v>4186</v>
      </c>
      <c r="I194" s="100">
        <f>0.175/1000</f>
        <v>1.75E-4</v>
      </c>
      <c r="J194" s="100">
        <f t="shared" si="28"/>
        <v>0.17499999999999999</v>
      </c>
      <c r="K194" s="100">
        <f t="shared" si="29"/>
        <v>-0.75696195131370558</v>
      </c>
      <c r="L194" s="73" t="s">
        <v>1517</v>
      </c>
      <c r="M194" s="7" t="s">
        <v>2106</v>
      </c>
      <c r="N194" s="7" t="s">
        <v>1640</v>
      </c>
      <c r="O194" s="7" t="s">
        <v>1505</v>
      </c>
      <c r="P194" s="108" t="s">
        <v>1492</v>
      </c>
      <c r="Q194" s="7" t="s">
        <v>2107</v>
      </c>
      <c r="R194" s="7">
        <v>39.283329999999999</v>
      </c>
      <c r="S194" s="7">
        <f t="shared" si="39"/>
        <v>39.283329999999999</v>
      </c>
      <c r="T194" s="7">
        <v>-76.616667000000007</v>
      </c>
      <c r="U194" s="7">
        <v>1</v>
      </c>
      <c r="V194" s="7">
        <v>28</v>
      </c>
      <c r="W194" s="7">
        <f t="shared" si="30"/>
        <v>1.4471580313422192</v>
      </c>
      <c r="X194" s="7" t="s">
        <v>1779</v>
      </c>
      <c r="Y194" s="7" t="s">
        <v>1781</v>
      </c>
      <c r="Z194" s="7">
        <v>15</v>
      </c>
      <c r="AA194" s="7">
        <v>30</v>
      </c>
      <c r="AB194" s="7">
        <v>1.85</v>
      </c>
      <c r="AC194" s="7">
        <v>0.14000000000000001</v>
      </c>
      <c r="AD194" s="7">
        <v>9</v>
      </c>
      <c r="AE194" s="7">
        <v>3.71</v>
      </c>
      <c r="AF194" s="7">
        <v>0.21</v>
      </c>
      <c r="AG194" s="7">
        <v>6</v>
      </c>
      <c r="AH194" s="7">
        <v>1.84</v>
      </c>
      <c r="AI194" s="7">
        <v>0.26</v>
      </c>
      <c r="AJ194" s="7">
        <v>12</v>
      </c>
      <c r="AK194" s="7">
        <v>4.3600000000000003</v>
      </c>
      <c r="AL194" s="7">
        <v>0.26</v>
      </c>
      <c r="AM194" s="7">
        <v>18</v>
      </c>
      <c r="AN194" s="7">
        <f t="shared" si="31"/>
        <v>1.59025994721867</v>
      </c>
      <c r="AO194" s="7">
        <f t="shared" si="32"/>
        <v>1.770964438759286</v>
      </c>
      <c r="AP194" s="7">
        <f t="shared" si="33"/>
        <v>0.770964438759286</v>
      </c>
      <c r="AQ194" s="7">
        <f t="shared" si="34"/>
        <v>-0.11240270537194305</v>
      </c>
      <c r="AR194" s="7">
        <f t="shared" si="35"/>
        <v>0.11240270537194305</v>
      </c>
      <c r="AS194" s="7">
        <f t="shared" si="36"/>
        <v>11</v>
      </c>
      <c r="AT194" s="184">
        <f t="shared" si="40"/>
        <v>0.20333333333333334</v>
      </c>
      <c r="AU194" s="7"/>
      <c r="AV194" s="7" t="s">
        <v>2108</v>
      </c>
      <c r="AW194" s="7"/>
      <c r="AX194" s="7" t="s">
        <v>2106</v>
      </c>
      <c r="AY194" s="7" t="s">
        <v>1509</v>
      </c>
    </row>
    <row r="195" spans="1:51">
      <c r="A195" s="7" t="s">
        <v>179</v>
      </c>
      <c r="B195" s="7" t="s">
        <v>2100</v>
      </c>
      <c r="C195" s="7" t="s">
        <v>2101</v>
      </c>
      <c r="D195" s="7" t="s">
        <v>2102</v>
      </c>
      <c r="E195" s="7" t="s">
        <v>2103</v>
      </c>
      <c r="F195" s="7" t="s">
        <v>2104</v>
      </c>
      <c r="G195" s="7" t="s">
        <v>2105</v>
      </c>
      <c r="H195" s="7" t="s">
        <v>4186</v>
      </c>
      <c r="I195" s="100">
        <f>0.175/1000</f>
        <v>1.75E-4</v>
      </c>
      <c r="J195" s="100">
        <f t="shared" si="28"/>
        <v>0.17499999999999999</v>
      </c>
      <c r="K195" s="100">
        <f t="shared" si="29"/>
        <v>-0.75696195131370558</v>
      </c>
      <c r="L195" s="73" t="s">
        <v>1517</v>
      </c>
      <c r="M195" s="7" t="s">
        <v>2106</v>
      </c>
      <c r="N195" s="7" t="s">
        <v>1640</v>
      </c>
      <c r="O195" s="7" t="s">
        <v>1505</v>
      </c>
      <c r="P195" s="108" t="s">
        <v>1492</v>
      </c>
      <c r="Q195" s="7" t="s">
        <v>2107</v>
      </c>
      <c r="R195" s="7">
        <v>39.283329999999999</v>
      </c>
      <c r="S195" s="7">
        <f t="shared" si="39"/>
        <v>39.283329999999999</v>
      </c>
      <c r="T195" s="7">
        <v>-76.616667000000007</v>
      </c>
      <c r="U195" s="7">
        <v>1</v>
      </c>
      <c r="V195" s="7">
        <v>28</v>
      </c>
      <c r="W195" s="7">
        <f t="shared" si="30"/>
        <v>1.4471580313422192</v>
      </c>
      <c r="X195" s="7" t="s">
        <v>1779</v>
      </c>
      <c r="Y195" s="7" t="s">
        <v>1781</v>
      </c>
      <c r="Z195" s="7">
        <v>25</v>
      </c>
      <c r="AA195" s="7">
        <v>30</v>
      </c>
      <c r="AB195" s="7">
        <v>3.54</v>
      </c>
      <c r="AC195" s="7">
        <v>0.34</v>
      </c>
      <c r="AD195" s="7">
        <v>6</v>
      </c>
      <c r="AE195" s="7">
        <v>4.9000000000000004</v>
      </c>
      <c r="AF195" s="7">
        <v>0.26</v>
      </c>
      <c r="AG195" s="7">
        <v>6</v>
      </c>
      <c r="AH195" s="7">
        <v>3.71</v>
      </c>
      <c r="AI195" s="7">
        <v>0.17</v>
      </c>
      <c r="AJ195" s="7">
        <v>12</v>
      </c>
      <c r="AK195" s="7">
        <v>4.3600000000000003</v>
      </c>
      <c r="AL195" s="7">
        <v>0.26</v>
      </c>
      <c r="AM195" s="7">
        <v>18</v>
      </c>
      <c r="AN195" s="7">
        <f t="shared" si="31"/>
        <v>1.9159564620639025</v>
      </c>
      <c r="AO195" s="7">
        <f t="shared" si="32"/>
        <v>1.516933192888378</v>
      </c>
      <c r="AP195" s="7">
        <f t="shared" si="33"/>
        <v>0.51693319288837802</v>
      </c>
      <c r="AQ195" s="7">
        <f t="shared" si="34"/>
        <v>-0.28572625537266977</v>
      </c>
      <c r="AR195" s="7">
        <f t="shared" si="35"/>
        <v>0.28572625537266977</v>
      </c>
      <c r="AS195" s="7">
        <f t="shared" si="36"/>
        <v>10</v>
      </c>
      <c r="AT195" s="184">
        <f t="shared" si="40"/>
        <v>0.28666666666666668</v>
      </c>
      <c r="AU195" s="7"/>
      <c r="AV195" s="7" t="s">
        <v>2108</v>
      </c>
      <c r="AW195" s="7"/>
      <c r="AX195" s="7" t="s">
        <v>2106</v>
      </c>
      <c r="AY195" s="7" t="s">
        <v>1509</v>
      </c>
    </row>
    <row r="196" spans="1:51">
      <c r="A196" s="7" t="s">
        <v>23</v>
      </c>
      <c r="B196" s="7" t="s">
        <v>1713</v>
      </c>
      <c r="C196" s="7" t="s">
        <v>1653</v>
      </c>
      <c r="D196" s="7" t="s">
        <v>2109</v>
      </c>
      <c r="E196" s="7" t="s">
        <v>2110</v>
      </c>
      <c r="F196" s="7" t="s">
        <v>2111</v>
      </c>
      <c r="G196" s="7" t="s">
        <v>2112</v>
      </c>
      <c r="H196" s="7" t="s">
        <v>4185</v>
      </c>
      <c r="I196" s="100">
        <f>((14-3.2983)/0.198)/1000000</f>
        <v>5.4048989898989901E-5</v>
      </c>
      <c r="J196" s="100">
        <f t="shared" si="28"/>
        <v>5.4048989898989902E-2</v>
      </c>
      <c r="K196" s="100">
        <f t="shared" si="29"/>
        <v>-1.2672124179991815</v>
      </c>
      <c r="L196" s="73" t="s">
        <v>1517</v>
      </c>
      <c r="M196" s="7" t="s">
        <v>2113</v>
      </c>
      <c r="N196" s="7" t="s">
        <v>1504</v>
      </c>
      <c r="O196" s="7" t="s">
        <v>1494</v>
      </c>
      <c r="P196" s="108" t="s">
        <v>1492</v>
      </c>
      <c r="Q196" s="7" t="s">
        <v>1519</v>
      </c>
      <c r="R196" s="7">
        <v>54.15</v>
      </c>
      <c r="S196" s="7">
        <f t="shared" si="39"/>
        <v>54.15</v>
      </c>
      <c r="T196" s="7">
        <v>7.9</v>
      </c>
      <c r="U196" s="7">
        <v>1</v>
      </c>
      <c r="V196" s="7">
        <v>14</v>
      </c>
      <c r="W196" s="7">
        <f t="shared" si="30"/>
        <v>1.146128035678238</v>
      </c>
      <c r="X196" s="7" t="s">
        <v>1779</v>
      </c>
      <c r="Y196" s="7" t="s">
        <v>1781</v>
      </c>
      <c r="Z196" s="7">
        <v>5</v>
      </c>
      <c r="AA196" s="7">
        <v>15</v>
      </c>
      <c r="AB196" s="108">
        <v>9.3787499999999984</v>
      </c>
      <c r="AC196" s="108">
        <v>6.2525000000000004</v>
      </c>
      <c r="AD196" s="7">
        <v>8</v>
      </c>
      <c r="AE196" s="108">
        <v>29.699375</v>
      </c>
      <c r="AF196" s="108">
        <v>7.8156249999999998</v>
      </c>
      <c r="AG196" s="108">
        <v>8</v>
      </c>
      <c r="AH196" s="108">
        <v>12.505000000000001</v>
      </c>
      <c r="AI196" s="108">
        <v>4.6893749999999992</v>
      </c>
      <c r="AJ196" s="108">
        <v>8</v>
      </c>
      <c r="AK196" s="108">
        <v>53.146250000000009</v>
      </c>
      <c r="AL196" s="108">
        <v>4.6893749999999992</v>
      </c>
      <c r="AM196" s="108">
        <v>8</v>
      </c>
      <c r="AN196" s="7">
        <f t="shared" si="31"/>
        <v>3.1666666666666674</v>
      </c>
      <c r="AO196" s="7">
        <f t="shared" si="32"/>
        <v>5.6666666666666687</v>
      </c>
      <c r="AP196" s="7">
        <f t="shared" si="33"/>
        <v>4.6666666666666687</v>
      </c>
      <c r="AQ196" s="7">
        <f t="shared" si="34"/>
        <v>0.66909983409221818</v>
      </c>
      <c r="AR196" s="7">
        <f t="shared" si="35"/>
        <v>-0.66909983409221818</v>
      </c>
      <c r="AS196" s="7">
        <f t="shared" si="36"/>
        <v>8</v>
      </c>
      <c r="AT196" s="184">
        <f t="shared" si="40"/>
        <v>6.2525000000000004</v>
      </c>
      <c r="AU196" s="108"/>
      <c r="AV196" s="7"/>
      <c r="AW196" s="7"/>
      <c r="AX196" s="7" t="s">
        <v>2114</v>
      </c>
      <c r="AY196" s="7" t="s">
        <v>1509</v>
      </c>
    </row>
    <row r="197" spans="1:51">
      <c r="A197" s="7" t="s">
        <v>23</v>
      </c>
      <c r="B197" s="7" t="s">
        <v>1713</v>
      </c>
      <c r="C197" s="7" t="s">
        <v>1653</v>
      </c>
      <c r="D197" s="7" t="s">
        <v>2109</v>
      </c>
      <c r="E197" s="7" t="s">
        <v>2110</v>
      </c>
      <c r="F197" s="7" t="s">
        <v>2115</v>
      </c>
      <c r="G197" s="7" t="s">
        <v>2116</v>
      </c>
      <c r="H197" s="7" t="s">
        <v>4185</v>
      </c>
      <c r="I197" s="100">
        <f>((14-3.2983)/0.198)/1000000</f>
        <v>5.4048989898989901E-5</v>
      </c>
      <c r="J197" s="100">
        <f t="shared" si="28"/>
        <v>5.4048989898989902E-2</v>
      </c>
      <c r="K197" s="100">
        <f t="shared" si="29"/>
        <v>-1.2672124179991815</v>
      </c>
      <c r="L197" s="73" t="s">
        <v>1517</v>
      </c>
      <c r="M197" s="7" t="s">
        <v>2113</v>
      </c>
      <c r="N197" s="7" t="s">
        <v>1504</v>
      </c>
      <c r="O197" s="7" t="s">
        <v>1494</v>
      </c>
      <c r="P197" s="108" t="s">
        <v>1492</v>
      </c>
      <c r="Q197" s="7" t="s">
        <v>1519</v>
      </c>
      <c r="R197" s="7">
        <v>54.15</v>
      </c>
      <c r="S197" s="7">
        <f t="shared" si="39"/>
        <v>54.15</v>
      </c>
      <c r="T197" s="7">
        <v>7.9</v>
      </c>
      <c r="U197" s="7">
        <v>1</v>
      </c>
      <c r="V197" s="7">
        <v>14</v>
      </c>
      <c r="W197" s="7">
        <f t="shared" si="30"/>
        <v>1.146128035678238</v>
      </c>
      <c r="X197" s="7" t="s">
        <v>1779</v>
      </c>
      <c r="Y197" s="7" t="s">
        <v>1781</v>
      </c>
      <c r="Z197" s="7">
        <v>5</v>
      </c>
      <c r="AA197" s="7">
        <v>15</v>
      </c>
      <c r="AB197" s="108">
        <v>9.3787499999999984</v>
      </c>
      <c r="AC197" s="108">
        <v>6.2525000000000004</v>
      </c>
      <c r="AD197" s="7">
        <v>8</v>
      </c>
      <c r="AE197" s="108">
        <v>28.13625</v>
      </c>
      <c r="AF197" s="108">
        <v>6.2525000000000004</v>
      </c>
      <c r="AG197" s="108">
        <v>8</v>
      </c>
      <c r="AH197" s="108">
        <v>6.8777499999999998</v>
      </c>
      <c r="AI197" s="108">
        <v>5.3146250000000004</v>
      </c>
      <c r="AJ197" s="108">
        <v>8</v>
      </c>
      <c r="AK197" s="108">
        <v>29.699375</v>
      </c>
      <c r="AL197" s="108">
        <v>4.6893749999999992</v>
      </c>
      <c r="AM197" s="108">
        <v>8</v>
      </c>
      <c r="AN197" s="7">
        <f t="shared" si="31"/>
        <v>3.0000000000000004</v>
      </c>
      <c r="AO197" s="7">
        <f t="shared" si="32"/>
        <v>3.1666666666666674</v>
      </c>
      <c r="AP197" s="7">
        <f t="shared" si="33"/>
        <v>2.1666666666666674</v>
      </c>
      <c r="AQ197" s="7">
        <f t="shared" si="34"/>
        <v>0.33599249928823627</v>
      </c>
      <c r="AR197" s="7">
        <f t="shared" si="35"/>
        <v>-0.33599249928823627</v>
      </c>
      <c r="AS197" s="7">
        <f t="shared" si="36"/>
        <v>8</v>
      </c>
      <c r="AT197" s="184">
        <f t="shared" si="40"/>
        <v>5.7314583333333333</v>
      </c>
      <c r="AU197" s="108"/>
      <c r="AV197" s="7"/>
      <c r="AW197" s="7"/>
      <c r="AX197" s="7" t="s">
        <v>2117</v>
      </c>
      <c r="AY197" s="7" t="s">
        <v>1509</v>
      </c>
    </row>
    <row r="198" spans="1:51">
      <c r="A198" s="7" t="s">
        <v>23</v>
      </c>
      <c r="B198" s="7" t="s">
        <v>24</v>
      </c>
      <c r="C198" s="7" t="s">
        <v>204</v>
      </c>
      <c r="D198" s="7" t="s">
        <v>2118</v>
      </c>
      <c r="E198" s="7" t="s">
        <v>2119</v>
      </c>
      <c r="F198" s="7" t="s">
        <v>2120</v>
      </c>
      <c r="G198" s="7" t="s">
        <v>2121</v>
      </c>
      <c r="H198" s="7" t="s">
        <v>4185</v>
      </c>
      <c r="I198" s="100">
        <f>24/1000000</f>
        <v>2.4000000000000001E-5</v>
      </c>
      <c r="J198" s="100">
        <f t="shared" si="28"/>
        <v>2.4E-2</v>
      </c>
      <c r="K198" s="100">
        <f t="shared" si="29"/>
        <v>-1.6197887582883939</v>
      </c>
      <c r="L198" s="73" t="s">
        <v>1517</v>
      </c>
      <c r="M198" s="7" t="s">
        <v>2122</v>
      </c>
      <c r="N198" s="7" t="s">
        <v>1640</v>
      </c>
      <c r="O198" s="7" t="s">
        <v>1494</v>
      </c>
      <c r="P198" s="108" t="s">
        <v>1539</v>
      </c>
      <c r="Q198" s="7" t="s">
        <v>2123</v>
      </c>
      <c r="R198" s="7">
        <v>0</v>
      </c>
      <c r="S198" s="7">
        <f t="shared" si="39"/>
        <v>0</v>
      </c>
      <c r="T198" s="7">
        <v>20</v>
      </c>
      <c r="U198" s="7">
        <v>1</v>
      </c>
      <c r="V198" s="7">
        <v>10</v>
      </c>
      <c r="W198" s="7">
        <f t="shared" si="30"/>
        <v>1</v>
      </c>
      <c r="X198" s="7" t="s">
        <v>1779</v>
      </c>
      <c r="Y198" s="7" t="s">
        <v>1781</v>
      </c>
      <c r="Z198" s="7">
        <v>19</v>
      </c>
      <c r="AA198" s="7">
        <v>29</v>
      </c>
      <c r="AB198" s="7">
        <v>0.02</v>
      </c>
      <c r="AC198" s="7">
        <f>0.02*0.04</f>
        <v>8.0000000000000004E-4</v>
      </c>
      <c r="AD198" s="7">
        <v>7</v>
      </c>
      <c r="AE198" s="7">
        <f>0.043</f>
        <v>4.2999999999999997E-2</v>
      </c>
      <c r="AF198" s="7">
        <f>0.043*0.058</f>
        <v>2.4940000000000001E-3</v>
      </c>
      <c r="AG198" s="7">
        <v>7</v>
      </c>
      <c r="AH198" s="7">
        <v>1.4E-2</v>
      </c>
      <c r="AI198" s="7">
        <f>0.014*0.04</f>
        <v>5.6000000000000006E-4</v>
      </c>
      <c r="AJ198" s="7">
        <v>7</v>
      </c>
      <c r="AK198" s="108">
        <v>2.5999999999999999E-2</v>
      </c>
      <c r="AL198" s="108">
        <f>0.026*0.05</f>
        <v>1.2999999999999999E-3</v>
      </c>
      <c r="AM198" s="108">
        <v>7</v>
      </c>
      <c r="AN198" s="7">
        <f t="shared" si="31"/>
        <v>2.15</v>
      </c>
      <c r="AO198" s="7">
        <f t="shared" si="32"/>
        <v>1.2999999999999998</v>
      </c>
      <c r="AP198" s="7">
        <f t="shared" si="33"/>
        <v>0.29999999999999982</v>
      </c>
      <c r="AQ198" s="7">
        <f t="shared" si="34"/>
        <v>-0.52143350440615688</v>
      </c>
      <c r="AR198" s="7">
        <f t="shared" si="35"/>
        <v>0.52143350440615688</v>
      </c>
      <c r="AS198" s="7">
        <f t="shared" si="36"/>
        <v>7</v>
      </c>
      <c r="AT198" s="184">
        <f t="shared" si="40"/>
        <v>1.5313333333333333E-3</v>
      </c>
      <c r="AU198" s="108"/>
      <c r="AV198" s="7" t="s">
        <v>2124</v>
      </c>
      <c r="AW198" s="7"/>
      <c r="AX198" s="7" t="s">
        <v>2122</v>
      </c>
      <c r="AY198" s="7" t="s">
        <v>1509</v>
      </c>
    </row>
    <row r="199" spans="1:51">
      <c r="A199" s="7" t="s">
        <v>23</v>
      </c>
      <c r="B199" s="7" t="s">
        <v>24</v>
      </c>
      <c r="C199" s="7" t="s">
        <v>189</v>
      </c>
      <c r="D199" s="7" t="s">
        <v>1661</v>
      </c>
      <c r="E199" s="7" t="s">
        <v>1662</v>
      </c>
      <c r="F199" s="7" t="s">
        <v>1663</v>
      </c>
      <c r="G199" s="7" t="s">
        <v>1664</v>
      </c>
      <c r="H199" s="7" t="s">
        <v>4185</v>
      </c>
      <c r="I199" s="100">
        <f>3.9/1000000</f>
        <v>3.8999999999999999E-6</v>
      </c>
      <c r="J199" s="100">
        <f t="shared" si="28"/>
        <v>3.8999999999999998E-3</v>
      </c>
      <c r="K199" s="100">
        <f t="shared" si="29"/>
        <v>-2.4089353929735009</v>
      </c>
      <c r="L199" s="73" t="s">
        <v>1517</v>
      </c>
      <c r="M199" s="7" t="s">
        <v>1665</v>
      </c>
      <c r="N199" s="7" t="s">
        <v>1640</v>
      </c>
      <c r="O199" s="7" t="s">
        <v>1505</v>
      </c>
      <c r="P199" s="108" t="s">
        <v>1492</v>
      </c>
      <c r="Q199" s="7" t="s">
        <v>1666</v>
      </c>
      <c r="R199" s="7">
        <v>33.74</v>
      </c>
      <c r="S199" s="7">
        <f t="shared" si="39"/>
        <v>33.74</v>
      </c>
      <c r="T199" s="7">
        <v>19.04</v>
      </c>
      <c r="U199" s="7">
        <v>1</v>
      </c>
      <c r="V199" s="7">
        <v>8</v>
      </c>
      <c r="W199" s="7">
        <f t="shared" si="30"/>
        <v>0.90308998699194354</v>
      </c>
      <c r="X199" s="7" t="s">
        <v>1779</v>
      </c>
      <c r="Y199" s="7" t="s">
        <v>2125</v>
      </c>
      <c r="Z199" s="7">
        <v>20</v>
      </c>
      <c r="AA199" s="7">
        <v>30</v>
      </c>
      <c r="AB199" s="108">
        <v>4.8999999999999998E-3</v>
      </c>
      <c r="AC199" s="108">
        <v>5.0000000000000001E-4</v>
      </c>
      <c r="AD199" s="7">
        <v>121</v>
      </c>
      <c r="AE199" s="7">
        <v>9.4999999999999998E-3</v>
      </c>
      <c r="AF199" s="7">
        <v>5.0000000000000001E-4</v>
      </c>
      <c r="AG199" s="7">
        <v>121</v>
      </c>
      <c r="AH199" s="7">
        <v>4.9500000000000004E-3</v>
      </c>
      <c r="AI199" s="7">
        <v>5.0000000000000001E-4</v>
      </c>
      <c r="AJ199" s="7">
        <v>121</v>
      </c>
      <c r="AK199" s="108">
        <v>7.8499999999999993E-3</v>
      </c>
      <c r="AL199" s="108">
        <v>5.0000000000000001E-4</v>
      </c>
      <c r="AM199" s="7">
        <v>121</v>
      </c>
      <c r="AN199" s="7">
        <f t="shared" si="31"/>
        <v>1.9387755102040816</v>
      </c>
      <c r="AO199" s="7">
        <f t="shared" si="32"/>
        <v>1.6020408163265305</v>
      </c>
      <c r="AP199" s="7">
        <f t="shared" si="33"/>
        <v>0.6020408163265305</v>
      </c>
      <c r="AQ199" s="7">
        <f t="shared" si="34"/>
        <v>-0.21965329199670616</v>
      </c>
      <c r="AR199" s="7">
        <f t="shared" si="35"/>
        <v>0.21965329199670616</v>
      </c>
      <c r="AS199" s="7">
        <f t="shared" si="36"/>
        <v>121</v>
      </c>
      <c r="AT199" s="184">
        <f t="shared" si="40"/>
        <v>5.0000000000000001E-4</v>
      </c>
      <c r="AU199" s="7"/>
      <c r="AV199" s="7" t="s">
        <v>2126</v>
      </c>
      <c r="AW199" s="7"/>
      <c r="AX199" s="7" t="s">
        <v>1665</v>
      </c>
      <c r="AY199" s="7" t="s">
        <v>1509</v>
      </c>
    </row>
    <row r="200" spans="1:51">
      <c r="A200" s="7" t="s">
        <v>33</v>
      </c>
      <c r="B200" s="7" t="s">
        <v>75</v>
      </c>
      <c r="C200" s="7" t="s">
        <v>76</v>
      </c>
      <c r="D200" s="7" t="s">
        <v>389</v>
      </c>
      <c r="E200" s="7" t="s">
        <v>390</v>
      </c>
      <c r="F200" s="7" t="s">
        <v>447</v>
      </c>
      <c r="G200" s="7" t="s">
        <v>1845</v>
      </c>
      <c r="H200" s="7" t="s">
        <v>4181</v>
      </c>
      <c r="I200" s="100">
        <f>AVERAGE(51,81)/1000</f>
        <v>6.6000000000000003E-2</v>
      </c>
      <c r="J200" s="100">
        <f t="shared" ref="J200:J263" si="41">I200*1000</f>
        <v>66</v>
      </c>
      <c r="K200" s="100">
        <f t="shared" ref="K200:K263" si="42">LOG(J200)</f>
        <v>1.8195439355418688</v>
      </c>
      <c r="L200" s="73" t="s">
        <v>1517</v>
      </c>
      <c r="M200" s="7" t="s">
        <v>2127</v>
      </c>
      <c r="N200" s="7" t="s">
        <v>1538</v>
      </c>
      <c r="O200" s="7" t="s">
        <v>1505</v>
      </c>
      <c r="P200" s="108" t="s">
        <v>1492</v>
      </c>
      <c r="Q200" s="7" t="s">
        <v>2128</v>
      </c>
      <c r="R200" s="7">
        <v>33.04</v>
      </c>
      <c r="S200" s="7">
        <f t="shared" si="39"/>
        <v>33.04</v>
      </c>
      <c r="T200" s="7">
        <v>-115.35</v>
      </c>
      <c r="U200" s="7">
        <v>1</v>
      </c>
      <c r="V200" s="7">
        <v>42</v>
      </c>
      <c r="W200" s="7">
        <f t="shared" ref="W200:W263" si="43">LOG(V200)</f>
        <v>1.6232492903979006</v>
      </c>
      <c r="X200" s="7" t="s">
        <v>2129</v>
      </c>
      <c r="Y200" s="7" t="s">
        <v>2130</v>
      </c>
      <c r="Z200" s="7">
        <v>20</v>
      </c>
      <c r="AA200" s="7">
        <v>30</v>
      </c>
      <c r="AB200" s="7">
        <v>0.73499999999999999</v>
      </c>
      <c r="AC200" s="7">
        <v>0.02</v>
      </c>
      <c r="AD200" s="7">
        <v>16</v>
      </c>
      <c r="AE200" s="7">
        <v>0.77</v>
      </c>
      <c r="AF200" s="7">
        <v>8.0000000000000002E-3</v>
      </c>
      <c r="AG200" s="7">
        <v>10</v>
      </c>
      <c r="AH200" s="7">
        <v>0.68</v>
      </c>
      <c r="AI200" s="7">
        <v>5.0000000000000001E-3</v>
      </c>
      <c r="AJ200" s="7">
        <v>16</v>
      </c>
      <c r="AK200" s="7">
        <v>0.81</v>
      </c>
      <c r="AL200" s="7">
        <v>0.01</v>
      </c>
      <c r="AM200" s="7">
        <v>10</v>
      </c>
      <c r="AN200" s="7">
        <f t="shared" ref="AN200:AN263" si="44">(AE200/AB200)^(10/(AA200-Z200))</f>
        <v>1.0476190476190477</v>
      </c>
      <c r="AO200" s="7">
        <f t="shared" ref="AO200:AO263" si="45">(AK200/AB200)^(10/(AA200-Z200))</f>
        <v>1.1020408163265307</v>
      </c>
      <c r="AP200" s="7">
        <f t="shared" ref="AP200:AP263" si="46">ABS(AO200-1)</f>
        <v>0.10204081632653073</v>
      </c>
      <c r="AQ200" s="7">
        <f t="shared" ref="AQ200:AQ263" si="47">LOG(AP200+0.001)</f>
        <v>-0.98699070933302691</v>
      </c>
      <c r="AR200" s="7">
        <f t="shared" ref="AR200:AR263" si="48">AQ200*-1</f>
        <v>0.98699070933302691</v>
      </c>
      <c r="AS200" s="7">
        <f t="shared" ref="AS200:AS263" si="49">AVERAGE(AD200,AG200,AM200)</f>
        <v>12</v>
      </c>
      <c r="AT200" s="184">
        <f t="shared" si="40"/>
        <v>1.2666666666666666E-2</v>
      </c>
      <c r="AU200" s="7"/>
      <c r="AV200" s="7" t="s">
        <v>1528</v>
      </c>
      <c r="AW200" s="7"/>
      <c r="AX200" s="7" t="s">
        <v>2127</v>
      </c>
      <c r="AY200" s="7" t="s">
        <v>1509</v>
      </c>
    </row>
    <row r="201" spans="1:51">
      <c r="A201" s="7" t="s">
        <v>33</v>
      </c>
      <c r="B201" s="7" t="s">
        <v>43</v>
      </c>
      <c r="C201" s="7" t="s">
        <v>1532</v>
      </c>
      <c r="D201" s="7" t="s">
        <v>1533</v>
      </c>
      <c r="E201" s="7" t="s">
        <v>1534</v>
      </c>
      <c r="F201" s="7" t="s">
        <v>1535</v>
      </c>
      <c r="G201" s="7" t="s">
        <v>1536</v>
      </c>
      <c r="H201" s="7" t="s">
        <v>4184</v>
      </c>
      <c r="I201" s="100">
        <f>AVERAGE(719,727)/1000</f>
        <v>0.72299999999999998</v>
      </c>
      <c r="J201" s="100">
        <f t="shared" si="41"/>
        <v>723</v>
      </c>
      <c r="K201" s="100">
        <f t="shared" si="42"/>
        <v>2.859138297294531</v>
      </c>
      <c r="L201" s="73" t="s">
        <v>1502</v>
      </c>
      <c r="M201" s="7" t="s">
        <v>1755</v>
      </c>
      <c r="N201" s="7" t="s">
        <v>1538</v>
      </c>
      <c r="O201" s="7" t="s">
        <v>1494</v>
      </c>
      <c r="P201" s="108" t="s">
        <v>1539</v>
      </c>
      <c r="Q201" s="7" t="s">
        <v>1540</v>
      </c>
      <c r="R201" s="7">
        <v>12.45</v>
      </c>
      <c r="S201" s="7">
        <f t="shared" si="39"/>
        <v>12.45</v>
      </c>
      <c r="T201" s="7">
        <v>130.85</v>
      </c>
      <c r="U201" s="7">
        <v>1</v>
      </c>
      <c r="V201" s="7">
        <v>30</v>
      </c>
      <c r="W201" s="7">
        <f t="shared" si="43"/>
        <v>1.4771212547196624</v>
      </c>
      <c r="X201" s="7" t="s">
        <v>2131</v>
      </c>
      <c r="Y201" s="7" t="s">
        <v>1757</v>
      </c>
      <c r="Z201" s="7">
        <v>20</v>
      </c>
      <c r="AA201" s="7">
        <v>30</v>
      </c>
      <c r="AB201" s="108">
        <v>168.5</v>
      </c>
      <c r="AC201" s="108">
        <v>16.399999999999999</v>
      </c>
      <c r="AD201" s="7">
        <v>8</v>
      </c>
      <c r="AE201" s="7">
        <v>382.2</v>
      </c>
      <c r="AF201" s="7">
        <v>33.1</v>
      </c>
      <c r="AG201" s="7">
        <v>8</v>
      </c>
      <c r="AH201" s="7">
        <v>189.3</v>
      </c>
      <c r="AI201" s="7">
        <v>20.100000000000001</v>
      </c>
      <c r="AJ201" s="7">
        <v>8</v>
      </c>
      <c r="AK201" s="108">
        <v>362.5</v>
      </c>
      <c r="AL201" s="108">
        <v>28.5</v>
      </c>
      <c r="AM201" s="108">
        <v>8</v>
      </c>
      <c r="AN201" s="7">
        <f t="shared" si="44"/>
        <v>2.2682492581602371</v>
      </c>
      <c r="AO201" s="7">
        <f t="shared" si="45"/>
        <v>2.1513353115727001</v>
      </c>
      <c r="AP201" s="7">
        <f t="shared" si="46"/>
        <v>1.1513353115727001</v>
      </c>
      <c r="AQ201" s="7">
        <f t="shared" si="47"/>
        <v>6.1578870386270572E-2</v>
      </c>
      <c r="AR201" s="7">
        <f t="shared" si="48"/>
        <v>-6.1578870386270572E-2</v>
      </c>
      <c r="AS201" s="7">
        <f t="shared" si="49"/>
        <v>8</v>
      </c>
      <c r="AT201" s="184">
        <f t="shared" si="40"/>
        <v>26</v>
      </c>
      <c r="AU201" s="108"/>
      <c r="AV201" s="7"/>
      <c r="AW201" s="7"/>
      <c r="AX201" s="7" t="s">
        <v>1755</v>
      </c>
      <c r="AY201" s="7" t="s">
        <v>1509</v>
      </c>
    </row>
    <row r="202" spans="1:51">
      <c r="A202" s="7" t="s">
        <v>33</v>
      </c>
      <c r="B202" s="7" t="s">
        <v>43</v>
      </c>
      <c r="C202" s="7" t="s">
        <v>1532</v>
      </c>
      <c r="D202" s="7" t="s">
        <v>1533</v>
      </c>
      <c r="E202" s="7" t="s">
        <v>1534</v>
      </c>
      <c r="F202" s="7" t="s">
        <v>1535</v>
      </c>
      <c r="G202" s="7" t="s">
        <v>1536</v>
      </c>
      <c r="H202" s="7" t="s">
        <v>4184</v>
      </c>
      <c r="I202" s="100">
        <f>177/1000</f>
        <v>0.17699999999999999</v>
      </c>
      <c r="J202" s="100">
        <f t="shared" si="41"/>
        <v>177</v>
      </c>
      <c r="K202" s="100">
        <f t="shared" si="42"/>
        <v>2.2479732663618068</v>
      </c>
      <c r="L202" s="73" t="s">
        <v>1502</v>
      </c>
      <c r="M202" s="7" t="s">
        <v>1537</v>
      </c>
      <c r="N202" s="7" t="s">
        <v>1538</v>
      </c>
      <c r="O202" s="7" t="s">
        <v>1494</v>
      </c>
      <c r="P202" s="108" t="s">
        <v>1539</v>
      </c>
      <c r="Q202" s="7" t="s">
        <v>1540</v>
      </c>
      <c r="R202" s="7">
        <v>12.45</v>
      </c>
      <c r="S202" s="7">
        <f t="shared" si="39"/>
        <v>12.45</v>
      </c>
      <c r="T202" s="7">
        <v>130.86000000000001</v>
      </c>
      <c r="U202" s="7">
        <v>1</v>
      </c>
      <c r="V202" s="7">
        <v>33</v>
      </c>
      <c r="W202" s="7">
        <f t="shared" si="43"/>
        <v>1.5185139398778875</v>
      </c>
      <c r="X202" s="7" t="s">
        <v>2131</v>
      </c>
      <c r="Y202" s="7" t="s">
        <v>2132</v>
      </c>
      <c r="Z202" s="7">
        <v>20</v>
      </c>
      <c r="AA202" s="7">
        <v>29</v>
      </c>
      <c r="AB202" s="7">
        <v>157.9</v>
      </c>
      <c r="AC202" s="7">
        <v>16</v>
      </c>
      <c r="AD202" s="7">
        <v>8</v>
      </c>
      <c r="AE202" s="7">
        <v>264.89999999999998</v>
      </c>
      <c r="AF202" s="7">
        <v>24.5</v>
      </c>
      <c r="AG202" s="7">
        <v>8</v>
      </c>
      <c r="AH202" s="7">
        <v>123.8</v>
      </c>
      <c r="AI202" s="7">
        <v>7.6</v>
      </c>
      <c r="AJ202" s="7">
        <v>9</v>
      </c>
      <c r="AK202" s="108">
        <v>219.1</v>
      </c>
      <c r="AL202" s="108">
        <v>25.8</v>
      </c>
      <c r="AM202" s="7">
        <v>9</v>
      </c>
      <c r="AN202" s="7">
        <f t="shared" si="44"/>
        <v>1.7769142731930008</v>
      </c>
      <c r="AO202" s="7">
        <f t="shared" si="45"/>
        <v>1.43902037034856</v>
      </c>
      <c r="AP202" s="7">
        <f t="shared" si="46"/>
        <v>0.43902037034856001</v>
      </c>
      <c r="AQ202" s="7">
        <f t="shared" si="47"/>
        <v>-0.35652721777473262</v>
      </c>
      <c r="AR202" s="7">
        <f t="shared" si="48"/>
        <v>0.35652721777473262</v>
      </c>
      <c r="AS202" s="7">
        <f t="shared" si="49"/>
        <v>8.3333333333333339</v>
      </c>
      <c r="AT202" s="184">
        <f t="shared" si="40"/>
        <v>22.099999999999998</v>
      </c>
      <c r="AU202" s="7"/>
      <c r="AV202" s="7"/>
      <c r="AW202" s="7"/>
      <c r="AX202" s="7" t="s">
        <v>2133</v>
      </c>
      <c r="AY202" s="7" t="s">
        <v>1509</v>
      </c>
    </row>
    <row r="203" spans="1:51">
      <c r="A203" s="7" t="s">
        <v>33</v>
      </c>
      <c r="B203" s="7" t="s">
        <v>43</v>
      </c>
      <c r="C203" s="7" t="s">
        <v>1532</v>
      </c>
      <c r="D203" s="7" t="s">
        <v>1533</v>
      </c>
      <c r="E203" s="7" t="s">
        <v>1534</v>
      </c>
      <c r="F203" s="7" t="s">
        <v>1535</v>
      </c>
      <c r="G203" s="7" t="s">
        <v>1536</v>
      </c>
      <c r="H203" s="7" t="s">
        <v>4184</v>
      </c>
      <c r="I203" s="100">
        <f>177/1000</f>
        <v>0.17699999999999999</v>
      </c>
      <c r="J203" s="100">
        <f t="shared" si="41"/>
        <v>177</v>
      </c>
      <c r="K203" s="100">
        <f t="shared" si="42"/>
        <v>2.2479732663618068</v>
      </c>
      <c r="L203" s="73" t="s">
        <v>1502</v>
      </c>
      <c r="M203" s="7" t="s">
        <v>1537</v>
      </c>
      <c r="N203" s="7" t="s">
        <v>1538</v>
      </c>
      <c r="O203" s="7" t="s">
        <v>1494</v>
      </c>
      <c r="P203" s="108" t="s">
        <v>1539</v>
      </c>
      <c r="Q203" s="7" t="s">
        <v>1540</v>
      </c>
      <c r="R203" s="7">
        <v>12.45</v>
      </c>
      <c r="S203" s="7">
        <f t="shared" si="39"/>
        <v>12.45</v>
      </c>
      <c r="T203" s="7">
        <v>130.86000000000001</v>
      </c>
      <c r="U203" s="7">
        <v>1</v>
      </c>
      <c r="V203" s="7">
        <v>33</v>
      </c>
      <c r="W203" s="7">
        <f t="shared" si="43"/>
        <v>1.5185139398778875</v>
      </c>
      <c r="X203" s="7" t="s">
        <v>2131</v>
      </c>
      <c r="Y203" s="7" t="s">
        <v>2134</v>
      </c>
      <c r="Z203" s="7">
        <v>20</v>
      </c>
      <c r="AA203" s="7">
        <v>29</v>
      </c>
      <c r="AB203" s="7">
        <v>287.7</v>
      </c>
      <c r="AC203" s="7">
        <v>29.2</v>
      </c>
      <c r="AD203" s="7">
        <v>8</v>
      </c>
      <c r="AE203" s="7">
        <v>313.10000000000002</v>
      </c>
      <c r="AF203" s="7">
        <v>37.5</v>
      </c>
      <c r="AG203" s="7">
        <v>8</v>
      </c>
      <c r="AH203" s="7">
        <v>214.8</v>
      </c>
      <c r="AI203" s="7">
        <v>27.5</v>
      </c>
      <c r="AJ203" s="7">
        <v>9</v>
      </c>
      <c r="AK203" s="108">
        <v>364.7</v>
      </c>
      <c r="AL203" s="7">
        <v>40.71</v>
      </c>
      <c r="AM203" s="7">
        <v>9</v>
      </c>
      <c r="AN203" s="7">
        <f t="shared" si="44"/>
        <v>1.0985650651256522</v>
      </c>
      <c r="AO203" s="7">
        <f t="shared" si="45"/>
        <v>1.3014871677792514</v>
      </c>
      <c r="AP203" s="7">
        <f t="shared" si="46"/>
        <v>0.30148716777925144</v>
      </c>
      <c r="AQ203" s="7">
        <f t="shared" si="47"/>
        <v>-0.5192930444193441</v>
      </c>
      <c r="AR203" s="7">
        <f t="shared" si="48"/>
        <v>0.5192930444193441</v>
      </c>
      <c r="AS203" s="7">
        <f t="shared" si="49"/>
        <v>8.3333333333333339</v>
      </c>
      <c r="AT203" s="184">
        <f t="shared" si="40"/>
        <v>35.803333333333335</v>
      </c>
      <c r="AU203" s="7"/>
      <c r="AV203" s="7"/>
      <c r="AW203" s="7"/>
      <c r="AX203" s="7" t="s">
        <v>2135</v>
      </c>
      <c r="AY203" s="7" t="s">
        <v>1509</v>
      </c>
    </row>
    <row r="204" spans="1:51">
      <c r="A204" s="7" t="s">
        <v>33</v>
      </c>
      <c r="B204" s="7" t="s">
        <v>43</v>
      </c>
      <c r="C204" s="7" t="s">
        <v>1532</v>
      </c>
      <c r="D204" s="7" t="s">
        <v>1533</v>
      </c>
      <c r="E204" s="7" t="s">
        <v>1534</v>
      </c>
      <c r="F204" s="7" t="s">
        <v>1535</v>
      </c>
      <c r="G204" s="7" t="s">
        <v>1536</v>
      </c>
      <c r="H204" s="7" t="s">
        <v>4184</v>
      </c>
      <c r="I204" s="100">
        <f>177/1000</f>
        <v>0.17699999999999999</v>
      </c>
      <c r="J204" s="100">
        <f t="shared" si="41"/>
        <v>177</v>
      </c>
      <c r="K204" s="100">
        <f t="shared" si="42"/>
        <v>2.2479732663618068</v>
      </c>
      <c r="L204" s="73" t="s">
        <v>1502</v>
      </c>
      <c r="M204" s="7" t="s">
        <v>1537</v>
      </c>
      <c r="N204" s="7" t="s">
        <v>1538</v>
      </c>
      <c r="O204" s="7" t="s">
        <v>1494</v>
      </c>
      <c r="P204" s="108" t="s">
        <v>1539</v>
      </c>
      <c r="Q204" s="7" t="s">
        <v>1540</v>
      </c>
      <c r="R204" s="7">
        <v>12.45</v>
      </c>
      <c r="S204" s="7">
        <f t="shared" si="39"/>
        <v>12.45</v>
      </c>
      <c r="T204" s="7">
        <v>130.86000000000001</v>
      </c>
      <c r="U204" s="7">
        <v>1</v>
      </c>
      <c r="V204" s="7">
        <v>33</v>
      </c>
      <c r="W204" s="7">
        <f t="shared" si="43"/>
        <v>1.5185139398778875</v>
      </c>
      <c r="X204" s="7" t="s">
        <v>2131</v>
      </c>
      <c r="Y204" s="7" t="s">
        <v>2136</v>
      </c>
      <c r="Z204" s="7">
        <v>20</v>
      </c>
      <c r="AA204" s="7">
        <v>29</v>
      </c>
      <c r="AB204" s="7">
        <v>162.19999999999999</v>
      </c>
      <c r="AC204" s="7">
        <v>21.6</v>
      </c>
      <c r="AD204" s="7">
        <v>8</v>
      </c>
      <c r="AE204" s="7">
        <v>245.8</v>
      </c>
      <c r="AF204" s="7">
        <v>25.3</v>
      </c>
      <c r="AG204" s="7">
        <v>8</v>
      </c>
      <c r="AH204" s="7">
        <v>117.4</v>
      </c>
      <c r="AI204" s="7">
        <v>7.5</v>
      </c>
      <c r="AJ204" s="7">
        <v>9</v>
      </c>
      <c r="AK204" s="108">
        <v>252</v>
      </c>
      <c r="AL204" s="7">
        <v>32.4</v>
      </c>
      <c r="AM204" s="7">
        <v>9</v>
      </c>
      <c r="AN204" s="7">
        <f t="shared" si="44"/>
        <v>1.5870478894363802</v>
      </c>
      <c r="AO204" s="7">
        <f t="shared" si="45"/>
        <v>1.6315889961912693</v>
      </c>
      <c r="AP204" s="7">
        <f t="shared" si="46"/>
        <v>0.63158899619126929</v>
      </c>
      <c r="AQ204" s="7">
        <f t="shared" si="47"/>
        <v>-0.19887836685433888</v>
      </c>
      <c r="AR204" s="7">
        <f t="shared" si="48"/>
        <v>0.19887836685433888</v>
      </c>
      <c r="AS204" s="7">
        <f t="shared" si="49"/>
        <v>8.3333333333333339</v>
      </c>
      <c r="AT204" s="184">
        <f t="shared" si="40"/>
        <v>26.433333333333337</v>
      </c>
      <c r="AU204" s="7"/>
      <c r="AV204" s="7"/>
      <c r="AW204" s="7"/>
      <c r="AX204" s="7" t="s">
        <v>2137</v>
      </c>
      <c r="AY204" s="7" t="s">
        <v>1509</v>
      </c>
    </row>
    <row r="205" spans="1:51">
      <c r="A205" s="7" t="s">
        <v>33</v>
      </c>
      <c r="B205" s="7" t="s">
        <v>34</v>
      </c>
      <c r="C205" s="7" t="s">
        <v>282</v>
      </c>
      <c r="D205" s="7" t="s">
        <v>2138</v>
      </c>
      <c r="E205" s="7" t="s">
        <v>2139</v>
      </c>
      <c r="F205" s="7" t="s">
        <v>2140</v>
      </c>
      <c r="G205" s="7" t="s">
        <v>2141</v>
      </c>
      <c r="H205" s="7" t="s">
        <v>4180</v>
      </c>
      <c r="I205" s="100">
        <f>AVERAGE(161,129)/1000</f>
        <v>0.14499999999999999</v>
      </c>
      <c r="J205" s="100">
        <f t="shared" si="41"/>
        <v>145</v>
      </c>
      <c r="K205" s="100">
        <f t="shared" si="42"/>
        <v>2.1613680022349748</v>
      </c>
      <c r="L205" s="73" t="s">
        <v>1502</v>
      </c>
      <c r="M205" s="7" t="s">
        <v>2142</v>
      </c>
      <c r="N205" s="110" t="s">
        <v>1538</v>
      </c>
      <c r="O205" s="110" t="s">
        <v>1505</v>
      </c>
      <c r="P205" s="108" t="s">
        <v>1492</v>
      </c>
      <c r="Q205" s="110" t="s">
        <v>2143</v>
      </c>
      <c r="R205" s="110">
        <v>41</v>
      </c>
      <c r="S205" s="7">
        <f t="shared" si="39"/>
        <v>41</v>
      </c>
      <c r="T205" s="110">
        <v>81.5</v>
      </c>
      <c r="U205" s="7">
        <v>1</v>
      </c>
      <c r="V205" s="7">
        <v>42</v>
      </c>
      <c r="W205" s="7">
        <f t="shared" si="43"/>
        <v>1.6232492903979006</v>
      </c>
      <c r="X205" s="7" t="s">
        <v>2131</v>
      </c>
      <c r="Y205" s="7" t="s">
        <v>2144</v>
      </c>
      <c r="Z205" s="7">
        <v>5</v>
      </c>
      <c r="AA205" s="7">
        <v>25</v>
      </c>
      <c r="AB205" s="108">
        <v>10</v>
      </c>
      <c r="AC205" s="108">
        <v>2.5</v>
      </c>
      <c r="AD205" s="110">
        <v>4</v>
      </c>
      <c r="AE205" s="7">
        <v>18</v>
      </c>
      <c r="AF205" s="7">
        <v>4</v>
      </c>
      <c r="AG205" s="110">
        <v>4</v>
      </c>
      <c r="AH205" s="7">
        <v>12.5</v>
      </c>
      <c r="AI205" s="7">
        <v>2.5</v>
      </c>
      <c r="AJ205" s="110">
        <v>4</v>
      </c>
      <c r="AK205" s="108">
        <v>26.5</v>
      </c>
      <c r="AL205" s="108">
        <v>5</v>
      </c>
      <c r="AM205" s="110">
        <v>4</v>
      </c>
      <c r="AN205" s="7">
        <f t="shared" si="44"/>
        <v>1.3416407864998738</v>
      </c>
      <c r="AO205" s="7">
        <f t="shared" si="45"/>
        <v>1.6278820596099706</v>
      </c>
      <c r="AP205" s="7">
        <f t="shared" si="46"/>
        <v>0.62788205960997057</v>
      </c>
      <c r="AQ205" s="7">
        <f t="shared" si="47"/>
        <v>-0.20143079440092665</v>
      </c>
      <c r="AR205" s="7">
        <f t="shared" si="48"/>
        <v>0.20143079440092665</v>
      </c>
      <c r="AS205" s="7">
        <f t="shared" si="49"/>
        <v>4</v>
      </c>
      <c r="AT205" s="184">
        <f t="shared" si="40"/>
        <v>3.8333333333333335</v>
      </c>
      <c r="AU205" s="110"/>
      <c r="AV205" s="7" t="s">
        <v>2145</v>
      </c>
      <c r="AW205" s="7"/>
      <c r="AX205" s="7" t="s">
        <v>2146</v>
      </c>
      <c r="AY205" s="7" t="s">
        <v>1509</v>
      </c>
    </row>
    <row r="206" spans="1:51">
      <c r="A206" s="7" t="s">
        <v>33</v>
      </c>
      <c r="B206" s="7" t="s">
        <v>34</v>
      </c>
      <c r="C206" s="7" t="s">
        <v>282</v>
      </c>
      <c r="D206" s="7" t="s">
        <v>2138</v>
      </c>
      <c r="E206" s="7" t="s">
        <v>2139</v>
      </c>
      <c r="F206" s="7" t="s">
        <v>2140</v>
      </c>
      <c r="G206" s="7" t="s">
        <v>2141</v>
      </c>
      <c r="H206" s="7" t="s">
        <v>4180</v>
      </c>
      <c r="I206" s="100">
        <f>AVERAGE(161,129)/1000</f>
        <v>0.14499999999999999</v>
      </c>
      <c r="J206" s="100">
        <f t="shared" si="41"/>
        <v>145</v>
      </c>
      <c r="K206" s="100">
        <f t="shared" si="42"/>
        <v>2.1613680022349748</v>
      </c>
      <c r="L206" s="73" t="s">
        <v>1502</v>
      </c>
      <c r="M206" s="7" t="s">
        <v>2142</v>
      </c>
      <c r="N206" s="110" t="s">
        <v>1538</v>
      </c>
      <c r="O206" s="110" t="s">
        <v>1505</v>
      </c>
      <c r="P206" s="108" t="s">
        <v>1492</v>
      </c>
      <c r="Q206" s="110" t="s">
        <v>2143</v>
      </c>
      <c r="R206" s="110">
        <v>41</v>
      </c>
      <c r="S206" s="7">
        <f t="shared" si="39"/>
        <v>41</v>
      </c>
      <c r="T206" s="110">
        <v>81.5</v>
      </c>
      <c r="U206" s="7">
        <v>1</v>
      </c>
      <c r="V206" s="7">
        <v>42</v>
      </c>
      <c r="W206" s="7">
        <f t="shared" si="43"/>
        <v>1.6232492903979006</v>
      </c>
      <c r="X206" s="7" t="s">
        <v>2131</v>
      </c>
      <c r="Y206" s="7" t="s">
        <v>2147</v>
      </c>
      <c r="Z206" s="7">
        <v>5</v>
      </c>
      <c r="AA206" s="7">
        <v>25</v>
      </c>
      <c r="AB206" s="108">
        <v>28</v>
      </c>
      <c r="AC206" s="108">
        <v>7</v>
      </c>
      <c r="AD206" s="110">
        <v>4</v>
      </c>
      <c r="AE206" s="7">
        <v>62</v>
      </c>
      <c r="AF206" s="7">
        <v>8</v>
      </c>
      <c r="AG206" s="110">
        <v>4</v>
      </c>
      <c r="AH206" s="7">
        <v>31</v>
      </c>
      <c r="AI206" s="7">
        <v>7</v>
      </c>
      <c r="AJ206" s="110">
        <v>4</v>
      </c>
      <c r="AK206" s="108">
        <v>74</v>
      </c>
      <c r="AL206" s="108">
        <v>3</v>
      </c>
      <c r="AM206" s="110">
        <v>4</v>
      </c>
      <c r="AN206" s="7">
        <f t="shared" si="44"/>
        <v>1.4880476182856899</v>
      </c>
      <c r="AO206" s="7">
        <f t="shared" si="45"/>
        <v>1.625686668105863</v>
      </c>
      <c r="AP206" s="7">
        <f t="shared" si="46"/>
        <v>0.62568666810586304</v>
      </c>
      <c r="AQ206" s="7">
        <f t="shared" si="47"/>
        <v>-0.20294954421760256</v>
      </c>
      <c r="AR206" s="7">
        <f t="shared" si="48"/>
        <v>0.20294954421760256</v>
      </c>
      <c r="AS206" s="7">
        <f t="shared" si="49"/>
        <v>4</v>
      </c>
      <c r="AT206" s="184">
        <f t="shared" si="40"/>
        <v>6</v>
      </c>
      <c r="AU206" s="110"/>
      <c r="AV206" s="7" t="s">
        <v>2145</v>
      </c>
      <c r="AW206" s="7"/>
      <c r="AX206" s="7" t="s">
        <v>2148</v>
      </c>
      <c r="AY206" s="7" t="s">
        <v>1509</v>
      </c>
    </row>
    <row r="207" spans="1:51">
      <c r="A207" s="7" t="s">
        <v>33</v>
      </c>
      <c r="B207" s="7" t="s">
        <v>34</v>
      </c>
      <c r="C207" s="7" t="s">
        <v>282</v>
      </c>
      <c r="D207" s="7" t="s">
        <v>2138</v>
      </c>
      <c r="E207" s="7" t="s">
        <v>2139</v>
      </c>
      <c r="F207" s="7" t="s">
        <v>2140</v>
      </c>
      <c r="G207" s="7" t="s">
        <v>2141</v>
      </c>
      <c r="H207" s="7" t="s">
        <v>4180</v>
      </c>
      <c r="I207" s="100">
        <f>AVERAGE(161,129)/1000</f>
        <v>0.14499999999999999</v>
      </c>
      <c r="J207" s="100">
        <f t="shared" si="41"/>
        <v>145</v>
      </c>
      <c r="K207" s="100">
        <f t="shared" si="42"/>
        <v>2.1613680022349748</v>
      </c>
      <c r="L207" s="73" t="s">
        <v>1502</v>
      </c>
      <c r="M207" s="7" t="s">
        <v>2142</v>
      </c>
      <c r="N207" s="7" t="s">
        <v>1538</v>
      </c>
      <c r="O207" s="7" t="s">
        <v>1505</v>
      </c>
      <c r="P207" s="108" t="s">
        <v>1492</v>
      </c>
      <c r="Q207" s="7" t="s">
        <v>2143</v>
      </c>
      <c r="R207" s="7">
        <v>41</v>
      </c>
      <c r="S207" s="7">
        <f t="shared" si="39"/>
        <v>41</v>
      </c>
      <c r="T207" s="7">
        <v>81.5</v>
      </c>
      <c r="U207" s="7">
        <v>1</v>
      </c>
      <c r="V207" s="7">
        <v>42</v>
      </c>
      <c r="W207" s="7">
        <f t="shared" si="43"/>
        <v>1.6232492903979006</v>
      </c>
      <c r="X207" s="7" t="s">
        <v>2131</v>
      </c>
      <c r="Y207" s="7" t="s">
        <v>2136</v>
      </c>
      <c r="Z207" s="7">
        <v>5</v>
      </c>
      <c r="AA207" s="7">
        <v>25</v>
      </c>
      <c r="AB207" s="108">
        <v>61</v>
      </c>
      <c r="AC207" s="108">
        <v>2.5</v>
      </c>
      <c r="AD207" s="110">
        <v>4</v>
      </c>
      <c r="AE207" s="7">
        <v>106</v>
      </c>
      <c r="AF207" s="7">
        <v>5</v>
      </c>
      <c r="AG207" s="110">
        <v>4</v>
      </c>
      <c r="AH207" s="7">
        <v>48</v>
      </c>
      <c r="AI207" s="7">
        <v>15</v>
      </c>
      <c r="AJ207" s="7">
        <v>4</v>
      </c>
      <c r="AK207" s="108">
        <v>92</v>
      </c>
      <c r="AL207" s="108">
        <v>17</v>
      </c>
      <c r="AM207" s="7">
        <v>4</v>
      </c>
      <c r="AN207" s="7">
        <f t="shared" si="44"/>
        <v>1.3182203601950573</v>
      </c>
      <c r="AO207" s="7">
        <f t="shared" si="45"/>
        <v>1.2280866098575765</v>
      </c>
      <c r="AP207" s="7">
        <f t="shared" si="46"/>
        <v>0.22808660985757645</v>
      </c>
      <c r="AQ207" s="7">
        <f t="shared" si="47"/>
        <v>-0.64000029463825259</v>
      </c>
      <c r="AR207" s="7">
        <f t="shared" si="48"/>
        <v>0.64000029463825259</v>
      </c>
      <c r="AS207" s="7">
        <f t="shared" si="49"/>
        <v>4</v>
      </c>
      <c r="AT207" s="184">
        <f t="shared" si="40"/>
        <v>8.1666666666666661</v>
      </c>
      <c r="AU207" s="7"/>
      <c r="AV207" s="7" t="s">
        <v>2145</v>
      </c>
      <c r="AW207" s="7"/>
      <c r="AX207" s="7" t="s">
        <v>2149</v>
      </c>
      <c r="AY207" s="7" t="s">
        <v>1509</v>
      </c>
    </row>
    <row r="208" spans="1:51">
      <c r="A208" s="7" t="s">
        <v>33</v>
      </c>
      <c r="B208" s="7" t="s">
        <v>34</v>
      </c>
      <c r="C208" s="7" t="s">
        <v>282</v>
      </c>
      <c r="D208" s="7" t="s">
        <v>2138</v>
      </c>
      <c r="E208" s="7" t="s">
        <v>2150</v>
      </c>
      <c r="F208" s="7" t="s">
        <v>2151</v>
      </c>
      <c r="G208" s="7" t="s">
        <v>2152</v>
      </c>
      <c r="H208" s="7" t="s">
        <v>4180</v>
      </c>
      <c r="I208" s="100">
        <f>AVERAGE(107,135)/1000</f>
        <v>0.121</v>
      </c>
      <c r="J208" s="100">
        <f t="shared" si="41"/>
        <v>121</v>
      </c>
      <c r="K208" s="100">
        <f t="shared" si="42"/>
        <v>2.0827853703164503</v>
      </c>
      <c r="L208" s="73" t="s">
        <v>1502</v>
      </c>
      <c r="M208" s="7" t="s">
        <v>2142</v>
      </c>
      <c r="N208" s="7" t="s">
        <v>1538</v>
      </c>
      <c r="O208" s="7" t="s">
        <v>1494</v>
      </c>
      <c r="P208" s="108" t="s">
        <v>1492</v>
      </c>
      <c r="Q208" s="7" t="s">
        <v>2153</v>
      </c>
      <c r="R208" s="7">
        <v>40.450000000000003</v>
      </c>
      <c r="S208" s="7">
        <f t="shared" si="39"/>
        <v>40.450000000000003</v>
      </c>
      <c r="T208" s="7">
        <v>81.7</v>
      </c>
      <c r="U208" s="7">
        <v>1</v>
      </c>
      <c r="V208" s="7">
        <v>42</v>
      </c>
      <c r="W208" s="7">
        <f t="shared" si="43"/>
        <v>1.6232492903979006</v>
      </c>
      <c r="X208" s="7" t="s">
        <v>2131</v>
      </c>
      <c r="Y208" s="7" t="s">
        <v>2136</v>
      </c>
      <c r="Z208" s="7">
        <v>5</v>
      </c>
      <c r="AA208" s="7">
        <v>25</v>
      </c>
      <c r="AB208" s="108">
        <v>35</v>
      </c>
      <c r="AC208" s="108">
        <v>8</v>
      </c>
      <c r="AD208" s="110">
        <v>3</v>
      </c>
      <c r="AE208" s="7">
        <v>58</v>
      </c>
      <c r="AF208" s="7">
        <v>4</v>
      </c>
      <c r="AG208" s="110">
        <v>3</v>
      </c>
      <c r="AH208" s="7">
        <v>58</v>
      </c>
      <c r="AI208" s="7">
        <v>4</v>
      </c>
      <c r="AJ208" s="7">
        <v>3</v>
      </c>
      <c r="AK208" s="108">
        <v>105</v>
      </c>
      <c r="AL208" s="108">
        <v>9</v>
      </c>
      <c r="AM208" s="7">
        <v>3</v>
      </c>
      <c r="AN208" s="7">
        <f t="shared" si="44"/>
        <v>1.2873006086935783</v>
      </c>
      <c r="AO208" s="7">
        <f t="shared" si="45"/>
        <v>1.7320508075688772</v>
      </c>
      <c r="AP208" s="7">
        <f t="shared" si="46"/>
        <v>0.73205080756887719</v>
      </c>
      <c r="AQ208" s="7">
        <f t="shared" si="47"/>
        <v>-0.13486592347332046</v>
      </c>
      <c r="AR208" s="7">
        <f t="shared" si="48"/>
        <v>0.13486592347332046</v>
      </c>
      <c r="AS208" s="7">
        <f t="shared" si="49"/>
        <v>3</v>
      </c>
      <c r="AT208" s="184">
        <f t="shared" si="40"/>
        <v>7</v>
      </c>
      <c r="AU208" s="7"/>
      <c r="AV208" s="7" t="s">
        <v>2145</v>
      </c>
      <c r="AW208" s="7"/>
      <c r="AX208" s="7" t="s">
        <v>2154</v>
      </c>
      <c r="AY208" s="7" t="s">
        <v>1509</v>
      </c>
    </row>
    <row r="209" spans="1:51">
      <c r="A209" s="7" t="s">
        <v>33</v>
      </c>
      <c r="B209" s="7" t="s">
        <v>34</v>
      </c>
      <c r="C209" s="7" t="s">
        <v>282</v>
      </c>
      <c r="D209" s="7" t="s">
        <v>2138</v>
      </c>
      <c r="E209" s="7" t="s">
        <v>2150</v>
      </c>
      <c r="F209" s="7" t="s">
        <v>2151</v>
      </c>
      <c r="G209" s="7" t="s">
        <v>2152</v>
      </c>
      <c r="H209" s="7" t="s">
        <v>4180</v>
      </c>
      <c r="I209" s="100">
        <f>AVERAGE(107,135)/1000</f>
        <v>0.121</v>
      </c>
      <c r="J209" s="100">
        <f t="shared" si="41"/>
        <v>121</v>
      </c>
      <c r="K209" s="100">
        <f t="shared" si="42"/>
        <v>2.0827853703164503</v>
      </c>
      <c r="L209" s="73" t="s">
        <v>1502</v>
      </c>
      <c r="M209" s="7" t="s">
        <v>2142</v>
      </c>
      <c r="N209" s="110" t="s">
        <v>1538</v>
      </c>
      <c r="O209" s="110" t="s">
        <v>1494</v>
      </c>
      <c r="P209" s="108" t="s">
        <v>1492</v>
      </c>
      <c r="Q209" s="110" t="s">
        <v>2153</v>
      </c>
      <c r="R209" s="110">
        <v>40.450000000000003</v>
      </c>
      <c r="S209" s="7">
        <f t="shared" si="39"/>
        <v>40.450000000000003</v>
      </c>
      <c r="T209" s="110">
        <v>81.7</v>
      </c>
      <c r="U209" s="7">
        <v>1</v>
      </c>
      <c r="V209" s="7">
        <v>42</v>
      </c>
      <c r="W209" s="7">
        <f t="shared" si="43"/>
        <v>1.6232492903979006</v>
      </c>
      <c r="X209" s="7" t="s">
        <v>2131</v>
      </c>
      <c r="Y209" s="7" t="s">
        <v>2147</v>
      </c>
      <c r="Z209" s="7">
        <v>5</v>
      </c>
      <c r="AA209" s="7">
        <v>25</v>
      </c>
      <c r="AB209" s="108">
        <v>35</v>
      </c>
      <c r="AC209" s="108">
        <v>3</v>
      </c>
      <c r="AD209" s="110">
        <v>3</v>
      </c>
      <c r="AE209" s="7">
        <v>62</v>
      </c>
      <c r="AF209" s="7">
        <v>10</v>
      </c>
      <c r="AG209" s="110">
        <v>3</v>
      </c>
      <c r="AH209" s="7">
        <v>62</v>
      </c>
      <c r="AI209" s="7">
        <v>15</v>
      </c>
      <c r="AJ209" s="110">
        <v>3</v>
      </c>
      <c r="AK209" s="108">
        <v>100</v>
      </c>
      <c r="AL209" s="108">
        <v>23</v>
      </c>
      <c r="AM209" s="110">
        <v>3</v>
      </c>
      <c r="AN209" s="7">
        <f t="shared" si="44"/>
        <v>1.3309502512973848</v>
      </c>
      <c r="AO209" s="7">
        <f t="shared" si="45"/>
        <v>1.6903085094570331</v>
      </c>
      <c r="AP209" s="7">
        <f t="shared" si="46"/>
        <v>0.69030850945703315</v>
      </c>
      <c r="AQ209" s="7">
        <f t="shared" si="47"/>
        <v>-0.16032809726556552</v>
      </c>
      <c r="AR209" s="7">
        <f t="shared" si="48"/>
        <v>0.16032809726556552</v>
      </c>
      <c r="AS209" s="7">
        <f t="shared" si="49"/>
        <v>3</v>
      </c>
      <c r="AT209" s="184">
        <f t="shared" si="40"/>
        <v>12</v>
      </c>
      <c r="AU209" s="110"/>
      <c r="AV209" s="7" t="s">
        <v>2145</v>
      </c>
      <c r="AW209" s="7"/>
      <c r="AX209" s="7" t="s">
        <v>2155</v>
      </c>
      <c r="AY209" s="7" t="s">
        <v>1509</v>
      </c>
    </row>
    <row r="210" spans="1:51">
      <c r="A210" s="7" t="s">
        <v>33</v>
      </c>
      <c r="B210" s="7" t="s">
        <v>34</v>
      </c>
      <c r="C210" s="7" t="s">
        <v>282</v>
      </c>
      <c r="D210" s="7" t="s">
        <v>2138</v>
      </c>
      <c r="E210" s="7" t="s">
        <v>2150</v>
      </c>
      <c r="F210" s="7" t="s">
        <v>2151</v>
      </c>
      <c r="G210" s="7" t="s">
        <v>2152</v>
      </c>
      <c r="H210" s="7" t="s">
        <v>4180</v>
      </c>
      <c r="I210" s="100">
        <f>AVERAGE(107,135)/1000</f>
        <v>0.121</v>
      </c>
      <c r="J210" s="100">
        <f t="shared" si="41"/>
        <v>121</v>
      </c>
      <c r="K210" s="100">
        <f t="shared" si="42"/>
        <v>2.0827853703164503</v>
      </c>
      <c r="L210" s="73" t="s">
        <v>1502</v>
      </c>
      <c r="M210" s="7" t="s">
        <v>2142</v>
      </c>
      <c r="N210" s="110" t="s">
        <v>1538</v>
      </c>
      <c r="O210" s="110" t="s">
        <v>1494</v>
      </c>
      <c r="P210" s="108" t="s">
        <v>1492</v>
      </c>
      <c r="Q210" s="110" t="s">
        <v>2153</v>
      </c>
      <c r="R210" s="110">
        <v>40.450000000000003</v>
      </c>
      <c r="S210" s="7">
        <f t="shared" si="39"/>
        <v>40.450000000000003</v>
      </c>
      <c r="T210" s="110">
        <v>81.7</v>
      </c>
      <c r="U210" s="7">
        <v>1</v>
      </c>
      <c r="V210" s="7">
        <v>42</v>
      </c>
      <c r="W210" s="7">
        <f t="shared" si="43"/>
        <v>1.6232492903979006</v>
      </c>
      <c r="X210" s="7" t="s">
        <v>2131</v>
      </c>
      <c r="Y210" s="7" t="s">
        <v>2144</v>
      </c>
      <c r="Z210" s="7">
        <v>5</v>
      </c>
      <c r="AA210" s="7">
        <v>25</v>
      </c>
      <c r="AB210" s="108">
        <v>6.5</v>
      </c>
      <c r="AC210" s="108">
        <v>3</v>
      </c>
      <c r="AD210" s="110">
        <v>3</v>
      </c>
      <c r="AE210" s="7">
        <v>12.5</v>
      </c>
      <c r="AF210" s="7">
        <v>5</v>
      </c>
      <c r="AG210" s="110">
        <v>3</v>
      </c>
      <c r="AH210" s="7">
        <v>4.5</v>
      </c>
      <c r="AI210" s="7">
        <v>0.5</v>
      </c>
      <c r="AJ210" s="110">
        <v>3</v>
      </c>
      <c r="AK210" s="108">
        <v>7</v>
      </c>
      <c r="AL210" s="108">
        <v>1</v>
      </c>
      <c r="AM210" s="110">
        <v>3</v>
      </c>
      <c r="AN210" s="7">
        <f t="shared" si="44"/>
        <v>1.3867504905630728</v>
      </c>
      <c r="AO210" s="7">
        <f t="shared" si="45"/>
        <v>1.0377490433255416</v>
      </c>
      <c r="AP210" s="7">
        <f t="shared" si="46"/>
        <v>3.7749043325541631E-2</v>
      </c>
      <c r="AQ210" s="7">
        <f t="shared" si="47"/>
        <v>-1.4117390153142406</v>
      </c>
      <c r="AR210" s="7">
        <f t="shared" si="48"/>
        <v>1.4117390153142406</v>
      </c>
      <c r="AS210" s="7">
        <f t="shared" si="49"/>
        <v>3</v>
      </c>
      <c r="AT210" s="184">
        <f t="shared" si="40"/>
        <v>3</v>
      </c>
      <c r="AU210" s="110"/>
      <c r="AV210" s="7" t="s">
        <v>2145</v>
      </c>
      <c r="AW210" s="7"/>
      <c r="AX210" s="7" t="s">
        <v>2156</v>
      </c>
      <c r="AY210" s="7" t="s">
        <v>1509</v>
      </c>
    </row>
    <row r="211" spans="1:51">
      <c r="A211" s="7" t="s">
        <v>33</v>
      </c>
      <c r="B211" s="7" t="s">
        <v>43</v>
      </c>
      <c r="C211" s="7" t="s">
        <v>1532</v>
      </c>
      <c r="D211" s="7" t="s">
        <v>2157</v>
      </c>
      <c r="E211" s="7" t="s">
        <v>2158</v>
      </c>
      <c r="F211" s="7" t="s">
        <v>2159</v>
      </c>
      <c r="G211" s="7" t="s">
        <v>2160</v>
      </c>
      <c r="H211" s="7" t="s">
        <v>4184</v>
      </c>
      <c r="I211" s="100">
        <f>AVERAGE(107, 95)/1000</f>
        <v>0.10100000000000001</v>
      </c>
      <c r="J211" s="100">
        <f t="shared" si="41"/>
        <v>101</v>
      </c>
      <c r="K211" s="100">
        <f t="shared" si="42"/>
        <v>2.0043213737826426</v>
      </c>
      <c r="L211" s="73" t="s">
        <v>1502</v>
      </c>
      <c r="M211" s="7" t="s">
        <v>2161</v>
      </c>
      <c r="N211" s="7" t="s">
        <v>1538</v>
      </c>
      <c r="O211" s="7" t="s">
        <v>1494</v>
      </c>
      <c r="P211" s="108" t="s">
        <v>1539</v>
      </c>
      <c r="Q211" s="7" t="s">
        <v>1572</v>
      </c>
      <c r="R211" s="7">
        <v>33.35</v>
      </c>
      <c r="S211" s="7">
        <f t="shared" si="39"/>
        <v>33.35</v>
      </c>
      <c r="T211" s="7">
        <v>151.19999999999999</v>
      </c>
      <c r="U211" s="7">
        <v>1</v>
      </c>
      <c r="V211" s="7">
        <v>77</v>
      </c>
      <c r="W211" s="7">
        <f t="shared" si="43"/>
        <v>1.8864907251724818</v>
      </c>
      <c r="X211" s="7" t="s">
        <v>2131</v>
      </c>
      <c r="Y211" s="7" t="s">
        <v>2162</v>
      </c>
      <c r="Z211" s="7">
        <v>20</v>
      </c>
      <c r="AA211" s="7">
        <v>30</v>
      </c>
      <c r="AB211" s="7">
        <v>54.64</v>
      </c>
      <c r="AC211" s="7">
        <v>6.22</v>
      </c>
      <c r="AD211" s="7">
        <v>9</v>
      </c>
      <c r="AE211" s="7">
        <v>85.54</v>
      </c>
      <c r="AF211" s="7">
        <v>9.7899999999999991</v>
      </c>
      <c r="AG211" s="7">
        <v>9</v>
      </c>
      <c r="AH211" s="7">
        <v>49.73</v>
      </c>
      <c r="AI211" s="7">
        <v>10.4</v>
      </c>
      <c r="AJ211" s="7">
        <v>8</v>
      </c>
      <c r="AK211" s="108">
        <v>62.49</v>
      </c>
      <c r="AL211" s="108">
        <v>4.45</v>
      </c>
      <c r="AM211" s="7">
        <v>8</v>
      </c>
      <c r="AN211" s="7">
        <f t="shared" si="44"/>
        <v>1.5655197657393851</v>
      </c>
      <c r="AO211" s="7">
        <f t="shared" si="45"/>
        <v>1.1436676427525623</v>
      </c>
      <c r="AP211" s="7">
        <f t="shared" si="46"/>
        <v>0.14366764275256227</v>
      </c>
      <c r="AQ211" s="7">
        <f t="shared" si="47"/>
        <v>-0.83962859497244036</v>
      </c>
      <c r="AR211" s="7">
        <f t="shared" si="48"/>
        <v>0.83962859497244036</v>
      </c>
      <c r="AS211" s="7">
        <f t="shared" si="49"/>
        <v>8.6666666666666661</v>
      </c>
      <c r="AT211" s="184">
        <f t="shared" si="40"/>
        <v>6.8199999999999994</v>
      </c>
      <c r="AU211" s="7"/>
      <c r="AV211" s="7"/>
      <c r="AW211" s="7"/>
      <c r="AX211" s="7" t="s">
        <v>2163</v>
      </c>
      <c r="AY211" s="7" t="s">
        <v>1509</v>
      </c>
    </row>
    <row r="212" spans="1:51">
      <c r="A212" s="7" t="s">
        <v>33</v>
      </c>
      <c r="B212" s="7" t="s">
        <v>43</v>
      </c>
      <c r="C212" s="7" t="s">
        <v>1532</v>
      </c>
      <c r="D212" s="7" t="s">
        <v>2157</v>
      </c>
      <c r="E212" s="7" t="s">
        <v>2158</v>
      </c>
      <c r="F212" s="7" t="s">
        <v>2159</v>
      </c>
      <c r="G212" s="7" t="s">
        <v>2160</v>
      </c>
      <c r="H212" s="7" t="s">
        <v>4184</v>
      </c>
      <c r="I212" s="100">
        <f>AVERAGE(107, 95)/1000</f>
        <v>0.10100000000000001</v>
      </c>
      <c r="J212" s="100">
        <f t="shared" si="41"/>
        <v>101</v>
      </c>
      <c r="K212" s="100">
        <f t="shared" si="42"/>
        <v>2.0043213737826426</v>
      </c>
      <c r="L212" s="73" t="s">
        <v>1502</v>
      </c>
      <c r="M212" s="7" t="s">
        <v>2164</v>
      </c>
      <c r="N212" s="7" t="s">
        <v>1538</v>
      </c>
      <c r="O212" s="7" t="s">
        <v>1494</v>
      </c>
      <c r="P212" s="108" t="s">
        <v>1539</v>
      </c>
      <c r="Q212" s="7" t="s">
        <v>1572</v>
      </c>
      <c r="R212" s="7">
        <v>33.35</v>
      </c>
      <c r="S212" s="7">
        <f t="shared" si="39"/>
        <v>33.35</v>
      </c>
      <c r="T212" s="7">
        <v>151.19999999999999</v>
      </c>
      <c r="U212" s="7">
        <v>1</v>
      </c>
      <c r="V212" s="7">
        <v>42</v>
      </c>
      <c r="W212" s="7">
        <f t="shared" si="43"/>
        <v>1.6232492903979006</v>
      </c>
      <c r="X212" s="7" t="s">
        <v>2131</v>
      </c>
      <c r="Y212" s="7" t="s">
        <v>2144</v>
      </c>
      <c r="Z212" s="7">
        <v>20</v>
      </c>
      <c r="AA212" s="7">
        <v>30</v>
      </c>
      <c r="AB212" s="108">
        <v>54.637369999999997</v>
      </c>
      <c r="AC212" s="108">
        <v>6.2198789999999997</v>
      </c>
      <c r="AD212" s="7">
        <v>9</v>
      </c>
      <c r="AE212" s="108">
        <v>85.539479999999998</v>
      </c>
      <c r="AF212" s="108">
        <v>9.7893089999999994</v>
      </c>
      <c r="AG212" s="7">
        <v>9</v>
      </c>
      <c r="AH212" s="108">
        <v>49.728700000000003</v>
      </c>
      <c r="AI212" s="108">
        <v>10.39814</v>
      </c>
      <c r="AJ212" s="7">
        <v>8</v>
      </c>
      <c r="AK212" s="108">
        <v>62.48995</v>
      </c>
      <c r="AL212" s="108">
        <v>4.4482970000000002</v>
      </c>
      <c r="AM212" s="7">
        <v>8</v>
      </c>
      <c r="AN212" s="7">
        <f t="shared" si="44"/>
        <v>1.5655856056029052</v>
      </c>
      <c r="AO212" s="7">
        <f t="shared" si="45"/>
        <v>1.1437217787020131</v>
      </c>
      <c r="AP212" s="7">
        <f t="shared" si="46"/>
        <v>0.14372177870201308</v>
      </c>
      <c r="AQ212" s="7">
        <f t="shared" si="47"/>
        <v>-0.8394661084221362</v>
      </c>
      <c r="AR212" s="7">
        <f t="shared" si="48"/>
        <v>0.8394661084221362</v>
      </c>
      <c r="AS212" s="7">
        <f t="shared" si="49"/>
        <v>8.6666666666666661</v>
      </c>
      <c r="AT212" s="184">
        <f t="shared" si="40"/>
        <v>6.8191616666666661</v>
      </c>
      <c r="AU212" s="7"/>
      <c r="AV212" s="7"/>
      <c r="AW212" s="7"/>
      <c r="AX212" s="7" t="s">
        <v>2165</v>
      </c>
      <c r="AY212" s="7" t="s">
        <v>1509</v>
      </c>
    </row>
    <row r="213" spans="1:51">
      <c r="A213" s="7" t="s">
        <v>33</v>
      </c>
      <c r="B213" s="7" t="s">
        <v>75</v>
      </c>
      <c r="C213" s="7" t="s">
        <v>76</v>
      </c>
      <c r="D213" s="7" t="s">
        <v>389</v>
      </c>
      <c r="E213" s="7" t="s">
        <v>405</v>
      </c>
      <c r="F213" s="7" t="s">
        <v>406</v>
      </c>
      <c r="G213" s="7" t="s">
        <v>2166</v>
      </c>
      <c r="H213" s="7" t="s">
        <v>4181</v>
      </c>
      <c r="I213" s="100">
        <f>101/1000</f>
        <v>0.10100000000000001</v>
      </c>
      <c r="J213" s="100">
        <f t="shared" si="41"/>
        <v>101</v>
      </c>
      <c r="K213" s="100">
        <f t="shared" si="42"/>
        <v>2.0043213737826426</v>
      </c>
      <c r="L213" s="73" t="s">
        <v>1502</v>
      </c>
      <c r="M213" s="107" t="s">
        <v>1821</v>
      </c>
      <c r="N213" s="7" t="s">
        <v>1640</v>
      </c>
      <c r="O213" s="7" t="s">
        <v>1505</v>
      </c>
      <c r="P213" s="108" t="s">
        <v>1492</v>
      </c>
      <c r="Q213" s="7" t="s">
        <v>2167</v>
      </c>
      <c r="R213" s="7">
        <v>27.45</v>
      </c>
      <c r="S213" s="7">
        <f t="shared" si="39"/>
        <v>27.45</v>
      </c>
      <c r="T213" s="7">
        <v>153.35</v>
      </c>
      <c r="U213" s="7">
        <v>1</v>
      </c>
      <c r="V213" s="7">
        <v>28</v>
      </c>
      <c r="W213" s="7">
        <f t="shared" si="43"/>
        <v>1.4471580313422192</v>
      </c>
      <c r="X213" s="7" t="s">
        <v>2131</v>
      </c>
      <c r="Y213" s="7" t="s">
        <v>2144</v>
      </c>
      <c r="Z213" s="7">
        <v>20</v>
      </c>
      <c r="AA213" s="7">
        <v>30</v>
      </c>
      <c r="AB213" s="108">
        <v>26.5</v>
      </c>
      <c r="AC213" s="108">
        <v>2.2000000000000002</v>
      </c>
      <c r="AD213" s="7">
        <v>10</v>
      </c>
      <c r="AE213" s="7">
        <v>52.5</v>
      </c>
      <c r="AF213" s="7">
        <v>3.9</v>
      </c>
      <c r="AG213" s="7">
        <v>10</v>
      </c>
      <c r="AH213" s="7">
        <v>34.1</v>
      </c>
      <c r="AI213" s="7">
        <v>2.2000000000000002</v>
      </c>
      <c r="AJ213" s="7">
        <v>10</v>
      </c>
      <c r="AK213" s="108">
        <v>64</v>
      </c>
      <c r="AL213" s="108">
        <v>4.3</v>
      </c>
      <c r="AM213" s="108">
        <v>10</v>
      </c>
      <c r="AN213" s="7">
        <f t="shared" si="44"/>
        <v>1.9811320754716981</v>
      </c>
      <c r="AO213" s="7">
        <f t="shared" si="45"/>
        <v>2.4150943396226414</v>
      </c>
      <c r="AP213" s="7">
        <f t="shared" si="46"/>
        <v>1.4150943396226414</v>
      </c>
      <c r="AQ213" s="7">
        <f t="shared" si="47"/>
        <v>0.15109218683734213</v>
      </c>
      <c r="AR213" s="7">
        <f t="shared" si="48"/>
        <v>-0.15109218683734213</v>
      </c>
      <c r="AS213" s="7">
        <f t="shared" si="49"/>
        <v>10</v>
      </c>
      <c r="AT213" s="184">
        <f t="shared" si="40"/>
        <v>3.4666666666666663</v>
      </c>
      <c r="AU213" s="108"/>
      <c r="AV213" s="7"/>
      <c r="AW213" s="7"/>
      <c r="AX213" s="7" t="s">
        <v>2168</v>
      </c>
      <c r="AY213" s="7" t="s">
        <v>1509</v>
      </c>
    </row>
    <row r="214" spans="1:51">
      <c r="A214" s="7" t="s">
        <v>33</v>
      </c>
      <c r="B214" s="7" t="s">
        <v>43</v>
      </c>
      <c r="C214" s="7" t="s">
        <v>1532</v>
      </c>
      <c r="D214" s="7" t="s">
        <v>2157</v>
      </c>
      <c r="E214" s="7" t="s">
        <v>2158</v>
      </c>
      <c r="F214" s="7" t="s">
        <v>2159</v>
      </c>
      <c r="G214" s="7" t="s">
        <v>2160</v>
      </c>
      <c r="H214" s="7" t="s">
        <v>4184</v>
      </c>
      <c r="I214" s="100">
        <f>AVERAGE(107, 95)/1000</f>
        <v>0.10100000000000001</v>
      </c>
      <c r="J214" s="100">
        <f t="shared" si="41"/>
        <v>101</v>
      </c>
      <c r="K214" s="100">
        <f t="shared" si="42"/>
        <v>2.0043213737826426</v>
      </c>
      <c r="L214" s="73" t="s">
        <v>1502</v>
      </c>
      <c r="M214" s="7" t="s">
        <v>2169</v>
      </c>
      <c r="N214" s="7" t="s">
        <v>1538</v>
      </c>
      <c r="O214" s="7" t="s">
        <v>1494</v>
      </c>
      <c r="P214" s="108" t="s">
        <v>1539</v>
      </c>
      <c r="Q214" s="7" t="s">
        <v>1572</v>
      </c>
      <c r="R214" s="7">
        <v>33.35</v>
      </c>
      <c r="S214" s="7">
        <f t="shared" si="39"/>
        <v>33.35</v>
      </c>
      <c r="T214" s="7">
        <v>151.19999999999999</v>
      </c>
      <c r="U214" s="7">
        <v>1</v>
      </c>
      <c r="V214" s="7">
        <v>42</v>
      </c>
      <c r="W214" s="7">
        <f t="shared" si="43"/>
        <v>1.6232492903979006</v>
      </c>
      <c r="X214" s="7" t="s">
        <v>2131</v>
      </c>
      <c r="Y214" s="7" t="s">
        <v>2134</v>
      </c>
      <c r="Z214" s="7">
        <v>20</v>
      </c>
      <c r="AA214" s="7">
        <v>30</v>
      </c>
      <c r="AB214" s="108">
        <v>398.21140000000003</v>
      </c>
      <c r="AC214" s="108">
        <v>29.32197</v>
      </c>
      <c r="AD214" s="7">
        <v>9</v>
      </c>
      <c r="AE214" s="108">
        <v>542.50400000000002</v>
      </c>
      <c r="AF214" s="108">
        <v>54.013399999999997</v>
      </c>
      <c r="AG214" s="7">
        <v>9</v>
      </c>
      <c r="AH214" s="108">
        <v>398.8143</v>
      </c>
      <c r="AI214" s="108">
        <v>52.097230000000003</v>
      </c>
      <c r="AJ214" s="7">
        <v>8</v>
      </c>
      <c r="AK214" s="108">
        <v>438.3039</v>
      </c>
      <c r="AL214" s="108">
        <v>60.361330000000002</v>
      </c>
      <c r="AM214" s="7">
        <v>8</v>
      </c>
      <c r="AN214" s="7">
        <f t="shared" si="44"/>
        <v>1.3623517558764013</v>
      </c>
      <c r="AO214" s="7">
        <f t="shared" si="45"/>
        <v>1.1006814470906658</v>
      </c>
      <c r="AP214" s="7">
        <f t="shared" si="46"/>
        <v>0.10068144709066584</v>
      </c>
      <c r="AQ214" s="7">
        <f t="shared" si="47"/>
        <v>-0.99275828170051805</v>
      </c>
      <c r="AR214" s="7">
        <f t="shared" si="48"/>
        <v>0.99275828170051805</v>
      </c>
      <c r="AS214" s="7">
        <f t="shared" si="49"/>
        <v>8.6666666666666661</v>
      </c>
      <c r="AT214" s="184">
        <f t="shared" si="40"/>
        <v>47.898899999999998</v>
      </c>
      <c r="AU214" s="7"/>
      <c r="AV214" s="7"/>
      <c r="AW214" s="7"/>
      <c r="AX214" s="7" t="s">
        <v>2164</v>
      </c>
      <c r="AY214" s="7" t="s">
        <v>1509</v>
      </c>
    </row>
    <row r="215" spans="1:51">
      <c r="A215" s="7" t="s">
        <v>33</v>
      </c>
      <c r="B215" s="7" t="s">
        <v>75</v>
      </c>
      <c r="C215" s="7" t="s">
        <v>76</v>
      </c>
      <c r="D215" s="7" t="s">
        <v>389</v>
      </c>
      <c r="E215" s="7" t="s">
        <v>405</v>
      </c>
      <c r="F215" s="7" t="s">
        <v>406</v>
      </c>
      <c r="G215" s="7" t="s">
        <v>2166</v>
      </c>
      <c r="H215" s="7" t="s">
        <v>4181</v>
      </c>
      <c r="I215" s="100">
        <f>101/1000</f>
        <v>0.10100000000000001</v>
      </c>
      <c r="J215" s="100">
        <f t="shared" si="41"/>
        <v>101</v>
      </c>
      <c r="K215" s="100">
        <f t="shared" si="42"/>
        <v>2.0043213737826426</v>
      </c>
      <c r="L215" s="73" t="s">
        <v>1502</v>
      </c>
      <c r="M215" s="107" t="s">
        <v>1821</v>
      </c>
      <c r="N215" s="7" t="s">
        <v>1640</v>
      </c>
      <c r="O215" s="7" t="s">
        <v>1505</v>
      </c>
      <c r="P215" s="108" t="s">
        <v>1492</v>
      </c>
      <c r="Q215" s="7" t="s">
        <v>2167</v>
      </c>
      <c r="R215" s="7">
        <v>27.45</v>
      </c>
      <c r="S215" s="7">
        <f t="shared" si="39"/>
        <v>27.45</v>
      </c>
      <c r="T215" s="7">
        <v>153.35</v>
      </c>
      <c r="U215" s="7">
        <v>1</v>
      </c>
      <c r="V215" s="7">
        <v>28</v>
      </c>
      <c r="W215" s="7">
        <f t="shared" si="43"/>
        <v>1.4471580313422192</v>
      </c>
      <c r="X215" s="7" t="s">
        <v>2131</v>
      </c>
      <c r="Y215" s="7" t="s">
        <v>2170</v>
      </c>
      <c r="Z215" s="7">
        <v>20</v>
      </c>
      <c r="AA215" s="7">
        <v>30</v>
      </c>
      <c r="AB215" s="108">
        <v>125.7</v>
      </c>
      <c r="AC215" s="108">
        <v>6.3</v>
      </c>
      <c r="AD215" s="7">
        <v>10</v>
      </c>
      <c r="AE215" s="7">
        <v>206.1</v>
      </c>
      <c r="AF215" s="7">
        <v>14.2</v>
      </c>
      <c r="AG215" s="7">
        <v>10</v>
      </c>
      <c r="AH215" s="7">
        <v>101</v>
      </c>
      <c r="AI215" s="7">
        <v>7.1</v>
      </c>
      <c r="AJ215" s="7">
        <v>10</v>
      </c>
      <c r="AK215" s="108">
        <v>173.5</v>
      </c>
      <c r="AL215" s="108">
        <v>11.1</v>
      </c>
      <c r="AM215" s="108">
        <v>10</v>
      </c>
      <c r="AN215" s="7">
        <f t="shared" si="44"/>
        <v>1.639618138424821</v>
      </c>
      <c r="AO215" s="7">
        <f t="shared" si="45"/>
        <v>1.3802704852824184</v>
      </c>
      <c r="AP215" s="7">
        <f t="shared" si="46"/>
        <v>0.38027048528241836</v>
      </c>
      <c r="AQ215" s="7">
        <f t="shared" si="47"/>
        <v>-0.41876681280946904</v>
      </c>
      <c r="AR215" s="7">
        <f t="shared" si="48"/>
        <v>0.41876681280946904</v>
      </c>
      <c r="AS215" s="7">
        <f t="shared" si="49"/>
        <v>10</v>
      </c>
      <c r="AT215" s="184">
        <f t="shared" si="40"/>
        <v>10.533333333333333</v>
      </c>
      <c r="AU215" s="108"/>
      <c r="AV215" s="7"/>
      <c r="AW215" s="7"/>
      <c r="AX215" s="7" t="s">
        <v>2171</v>
      </c>
      <c r="AY215" s="7" t="s">
        <v>1509</v>
      </c>
    </row>
    <row r="216" spans="1:51">
      <c r="A216" s="7" t="s">
        <v>33</v>
      </c>
      <c r="B216" s="7" t="s">
        <v>43</v>
      </c>
      <c r="C216" s="7" t="s">
        <v>1532</v>
      </c>
      <c r="D216" s="7" t="s">
        <v>2157</v>
      </c>
      <c r="E216" s="7" t="s">
        <v>2158</v>
      </c>
      <c r="F216" s="7" t="s">
        <v>2159</v>
      </c>
      <c r="G216" s="7" t="s">
        <v>2160</v>
      </c>
      <c r="H216" s="7" t="s">
        <v>4184</v>
      </c>
      <c r="I216" s="100">
        <f>AVERAGE(107, 95)/1000</f>
        <v>0.10100000000000001</v>
      </c>
      <c r="J216" s="100">
        <f t="shared" si="41"/>
        <v>101</v>
      </c>
      <c r="K216" s="100">
        <f t="shared" si="42"/>
        <v>2.0043213737826426</v>
      </c>
      <c r="L216" s="73" t="s">
        <v>1502</v>
      </c>
      <c r="M216" s="7" t="s">
        <v>2165</v>
      </c>
      <c r="N216" s="7" t="s">
        <v>1538</v>
      </c>
      <c r="O216" s="7" t="s">
        <v>1494</v>
      </c>
      <c r="P216" s="108" t="s">
        <v>1539</v>
      </c>
      <c r="Q216" s="7" t="s">
        <v>1572</v>
      </c>
      <c r="R216" s="7">
        <v>33.35</v>
      </c>
      <c r="S216" s="7">
        <f t="shared" si="39"/>
        <v>33.35</v>
      </c>
      <c r="T216" s="7">
        <v>151.19999999999999</v>
      </c>
      <c r="U216" s="7">
        <v>1</v>
      </c>
      <c r="V216" s="7">
        <v>42</v>
      </c>
      <c r="W216" s="7">
        <f t="shared" si="43"/>
        <v>1.6232492903979006</v>
      </c>
      <c r="X216" s="7" t="s">
        <v>2131</v>
      </c>
      <c r="Y216" s="7" t="s">
        <v>2136</v>
      </c>
      <c r="Z216" s="7">
        <v>20</v>
      </c>
      <c r="AA216" s="7">
        <v>30</v>
      </c>
      <c r="AB216" s="108">
        <v>91.112899999999996</v>
      </c>
      <c r="AC216" s="108">
        <v>14.58216</v>
      </c>
      <c r="AD216" s="7">
        <v>9</v>
      </c>
      <c r="AE216" s="108">
        <v>158.13679999999999</v>
      </c>
      <c r="AF216" s="108">
        <v>23.199290000000001</v>
      </c>
      <c r="AG216" s="7">
        <v>9</v>
      </c>
      <c r="AH216" s="108">
        <v>102.45180000000001</v>
      </c>
      <c r="AI216" s="108">
        <v>14.245649999999999</v>
      </c>
      <c r="AJ216" s="7">
        <v>8</v>
      </c>
      <c r="AK216" s="108">
        <v>173.22149999999999</v>
      </c>
      <c r="AL216" s="108">
        <v>23.43366</v>
      </c>
      <c r="AM216" s="7">
        <v>8</v>
      </c>
      <c r="AN216" s="7">
        <f t="shared" si="44"/>
        <v>1.7356137275841292</v>
      </c>
      <c r="AO216" s="7">
        <f t="shared" si="45"/>
        <v>1.9011742574322625</v>
      </c>
      <c r="AP216" s="7">
        <f t="shared" si="46"/>
        <v>0.90117425743226254</v>
      </c>
      <c r="AQ216" s="7">
        <f t="shared" si="47"/>
        <v>-4.4709569185348248E-2</v>
      </c>
      <c r="AR216" s="7">
        <f t="shared" si="48"/>
        <v>4.4709569185348248E-2</v>
      </c>
      <c r="AS216" s="7">
        <f t="shared" si="49"/>
        <v>8.6666666666666661</v>
      </c>
      <c r="AT216" s="184">
        <f t="shared" si="40"/>
        <v>20.405036666666664</v>
      </c>
      <c r="AU216" s="7"/>
      <c r="AV216" s="7"/>
      <c r="AW216" s="7"/>
      <c r="AX216" s="7" t="s">
        <v>2161</v>
      </c>
      <c r="AY216" s="7" t="s">
        <v>1509</v>
      </c>
    </row>
    <row r="217" spans="1:51">
      <c r="A217" s="7" t="s">
        <v>33</v>
      </c>
      <c r="B217" s="7" t="s">
        <v>34</v>
      </c>
      <c r="C217" s="7" t="s">
        <v>282</v>
      </c>
      <c r="D217" s="7" t="s">
        <v>2138</v>
      </c>
      <c r="E217" s="7" t="s">
        <v>2139</v>
      </c>
      <c r="F217" s="7" t="s">
        <v>2172</v>
      </c>
      <c r="G217" s="7" t="s">
        <v>2173</v>
      </c>
      <c r="H217" s="7" t="s">
        <v>4180</v>
      </c>
      <c r="I217" s="100">
        <f>AVERAGE(73,107)/1000</f>
        <v>0.09</v>
      </c>
      <c r="J217" s="100">
        <f t="shared" si="41"/>
        <v>90</v>
      </c>
      <c r="K217" s="100">
        <f t="shared" si="42"/>
        <v>1.954242509439325</v>
      </c>
      <c r="L217" s="73" t="s">
        <v>1502</v>
      </c>
      <c r="M217" s="7" t="s">
        <v>2142</v>
      </c>
      <c r="N217" s="110" t="s">
        <v>1538</v>
      </c>
      <c r="O217" s="110" t="s">
        <v>1494</v>
      </c>
      <c r="P217" s="108" t="s">
        <v>1492</v>
      </c>
      <c r="Q217" s="110" t="s">
        <v>2153</v>
      </c>
      <c r="R217" s="110">
        <v>40.450000000000003</v>
      </c>
      <c r="S217" s="7">
        <f t="shared" si="39"/>
        <v>40.450000000000003</v>
      </c>
      <c r="T217" s="110">
        <v>81.7</v>
      </c>
      <c r="U217" s="7">
        <v>1</v>
      </c>
      <c r="V217" s="7">
        <v>42</v>
      </c>
      <c r="W217" s="7">
        <f t="shared" si="43"/>
        <v>1.6232492903979006</v>
      </c>
      <c r="X217" s="7" t="s">
        <v>2131</v>
      </c>
      <c r="Y217" s="7" t="s">
        <v>2147</v>
      </c>
      <c r="Z217" s="7">
        <v>5</v>
      </c>
      <c r="AA217" s="7">
        <v>25</v>
      </c>
      <c r="AB217" s="108">
        <v>22</v>
      </c>
      <c r="AC217" s="108">
        <v>2</v>
      </c>
      <c r="AD217" s="110">
        <v>3</v>
      </c>
      <c r="AE217" s="7">
        <v>39.5</v>
      </c>
      <c r="AF217" s="7">
        <v>1</v>
      </c>
      <c r="AG217" s="110">
        <v>3</v>
      </c>
      <c r="AH217" s="7">
        <v>63</v>
      </c>
      <c r="AI217" s="7">
        <v>10</v>
      </c>
      <c r="AJ217" s="110">
        <v>3</v>
      </c>
      <c r="AK217" s="108">
        <v>112</v>
      </c>
      <c r="AL217" s="108">
        <v>18</v>
      </c>
      <c r="AM217" s="110">
        <v>3</v>
      </c>
      <c r="AN217" s="7">
        <f t="shared" si="44"/>
        <v>1.3399457248166977</v>
      </c>
      <c r="AO217" s="7">
        <f t="shared" si="45"/>
        <v>2.2563042992710649</v>
      </c>
      <c r="AP217" s="7">
        <f t="shared" si="46"/>
        <v>1.2563042992710649</v>
      </c>
      <c r="AQ217" s="7">
        <f t="shared" si="47"/>
        <v>9.9440400598052509E-2</v>
      </c>
      <c r="AR217" s="7">
        <f t="shared" si="48"/>
        <v>-9.9440400598052509E-2</v>
      </c>
      <c r="AS217" s="7">
        <f t="shared" si="49"/>
        <v>3</v>
      </c>
      <c r="AT217" s="184">
        <f t="shared" si="40"/>
        <v>7</v>
      </c>
      <c r="AU217" s="110"/>
      <c r="AV217" s="7" t="s">
        <v>2145</v>
      </c>
      <c r="AW217" s="7"/>
      <c r="AX217" s="7" t="s">
        <v>2174</v>
      </c>
      <c r="AY217" s="7" t="s">
        <v>1509</v>
      </c>
    </row>
    <row r="218" spans="1:51">
      <c r="A218" s="7" t="s">
        <v>33</v>
      </c>
      <c r="B218" s="7" t="s">
        <v>34</v>
      </c>
      <c r="C218" s="7" t="s">
        <v>282</v>
      </c>
      <c r="D218" s="7" t="s">
        <v>1541</v>
      </c>
      <c r="E218" s="7" t="s">
        <v>1542</v>
      </c>
      <c r="F218" s="7" t="s">
        <v>1543</v>
      </c>
      <c r="G218" s="7" t="s">
        <v>1544</v>
      </c>
      <c r="H218" s="7" t="s">
        <v>4180</v>
      </c>
      <c r="I218" s="100">
        <f>90/1000</f>
        <v>0.09</v>
      </c>
      <c r="J218" s="100">
        <f t="shared" si="41"/>
        <v>90</v>
      </c>
      <c r="K218" s="100">
        <f t="shared" si="42"/>
        <v>1.954242509439325</v>
      </c>
      <c r="L218" s="73" t="s">
        <v>1517</v>
      </c>
      <c r="M218" s="7" t="s">
        <v>2175</v>
      </c>
      <c r="N218" s="7" t="s">
        <v>1504</v>
      </c>
      <c r="O218" s="7" t="s">
        <v>1505</v>
      </c>
      <c r="P218" s="108" t="s">
        <v>1492</v>
      </c>
      <c r="Q218" s="7" t="s">
        <v>1546</v>
      </c>
      <c r="R218" s="7">
        <v>77.849999999999994</v>
      </c>
      <c r="S218" s="7">
        <f t="shared" si="39"/>
        <v>77.849999999999994</v>
      </c>
      <c r="T218" s="7">
        <v>166.75</v>
      </c>
      <c r="U218" s="7">
        <v>1</v>
      </c>
      <c r="V218" s="7">
        <v>42</v>
      </c>
      <c r="W218" s="7">
        <f t="shared" si="43"/>
        <v>1.6232492903979006</v>
      </c>
      <c r="X218" s="7" t="s">
        <v>2131</v>
      </c>
      <c r="Y218" s="7" t="s">
        <v>1711</v>
      </c>
      <c r="Z218" s="7">
        <v>-1</v>
      </c>
      <c r="AA218" s="7">
        <v>4</v>
      </c>
      <c r="AB218" s="108">
        <v>13.29</v>
      </c>
      <c r="AC218" s="108">
        <v>1.56</v>
      </c>
      <c r="AD218" s="7">
        <v>10</v>
      </c>
      <c r="AE218" s="7">
        <v>17.41</v>
      </c>
      <c r="AF218" s="7">
        <v>2.19</v>
      </c>
      <c r="AG218" s="7">
        <v>10</v>
      </c>
      <c r="AH218" s="7">
        <v>19.09</v>
      </c>
      <c r="AI218" s="7">
        <v>1.86</v>
      </c>
      <c r="AJ218" s="7">
        <v>10</v>
      </c>
      <c r="AK218" s="108">
        <v>27.86</v>
      </c>
      <c r="AL218" s="108">
        <v>1.84</v>
      </c>
      <c r="AM218" s="108">
        <v>10</v>
      </c>
      <c r="AN218" s="7">
        <f t="shared" si="44"/>
        <v>1.7161197141273474</v>
      </c>
      <c r="AO218" s="7">
        <f t="shared" si="45"/>
        <v>4.3945282665276135</v>
      </c>
      <c r="AP218" s="7">
        <f t="shared" si="46"/>
        <v>3.3945282665276135</v>
      </c>
      <c r="AQ218" s="7">
        <f t="shared" si="47"/>
        <v>0.53090735016011026</v>
      </c>
      <c r="AR218" s="7">
        <f t="shared" si="48"/>
        <v>-0.53090735016011026</v>
      </c>
      <c r="AS218" s="7">
        <f t="shared" si="49"/>
        <v>10</v>
      </c>
      <c r="AT218" s="184">
        <f t="shared" si="40"/>
        <v>1.8633333333333333</v>
      </c>
      <c r="AU218" s="108"/>
      <c r="AV218" s="7"/>
      <c r="AW218" s="7"/>
      <c r="AX218" s="7" t="s">
        <v>2176</v>
      </c>
      <c r="AY218" s="7" t="s">
        <v>1509</v>
      </c>
    </row>
    <row r="219" spans="1:51">
      <c r="A219" s="7" t="s">
        <v>33</v>
      </c>
      <c r="B219" s="7" t="s">
        <v>34</v>
      </c>
      <c r="C219" s="7" t="s">
        <v>282</v>
      </c>
      <c r="D219" s="7" t="s">
        <v>2138</v>
      </c>
      <c r="E219" s="7" t="s">
        <v>2139</v>
      </c>
      <c r="F219" s="7" t="s">
        <v>2172</v>
      </c>
      <c r="G219" s="7" t="s">
        <v>2173</v>
      </c>
      <c r="H219" s="7" t="s">
        <v>4180</v>
      </c>
      <c r="I219" s="100">
        <f>AVERAGE(73,107)/1000</f>
        <v>0.09</v>
      </c>
      <c r="J219" s="100">
        <f t="shared" si="41"/>
        <v>90</v>
      </c>
      <c r="K219" s="100">
        <f t="shared" si="42"/>
        <v>1.954242509439325</v>
      </c>
      <c r="L219" s="73" t="s">
        <v>1502</v>
      </c>
      <c r="M219" s="7" t="s">
        <v>2142</v>
      </c>
      <c r="N219" s="110" t="s">
        <v>1538</v>
      </c>
      <c r="O219" s="110" t="s">
        <v>1494</v>
      </c>
      <c r="P219" s="108" t="s">
        <v>1492</v>
      </c>
      <c r="Q219" s="110" t="s">
        <v>2153</v>
      </c>
      <c r="R219" s="110">
        <v>40.450000000000003</v>
      </c>
      <c r="S219" s="7">
        <f t="shared" si="39"/>
        <v>40.450000000000003</v>
      </c>
      <c r="T219" s="110">
        <v>81.7</v>
      </c>
      <c r="U219" s="7">
        <v>1</v>
      </c>
      <c r="V219" s="7">
        <v>42</v>
      </c>
      <c r="W219" s="7">
        <f t="shared" si="43"/>
        <v>1.6232492903979006</v>
      </c>
      <c r="X219" s="7" t="s">
        <v>2131</v>
      </c>
      <c r="Y219" s="7" t="s">
        <v>2144</v>
      </c>
      <c r="Z219" s="7">
        <v>5</v>
      </c>
      <c r="AA219" s="7">
        <v>25</v>
      </c>
      <c r="AB219" s="108">
        <v>16</v>
      </c>
      <c r="AC219" s="108">
        <v>3</v>
      </c>
      <c r="AD219" s="110">
        <v>3</v>
      </c>
      <c r="AE219" s="7">
        <v>22</v>
      </c>
      <c r="AF219" s="7">
        <v>2</v>
      </c>
      <c r="AG219" s="110">
        <v>3</v>
      </c>
      <c r="AH219" s="7">
        <v>3.5</v>
      </c>
      <c r="AI219" s="7">
        <v>2.5</v>
      </c>
      <c r="AJ219" s="110">
        <v>3</v>
      </c>
      <c r="AK219" s="108">
        <v>35</v>
      </c>
      <c r="AL219" s="108">
        <v>18</v>
      </c>
      <c r="AM219" s="110">
        <v>3</v>
      </c>
      <c r="AN219" s="7">
        <f t="shared" si="44"/>
        <v>1.1726039399558574</v>
      </c>
      <c r="AO219" s="7">
        <f t="shared" si="45"/>
        <v>1.479019945774904</v>
      </c>
      <c r="AP219" s="7">
        <f t="shared" si="46"/>
        <v>0.47901994577490403</v>
      </c>
      <c r="AQ219" s="7">
        <f t="shared" si="47"/>
        <v>-0.31874071645773161</v>
      </c>
      <c r="AR219" s="7">
        <f t="shared" si="48"/>
        <v>0.31874071645773161</v>
      </c>
      <c r="AS219" s="7">
        <f t="shared" si="49"/>
        <v>3</v>
      </c>
      <c r="AT219" s="184">
        <f t="shared" si="40"/>
        <v>7.666666666666667</v>
      </c>
      <c r="AU219" s="110"/>
      <c r="AV219" s="7" t="s">
        <v>2145</v>
      </c>
      <c r="AW219" s="7"/>
      <c r="AX219" s="7" t="s">
        <v>2142</v>
      </c>
      <c r="AY219" s="7" t="s">
        <v>1509</v>
      </c>
    </row>
    <row r="220" spans="1:51">
      <c r="A220" s="7" t="s">
        <v>33</v>
      </c>
      <c r="B220" s="7" t="s">
        <v>34</v>
      </c>
      <c r="C220" s="7" t="s">
        <v>282</v>
      </c>
      <c r="D220" s="7" t="s">
        <v>2138</v>
      </c>
      <c r="E220" s="7" t="s">
        <v>2139</v>
      </c>
      <c r="F220" s="7" t="s">
        <v>2172</v>
      </c>
      <c r="G220" s="7" t="s">
        <v>2173</v>
      </c>
      <c r="H220" s="7" t="s">
        <v>4180</v>
      </c>
      <c r="I220" s="100">
        <f>AVERAGE(73,107)/1000</f>
        <v>0.09</v>
      </c>
      <c r="J220" s="100">
        <f t="shared" si="41"/>
        <v>90</v>
      </c>
      <c r="K220" s="100">
        <f t="shared" si="42"/>
        <v>1.954242509439325</v>
      </c>
      <c r="L220" s="73" t="s">
        <v>1502</v>
      </c>
      <c r="M220" s="7" t="s">
        <v>2142</v>
      </c>
      <c r="N220" s="7" t="s">
        <v>1538</v>
      </c>
      <c r="O220" s="7" t="s">
        <v>1494</v>
      </c>
      <c r="P220" s="108" t="s">
        <v>1492</v>
      </c>
      <c r="Q220" s="7" t="s">
        <v>2153</v>
      </c>
      <c r="R220" s="7">
        <v>40.450000000000003</v>
      </c>
      <c r="S220" s="7">
        <f t="shared" si="39"/>
        <v>40.450000000000003</v>
      </c>
      <c r="T220" s="7">
        <v>81.7</v>
      </c>
      <c r="U220" s="7">
        <v>1</v>
      </c>
      <c r="V220" s="7">
        <v>42</v>
      </c>
      <c r="W220" s="7">
        <f t="shared" si="43"/>
        <v>1.6232492903979006</v>
      </c>
      <c r="X220" s="7" t="s">
        <v>2131</v>
      </c>
      <c r="Y220" s="7" t="s">
        <v>2136</v>
      </c>
      <c r="Z220" s="7">
        <v>5</v>
      </c>
      <c r="AA220" s="7">
        <v>25</v>
      </c>
      <c r="AB220" s="108">
        <v>45</v>
      </c>
      <c r="AC220" s="108">
        <v>6</v>
      </c>
      <c r="AD220" s="110">
        <v>3</v>
      </c>
      <c r="AE220" s="7">
        <v>80</v>
      </c>
      <c r="AF220" s="7">
        <v>6</v>
      </c>
      <c r="AG220" s="110">
        <v>3</v>
      </c>
      <c r="AH220" s="7">
        <v>99.5</v>
      </c>
      <c r="AI220" s="7">
        <v>12</v>
      </c>
      <c r="AJ220" s="7">
        <v>3</v>
      </c>
      <c r="AK220" s="108">
        <v>125</v>
      </c>
      <c r="AL220" s="108">
        <v>13</v>
      </c>
      <c r="AM220" s="7">
        <v>3</v>
      </c>
      <c r="AN220" s="7">
        <f t="shared" si="44"/>
        <v>1.3333333333333333</v>
      </c>
      <c r="AO220" s="7">
        <f t="shared" si="45"/>
        <v>1.6666666666666667</v>
      </c>
      <c r="AP220" s="7">
        <f t="shared" si="46"/>
        <v>0.66666666666666674</v>
      </c>
      <c r="AQ220" s="7">
        <f t="shared" si="47"/>
        <v>-0.17544030542608616</v>
      </c>
      <c r="AR220" s="7">
        <f t="shared" si="48"/>
        <v>0.17544030542608616</v>
      </c>
      <c r="AS220" s="7">
        <f t="shared" si="49"/>
        <v>3</v>
      </c>
      <c r="AT220" s="184">
        <f t="shared" si="40"/>
        <v>8.3333333333333339</v>
      </c>
      <c r="AU220" s="7"/>
      <c r="AV220" s="7" t="s">
        <v>2145</v>
      </c>
      <c r="AW220" s="7"/>
      <c r="AX220" s="7" t="s">
        <v>2177</v>
      </c>
      <c r="AY220" s="7" t="s">
        <v>1509</v>
      </c>
    </row>
    <row r="221" spans="1:51">
      <c r="A221" s="7" t="s">
        <v>33</v>
      </c>
      <c r="B221" s="7" t="s">
        <v>34</v>
      </c>
      <c r="C221" s="7" t="s">
        <v>282</v>
      </c>
      <c r="D221" s="7" t="s">
        <v>2138</v>
      </c>
      <c r="E221" s="7" t="s">
        <v>2178</v>
      </c>
      <c r="F221" s="7" t="s">
        <v>2179</v>
      </c>
      <c r="G221" s="7" t="s">
        <v>2180</v>
      </c>
      <c r="H221" s="7" t="s">
        <v>4180</v>
      </c>
      <c r="I221" s="100">
        <f>AVERAGE(58,69)/1000</f>
        <v>6.3500000000000001E-2</v>
      </c>
      <c r="J221" s="100">
        <f t="shared" si="41"/>
        <v>63.5</v>
      </c>
      <c r="K221" s="100">
        <f t="shared" si="42"/>
        <v>1.8027737252919758</v>
      </c>
      <c r="L221" s="73" t="s">
        <v>1502</v>
      </c>
      <c r="M221" s="7" t="s">
        <v>2142</v>
      </c>
      <c r="N221" s="110" t="s">
        <v>1538</v>
      </c>
      <c r="O221" s="110" t="s">
        <v>1494</v>
      </c>
      <c r="P221" s="108" t="s">
        <v>1492</v>
      </c>
      <c r="Q221" s="110" t="s">
        <v>2153</v>
      </c>
      <c r="R221" s="110">
        <v>40.450000000000003</v>
      </c>
      <c r="S221" s="7">
        <f t="shared" si="39"/>
        <v>40.450000000000003</v>
      </c>
      <c r="T221" s="110">
        <v>81.7</v>
      </c>
      <c r="U221" s="7">
        <v>1</v>
      </c>
      <c r="V221" s="7">
        <v>42</v>
      </c>
      <c r="W221" s="7">
        <f t="shared" si="43"/>
        <v>1.6232492903979006</v>
      </c>
      <c r="X221" s="7" t="s">
        <v>2131</v>
      </c>
      <c r="Y221" s="7" t="s">
        <v>2144</v>
      </c>
      <c r="Z221" s="7">
        <v>5</v>
      </c>
      <c r="AA221" s="7">
        <v>25</v>
      </c>
      <c r="AB221" s="108">
        <v>5</v>
      </c>
      <c r="AC221" s="108">
        <v>2</v>
      </c>
      <c r="AD221" s="110">
        <v>5</v>
      </c>
      <c r="AE221" s="7">
        <v>6</v>
      </c>
      <c r="AF221" s="7">
        <v>2</v>
      </c>
      <c r="AG221" s="110">
        <v>5</v>
      </c>
      <c r="AH221" s="7">
        <v>2.5</v>
      </c>
      <c r="AI221" s="7">
        <v>0.5</v>
      </c>
      <c r="AJ221" s="110">
        <v>5</v>
      </c>
      <c r="AK221" s="108">
        <v>4</v>
      </c>
      <c r="AL221" s="108">
        <v>1</v>
      </c>
      <c r="AM221" s="110">
        <v>5</v>
      </c>
      <c r="AN221" s="7">
        <f t="shared" si="44"/>
        <v>1.0954451150103321</v>
      </c>
      <c r="AO221" s="7">
        <f t="shared" si="45"/>
        <v>0.89442719099991586</v>
      </c>
      <c r="AP221" s="7">
        <f t="shared" si="46"/>
        <v>0.10557280900008414</v>
      </c>
      <c r="AQ221" s="7">
        <f t="shared" si="47"/>
        <v>-0.97235358712516007</v>
      </c>
      <c r="AR221" s="7">
        <f t="shared" si="48"/>
        <v>0.97235358712516007</v>
      </c>
      <c r="AS221" s="7">
        <f t="shared" si="49"/>
        <v>5</v>
      </c>
      <c r="AT221" s="184">
        <f t="shared" si="40"/>
        <v>1.6666666666666667</v>
      </c>
      <c r="AU221" s="110"/>
      <c r="AV221" s="7" t="s">
        <v>2145</v>
      </c>
      <c r="AW221" s="7"/>
      <c r="AX221" s="7" t="s">
        <v>2181</v>
      </c>
      <c r="AY221" s="7" t="s">
        <v>1509</v>
      </c>
    </row>
    <row r="222" spans="1:51">
      <c r="A222" s="7" t="s">
        <v>33</v>
      </c>
      <c r="B222" s="7" t="s">
        <v>34</v>
      </c>
      <c r="C222" s="7" t="s">
        <v>282</v>
      </c>
      <c r="D222" s="7" t="s">
        <v>2138</v>
      </c>
      <c r="E222" s="7" t="s">
        <v>2178</v>
      </c>
      <c r="F222" s="7" t="s">
        <v>2179</v>
      </c>
      <c r="G222" s="7" t="s">
        <v>2180</v>
      </c>
      <c r="H222" s="7" t="s">
        <v>4180</v>
      </c>
      <c r="I222" s="100">
        <f>AVERAGE(58,69)/1000</f>
        <v>6.3500000000000001E-2</v>
      </c>
      <c r="J222" s="100">
        <f t="shared" si="41"/>
        <v>63.5</v>
      </c>
      <c r="K222" s="100">
        <f t="shared" si="42"/>
        <v>1.8027737252919758</v>
      </c>
      <c r="L222" s="73" t="s">
        <v>1502</v>
      </c>
      <c r="M222" s="7" t="s">
        <v>2142</v>
      </c>
      <c r="N222" s="7" t="s">
        <v>1538</v>
      </c>
      <c r="O222" s="7" t="s">
        <v>1494</v>
      </c>
      <c r="P222" s="108" t="s">
        <v>1492</v>
      </c>
      <c r="Q222" s="7" t="s">
        <v>2153</v>
      </c>
      <c r="R222" s="7">
        <v>40.450000000000003</v>
      </c>
      <c r="S222" s="7">
        <f t="shared" si="39"/>
        <v>40.450000000000003</v>
      </c>
      <c r="T222" s="7">
        <v>81.7</v>
      </c>
      <c r="U222" s="7">
        <v>1</v>
      </c>
      <c r="V222" s="7">
        <v>42</v>
      </c>
      <c r="W222" s="7">
        <f t="shared" si="43"/>
        <v>1.6232492903979006</v>
      </c>
      <c r="X222" s="7" t="s">
        <v>2131</v>
      </c>
      <c r="Y222" s="7" t="s">
        <v>2136</v>
      </c>
      <c r="Z222" s="7">
        <v>5</v>
      </c>
      <c r="AA222" s="7">
        <v>25</v>
      </c>
      <c r="AB222" s="108">
        <v>45</v>
      </c>
      <c r="AC222" s="108">
        <v>10</v>
      </c>
      <c r="AD222" s="110">
        <v>5</v>
      </c>
      <c r="AE222" s="7">
        <v>81.5</v>
      </c>
      <c r="AF222" s="7">
        <v>15</v>
      </c>
      <c r="AG222" s="110">
        <v>5</v>
      </c>
      <c r="AH222" s="7">
        <v>49</v>
      </c>
      <c r="AI222" s="7">
        <v>4</v>
      </c>
      <c r="AJ222" s="7">
        <v>5</v>
      </c>
      <c r="AK222" s="108">
        <v>92</v>
      </c>
      <c r="AL222" s="108">
        <v>2</v>
      </c>
      <c r="AM222" s="7">
        <v>5</v>
      </c>
      <c r="AN222" s="7">
        <f t="shared" si="44"/>
        <v>1.3457752825457567</v>
      </c>
      <c r="AO222" s="7">
        <f t="shared" si="45"/>
        <v>1.429840705968481</v>
      </c>
      <c r="AP222" s="7">
        <f t="shared" si="46"/>
        <v>0.42984070596848101</v>
      </c>
      <c r="AQ222" s="7">
        <f t="shared" si="47"/>
        <v>-0.36568327115322008</v>
      </c>
      <c r="AR222" s="7">
        <f t="shared" si="48"/>
        <v>0.36568327115322008</v>
      </c>
      <c r="AS222" s="7">
        <f t="shared" si="49"/>
        <v>5</v>
      </c>
      <c r="AT222" s="184">
        <f t="shared" ref="AT222:AT253" si="50">AVERAGE(AC222,AF222,AL222)</f>
        <v>9</v>
      </c>
      <c r="AU222" s="7"/>
      <c r="AV222" s="7" t="s">
        <v>2145</v>
      </c>
      <c r="AW222" s="7"/>
      <c r="AX222" s="7" t="s">
        <v>2182</v>
      </c>
      <c r="AY222" s="7" t="s">
        <v>1509</v>
      </c>
    </row>
    <row r="223" spans="1:51">
      <c r="A223" s="7" t="s">
        <v>33</v>
      </c>
      <c r="B223" s="7" t="s">
        <v>34</v>
      </c>
      <c r="C223" s="7" t="s">
        <v>282</v>
      </c>
      <c r="D223" s="7" t="s">
        <v>2138</v>
      </c>
      <c r="E223" s="7" t="s">
        <v>2178</v>
      </c>
      <c r="F223" s="7" t="s">
        <v>2179</v>
      </c>
      <c r="G223" s="7" t="s">
        <v>2180</v>
      </c>
      <c r="H223" s="7" t="s">
        <v>4180</v>
      </c>
      <c r="I223" s="100">
        <f>AVERAGE(58,69)/1000</f>
        <v>6.3500000000000001E-2</v>
      </c>
      <c r="J223" s="100">
        <f t="shared" si="41"/>
        <v>63.5</v>
      </c>
      <c r="K223" s="100">
        <f t="shared" si="42"/>
        <v>1.8027737252919758</v>
      </c>
      <c r="L223" s="73" t="s">
        <v>1502</v>
      </c>
      <c r="M223" s="7" t="s">
        <v>2142</v>
      </c>
      <c r="N223" s="110" t="s">
        <v>1538</v>
      </c>
      <c r="O223" s="110" t="s">
        <v>1494</v>
      </c>
      <c r="P223" s="108" t="s">
        <v>1492</v>
      </c>
      <c r="Q223" s="110" t="s">
        <v>2153</v>
      </c>
      <c r="R223" s="110">
        <v>40.450000000000003</v>
      </c>
      <c r="S223" s="7">
        <f t="shared" si="39"/>
        <v>40.450000000000003</v>
      </c>
      <c r="T223" s="110">
        <v>81.7</v>
      </c>
      <c r="U223" s="7">
        <v>1</v>
      </c>
      <c r="V223" s="7">
        <v>42</v>
      </c>
      <c r="W223" s="7">
        <f t="shared" si="43"/>
        <v>1.6232492903979006</v>
      </c>
      <c r="X223" s="7" t="s">
        <v>2131</v>
      </c>
      <c r="Y223" s="7" t="s">
        <v>2147</v>
      </c>
      <c r="Z223" s="7">
        <v>5</v>
      </c>
      <c r="AA223" s="7">
        <v>25</v>
      </c>
      <c r="AB223" s="108">
        <v>30</v>
      </c>
      <c r="AC223" s="108">
        <v>2</v>
      </c>
      <c r="AD223" s="110">
        <v>5</v>
      </c>
      <c r="AE223" s="7">
        <v>77</v>
      </c>
      <c r="AF223" s="7">
        <v>3</v>
      </c>
      <c r="AG223" s="110">
        <v>5</v>
      </c>
      <c r="AH223" s="7">
        <v>31</v>
      </c>
      <c r="AI223" s="7">
        <v>3</v>
      </c>
      <c r="AJ223" s="110">
        <v>5</v>
      </c>
      <c r="AK223" s="108">
        <v>77</v>
      </c>
      <c r="AL223" s="108">
        <v>9</v>
      </c>
      <c r="AM223" s="110">
        <v>5</v>
      </c>
      <c r="AN223" s="7">
        <f t="shared" si="44"/>
        <v>1.6020819787597222</v>
      </c>
      <c r="AO223" s="7">
        <f t="shared" si="45"/>
        <v>1.6020819787597222</v>
      </c>
      <c r="AP223" s="7">
        <f t="shared" si="46"/>
        <v>0.60208197875972225</v>
      </c>
      <c r="AQ223" s="7">
        <f t="shared" si="47"/>
        <v>-0.2196236488829591</v>
      </c>
      <c r="AR223" s="7">
        <f t="shared" si="48"/>
        <v>0.2196236488829591</v>
      </c>
      <c r="AS223" s="7">
        <f t="shared" si="49"/>
        <v>5</v>
      </c>
      <c r="AT223" s="184">
        <f t="shared" si="50"/>
        <v>4.666666666666667</v>
      </c>
      <c r="AU223" s="110"/>
      <c r="AV223" s="7" t="s">
        <v>2145</v>
      </c>
      <c r="AW223" s="7"/>
      <c r="AX223" s="7" t="s">
        <v>2183</v>
      </c>
      <c r="AY223" s="7" t="s">
        <v>1509</v>
      </c>
    </row>
    <row r="224" spans="1:51">
      <c r="A224" s="7" t="s">
        <v>33</v>
      </c>
      <c r="B224" s="7" t="s">
        <v>34</v>
      </c>
      <c r="C224" s="7" t="s">
        <v>282</v>
      </c>
      <c r="D224" s="7" t="s">
        <v>2138</v>
      </c>
      <c r="E224" s="7" t="s">
        <v>2178</v>
      </c>
      <c r="F224" s="7" t="s">
        <v>2184</v>
      </c>
      <c r="G224" s="7" t="s">
        <v>2185</v>
      </c>
      <c r="H224" s="7" t="s">
        <v>4180</v>
      </c>
      <c r="I224" s="100">
        <f>AVERAGE(37, 55)/1000</f>
        <v>4.5999999999999999E-2</v>
      </c>
      <c r="J224" s="100">
        <f t="shared" si="41"/>
        <v>46</v>
      </c>
      <c r="K224" s="100">
        <f t="shared" si="42"/>
        <v>1.6627578316815741</v>
      </c>
      <c r="L224" s="73" t="s">
        <v>1502</v>
      </c>
      <c r="M224" s="7" t="s">
        <v>2142</v>
      </c>
      <c r="N224" s="110" t="s">
        <v>1538</v>
      </c>
      <c r="O224" s="110" t="s">
        <v>1505</v>
      </c>
      <c r="P224" s="108" t="s">
        <v>1492</v>
      </c>
      <c r="Q224" s="110" t="s">
        <v>2186</v>
      </c>
      <c r="R224" s="110">
        <v>41.15</v>
      </c>
      <c r="S224" s="7">
        <f t="shared" si="39"/>
        <v>41.15</v>
      </c>
      <c r="T224" s="110">
        <v>81.650000000000006</v>
      </c>
      <c r="U224" s="7">
        <v>1</v>
      </c>
      <c r="V224" s="7">
        <v>42</v>
      </c>
      <c r="W224" s="7">
        <f t="shared" si="43"/>
        <v>1.6232492903979006</v>
      </c>
      <c r="X224" s="7" t="s">
        <v>2131</v>
      </c>
      <c r="Y224" s="7" t="s">
        <v>2144</v>
      </c>
      <c r="Z224" s="7">
        <v>5</v>
      </c>
      <c r="AA224" s="7">
        <v>25</v>
      </c>
      <c r="AB224" s="108">
        <v>7.5</v>
      </c>
      <c r="AC224" s="108">
        <v>1.5</v>
      </c>
      <c r="AD224" s="110">
        <v>7</v>
      </c>
      <c r="AE224" s="7">
        <v>13.5</v>
      </c>
      <c r="AF224" s="7">
        <v>4</v>
      </c>
      <c r="AG224" s="110">
        <v>7</v>
      </c>
      <c r="AH224" s="7">
        <v>2</v>
      </c>
      <c r="AI224" s="7">
        <v>0.5</v>
      </c>
      <c r="AJ224" s="110">
        <v>5</v>
      </c>
      <c r="AK224" s="108">
        <v>2.5</v>
      </c>
      <c r="AL224" s="108">
        <v>1</v>
      </c>
      <c r="AM224" s="110">
        <v>5</v>
      </c>
      <c r="AN224" s="7">
        <f t="shared" si="44"/>
        <v>1.3416407864998738</v>
      </c>
      <c r="AO224" s="7">
        <f t="shared" si="45"/>
        <v>0.57735026918962573</v>
      </c>
      <c r="AP224" s="7">
        <f t="shared" si="46"/>
        <v>0.42264973081037427</v>
      </c>
      <c r="AQ224" s="7">
        <f t="shared" si="47"/>
        <v>-0.37299306521037612</v>
      </c>
      <c r="AR224" s="7">
        <f t="shared" si="48"/>
        <v>0.37299306521037612</v>
      </c>
      <c r="AS224" s="7">
        <f t="shared" si="49"/>
        <v>6.333333333333333</v>
      </c>
      <c r="AT224" s="184">
        <f t="shared" si="50"/>
        <v>2.1666666666666665</v>
      </c>
      <c r="AU224" s="110"/>
      <c r="AV224" s="7" t="s">
        <v>2145</v>
      </c>
      <c r="AW224" s="7"/>
      <c r="AX224" s="7" t="s">
        <v>2187</v>
      </c>
      <c r="AY224" s="7" t="s">
        <v>1509</v>
      </c>
    </row>
    <row r="225" spans="1:51">
      <c r="A225" s="7" t="s">
        <v>33</v>
      </c>
      <c r="B225" s="7" t="s">
        <v>34</v>
      </c>
      <c r="C225" s="7" t="s">
        <v>282</v>
      </c>
      <c r="D225" s="7" t="s">
        <v>2138</v>
      </c>
      <c r="E225" s="7" t="s">
        <v>2178</v>
      </c>
      <c r="F225" s="7" t="s">
        <v>2184</v>
      </c>
      <c r="G225" s="7" t="s">
        <v>2185</v>
      </c>
      <c r="H225" s="7" t="s">
        <v>4180</v>
      </c>
      <c r="I225" s="100">
        <f>AVERAGE(37, 55)/1000</f>
        <v>4.5999999999999999E-2</v>
      </c>
      <c r="J225" s="100">
        <f t="shared" si="41"/>
        <v>46</v>
      </c>
      <c r="K225" s="100">
        <f t="shared" si="42"/>
        <v>1.6627578316815741</v>
      </c>
      <c r="L225" s="73" t="s">
        <v>1502</v>
      </c>
      <c r="M225" s="7" t="s">
        <v>2142</v>
      </c>
      <c r="N225" s="7" t="s">
        <v>1538</v>
      </c>
      <c r="O225" s="7" t="s">
        <v>1505</v>
      </c>
      <c r="P225" s="108" t="s">
        <v>1492</v>
      </c>
      <c r="Q225" s="7" t="s">
        <v>2186</v>
      </c>
      <c r="R225" s="7">
        <v>41.15</v>
      </c>
      <c r="S225" s="7">
        <f t="shared" si="39"/>
        <v>41.15</v>
      </c>
      <c r="T225" s="7">
        <v>81.650000000000006</v>
      </c>
      <c r="U225" s="7">
        <v>1</v>
      </c>
      <c r="V225" s="7">
        <v>42</v>
      </c>
      <c r="W225" s="7">
        <f t="shared" si="43"/>
        <v>1.6232492903979006</v>
      </c>
      <c r="X225" s="7" t="s">
        <v>2131</v>
      </c>
      <c r="Y225" s="7" t="s">
        <v>2136</v>
      </c>
      <c r="Z225" s="7">
        <v>5</v>
      </c>
      <c r="AA225" s="7">
        <v>25</v>
      </c>
      <c r="AB225" s="108">
        <v>17.5</v>
      </c>
      <c r="AC225" s="108">
        <v>2.5</v>
      </c>
      <c r="AD225" s="110">
        <v>7</v>
      </c>
      <c r="AE225" s="7">
        <v>28</v>
      </c>
      <c r="AF225" s="7">
        <v>8</v>
      </c>
      <c r="AG225" s="110">
        <v>7</v>
      </c>
      <c r="AH225" s="7">
        <v>26</v>
      </c>
      <c r="AI225" s="7">
        <v>7</v>
      </c>
      <c r="AJ225" s="7">
        <v>5</v>
      </c>
      <c r="AK225" s="108">
        <v>50</v>
      </c>
      <c r="AL225" s="108">
        <v>12</v>
      </c>
      <c r="AM225" s="7">
        <v>5</v>
      </c>
      <c r="AN225" s="7">
        <f t="shared" si="44"/>
        <v>1.2649110640673518</v>
      </c>
      <c r="AO225" s="7">
        <f t="shared" si="45"/>
        <v>1.6903085094570331</v>
      </c>
      <c r="AP225" s="7">
        <f t="shared" si="46"/>
        <v>0.69030850945703315</v>
      </c>
      <c r="AQ225" s="7">
        <f t="shared" si="47"/>
        <v>-0.16032809726556552</v>
      </c>
      <c r="AR225" s="7">
        <f t="shared" si="48"/>
        <v>0.16032809726556552</v>
      </c>
      <c r="AS225" s="7">
        <f t="shared" si="49"/>
        <v>6.333333333333333</v>
      </c>
      <c r="AT225" s="184">
        <f t="shared" si="50"/>
        <v>7.5</v>
      </c>
      <c r="AU225" s="7"/>
      <c r="AV225" s="7" t="s">
        <v>2145</v>
      </c>
      <c r="AW225" s="7"/>
      <c r="AX225" s="7" t="s">
        <v>2188</v>
      </c>
      <c r="AY225" s="7" t="s">
        <v>1509</v>
      </c>
    </row>
    <row r="226" spans="1:51">
      <c r="A226" s="7" t="s">
        <v>33</v>
      </c>
      <c r="B226" s="7" t="s">
        <v>34</v>
      </c>
      <c r="C226" s="7" t="s">
        <v>282</v>
      </c>
      <c r="D226" s="7" t="s">
        <v>2138</v>
      </c>
      <c r="E226" s="7" t="s">
        <v>2178</v>
      </c>
      <c r="F226" s="7" t="s">
        <v>2184</v>
      </c>
      <c r="G226" s="7" t="s">
        <v>2185</v>
      </c>
      <c r="H226" s="7" t="s">
        <v>4180</v>
      </c>
      <c r="I226" s="100">
        <f>AVERAGE(37, 55)/1000</f>
        <v>4.5999999999999999E-2</v>
      </c>
      <c r="J226" s="100">
        <f t="shared" si="41"/>
        <v>46</v>
      </c>
      <c r="K226" s="100">
        <f t="shared" si="42"/>
        <v>1.6627578316815741</v>
      </c>
      <c r="L226" s="73" t="s">
        <v>1502</v>
      </c>
      <c r="M226" s="7" t="s">
        <v>2142</v>
      </c>
      <c r="N226" s="110" t="s">
        <v>1538</v>
      </c>
      <c r="O226" s="110" t="s">
        <v>1505</v>
      </c>
      <c r="P226" s="108" t="s">
        <v>1492</v>
      </c>
      <c r="Q226" s="110" t="s">
        <v>2186</v>
      </c>
      <c r="R226" s="110">
        <v>41.15</v>
      </c>
      <c r="S226" s="7">
        <f t="shared" si="39"/>
        <v>41.15</v>
      </c>
      <c r="T226" s="110">
        <v>81.650000000000006</v>
      </c>
      <c r="U226" s="7">
        <v>1</v>
      </c>
      <c r="V226" s="7">
        <v>42</v>
      </c>
      <c r="W226" s="7">
        <f t="shared" si="43"/>
        <v>1.6232492903979006</v>
      </c>
      <c r="X226" s="7" t="s">
        <v>2131</v>
      </c>
      <c r="Y226" s="7" t="s">
        <v>2147</v>
      </c>
      <c r="Z226" s="7">
        <v>5</v>
      </c>
      <c r="AA226" s="7">
        <v>25</v>
      </c>
      <c r="AB226" s="108">
        <v>29</v>
      </c>
      <c r="AC226" s="108">
        <v>2</v>
      </c>
      <c r="AD226" s="110">
        <v>7</v>
      </c>
      <c r="AE226" s="7">
        <v>57</v>
      </c>
      <c r="AF226" s="7">
        <v>8</v>
      </c>
      <c r="AG226" s="110">
        <v>7</v>
      </c>
      <c r="AH226" s="7">
        <v>10</v>
      </c>
      <c r="AI226" s="7">
        <v>8</v>
      </c>
      <c r="AJ226" s="110">
        <v>5</v>
      </c>
      <c r="AK226" s="108">
        <v>40</v>
      </c>
      <c r="AL226" s="108">
        <v>10</v>
      </c>
      <c r="AM226" s="110">
        <v>5</v>
      </c>
      <c r="AN226" s="7">
        <f t="shared" si="44"/>
        <v>1.4019690586383533</v>
      </c>
      <c r="AO226" s="7">
        <f t="shared" si="45"/>
        <v>1.174440439029407</v>
      </c>
      <c r="AP226" s="7">
        <f t="shared" si="46"/>
        <v>0.17444043902940698</v>
      </c>
      <c r="AQ226" s="7">
        <f t="shared" si="47"/>
        <v>-0.75587029453270937</v>
      </c>
      <c r="AR226" s="7">
        <f t="shared" si="48"/>
        <v>0.75587029453270937</v>
      </c>
      <c r="AS226" s="7">
        <f t="shared" si="49"/>
        <v>6.333333333333333</v>
      </c>
      <c r="AT226" s="184">
        <f t="shared" si="50"/>
        <v>6.666666666666667</v>
      </c>
      <c r="AU226" s="110"/>
      <c r="AV226" s="7" t="s">
        <v>2145</v>
      </c>
      <c r="AW226" s="7"/>
      <c r="AX226" s="7" t="s">
        <v>2189</v>
      </c>
      <c r="AY226" s="7" t="s">
        <v>1509</v>
      </c>
    </row>
    <row r="227" spans="1:51">
      <c r="A227" s="7" t="s">
        <v>23</v>
      </c>
      <c r="B227" s="7" t="s">
        <v>1713</v>
      </c>
      <c r="C227" s="7" t="s">
        <v>1698</v>
      </c>
      <c r="D227" s="7" t="s">
        <v>1699</v>
      </c>
      <c r="E227" s="7" t="s">
        <v>1700</v>
      </c>
      <c r="F227" s="7" t="s">
        <v>1701</v>
      </c>
      <c r="G227" s="7" t="s">
        <v>1702</v>
      </c>
      <c r="H227" s="7" t="s">
        <v>4185</v>
      </c>
      <c r="I227" s="100">
        <f>42.6/1000</f>
        <v>4.2599999999999999E-2</v>
      </c>
      <c r="J227" s="100">
        <f t="shared" si="41"/>
        <v>42.6</v>
      </c>
      <c r="K227" s="100">
        <f t="shared" si="42"/>
        <v>1.6294095991027189</v>
      </c>
      <c r="L227" s="73" t="s">
        <v>1502</v>
      </c>
      <c r="M227" s="7" t="s">
        <v>1704</v>
      </c>
      <c r="N227" s="7" t="s">
        <v>1538</v>
      </c>
      <c r="O227" s="7" t="s">
        <v>1494</v>
      </c>
      <c r="P227" s="108" t="s">
        <v>1492</v>
      </c>
      <c r="Q227" s="7" t="s">
        <v>1705</v>
      </c>
      <c r="R227" s="7">
        <v>32.9</v>
      </c>
      <c r="S227" s="7">
        <f t="shared" si="39"/>
        <v>32.9</v>
      </c>
      <c r="T227" s="7">
        <v>151.75</v>
      </c>
      <c r="U227" s="7">
        <v>1</v>
      </c>
      <c r="V227" s="7">
        <v>28</v>
      </c>
      <c r="W227" s="7">
        <f t="shared" si="43"/>
        <v>1.4471580313422192</v>
      </c>
      <c r="X227" s="7" t="s">
        <v>2131</v>
      </c>
      <c r="Y227" s="7" t="s">
        <v>1708</v>
      </c>
      <c r="Z227" s="7">
        <v>20</v>
      </c>
      <c r="AA227" s="7">
        <v>30</v>
      </c>
      <c r="AB227" s="108">
        <v>64.8</v>
      </c>
      <c r="AC227" s="108">
        <v>8.6999999999999993</v>
      </c>
      <c r="AD227" s="7">
        <v>15</v>
      </c>
      <c r="AE227" s="7">
        <v>97.2</v>
      </c>
      <c r="AF227" s="7">
        <v>11.2</v>
      </c>
      <c r="AG227" s="7">
        <v>15</v>
      </c>
      <c r="AH227" s="7">
        <v>48.9</v>
      </c>
      <c r="AI227" s="7">
        <v>6.7</v>
      </c>
      <c r="AJ227" s="7">
        <v>15</v>
      </c>
      <c r="AK227" s="108">
        <v>83.8</v>
      </c>
      <c r="AL227" s="108">
        <v>9.4</v>
      </c>
      <c r="AM227" s="108">
        <v>15</v>
      </c>
      <c r="AN227" s="7">
        <f t="shared" si="44"/>
        <v>1.5</v>
      </c>
      <c r="AO227" s="7">
        <f t="shared" si="45"/>
        <v>1.2932098765432098</v>
      </c>
      <c r="AP227" s="7">
        <f t="shared" si="46"/>
        <v>0.29320987654320985</v>
      </c>
      <c r="AQ227" s="7">
        <f t="shared" si="47"/>
        <v>-0.5313427522195705</v>
      </c>
      <c r="AR227" s="7">
        <f t="shared" si="48"/>
        <v>0.5313427522195705</v>
      </c>
      <c r="AS227" s="7">
        <f t="shared" si="49"/>
        <v>15</v>
      </c>
      <c r="AT227" s="184">
        <f t="shared" si="50"/>
        <v>9.7666666666666657</v>
      </c>
      <c r="AU227" s="108"/>
      <c r="AV227" s="7"/>
      <c r="AW227" s="7"/>
      <c r="AX227" s="7" t="s">
        <v>2190</v>
      </c>
      <c r="AY227" s="7" t="s">
        <v>1509</v>
      </c>
    </row>
    <row r="228" spans="1:51">
      <c r="A228" s="7" t="s">
        <v>23</v>
      </c>
      <c r="B228" s="7" t="s">
        <v>1713</v>
      </c>
      <c r="C228" s="7" t="s">
        <v>1698</v>
      </c>
      <c r="D228" s="7" t="s">
        <v>1699</v>
      </c>
      <c r="E228" s="7" t="s">
        <v>1700</v>
      </c>
      <c r="F228" s="7" t="s">
        <v>1701</v>
      </c>
      <c r="G228" s="7" t="s">
        <v>1702</v>
      </c>
      <c r="H228" s="7" t="s">
        <v>4185</v>
      </c>
      <c r="I228" s="100">
        <f>42.6/1000</f>
        <v>4.2599999999999999E-2</v>
      </c>
      <c r="J228" s="100">
        <f t="shared" si="41"/>
        <v>42.6</v>
      </c>
      <c r="K228" s="100">
        <f t="shared" si="42"/>
        <v>1.6294095991027189</v>
      </c>
      <c r="L228" s="73" t="s">
        <v>1502</v>
      </c>
      <c r="M228" s="7" t="s">
        <v>1704</v>
      </c>
      <c r="N228" s="7" t="s">
        <v>1538</v>
      </c>
      <c r="O228" s="7" t="s">
        <v>1494</v>
      </c>
      <c r="P228" s="108" t="s">
        <v>1492</v>
      </c>
      <c r="Q228" s="7" t="s">
        <v>1705</v>
      </c>
      <c r="R228" s="7">
        <v>32.9</v>
      </c>
      <c r="S228" s="7">
        <f t="shared" si="39"/>
        <v>32.9</v>
      </c>
      <c r="T228" s="7">
        <v>151.75</v>
      </c>
      <c r="U228" s="7">
        <v>1</v>
      </c>
      <c r="V228" s="7">
        <v>28</v>
      </c>
      <c r="W228" s="7">
        <f t="shared" si="43"/>
        <v>1.4471580313422192</v>
      </c>
      <c r="X228" s="7" t="s">
        <v>2131</v>
      </c>
      <c r="Y228" s="7" t="s">
        <v>1706</v>
      </c>
      <c r="Z228" s="7">
        <v>20</v>
      </c>
      <c r="AA228" s="7">
        <v>30</v>
      </c>
      <c r="AB228" s="108">
        <v>50.6</v>
      </c>
      <c r="AC228" s="108">
        <v>5.8</v>
      </c>
      <c r="AD228" s="7">
        <v>15</v>
      </c>
      <c r="AE228" s="7">
        <v>74.099999999999994</v>
      </c>
      <c r="AF228" s="7">
        <v>8.5</v>
      </c>
      <c r="AG228" s="7">
        <v>15</v>
      </c>
      <c r="AH228" s="7">
        <v>42.8</v>
      </c>
      <c r="AI228" s="7">
        <v>7.7</v>
      </c>
      <c r="AJ228" s="7">
        <v>15</v>
      </c>
      <c r="AK228" s="108">
        <v>67.7</v>
      </c>
      <c r="AL228" s="108">
        <v>9.8000000000000007</v>
      </c>
      <c r="AM228" s="108">
        <v>15</v>
      </c>
      <c r="AN228" s="7">
        <f t="shared" si="44"/>
        <v>1.4644268774703555</v>
      </c>
      <c r="AO228" s="7">
        <f t="shared" si="45"/>
        <v>1.3379446640316206</v>
      </c>
      <c r="AP228" s="7">
        <f t="shared" si="46"/>
        <v>0.3379446640316206</v>
      </c>
      <c r="AQ228" s="7">
        <f t="shared" si="47"/>
        <v>-0.46987119875074412</v>
      </c>
      <c r="AR228" s="7">
        <f t="shared" si="48"/>
        <v>0.46987119875074412</v>
      </c>
      <c r="AS228" s="7">
        <f t="shared" si="49"/>
        <v>15</v>
      </c>
      <c r="AT228" s="184">
        <f t="shared" si="50"/>
        <v>8.0333333333333332</v>
      </c>
      <c r="AU228" s="108"/>
      <c r="AV228" s="7"/>
      <c r="AW228" s="7"/>
      <c r="AX228" s="7" t="s">
        <v>2191</v>
      </c>
      <c r="AY228" s="7" t="s">
        <v>1509</v>
      </c>
    </row>
    <row r="229" spans="1:51">
      <c r="A229" s="7" t="s">
        <v>33</v>
      </c>
      <c r="B229" s="7" t="s">
        <v>75</v>
      </c>
      <c r="C229" s="7" t="s">
        <v>76</v>
      </c>
      <c r="D229" s="7" t="s">
        <v>721</v>
      </c>
      <c r="E229" s="7" t="s">
        <v>752</v>
      </c>
      <c r="F229" s="7" t="s">
        <v>755</v>
      </c>
      <c r="G229" s="7" t="s">
        <v>1570</v>
      </c>
      <c r="H229" s="7" t="s">
        <v>4181</v>
      </c>
      <c r="I229" s="100">
        <f>20/1000</f>
        <v>0.02</v>
      </c>
      <c r="J229" s="100">
        <f t="shared" si="41"/>
        <v>20</v>
      </c>
      <c r="K229" s="100">
        <f t="shared" si="42"/>
        <v>1.3010299956639813</v>
      </c>
      <c r="L229" s="73" t="s">
        <v>1502</v>
      </c>
      <c r="M229" s="7" t="s">
        <v>1951</v>
      </c>
      <c r="N229" s="7" t="s">
        <v>1538</v>
      </c>
      <c r="O229" s="7" t="s">
        <v>1505</v>
      </c>
      <c r="P229" s="108" t="s">
        <v>1492</v>
      </c>
      <c r="Q229" s="7" t="s">
        <v>1572</v>
      </c>
      <c r="R229" s="7">
        <v>33.85</v>
      </c>
      <c r="S229" s="7">
        <f t="shared" si="39"/>
        <v>33.85</v>
      </c>
      <c r="T229" s="7">
        <v>151.19999999999999</v>
      </c>
      <c r="U229" s="7">
        <v>1</v>
      </c>
      <c r="V229" s="7">
        <v>60</v>
      </c>
      <c r="W229" s="7">
        <f t="shared" si="43"/>
        <v>1.7781512503836436</v>
      </c>
      <c r="X229" s="7" t="s">
        <v>2131</v>
      </c>
      <c r="Y229" s="7" t="s">
        <v>2192</v>
      </c>
      <c r="Z229" s="7">
        <v>15</v>
      </c>
      <c r="AA229" s="7">
        <v>25</v>
      </c>
      <c r="AB229" s="108">
        <v>222</v>
      </c>
      <c r="AC229" s="108">
        <v>14.8</v>
      </c>
      <c r="AD229" s="7">
        <v>5</v>
      </c>
      <c r="AE229" s="7">
        <v>327</v>
      </c>
      <c r="AF229" s="7">
        <v>14.1</v>
      </c>
      <c r="AG229" s="7">
        <v>5</v>
      </c>
      <c r="AH229" s="7">
        <v>162</v>
      </c>
      <c r="AI229" s="7">
        <v>15.2</v>
      </c>
      <c r="AJ229" s="7">
        <v>5</v>
      </c>
      <c r="AK229" s="108">
        <v>237</v>
      </c>
      <c r="AL229" s="108">
        <v>15.4</v>
      </c>
      <c r="AM229" s="108">
        <v>5</v>
      </c>
      <c r="AN229" s="7">
        <f t="shared" si="44"/>
        <v>1.472972972972973</v>
      </c>
      <c r="AO229" s="7">
        <f t="shared" si="45"/>
        <v>1.0675675675675675</v>
      </c>
      <c r="AP229" s="7">
        <f t="shared" si="46"/>
        <v>6.7567567567567544E-2</v>
      </c>
      <c r="AQ229" s="7">
        <f t="shared" si="47"/>
        <v>-1.1638812568452643</v>
      </c>
      <c r="AR229" s="7">
        <f t="shared" si="48"/>
        <v>1.1638812568452643</v>
      </c>
      <c r="AS229" s="7">
        <f t="shared" si="49"/>
        <v>5</v>
      </c>
      <c r="AT229" s="184">
        <f t="shared" si="50"/>
        <v>14.766666666666666</v>
      </c>
      <c r="AU229" s="108"/>
      <c r="AV229" s="7"/>
      <c r="AW229" s="7"/>
      <c r="AX229" s="7" t="s">
        <v>2193</v>
      </c>
      <c r="AY229" s="7" t="s">
        <v>1509</v>
      </c>
    </row>
    <row r="230" spans="1:51">
      <c r="A230" s="7" t="s">
        <v>33</v>
      </c>
      <c r="B230" s="7" t="s">
        <v>75</v>
      </c>
      <c r="C230" s="7" t="s">
        <v>76</v>
      </c>
      <c r="D230" s="7" t="s">
        <v>721</v>
      </c>
      <c r="E230" s="7" t="s">
        <v>752</v>
      </c>
      <c r="F230" s="7" t="s">
        <v>755</v>
      </c>
      <c r="G230" s="7" t="s">
        <v>1570</v>
      </c>
      <c r="H230" s="7" t="s">
        <v>4181</v>
      </c>
      <c r="I230" s="100">
        <f>20/1000</f>
        <v>0.02</v>
      </c>
      <c r="J230" s="100">
        <f t="shared" si="41"/>
        <v>20</v>
      </c>
      <c r="K230" s="100">
        <f t="shared" si="42"/>
        <v>1.3010299956639813</v>
      </c>
      <c r="L230" s="73" t="s">
        <v>1502</v>
      </c>
      <c r="M230" s="7" t="s">
        <v>1951</v>
      </c>
      <c r="N230" s="7" t="s">
        <v>1538</v>
      </c>
      <c r="O230" s="7" t="s">
        <v>1505</v>
      </c>
      <c r="P230" s="108" t="s">
        <v>1492</v>
      </c>
      <c r="Q230" s="7" t="s">
        <v>1572</v>
      </c>
      <c r="R230" s="7">
        <v>33.85</v>
      </c>
      <c r="S230" s="7">
        <f t="shared" si="39"/>
        <v>33.85</v>
      </c>
      <c r="T230" s="7">
        <v>151.19999999999999</v>
      </c>
      <c r="U230" s="7">
        <v>1</v>
      </c>
      <c r="V230" s="7">
        <v>60</v>
      </c>
      <c r="W230" s="7">
        <f t="shared" si="43"/>
        <v>1.7781512503836436</v>
      </c>
      <c r="X230" s="7" t="s">
        <v>2131</v>
      </c>
      <c r="Y230" s="7" t="s">
        <v>2194</v>
      </c>
      <c r="Z230" s="7">
        <v>15</v>
      </c>
      <c r="AA230" s="7">
        <v>25</v>
      </c>
      <c r="AB230" s="108">
        <v>134</v>
      </c>
      <c r="AC230" s="108">
        <v>13.3</v>
      </c>
      <c r="AD230" s="7">
        <v>5</v>
      </c>
      <c r="AE230" s="7">
        <v>194</v>
      </c>
      <c r="AF230" s="7">
        <v>12.2</v>
      </c>
      <c r="AG230" s="7">
        <v>5</v>
      </c>
      <c r="AH230" s="7">
        <v>107</v>
      </c>
      <c r="AI230" s="7">
        <v>13.8</v>
      </c>
      <c r="AJ230" s="7">
        <v>5</v>
      </c>
      <c r="AK230" s="108">
        <v>160</v>
      </c>
      <c r="AL230" s="108">
        <v>16.3</v>
      </c>
      <c r="AM230" s="108">
        <v>5</v>
      </c>
      <c r="AN230" s="7">
        <f t="shared" si="44"/>
        <v>1.4477611940298507</v>
      </c>
      <c r="AO230" s="7">
        <f t="shared" si="45"/>
        <v>1.1940298507462686</v>
      </c>
      <c r="AP230" s="7">
        <f t="shared" si="46"/>
        <v>0.19402985074626855</v>
      </c>
      <c r="AQ230" s="7">
        <f t="shared" si="47"/>
        <v>-0.70989891160047758</v>
      </c>
      <c r="AR230" s="7">
        <f t="shared" si="48"/>
        <v>0.70989891160047758</v>
      </c>
      <c r="AS230" s="7">
        <f t="shared" si="49"/>
        <v>5</v>
      </c>
      <c r="AT230" s="184">
        <f t="shared" si="50"/>
        <v>13.933333333333332</v>
      </c>
      <c r="AU230" s="108"/>
      <c r="AV230" s="7"/>
      <c r="AW230" s="7"/>
      <c r="AX230" s="7" t="s">
        <v>2195</v>
      </c>
      <c r="AY230" s="7" t="s">
        <v>1509</v>
      </c>
    </row>
    <row r="231" spans="1:51">
      <c r="A231" s="7" t="s">
        <v>33</v>
      </c>
      <c r="B231" s="7" t="s">
        <v>75</v>
      </c>
      <c r="C231" s="7" t="s">
        <v>76</v>
      </c>
      <c r="D231" s="7" t="s">
        <v>721</v>
      </c>
      <c r="E231" s="7" t="s">
        <v>752</v>
      </c>
      <c r="F231" s="7" t="s">
        <v>755</v>
      </c>
      <c r="G231" s="7" t="s">
        <v>1570</v>
      </c>
      <c r="H231" s="7" t="s">
        <v>4181</v>
      </c>
      <c r="I231" s="100">
        <f>20/1000</f>
        <v>0.02</v>
      </c>
      <c r="J231" s="100">
        <f t="shared" si="41"/>
        <v>20</v>
      </c>
      <c r="K231" s="100">
        <f t="shared" si="42"/>
        <v>1.3010299956639813</v>
      </c>
      <c r="L231" s="73" t="s">
        <v>1502</v>
      </c>
      <c r="M231" s="7" t="s">
        <v>1951</v>
      </c>
      <c r="N231" s="7" t="s">
        <v>1538</v>
      </c>
      <c r="O231" s="7" t="s">
        <v>1505</v>
      </c>
      <c r="P231" s="108" t="s">
        <v>1492</v>
      </c>
      <c r="Q231" s="7" t="s">
        <v>1572</v>
      </c>
      <c r="R231" s="7">
        <v>33.85</v>
      </c>
      <c r="S231" s="7">
        <f t="shared" si="39"/>
        <v>33.85</v>
      </c>
      <c r="T231" s="7">
        <v>151.19999999999999</v>
      </c>
      <c r="U231" s="7">
        <v>1</v>
      </c>
      <c r="V231" s="7">
        <v>60</v>
      </c>
      <c r="W231" s="7">
        <f t="shared" si="43"/>
        <v>1.7781512503836436</v>
      </c>
      <c r="X231" s="7" t="s">
        <v>2131</v>
      </c>
      <c r="Y231" s="7" t="s">
        <v>2144</v>
      </c>
      <c r="Z231" s="7">
        <v>15</v>
      </c>
      <c r="AA231" s="7">
        <v>25</v>
      </c>
      <c r="AB231" s="108">
        <v>35</v>
      </c>
      <c r="AC231" s="108">
        <v>3.5</v>
      </c>
      <c r="AD231" s="7">
        <v>5</v>
      </c>
      <c r="AE231" s="7">
        <v>55</v>
      </c>
      <c r="AF231" s="7">
        <v>5.7</v>
      </c>
      <c r="AG231" s="7">
        <v>5</v>
      </c>
      <c r="AH231" s="7">
        <v>36</v>
      </c>
      <c r="AI231" s="7">
        <v>3.6</v>
      </c>
      <c r="AJ231" s="7">
        <v>5</v>
      </c>
      <c r="AK231" s="108">
        <v>61</v>
      </c>
      <c r="AL231" s="108">
        <v>5.7</v>
      </c>
      <c r="AM231" s="108">
        <v>5</v>
      </c>
      <c r="AN231" s="7">
        <f t="shared" si="44"/>
        <v>1.5714285714285714</v>
      </c>
      <c r="AO231" s="7">
        <f t="shared" si="45"/>
        <v>1.7428571428571429</v>
      </c>
      <c r="AP231" s="7">
        <f t="shared" si="46"/>
        <v>0.74285714285714288</v>
      </c>
      <c r="AQ231" s="7">
        <f t="shared" si="47"/>
        <v>-0.12851046233856445</v>
      </c>
      <c r="AR231" s="7">
        <f t="shared" si="48"/>
        <v>0.12851046233856445</v>
      </c>
      <c r="AS231" s="7">
        <f t="shared" si="49"/>
        <v>5</v>
      </c>
      <c r="AT231" s="184">
        <f t="shared" si="50"/>
        <v>4.9666666666666659</v>
      </c>
      <c r="AU231" s="108"/>
      <c r="AV231" s="7"/>
      <c r="AW231" s="7"/>
      <c r="AX231" s="7" t="s">
        <v>2196</v>
      </c>
      <c r="AY231" s="7" t="s">
        <v>1509</v>
      </c>
    </row>
    <row r="232" spans="1:51">
      <c r="A232" s="7" t="s">
        <v>33</v>
      </c>
      <c r="B232" s="7" t="s">
        <v>2197</v>
      </c>
      <c r="C232" s="7" t="s">
        <v>2198</v>
      </c>
      <c r="D232" s="7" t="s">
        <v>2199</v>
      </c>
      <c r="E232" s="7" t="s">
        <v>2200</v>
      </c>
      <c r="F232" s="7" t="s">
        <v>2201</v>
      </c>
      <c r="G232" s="7" t="s">
        <v>2202</v>
      </c>
      <c r="H232" s="7" t="s">
        <v>4180</v>
      </c>
      <c r="I232" s="100">
        <f>19.7/1000</f>
        <v>1.9699999999999999E-2</v>
      </c>
      <c r="J232" s="100">
        <f t="shared" si="41"/>
        <v>19.7</v>
      </c>
      <c r="K232" s="100">
        <f t="shared" si="42"/>
        <v>1.2944662261615929</v>
      </c>
      <c r="L232" s="73" t="s">
        <v>1502</v>
      </c>
      <c r="M232" s="7" t="s">
        <v>2203</v>
      </c>
      <c r="N232" s="110" t="s">
        <v>1504</v>
      </c>
      <c r="O232" s="110" t="s">
        <v>1494</v>
      </c>
      <c r="P232" s="108" t="s">
        <v>1539</v>
      </c>
      <c r="Q232" s="110" t="s">
        <v>2204</v>
      </c>
      <c r="R232" s="110">
        <v>10</v>
      </c>
      <c r="S232" s="7">
        <f t="shared" si="39"/>
        <v>10</v>
      </c>
      <c r="T232" s="110">
        <v>110</v>
      </c>
      <c r="U232" s="7">
        <v>1</v>
      </c>
      <c r="V232" s="7">
        <v>102</v>
      </c>
      <c r="W232" s="7">
        <f t="shared" si="43"/>
        <v>2.0086001717619175</v>
      </c>
      <c r="X232" s="7" t="s">
        <v>2131</v>
      </c>
      <c r="Y232" s="7" t="s">
        <v>2147</v>
      </c>
      <c r="Z232" s="7">
        <v>15</v>
      </c>
      <c r="AA232" s="7">
        <v>30</v>
      </c>
      <c r="AB232" s="108">
        <v>71</v>
      </c>
      <c r="AC232" s="108">
        <v>17</v>
      </c>
      <c r="AD232" s="110">
        <v>5</v>
      </c>
      <c r="AE232" s="7">
        <v>171</v>
      </c>
      <c r="AF232" s="7">
        <v>30</v>
      </c>
      <c r="AG232" s="110">
        <v>5</v>
      </c>
      <c r="AH232" s="7">
        <v>155</v>
      </c>
      <c r="AI232" s="7">
        <v>20</v>
      </c>
      <c r="AJ232" s="110">
        <v>5</v>
      </c>
      <c r="AK232" s="108">
        <v>338</v>
      </c>
      <c r="AL232" s="108">
        <v>15</v>
      </c>
      <c r="AM232" s="110">
        <v>5</v>
      </c>
      <c r="AN232" s="7">
        <f t="shared" si="44"/>
        <v>1.7967673248401994</v>
      </c>
      <c r="AO232" s="7">
        <f t="shared" si="45"/>
        <v>2.8299074623222529</v>
      </c>
      <c r="AP232" s="7">
        <f t="shared" si="46"/>
        <v>1.8299074623222529</v>
      </c>
      <c r="AQ232" s="7">
        <f t="shared" si="47"/>
        <v>0.26266639475587322</v>
      </c>
      <c r="AR232" s="7">
        <f t="shared" si="48"/>
        <v>-0.26266639475587322</v>
      </c>
      <c r="AS232" s="7">
        <f t="shared" si="49"/>
        <v>5</v>
      </c>
      <c r="AT232" s="184">
        <f t="shared" si="50"/>
        <v>20.666666666666668</v>
      </c>
      <c r="AU232" s="110"/>
      <c r="AV232" s="7"/>
      <c r="AW232" s="7"/>
      <c r="AX232" s="7" t="s">
        <v>2205</v>
      </c>
      <c r="AY232" s="7" t="s">
        <v>1509</v>
      </c>
    </row>
    <row r="233" spans="1:51">
      <c r="A233" s="7" t="s">
        <v>33</v>
      </c>
      <c r="B233" s="7" t="s">
        <v>34</v>
      </c>
      <c r="C233" s="7" t="s">
        <v>282</v>
      </c>
      <c r="D233" s="7" t="s">
        <v>1560</v>
      </c>
      <c r="E233" s="7" t="s">
        <v>1561</v>
      </c>
      <c r="F233" s="7" t="s">
        <v>1562</v>
      </c>
      <c r="G233" s="7" t="s">
        <v>1563</v>
      </c>
      <c r="H233" s="7" t="s">
        <v>4180</v>
      </c>
      <c r="I233" s="100">
        <f>8.99/1000</f>
        <v>8.9899999999999997E-3</v>
      </c>
      <c r="J233" s="100">
        <f t="shared" si="41"/>
        <v>8.99</v>
      </c>
      <c r="K233" s="100">
        <f t="shared" si="42"/>
        <v>0.95375969173322883</v>
      </c>
      <c r="L233" s="73" t="s">
        <v>1502</v>
      </c>
      <c r="M233" s="7" t="s">
        <v>1564</v>
      </c>
      <c r="N233" s="7" t="s">
        <v>1538</v>
      </c>
      <c r="O233" s="7" t="s">
        <v>1505</v>
      </c>
      <c r="P233" s="108" t="s">
        <v>1539</v>
      </c>
      <c r="Q233" s="7" t="s">
        <v>1565</v>
      </c>
      <c r="R233" s="7">
        <v>28</v>
      </c>
      <c r="S233" s="7">
        <f t="shared" si="39"/>
        <v>28</v>
      </c>
      <c r="T233" s="7">
        <v>153</v>
      </c>
      <c r="U233" s="7">
        <v>1</v>
      </c>
      <c r="V233" s="7">
        <v>28</v>
      </c>
      <c r="W233" s="7">
        <f t="shared" si="43"/>
        <v>1.4471580313422192</v>
      </c>
      <c r="X233" s="7" t="s">
        <v>2131</v>
      </c>
      <c r="Y233" s="7" t="s">
        <v>2144</v>
      </c>
      <c r="Z233" s="7">
        <v>14</v>
      </c>
      <c r="AA233" s="7">
        <v>22</v>
      </c>
      <c r="AB233" s="108">
        <v>9.5</v>
      </c>
      <c r="AC233" s="108">
        <v>1</v>
      </c>
      <c r="AD233" s="7">
        <v>15</v>
      </c>
      <c r="AE233" s="7">
        <v>9.5</v>
      </c>
      <c r="AF233" s="7">
        <v>1.2</v>
      </c>
      <c r="AG233" s="7">
        <v>15</v>
      </c>
      <c r="AH233" s="7">
        <v>3.2</v>
      </c>
      <c r="AI233" s="7">
        <v>0.6</v>
      </c>
      <c r="AJ233" s="7">
        <v>15</v>
      </c>
      <c r="AK233" s="108">
        <v>4</v>
      </c>
      <c r="AL233" s="108">
        <v>0.8</v>
      </c>
      <c r="AM233" s="108">
        <v>15</v>
      </c>
      <c r="AN233" s="7">
        <f t="shared" si="44"/>
        <v>1</v>
      </c>
      <c r="AO233" s="7">
        <f t="shared" si="45"/>
        <v>0.33917238285185453</v>
      </c>
      <c r="AP233" s="7">
        <f t="shared" si="46"/>
        <v>0.66082761714814553</v>
      </c>
      <c r="AQ233" s="7">
        <f t="shared" si="47"/>
        <v>-0.17925511429191665</v>
      </c>
      <c r="AR233" s="7">
        <f t="shared" si="48"/>
        <v>0.17925511429191665</v>
      </c>
      <c r="AS233" s="7">
        <f t="shared" si="49"/>
        <v>15</v>
      </c>
      <c r="AT233" s="184">
        <f t="shared" si="50"/>
        <v>1</v>
      </c>
      <c r="AU233" s="108"/>
      <c r="AV233" s="7"/>
      <c r="AW233" s="7"/>
      <c r="AX233" s="7" t="s">
        <v>2206</v>
      </c>
      <c r="AY233" s="7" t="s">
        <v>1509</v>
      </c>
    </row>
    <row r="234" spans="1:51">
      <c r="A234" s="7" t="s">
        <v>33</v>
      </c>
      <c r="B234" s="7" t="s">
        <v>34</v>
      </c>
      <c r="C234" s="7" t="s">
        <v>282</v>
      </c>
      <c r="D234" s="7" t="s">
        <v>1560</v>
      </c>
      <c r="E234" s="7" t="s">
        <v>1561</v>
      </c>
      <c r="F234" s="7" t="s">
        <v>1562</v>
      </c>
      <c r="G234" s="7" t="s">
        <v>1563</v>
      </c>
      <c r="H234" s="7" t="s">
        <v>4180</v>
      </c>
      <c r="I234" s="100">
        <f>8.99/1000</f>
        <v>8.9899999999999997E-3</v>
      </c>
      <c r="J234" s="100">
        <f t="shared" si="41"/>
        <v>8.99</v>
      </c>
      <c r="K234" s="100">
        <f t="shared" si="42"/>
        <v>0.95375969173322883</v>
      </c>
      <c r="L234" s="73" t="s">
        <v>1502</v>
      </c>
      <c r="M234" s="7" t="s">
        <v>1564</v>
      </c>
      <c r="N234" s="7" t="s">
        <v>1538</v>
      </c>
      <c r="O234" s="7" t="s">
        <v>1505</v>
      </c>
      <c r="P234" s="108" t="s">
        <v>1539</v>
      </c>
      <c r="Q234" s="7" t="s">
        <v>1565</v>
      </c>
      <c r="R234" s="7">
        <v>28</v>
      </c>
      <c r="S234" s="7">
        <f t="shared" si="39"/>
        <v>28</v>
      </c>
      <c r="T234" s="7">
        <v>153</v>
      </c>
      <c r="U234" s="7">
        <v>1</v>
      </c>
      <c r="V234" s="7">
        <v>28</v>
      </c>
      <c r="W234" s="7">
        <f t="shared" si="43"/>
        <v>1.4471580313422192</v>
      </c>
      <c r="X234" s="7" t="s">
        <v>2131</v>
      </c>
      <c r="Y234" s="7" t="s">
        <v>2134</v>
      </c>
      <c r="Z234" s="7">
        <v>14</v>
      </c>
      <c r="AA234" s="7">
        <v>22</v>
      </c>
      <c r="AB234" s="108">
        <v>175</v>
      </c>
      <c r="AC234" s="108">
        <v>30</v>
      </c>
      <c r="AD234" s="7">
        <v>15</v>
      </c>
      <c r="AE234" s="7">
        <v>205</v>
      </c>
      <c r="AF234" s="7">
        <v>20</v>
      </c>
      <c r="AG234" s="7">
        <v>15</v>
      </c>
      <c r="AH234" s="7">
        <v>180</v>
      </c>
      <c r="AI234" s="7">
        <v>10</v>
      </c>
      <c r="AJ234" s="7">
        <v>15</v>
      </c>
      <c r="AK234" s="108">
        <v>210</v>
      </c>
      <c r="AL234" s="108">
        <v>25</v>
      </c>
      <c r="AM234" s="108">
        <v>15</v>
      </c>
      <c r="AN234" s="7">
        <f t="shared" si="44"/>
        <v>1.2186942595359307</v>
      </c>
      <c r="AO234" s="7">
        <f t="shared" si="45"/>
        <v>1.2559621672705266</v>
      </c>
      <c r="AP234" s="7">
        <f t="shared" si="46"/>
        <v>0.25596216727052656</v>
      </c>
      <c r="AQ234" s="7">
        <f t="shared" si="47"/>
        <v>-0.5901308134590828</v>
      </c>
      <c r="AR234" s="7">
        <f t="shared" si="48"/>
        <v>0.5901308134590828</v>
      </c>
      <c r="AS234" s="7">
        <f t="shared" si="49"/>
        <v>15</v>
      </c>
      <c r="AT234" s="184">
        <f t="shared" si="50"/>
        <v>25</v>
      </c>
      <c r="AU234" s="108"/>
      <c r="AV234" s="7"/>
      <c r="AW234" s="7"/>
      <c r="AX234" s="7" t="s">
        <v>2207</v>
      </c>
      <c r="AY234" s="7" t="s">
        <v>1509</v>
      </c>
    </row>
    <row r="235" spans="1:51">
      <c r="A235" s="7" t="s">
        <v>33</v>
      </c>
      <c r="B235" s="7" t="s">
        <v>75</v>
      </c>
      <c r="C235" s="7" t="s">
        <v>348</v>
      </c>
      <c r="D235" s="7" t="s">
        <v>622</v>
      </c>
      <c r="E235" s="7" t="s">
        <v>683</v>
      </c>
      <c r="F235" s="7" t="s">
        <v>682</v>
      </c>
      <c r="G235" s="7" t="s">
        <v>2026</v>
      </c>
      <c r="H235" s="7" t="s">
        <v>4181</v>
      </c>
      <c r="I235" s="100">
        <f>AVERAGE(2.82, 3.1, 3.34)/1000</f>
        <v>3.0866666666666664E-3</v>
      </c>
      <c r="J235" s="100">
        <f t="shared" si="41"/>
        <v>3.0866666666666664</v>
      </c>
      <c r="K235" s="100">
        <f t="shared" si="42"/>
        <v>0.48948973196227186</v>
      </c>
      <c r="L235" s="73" t="s">
        <v>1502</v>
      </c>
      <c r="M235" s="7" t="s">
        <v>2027</v>
      </c>
      <c r="N235" s="7" t="s">
        <v>1538</v>
      </c>
      <c r="O235" s="7" t="s">
        <v>1494</v>
      </c>
      <c r="P235" s="108" t="s">
        <v>1492</v>
      </c>
      <c r="Q235" s="7" t="s">
        <v>2028</v>
      </c>
      <c r="R235" s="7">
        <v>36.200000000000003</v>
      </c>
      <c r="S235" s="7">
        <f t="shared" si="39"/>
        <v>36.200000000000003</v>
      </c>
      <c r="T235" s="7">
        <v>86.75</v>
      </c>
      <c r="U235" s="7">
        <v>1</v>
      </c>
      <c r="V235" s="7">
        <v>84</v>
      </c>
      <c r="W235" s="7">
        <f t="shared" si="43"/>
        <v>1.9242792860618816</v>
      </c>
      <c r="X235" s="7" t="s">
        <v>2131</v>
      </c>
      <c r="Y235" s="7" t="s">
        <v>2134</v>
      </c>
      <c r="Z235" s="7">
        <v>8</v>
      </c>
      <c r="AA235" s="7">
        <v>26</v>
      </c>
      <c r="AB235" s="108">
        <v>125</v>
      </c>
      <c r="AC235" s="108">
        <v>7</v>
      </c>
      <c r="AD235" s="7">
        <v>10</v>
      </c>
      <c r="AE235" s="108">
        <v>400</v>
      </c>
      <c r="AF235" s="108">
        <v>23</v>
      </c>
      <c r="AG235" s="108">
        <v>10</v>
      </c>
      <c r="AH235" s="108">
        <v>119</v>
      </c>
      <c r="AI235" s="108">
        <v>6</v>
      </c>
      <c r="AJ235" s="108">
        <v>10</v>
      </c>
      <c r="AK235" s="108">
        <v>410</v>
      </c>
      <c r="AL235" s="108">
        <v>25</v>
      </c>
      <c r="AM235" s="108">
        <v>10</v>
      </c>
      <c r="AN235" s="7">
        <f t="shared" si="44"/>
        <v>1.9082658435786406</v>
      </c>
      <c r="AO235" s="7">
        <f t="shared" si="45"/>
        <v>1.9346240388620262</v>
      </c>
      <c r="AP235" s="7">
        <f t="shared" si="46"/>
        <v>0.93462403886202616</v>
      </c>
      <c r="AQ235" s="7">
        <f t="shared" si="47"/>
        <v>-2.8898628450088497E-2</v>
      </c>
      <c r="AR235" s="7">
        <f t="shared" si="48"/>
        <v>2.8898628450088497E-2</v>
      </c>
      <c r="AS235" s="7">
        <f t="shared" si="49"/>
        <v>10</v>
      </c>
      <c r="AT235" s="184">
        <f t="shared" si="50"/>
        <v>18.333333333333332</v>
      </c>
      <c r="AU235" s="7"/>
      <c r="AV235" s="7"/>
      <c r="AW235" s="7"/>
      <c r="AX235" s="7" t="s">
        <v>2208</v>
      </c>
      <c r="AY235" s="7" t="s">
        <v>1509</v>
      </c>
    </row>
    <row r="236" spans="1:51">
      <c r="A236" s="7" t="s">
        <v>33</v>
      </c>
      <c r="B236" s="7" t="s">
        <v>34</v>
      </c>
      <c r="C236" s="7" t="s">
        <v>66</v>
      </c>
      <c r="D236" s="7" t="s">
        <v>67</v>
      </c>
      <c r="E236" s="7" t="s">
        <v>1743</v>
      </c>
      <c r="F236" s="7" t="s">
        <v>972</v>
      </c>
      <c r="G236" s="7" t="s">
        <v>1744</v>
      </c>
      <c r="H236" s="7" t="s">
        <v>4180</v>
      </c>
      <c r="I236" s="100">
        <f>1/1000</f>
        <v>1E-3</v>
      </c>
      <c r="J236" s="100">
        <f t="shared" si="41"/>
        <v>1</v>
      </c>
      <c r="K236" s="100">
        <f t="shared" si="42"/>
        <v>0</v>
      </c>
      <c r="L236" s="73" t="s">
        <v>1502</v>
      </c>
      <c r="M236" s="7" t="s">
        <v>1745</v>
      </c>
      <c r="N236" s="7" t="s">
        <v>1538</v>
      </c>
      <c r="O236" s="7" t="s">
        <v>1494</v>
      </c>
      <c r="P236" s="108" t="s">
        <v>1492</v>
      </c>
      <c r="Q236" s="7" t="s">
        <v>2209</v>
      </c>
      <c r="R236" s="7">
        <v>34.69</v>
      </c>
      <c r="S236" s="7">
        <f t="shared" si="39"/>
        <v>34.69</v>
      </c>
      <c r="T236" s="7">
        <v>135.5</v>
      </c>
      <c r="U236" s="7">
        <v>1</v>
      </c>
      <c r="V236" s="7">
        <v>60</v>
      </c>
      <c r="W236" s="7">
        <f t="shared" si="43"/>
        <v>1.7781512503836436</v>
      </c>
      <c r="X236" s="7" t="s">
        <v>2131</v>
      </c>
      <c r="Y236" s="7" t="s">
        <v>2210</v>
      </c>
      <c r="Z236" s="7">
        <v>10</v>
      </c>
      <c r="AA236" s="7">
        <v>25</v>
      </c>
      <c r="AB236" s="7">
        <v>2</v>
      </c>
      <c r="AC236" s="7">
        <v>0.3</v>
      </c>
      <c r="AD236" s="7">
        <v>6</v>
      </c>
      <c r="AE236" s="7">
        <v>7</v>
      </c>
      <c r="AF236" s="7">
        <v>0.5</v>
      </c>
      <c r="AG236" s="7">
        <v>6</v>
      </c>
      <c r="AH236" s="7">
        <v>1.5</v>
      </c>
      <c r="AI236" s="7">
        <v>0.3</v>
      </c>
      <c r="AJ236" s="7">
        <v>6</v>
      </c>
      <c r="AK236" s="7">
        <v>5.5</v>
      </c>
      <c r="AL236" s="7">
        <v>0.8</v>
      </c>
      <c r="AM236" s="7">
        <v>6</v>
      </c>
      <c r="AN236" s="7">
        <f t="shared" si="44"/>
        <v>2.3052181460292234</v>
      </c>
      <c r="AO236" s="7">
        <f t="shared" si="45"/>
        <v>1.9628561026349225</v>
      </c>
      <c r="AP236" s="7">
        <f t="shared" si="46"/>
        <v>0.96285610263492249</v>
      </c>
      <c r="AQ236" s="7">
        <f t="shared" si="47"/>
        <v>-1.5987798562252301E-2</v>
      </c>
      <c r="AR236" s="7">
        <f t="shared" si="48"/>
        <v>1.5987798562252301E-2</v>
      </c>
      <c r="AS236" s="7">
        <f t="shared" si="49"/>
        <v>6</v>
      </c>
      <c r="AT236" s="184">
        <f t="shared" si="50"/>
        <v>0.53333333333333333</v>
      </c>
      <c r="AU236" s="7"/>
      <c r="AV236" s="7" t="s">
        <v>2211</v>
      </c>
      <c r="AW236" s="7"/>
      <c r="AX236" s="107" t="s">
        <v>2212</v>
      </c>
      <c r="AY236" s="7" t="s">
        <v>1509</v>
      </c>
    </row>
    <row r="237" spans="1:51">
      <c r="A237" s="7" t="s">
        <v>33</v>
      </c>
      <c r="B237" s="7" t="s">
        <v>34</v>
      </c>
      <c r="C237" s="7" t="s">
        <v>66</v>
      </c>
      <c r="D237" s="7" t="s">
        <v>67</v>
      </c>
      <c r="E237" s="7" t="s">
        <v>1743</v>
      </c>
      <c r="F237" s="7" t="s">
        <v>972</v>
      </c>
      <c r="G237" s="7" t="s">
        <v>1744</v>
      </c>
      <c r="H237" s="7" t="s">
        <v>4180</v>
      </c>
      <c r="I237" s="100">
        <f>1/1000</f>
        <v>1E-3</v>
      </c>
      <c r="J237" s="100">
        <f t="shared" si="41"/>
        <v>1</v>
      </c>
      <c r="K237" s="100">
        <f t="shared" si="42"/>
        <v>0</v>
      </c>
      <c r="L237" s="73" t="s">
        <v>1502</v>
      </c>
      <c r="M237" s="7" t="s">
        <v>1745</v>
      </c>
      <c r="N237" s="7" t="s">
        <v>1538</v>
      </c>
      <c r="O237" s="7" t="s">
        <v>1494</v>
      </c>
      <c r="P237" s="108" t="s">
        <v>1492</v>
      </c>
      <c r="Q237" s="7" t="s">
        <v>2209</v>
      </c>
      <c r="R237" s="7">
        <v>34.69</v>
      </c>
      <c r="S237" s="7">
        <f t="shared" si="39"/>
        <v>34.69</v>
      </c>
      <c r="T237" s="7">
        <v>135.5</v>
      </c>
      <c r="U237" s="7">
        <v>1</v>
      </c>
      <c r="V237" s="7">
        <v>60</v>
      </c>
      <c r="W237" s="7">
        <f t="shared" si="43"/>
        <v>1.7781512503836436</v>
      </c>
      <c r="X237" s="7" t="s">
        <v>2131</v>
      </c>
      <c r="Y237" s="7" t="s">
        <v>2213</v>
      </c>
      <c r="Z237" s="7">
        <v>10</v>
      </c>
      <c r="AA237" s="7">
        <v>25</v>
      </c>
      <c r="AB237" s="7">
        <v>3</v>
      </c>
      <c r="AC237" s="7">
        <v>0.3</v>
      </c>
      <c r="AD237" s="7">
        <v>6</v>
      </c>
      <c r="AE237" s="7">
        <v>10</v>
      </c>
      <c r="AF237" s="7">
        <v>0.4</v>
      </c>
      <c r="AG237" s="7">
        <v>6</v>
      </c>
      <c r="AH237" s="7">
        <v>3.5</v>
      </c>
      <c r="AI237" s="7">
        <v>0.4</v>
      </c>
      <c r="AJ237" s="7">
        <v>6</v>
      </c>
      <c r="AK237" s="7">
        <v>11.5</v>
      </c>
      <c r="AL237" s="7">
        <v>1.4</v>
      </c>
      <c r="AM237" s="7">
        <v>6</v>
      </c>
      <c r="AN237" s="7">
        <f t="shared" si="44"/>
        <v>2.231443166940565</v>
      </c>
      <c r="AO237" s="7">
        <f t="shared" si="45"/>
        <v>2.4493511787085893</v>
      </c>
      <c r="AP237" s="7">
        <f t="shared" si="46"/>
        <v>1.4493511787085893</v>
      </c>
      <c r="AQ237" s="7">
        <f t="shared" si="47"/>
        <v>0.16147317224139834</v>
      </c>
      <c r="AR237" s="7">
        <f t="shared" si="48"/>
        <v>-0.16147317224139834</v>
      </c>
      <c r="AS237" s="7">
        <f t="shared" si="49"/>
        <v>6</v>
      </c>
      <c r="AT237" s="184">
        <f t="shared" si="50"/>
        <v>0.69999999999999984</v>
      </c>
      <c r="AU237" s="7"/>
      <c r="AV237" s="7" t="s">
        <v>2211</v>
      </c>
      <c r="AW237" s="7"/>
      <c r="AX237" s="107" t="s">
        <v>2212</v>
      </c>
      <c r="AY237" s="7" t="s">
        <v>1509</v>
      </c>
    </row>
    <row r="238" spans="1:51">
      <c r="A238" s="7" t="s">
        <v>33</v>
      </c>
      <c r="B238" s="7" t="s">
        <v>34</v>
      </c>
      <c r="C238" s="7" t="s">
        <v>1601</v>
      </c>
      <c r="D238" s="7" t="s">
        <v>1602</v>
      </c>
      <c r="E238" s="7" t="s">
        <v>1603</v>
      </c>
      <c r="F238" s="7" t="s">
        <v>1604</v>
      </c>
      <c r="G238" s="7" t="s">
        <v>1605</v>
      </c>
      <c r="H238" s="7" t="s">
        <v>4180</v>
      </c>
      <c r="I238" s="100">
        <f>(AVERAGE(410, 465, 783, 788, 734, 725, 829, 807))/1000000</f>
        <v>6.9262499999999999E-4</v>
      </c>
      <c r="J238" s="100">
        <f t="shared" si="41"/>
        <v>0.69262499999999994</v>
      </c>
      <c r="K238" s="100">
        <f t="shared" si="42"/>
        <v>-0.15950183683203978</v>
      </c>
      <c r="L238" s="73" t="s">
        <v>1502</v>
      </c>
      <c r="M238" s="7" t="s">
        <v>1606</v>
      </c>
      <c r="N238" s="7" t="s">
        <v>1538</v>
      </c>
      <c r="O238" s="7" t="s">
        <v>1505</v>
      </c>
      <c r="P238" s="108" t="s">
        <v>1539</v>
      </c>
      <c r="Q238" s="7" t="s">
        <v>1607</v>
      </c>
      <c r="R238" s="7">
        <v>48</v>
      </c>
      <c r="S238" s="7">
        <f t="shared" si="39"/>
        <v>48</v>
      </c>
      <c r="T238" s="7">
        <v>69.349999999999994</v>
      </c>
      <c r="U238" s="7">
        <v>1</v>
      </c>
      <c r="V238" s="7">
        <v>77</v>
      </c>
      <c r="W238" s="7">
        <f t="shared" si="43"/>
        <v>1.8864907251724818</v>
      </c>
      <c r="X238" s="7" t="s">
        <v>2131</v>
      </c>
      <c r="Y238" s="7" t="s">
        <v>1711</v>
      </c>
      <c r="Z238" s="7">
        <v>8</v>
      </c>
      <c r="AA238" s="7">
        <v>23</v>
      </c>
      <c r="AB238" s="7">
        <v>46</v>
      </c>
      <c r="AC238" s="7">
        <v>9.4491118252306805</v>
      </c>
      <c r="AD238" s="7">
        <v>7</v>
      </c>
      <c r="AE238" s="7">
        <v>70</v>
      </c>
      <c r="AF238" s="7">
        <v>9.4491118252306805</v>
      </c>
      <c r="AG238" s="7">
        <v>7</v>
      </c>
      <c r="AH238" s="7">
        <v>23</v>
      </c>
      <c r="AI238" s="7">
        <v>1.8898223650461361</v>
      </c>
      <c r="AJ238" s="7">
        <v>7</v>
      </c>
      <c r="AK238" s="108">
        <v>38</v>
      </c>
      <c r="AL238" s="108">
        <v>3.0237157840738176</v>
      </c>
      <c r="AM238" s="7">
        <v>7</v>
      </c>
      <c r="AN238" s="7">
        <f t="shared" si="44"/>
        <v>1.3230008977537384</v>
      </c>
      <c r="AO238" s="7">
        <f t="shared" si="45"/>
        <v>0.88040772245192522</v>
      </c>
      <c r="AP238" s="7">
        <f t="shared" si="46"/>
        <v>0.11959227754807478</v>
      </c>
      <c r="AQ238" s="7">
        <f t="shared" si="47"/>
        <v>-0.91868050252456568</v>
      </c>
      <c r="AR238" s="7">
        <f t="shared" si="48"/>
        <v>0.91868050252456568</v>
      </c>
      <c r="AS238" s="7">
        <f t="shared" si="49"/>
        <v>7</v>
      </c>
      <c r="AT238" s="184">
        <f t="shared" si="50"/>
        <v>7.3073131448450601</v>
      </c>
      <c r="AU238" s="7"/>
      <c r="AV238" s="7" t="s">
        <v>1608</v>
      </c>
      <c r="AW238" s="7"/>
      <c r="AX238" s="7" t="s">
        <v>2214</v>
      </c>
      <c r="AY238" s="7" t="s">
        <v>1509</v>
      </c>
    </row>
    <row r="239" spans="1:51">
      <c r="A239" s="7" t="s">
        <v>33</v>
      </c>
      <c r="B239" s="7" t="s">
        <v>34</v>
      </c>
      <c r="C239" s="7" t="s">
        <v>1601</v>
      </c>
      <c r="D239" s="7" t="s">
        <v>1602</v>
      </c>
      <c r="E239" s="7" t="s">
        <v>1603</v>
      </c>
      <c r="F239" s="7" t="s">
        <v>1604</v>
      </c>
      <c r="G239" s="7" t="s">
        <v>1605</v>
      </c>
      <c r="H239" s="7" t="s">
        <v>4180</v>
      </c>
      <c r="I239" s="100">
        <f>(AVERAGE(410, 465, 783, 788, 734, 725, 829, 807))/1000000</f>
        <v>6.9262499999999999E-4</v>
      </c>
      <c r="J239" s="100">
        <f t="shared" si="41"/>
        <v>0.69262499999999994</v>
      </c>
      <c r="K239" s="100">
        <f t="shared" si="42"/>
        <v>-0.15950183683203978</v>
      </c>
      <c r="L239" s="73" t="s">
        <v>1502</v>
      </c>
      <c r="M239" s="7" t="s">
        <v>1606</v>
      </c>
      <c r="N239" s="7" t="s">
        <v>1538</v>
      </c>
      <c r="O239" s="7" t="s">
        <v>1505</v>
      </c>
      <c r="P239" s="108" t="s">
        <v>1539</v>
      </c>
      <c r="Q239" s="7" t="s">
        <v>1607</v>
      </c>
      <c r="R239" s="7">
        <v>48</v>
      </c>
      <c r="S239" s="7">
        <f t="shared" si="39"/>
        <v>48</v>
      </c>
      <c r="T239" s="7">
        <v>69.349999999999994</v>
      </c>
      <c r="U239" s="7">
        <v>1</v>
      </c>
      <c r="V239" s="7">
        <v>77</v>
      </c>
      <c r="W239" s="7">
        <f t="shared" si="43"/>
        <v>1.8864907251724818</v>
      </c>
      <c r="X239" s="7" t="s">
        <v>2131</v>
      </c>
      <c r="Y239" s="7" t="s">
        <v>1723</v>
      </c>
      <c r="Z239" s="7">
        <v>8</v>
      </c>
      <c r="AA239" s="7">
        <v>23</v>
      </c>
      <c r="AB239" s="7">
        <v>125</v>
      </c>
      <c r="AC239" s="7">
        <v>15.118578920369089</v>
      </c>
      <c r="AD239" s="7">
        <v>7</v>
      </c>
      <c r="AE239" s="7">
        <v>225</v>
      </c>
      <c r="AF239" s="7">
        <v>22.677868380553633</v>
      </c>
      <c r="AG239" s="7">
        <v>7</v>
      </c>
      <c r="AH239" s="7">
        <v>90</v>
      </c>
      <c r="AI239" s="7">
        <v>11.338934190276817</v>
      </c>
      <c r="AJ239" s="7">
        <v>7</v>
      </c>
      <c r="AK239" s="108">
        <v>160</v>
      </c>
      <c r="AL239" s="108">
        <v>18.898223650461361</v>
      </c>
      <c r="AM239" s="7">
        <v>7</v>
      </c>
      <c r="AN239" s="7">
        <f t="shared" si="44"/>
        <v>1.4797272445982821</v>
      </c>
      <c r="AO239" s="7">
        <f t="shared" si="45"/>
        <v>1.1788900795649238</v>
      </c>
      <c r="AP239" s="7">
        <f t="shared" si="46"/>
        <v>0.17889007956492375</v>
      </c>
      <c r="AQ239" s="7">
        <f t="shared" si="47"/>
        <v>-0.74499278612085973</v>
      </c>
      <c r="AR239" s="7">
        <f t="shared" si="48"/>
        <v>0.74499278612085973</v>
      </c>
      <c r="AS239" s="7">
        <f t="shared" si="49"/>
        <v>7</v>
      </c>
      <c r="AT239" s="184">
        <f t="shared" si="50"/>
        <v>18.898223650461361</v>
      </c>
      <c r="AU239" s="7"/>
      <c r="AV239" s="7" t="s">
        <v>1608</v>
      </c>
      <c r="AW239" s="7"/>
      <c r="AX239" s="7" t="s">
        <v>2215</v>
      </c>
      <c r="AY239" s="7" t="s">
        <v>1509</v>
      </c>
    </row>
    <row r="240" spans="1:51">
      <c r="A240" s="7" t="s">
        <v>33</v>
      </c>
      <c r="B240" s="7" t="s">
        <v>34</v>
      </c>
      <c r="C240" s="7" t="s">
        <v>1601</v>
      </c>
      <c r="D240" s="7" t="s">
        <v>1602</v>
      </c>
      <c r="E240" s="7" t="s">
        <v>1603</v>
      </c>
      <c r="F240" s="7" t="s">
        <v>1604</v>
      </c>
      <c r="G240" s="7" t="s">
        <v>1605</v>
      </c>
      <c r="H240" s="7" t="s">
        <v>4180</v>
      </c>
      <c r="I240" s="100">
        <f>(AVERAGE(410, 465, 783, 788, 734, 725, 829, 807))/1000000</f>
        <v>6.9262499999999999E-4</v>
      </c>
      <c r="J240" s="100">
        <f t="shared" si="41"/>
        <v>0.69262499999999994</v>
      </c>
      <c r="K240" s="100">
        <f t="shared" si="42"/>
        <v>-0.15950183683203978</v>
      </c>
      <c r="L240" s="73" t="s">
        <v>1502</v>
      </c>
      <c r="M240" s="7" t="s">
        <v>1606</v>
      </c>
      <c r="N240" s="7" t="s">
        <v>1538</v>
      </c>
      <c r="O240" s="7" t="s">
        <v>1505</v>
      </c>
      <c r="P240" s="108" t="s">
        <v>1539</v>
      </c>
      <c r="Q240" s="7" t="s">
        <v>1607</v>
      </c>
      <c r="R240" s="7">
        <v>48</v>
      </c>
      <c r="S240" s="7">
        <f t="shared" si="39"/>
        <v>48</v>
      </c>
      <c r="T240" s="7">
        <v>69.349999999999994</v>
      </c>
      <c r="U240" s="7">
        <v>1</v>
      </c>
      <c r="V240" s="7">
        <v>77</v>
      </c>
      <c r="W240" s="7">
        <f t="shared" si="43"/>
        <v>1.8864907251724818</v>
      </c>
      <c r="X240" s="7" t="s">
        <v>2131</v>
      </c>
      <c r="Y240" s="7" t="s">
        <v>1723</v>
      </c>
      <c r="Z240" s="7">
        <v>8</v>
      </c>
      <c r="AA240" s="7">
        <v>23</v>
      </c>
      <c r="AB240" s="7">
        <v>107.3</v>
      </c>
      <c r="AC240" s="7">
        <v>10.729999999999999</v>
      </c>
      <c r="AD240" s="7">
        <v>10</v>
      </c>
      <c r="AE240" s="7">
        <v>191.4</v>
      </c>
      <c r="AF240" s="7">
        <v>13.50292560891898</v>
      </c>
      <c r="AG240" s="7">
        <v>10</v>
      </c>
      <c r="AH240" s="7">
        <v>146.69999999999999</v>
      </c>
      <c r="AI240" s="7">
        <v>29.377559462964243</v>
      </c>
      <c r="AJ240" s="7">
        <v>10</v>
      </c>
      <c r="AK240" s="108">
        <v>220.2</v>
      </c>
      <c r="AL240" s="108">
        <v>36.113210879122889</v>
      </c>
      <c r="AM240" s="7">
        <v>10</v>
      </c>
      <c r="AN240" s="7">
        <f t="shared" si="44"/>
        <v>1.4708265959468774</v>
      </c>
      <c r="AO240" s="7">
        <f t="shared" si="45"/>
        <v>1.614897870241786</v>
      </c>
      <c r="AP240" s="7">
        <f t="shared" si="46"/>
        <v>0.61489787024178599</v>
      </c>
      <c r="AQ240" s="7">
        <f t="shared" si="47"/>
        <v>-0.21049129768574723</v>
      </c>
      <c r="AR240" s="7">
        <f t="shared" si="48"/>
        <v>0.21049129768574723</v>
      </c>
      <c r="AS240" s="7">
        <f t="shared" si="49"/>
        <v>10</v>
      </c>
      <c r="AT240" s="184">
        <f t="shared" si="50"/>
        <v>20.115378829347289</v>
      </c>
      <c r="AU240" s="7"/>
      <c r="AV240" s="7" t="s">
        <v>1608</v>
      </c>
      <c r="AW240" s="7"/>
      <c r="AX240" s="7" t="s">
        <v>2216</v>
      </c>
      <c r="AY240" s="7" t="s">
        <v>1509</v>
      </c>
    </row>
    <row r="241" spans="1:51">
      <c r="A241" s="7" t="s">
        <v>33</v>
      </c>
      <c r="B241" s="7" t="s">
        <v>34</v>
      </c>
      <c r="C241" s="7" t="s">
        <v>1601</v>
      </c>
      <c r="D241" s="7" t="s">
        <v>1602</v>
      </c>
      <c r="E241" s="7" t="s">
        <v>1603</v>
      </c>
      <c r="F241" s="7" t="s">
        <v>1604</v>
      </c>
      <c r="G241" s="7" t="s">
        <v>1605</v>
      </c>
      <c r="H241" s="7" t="s">
        <v>4180</v>
      </c>
      <c r="I241" s="100">
        <f>(AVERAGE(410, 465, 783, 788, 734, 725, 829, 807))/1000000</f>
        <v>6.9262499999999999E-4</v>
      </c>
      <c r="J241" s="100">
        <f t="shared" si="41"/>
        <v>0.69262499999999994</v>
      </c>
      <c r="K241" s="100">
        <f t="shared" si="42"/>
        <v>-0.15950183683203978</v>
      </c>
      <c r="L241" s="73" t="s">
        <v>1502</v>
      </c>
      <c r="M241" s="7" t="s">
        <v>1606</v>
      </c>
      <c r="N241" s="7" t="s">
        <v>1538</v>
      </c>
      <c r="O241" s="7" t="s">
        <v>1505</v>
      </c>
      <c r="P241" s="108" t="s">
        <v>1539</v>
      </c>
      <c r="Q241" s="7" t="s">
        <v>1607</v>
      </c>
      <c r="R241" s="7">
        <v>48</v>
      </c>
      <c r="S241" s="7">
        <f t="shared" si="39"/>
        <v>48</v>
      </c>
      <c r="T241" s="7">
        <v>69.349999999999994</v>
      </c>
      <c r="U241" s="7">
        <v>1</v>
      </c>
      <c r="V241" s="7">
        <v>77</v>
      </c>
      <c r="W241" s="7">
        <f t="shared" si="43"/>
        <v>1.8864907251724818</v>
      </c>
      <c r="X241" s="7" t="s">
        <v>2131</v>
      </c>
      <c r="Y241" s="7" t="s">
        <v>1711</v>
      </c>
      <c r="Z241" s="7">
        <v>8</v>
      </c>
      <c r="AA241" s="7">
        <v>23</v>
      </c>
      <c r="AB241" s="7">
        <v>23.3</v>
      </c>
      <c r="AC241" s="7">
        <v>2.33</v>
      </c>
      <c r="AD241" s="7">
        <v>10</v>
      </c>
      <c r="AE241" s="7">
        <v>41.8</v>
      </c>
      <c r="AF241" s="7">
        <v>0.57553453415064504</v>
      </c>
      <c r="AG241" s="7">
        <v>10</v>
      </c>
      <c r="AH241" s="7">
        <v>24.9</v>
      </c>
      <c r="AI241" s="7">
        <v>2.7828043409481737</v>
      </c>
      <c r="AJ241" s="7">
        <v>10</v>
      </c>
      <c r="AK241" s="108">
        <v>44.3</v>
      </c>
      <c r="AL241" s="108">
        <v>4.5220570540407827</v>
      </c>
      <c r="AM241" s="7">
        <v>10</v>
      </c>
      <c r="AN241" s="7">
        <f t="shared" si="44"/>
        <v>1.4764324227875147</v>
      </c>
      <c r="AO241" s="7">
        <f t="shared" si="45"/>
        <v>1.5347296027874886</v>
      </c>
      <c r="AP241" s="7">
        <f t="shared" si="46"/>
        <v>0.5347296027874886</v>
      </c>
      <c r="AQ241" s="7">
        <f t="shared" si="47"/>
        <v>-0.27105435517269233</v>
      </c>
      <c r="AR241" s="7">
        <f t="shared" si="48"/>
        <v>0.27105435517269233</v>
      </c>
      <c r="AS241" s="7">
        <f t="shared" si="49"/>
        <v>10</v>
      </c>
      <c r="AT241" s="184">
        <f t="shared" si="50"/>
        <v>2.4758638627304759</v>
      </c>
      <c r="AU241" s="7"/>
      <c r="AV241" s="7" t="s">
        <v>1608</v>
      </c>
      <c r="AW241" s="7"/>
      <c r="AX241" s="7" t="s">
        <v>1606</v>
      </c>
      <c r="AY241" s="7" t="s">
        <v>1509</v>
      </c>
    </row>
    <row r="242" spans="1:51">
      <c r="A242" s="7" t="s">
        <v>33</v>
      </c>
      <c r="B242" s="7" t="s">
        <v>75</v>
      </c>
      <c r="C242" s="7" t="s">
        <v>76</v>
      </c>
      <c r="D242" s="7" t="s">
        <v>721</v>
      </c>
      <c r="E242" s="7" t="s">
        <v>752</v>
      </c>
      <c r="F242" s="7" t="s">
        <v>755</v>
      </c>
      <c r="G242" s="7" t="s">
        <v>1570</v>
      </c>
      <c r="H242" s="7" t="s">
        <v>4181</v>
      </c>
      <c r="I242" s="100">
        <f>AVERAGE(0.18,0.36)/1000</f>
        <v>2.7E-4</v>
      </c>
      <c r="J242" s="100">
        <f t="shared" si="41"/>
        <v>0.27</v>
      </c>
      <c r="K242" s="100">
        <f t="shared" si="42"/>
        <v>-0.56863623584101264</v>
      </c>
      <c r="L242" s="73" t="s">
        <v>1502</v>
      </c>
      <c r="M242" s="7" t="s">
        <v>2098</v>
      </c>
      <c r="N242" s="7" t="s">
        <v>1538</v>
      </c>
      <c r="O242" s="7" t="s">
        <v>1505</v>
      </c>
      <c r="P242" s="108" t="s">
        <v>1539</v>
      </c>
      <c r="Q242" s="7" t="s">
        <v>1572</v>
      </c>
      <c r="R242" s="7">
        <v>33.85</v>
      </c>
      <c r="S242" s="7">
        <f t="shared" si="39"/>
        <v>33.85</v>
      </c>
      <c r="T242" s="7">
        <v>151.19999999999999</v>
      </c>
      <c r="U242" s="7">
        <v>1</v>
      </c>
      <c r="V242" s="7">
        <v>42</v>
      </c>
      <c r="W242" s="7">
        <f t="shared" si="43"/>
        <v>1.6232492903979006</v>
      </c>
      <c r="X242" s="7" t="s">
        <v>2131</v>
      </c>
      <c r="Y242" s="7" t="s">
        <v>2134</v>
      </c>
      <c r="Z242" s="7">
        <v>10</v>
      </c>
      <c r="AA242" s="7">
        <v>20</v>
      </c>
      <c r="AB242" s="108">
        <v>27</v>
      </c>
      <c r="AC242" s="108">
        <v>1</v>
      </c>
      <c r="AD242" s="7">
        <v>8</v>
      </c>
      <c r="AE242" s="7">
        <v>39.5</v>
      </c>
      <c r="AF242" s="7">
        <v>1.5</v>
      </c>
      <c r="AG242" s="7">
        <v>8</v>
      </c>
      <c r="AH242" s="7">
        <v>5</v>
      </c>
      <c r="AI242" s="7">
        <v>0.5</v>
      </c>
      <c r="AJ242" s="7">
        <v>8</v>
      </c>
      <c r="AK242" s="108">
        <v>8</v>
      </c>
      <c r="AL242" s="108">
        <v>1</v>
      </c>
      <c r="AM242" s="108">
        <v>8</v>
      </c>
      <c r="AN242" s="7">
        <f t="shared" si="44"/>
        <v>1.462962962962963</v>
      </c>
      <c r="AO242" s="7">
        <f t="shared" si="45"/>
        <v>0.29629629629629628</v>
      </c>
      <c r="AP242" s="7">
        <f t="shared" si="46"/>
        <v>0.70370370370370372</v>
      </c>
      <c r="AQ242" s="7">
        <f t="shared" si="47"/>
        <v>-0.1519934459798791</v>
      </c>
      <c r="AR242" s="7">
        <f t="shared" si="48"/>
        <v>0.1519934459798791</v>
      </c>
      <c r="AS242" s="7">
        <f t="shared" si="49"/>
        <v>8</v>
      </c>
      <c r="AT242" s="184">
        <f t="shared" si="50"/>
        <v>1.1666666666666667</v>
      </c>
      <c r="AU242" s="108"/>
      <c r="AV242" s="7"/>
      <c r="AW242" s="7"/>
      <c r="AX242" s="7" t="s">
        <v>2217</v>
      </c>
      <c r="AY242" s="7" t="s">
        <v>1509</v>
      </c>
    </row>
    <row r="243" spans="1:51">
      <c r="A243" s="7" t="s">
        <v>33</v>
      </c>
      <c r="B243" s="7" t="s">
        <v>75</v>
      </c>
      <c r="C243" s="7" t="s">
        <v>76</v>
      </c>
      <c r="D243" s="7" t="s">
        <v>721</v>
      </c>
      <c r="E243" s="7" t="s">
        <v>752</v>
      </c>
      <c r="F243" s="7" t="s">
        <v>755</v>
      </c>
      <c r="G243" s="7" t="s">
        <v>1570</v>
      </c>
      <c r="H243" s="7" t="s">
        <v>4181</v>
      </c>
      <c r="I243" s="100">
        <f>6.75/1000</f>
        <v>6.7499999999999999E-3</v>
      </c>
      <c r="J243" s="100">
        <f t="shared" si="41"/>
        <v>6.75</v>
      </c>
      <c r="K243" s="100">
        <f t="shared" si="42"/>
        <v>0.82930377283102497</v>
      </c>
      <c r="L243" s="73" t="s">
        <v>1517</v>
      </c>
      <c r="M243" s="7" t="s">
        <v>1571</v>
      </c>
      <c r="N243" s="110" t="s">
        <v>1538</v>
      </c>
      <c r="O243" s="110" t="s">
        <v>1505</v>
      </c>
      <c r="P243" s="108" t="s">
        <v>1492</v>
      </c>
      <c r="Q243" s="110" t="s">
        <v>1572</v>
      </c>
      <c r="R243" s="110">
        <v>33.85</v>
      </c>
      <c r="S243" s="7">
        <f t="shared" si="39"/>
        <v>33.85</v>
      </c>
      <c r="T243" s="110">
        <v>151.19999999999999</v>
      </c>
      <c r="U243" s="7">
        <v>1</v>
      </c>
      <c r="V243" s="7">
        <v>56</v>
      </c>
      <c r="W243" s="7">
        <f t="shared" si="43"/>
        <v>1.7481880270062005</v>
      </c>
      <c r="X243" s="7" t="s">
        <v>2218</v>
      </c>
      <c r="Y243" s="7"/>
      <c r="Z243" s="7">
        <v>18</v>
      </c>
      <c r="AA243" s="7">
        <v>30</v>
      </c>
      <c r="AB243" s="108">
        <v>48</v>
      </c>
      <c r="AC243" s="108">
        <v>2.5</v>
      </c>
      <c r="AD243" s="110">
        <v>12</v>
      </c>
      <c r="AE243" s="7">
        <v>63</v>
      </c>
      <c r="AF243" s="7">
        <v>3</v>
      </c>
      <c r="AG243" s="110">
        <v>12</v>
      </c>
      <c r="AH243" s="7">
        <v>45</v>
      </c>
      <c r="AI243" s="7">
        <v>1</v>
      </c>
      <c r="AJ243" s="110">
        <v>12</v>
      </c>
      <c r="AK243" s="7">
        <v>70</v>
      </c>
      <c r="AL243" s="7">
        <v>2</v>
      </c>
      <c r="AM243" s="110">
        <v>12</v>
      </c>
      <c r="AN243" s="7">
        <f t="shared" si="44"/>
        <v>1.2543423728777592</v>
      </c>
      <c r="AO243" s="7">
        <f t="shared" si="45"/>
        <v>1.3694536426119099</v>
      </c>
      <c r="AP243" s="7">
        <f t="shared" si="46"/>
        <v>0.36945364261190994</v>
      </c>
      <c r="AQ243" s="7">
        <f t="shared" si="47"/>
        <v>-0.431266130511819</v>
      </c>
      <c r="AR243" s="7">
        <f t="shared" si="48"/>
        <v>0.431266130511819</v>
      </c>
      <c r="AS243" s="7">
        <f t="shared" si="49"/>
        <v>12</v>
      </c>
      <c r="AT243" s="184">
        <f t="shared" si="50"/>
        <v>2.5</v>
      </c>
      <c r="AU243" s="110"/>
      <c r="AV243" s="7" t="s">
        <v>2219</v>
      </c>
      <c r="AW243" s="7"/>
      <c r="AX243" s="7" t="s">
        <v>2220</v>
      </c>
      <c r="AY243" s="7" t="s">
        <v>1509</v>
      </c>
    </row>
    <row r="244" spans="1:51">
      <c r="A244" s="7" t="s">
        <v>23</v>
      </c>
      <c r="B244" s="7" t="s">
        <v>24</v>
      </c>
      <c r="C244" s="7" t="s">
        <v>1644</v>
      </c>
      <c r="D244" s="7" t="s">
        <v>1645</v>
      </c>
      <c r="E244" s="7" t="s">
        <v>1646</v>
      </c>
      <c r="F244" s="7" t="s">
        <v>1647</v>
      </c>
      <c r="G244" s="7" t="s">
        <v>1648</v>
      </c>
      <c r="H244" s="7" t="s">
        <v>4185</v>
      </c>
      <c r="I244" s="100">
        <f>322/1000000</f>
        <v>3.2200000000000002E-4</v>
      </c>
      <c r="J244" s="100">
        <f t="shared" si="41"/>
        <v>0.32200000000000001</v>
      </c>
      <c r="K244" s="100">
        <f t="shared" si="42"/>
        <v>-0.49214412830416909</v>
      </c>
      <c r="L244" s="73" t="s">
        <v>1517</v>
      </c>
      <c r="M244" s="7" t="s">
        <v>1649</v>
      </c>
      <c r="N244" s="7" t="s">
        <v>1640</v>
      </c>
      <c r="O244" s="7" t="s">
        <v>1494</v>
      </c>
      <c r="P244" s="108" t="s">
        <v>1492</v>
      </c>
      <c r="Q244" s="7" t="s">
        <v>1650</v>
      </c>
      <c r="R244" s="7">
        <v>29.9</v>
      </c>
      <c r="S244" s="7">
        <f t="shared" si="39"/>
        <v>29.9</v>
      </c>
      <c r="T244" s="7">
        <v>31.05</v>
      </c>
      <c r="U244" s="7">
        <v>1</v>
      </c>
      <c r="V244" s="7">
        <v>8</v>
      </c>
      <c r="W244" s="7">
        <f t="shared" si="43"/>
        <v>0.90308998699194354</v>
      </c>
      <c r="X244" s="7" t="s">
        <v>2218</v>
      </c>
      <c r="Y244" s="7" t="s">
        <v>1778</v>
      </c>
      <c r="Z244" s="7">
        <v>25</v>
      </c>
      <c r="AA244" s="7">
        <v>33</v>
      </c>
      <c r="AB244" s="108">
        <v>138</v>
      </c>
      <c r="AC244" s="108">
        <v>15.38</v>
      </c>
      <c r="AD244" s="108">
        <v>12</v>
      </c>
      <c r="AE244" s="108">
        <v>115</v>
      </c>
      <c r="AF244" s="108">
        <v>15.38</v>
      </c>
      <c r="AG244" s="108">
        <v>12</v>
      </c>
      <c r="AH244" s="108">
        <v>100</v>
      </c>
      <c r="AI244" s="108">
        <v>13.64</v>
      </c>
      <c r="AJ244" s="7">
        <v>12</v>
      </c>
      <c r="AK244" s="108">
        <v>106</v>
      </c>
      <c r="AL244" s="108">
        <v>13.64</v>
      </c>
      <c r="AM244" s="108">
        <v>12</v>
      </c>
      <c r="AN244" s="7">
        <f t="shared" si="44"/>
        <v>0.79620232683697234</v>
      </c>
      <c r="AO244" s="7">
        <f t="shared" si="45"/>
        <v>0.71909037136383502</v>
      </c>
      <c r="AP244" s="7">
        <f t="shared" si="46"/>
        <v>0.28090962863616498</v>
      </c>
      <c r="AQ244" s="7">
        <f t="shared" si="47"/>
        <v>-0.5498900905273284</v>
      </c>
      <c r="AR244" s="7">
        <f t="shared" si="48"/>
        <v>0.5498900905273284</v>
      </c>
      <c r="AS244" s="7">
        <f t="shared" si="49"/>
        <v>12</v>
      </c>
      <c r="AT244" s="184">
        <f t="shared" si="50"/>
        <v>14.800000000000002</v>
      </c>
      <c r="AU244" s="108"/>
      <c r="AV244" s="7" t="s">
        <v>2221</v>
      </c>
      <c r="AW244" s="7"/>
      <c r="AX244" s="7" t="s">
        <v>2222</v>
      </c>
      <c r="AY244" s="7" t="s">
        <v>1509</v>
      </c>
    </row>
    <row r="245" spans="1:51">
      <c r="A245" s="7" t="s">
        <v>33</v>
      </c>
      <c r="B245" s="7" t="s">
        <v>34</v>
      </c>
      <c r="C245" s="7" t="s">
        <v>282</v>
      </c>
      <c r="D245" s="7" t="s">
        <v>1840</v>
      </c>
      <c r="E245" s="7" t="s">
        <v>1841</v>
      </c>
      <c r="F245" s="7" t="s">
        <v>1842</v>
      </c>
      <c r="G245" s="7" t="s">
        <v>1843</v>
      </c>
      <c r="H245" s="7" t="s">
        <v>4180</v>
      </c>
      <c r="I245" s="100">
        <f>42.8/1000</f>
        <v>4.2799999999999998E-2</v>
      </c>
      <c r="J245" s="100">
        <f t="shared" si="41"/>
        <v>42.8</v>
      </c>
      <c r="K245" s="100">
        <f t="shared" si="42"/>
        <v>1.631443769013172</v>
      </c>
      <c r="L245" s="73" t="s">
        <v>1502</v>
      </c>
      <c r="M245" s="7" t="s">
        <v>2223</v>
      </c>
      <c r="N245" s="7" t="s">
        <v>1504</v>
      </c>
      <c r="O245" s="7" t="s">
        <v>1505</v>
      </c>
      <c r="P245" s="108" t="s">
        <v>1492</v>
      </c>
      <c r="Q245" s="7" t="s">
        <v>1519</v>
      </c>
      <c r="R245" s="7">
        <v>54.15</v>
      </c>
      <c r="S245" s="7">
        <f t="shared" si="39"/>
        <v>54.15</v>
      </c>
      <c r="T245" s="7">
        <v>7.9</v>
      </c>
      <c r="U245" s="7">
        <v>1</v>
      </c>
      <c r="V245" s="7">
        <v>300</v>
      </c>
      <c r="W245" s="7">
        <f t="shared" si="43"/>
        <v>2.4771212547196626</v>
      </c>
      <c r="X245" s="7" t="s">
        <v>2224</v>
      </c>
      <c r="Y245" s="7" t="s">
        <v>2144</v>
      </c>
      <c r="Z245" s="7">
        <v>5</v>
      </c>
      <c r="AA245" s="7">
        <v>10</v>
      </c>
      <c r="AB245" s="108">
        <v>4.4999999999999998E-2</v>
      </c>
      <c r="AC245" s="108">
        <v>0.01</v>
      </c>
      <c r="AD245" s="108">
        <v>4</v>
      </c>
      <c r="AE245" s="108">
        <v>0.09</v>
      </c>
      <c r="AF245" s="108">
        <v>0.03</v>
      </c>
      <c r="AG245" s="108">
        <v>4</v>
      </c>
      <c r="AH245" s="108">
        <v>0.04</v>
      </c>
      <c r="AI245" s="108">
        <v>0.01</v>
      </c>
      <c r="AJ245" s="7">
        <v>5</v>
      </c>
      <c r="AK245" s="108">
        <v>0.06</v>
      </c>
      <c r="AL245" s="108">
        <v>0.01</v>
      </c>
      <c r="AM245" s="108">
        <v>5</v>
      </c>
      <c r="AN245" s="7">
        <f t="shared" si="44"/>
        <v>4</v>
      </c>
      <c r="AO245" s="7">
        <f t="shared" si="45"/>
        <v>1.7777777777777777</v>
      </c>
      <c r="AP245" s="7">
        <f t="shared" si="46"/>
        <v>0.77777777777777768</v>
      </c>
      <c r="AQ245" s="7">
        <f t="shared" si="47"/>
        <v>-0.1085864494557806</v>
      </c>
      <c r="AR245" s="7">
        <f t="shared" si="48"/>
        <v>0.1085864494557806</v>
      </c>
      <c r="AS245" s="7">
        <f t="shared" si="49"/>
        <v>4.333333333333333</v>
      </c>
      <c r="AT245" s="184">
        <f t="shared" si="50"/>
        <v>1.6666666666666666E-2</v>
      </c>
      <c r="AU245" s="108"/>
      <c r="AV245" s="7" t="s">
        <v>2225</v>
      </c>
      <c r="AW245" s="7"/>
      <c r="AX245" s="7" t="s">
        <v>2226</v>
      </c>
      <c r="AY245" s="7" t="s">
        <v>1509</v>
      </c>
    </row>
    <row r="246" spans="1:51">
      <c r="A246" s="7" t="s">
        <v>33</v>
      </c>
      <c r="B246" s="7" t="s">
        <v>75</v>
      </c>
      <c r="C246" s="7" t="s">
        <v>76</v>
      </c>
      <c r="D246" s="7" t="s">
        <v>389</v>
      </c>
      <c r="E246" s="7" t="s">
        <v>405</v>
      </c>
      <c r="F246" s="7" t="s">
        <v>406</v>
      </c>
      <c r="G246" s="7" t="s">
        <v>2166</v>
      </c>
      <c r="H246" s="7" t="s">
        <v>4181</v>
      </c>
      <c r="I246" s="100">
        <f>101/1000</f>
        <v>0.10100000000000001</v>
      </c>
      <c r="J246" s="100">
        <f t="shared" si="41"/>
        <v>101</v>
      </c>
      <c r="K246" s="100">
        <f t="shared" si="42"/>
        <v>2.0043213737826426</v>
      </c>
      <c r="L246" s="73" t="s">
        <v>1517</v>
      </c>
      <c r="M246" s="107" t="s">
        <v>1821</v>
      </c>
      <c r="N246" s="7" t="s">
        <v>1640</v>
      </c>
      <c r="O246" s="7" t="s">
        <v>1505</v>
      </c>
      <c r="P246" s="108" t="s">
        <v>1492</v>
      </c>
      <c r="Q246" s="7" t="s">
        <v>2167</v>
      </c>
      <c r="R246" s="7">
        <v>27.45</v>
      </c>
      <c r="S246" s="7">
        <f t="shared" si="39"/>
        <v>27.45</v>
      </c>
      <c r="T246" s="7">
        <v>153.35</v>
      </c>
      <c r="U246" s="7">
        <v>1</v>
      </c>
      <c r="V246" s="7">
        <v>28</v>
      </c>
      <c r="W246" s="7">
        <f t="shared" si="43"/>
        <v>1.4471580313422192</v>
      </c>
      <c r="X246" s="7" t="s">
        <v>1264</v>
      </c>
      <c r="Y246" s="7" t="s">
        <v>1781</v>
      </c>
      <c r="Z246" s="7">
        <v>20</v>
      </c>
      <c r="AA246" s="7">
        <v>30</v>
      </c>
      <c r="AB246" s="108">
        <v>19.78</v>
      </c>
      <c r="AC246" s="108">
        <v>1.1399999999999999</v>
      </c>
      <c r="AD246" s="7">
        <v>8</v>
      </c>
      <c r="AE246" s="7">
        <v>29.6</v>
      </c>
      <c r="AF246" s="7">
        <v>2.36</v>
      </c>
      <c r="AG246" s="7">
        <v>8</v>
      </c>
      <c r="AH246" s="7">
        <v>15.67</v>
      </c>
      <c r="AI246" s="7">
        <v>1</v>
      </c>
      <c r="AJ246" s="7">
        <v>8</v>
      </c>
      <c r="AK246" s="108">
        <v>23.75</v>
      </c>
      <c r="AL246" s="108">
        <v>2.1</v>
      </c>
      <c r="AM246" s="108">
        <v>8</v>
      </c>
      <c r="AN246" s="7">
        <f t="shared" si="44"/>
        <v>1.4964610717896865</v>
      </c>
      <c r="AO246" s="7">
        <f t="shared" si="45"/>
        <v>1.2007077856420627</v>
      </c>
      <c r="AP246" s="7">
        <f t="shared" si="46"/>
        <v>0.20070778564206271</v>
      </c>
      <c r="AQ246" s="7">
        <f t="shared" si="47"/>
        <v>-0.69527733829626248</v>
      </c>
      <c r="AR246" s="7">
        <f t="shared" si="48"/>
        <v>0.69527733829626248</v>
      </c>
      <c r="AS246" s="7">
        <f t="shared" si="49"/>
        <v>8</v>
      </c>
      <c r="AT246" s="184">
        <f t="shared" si="50"/>
        <v>1.8666666666666665</v>
      </c>
      <c r="AU246" s="108"/>
      <c r="AV246" s="7"/>
      <c r="AW246" s="7"/>
      <c r="AX246" s="7" t="s">
        <v>2227</v>
      </c>
      <c r="AY246" s="7" t="s">
        <v>1509</v>
      </c>
    </row>
    <row r="247" spans="1:51">
      <c r="A247" s="7" t="s">
        <v>33</v>
      </c>
      <c r="B247" s="7" t="s">
        <v>75</v>
      </c>
      <c r="C247" s="7" t="s">
        <v>76</v>
      </c>
      <c r="D247" s="7" t="s">
        <v>389</v>
      </c>
      <c r="E247" s="7" t="s">
        <v>405</v>
      </c>
      <c r="F247" s="7" t="s">
        <v>406</v>
      </c>
      <c r="G247" s="7" t="s">
        <v>2166</v>
      </c>
      <c r="H247" s="7" t="s">
        <v>4181</v>
      </c>
      <c r="I247" s="100">
        <f>101/1000</f>
        <v>0.10100000000000001</v>
      </c>
      <c r="J247" s="100">
        <f t="shared" si="41"/>
        <v>101</v>
      </c>
      <c r="K247" s="100">
        <f t="shared" si="42"/>
        <v>2.0043213737826426</v>
      </c>
      <c r="L247" s="73" t="s">
        <v>1517</v>
      </c>
      <c r="M247" s="107" t="s">
        <v>1821</v>
      </c>
      <c r="N247" s="7" t="s">
        <v>1640</v>
      </c>
      <c r="O247" s="7" t="s">
        <v>1505</v>
      </c>
      <c r="P247" s="108" t="s">
        <v>1492</v>
      </c>
      <c r="Q247" s="7" t="s">
        <v>2167</v>
      </c>
      <c r="R247" s="7">
        <v>27.45</v>
      </c>
      <c r="S247" s="7">
        <f t="shared" si="39"/>
        <v>27.45</v>
      </c>
      <c r="T247" s="7">
        <v>153.35</v>
      </c>
      <c r="U247" s="7">
        <v>1</v>
      </c>
      <c r="V247" s="7">
        <v>28</v>
      </c>
      <c r="W247" s="7">
        <f t="shared" si="43"/>
        <v>1.4471580313422192</v>
      </c>
      <c r="X247" s="7" t="s">
        <v>1264</v>
      </c>
      <c r="Y247" s="7" t="s">
        <v>1778</v>
      </c>
      <c r="Z247" s="7">
        <v>20</v>
      </c>
      <c r="AA247" s="7">
        <v>30</v>
      </c>
      <c r="AB247" s="108">
        <v>55.64</v>
      </c>
      <c r="AC247" s="108">
        <v>1.44</v>
      </c>
      <c r="AD247" s="7">
        <v>8</v>
      </c>
      <c r="AE247" s="7">
        <v>94.43</v>
      </c>
      <c r="AF247" s="7">
        <v>7.38</v>
      </c>
      <c r="AG247" s="7">
        <v>8</v>
      </c>
      <c r="AH247" s="7">
        <v>42.48</v>
      </c>
      <c r="AI247" s="7">
        <v>0.85</v>
      </c>
      <c r="AJ247" s="7">
        <v>8</v>
      </c>
      <c r="AK247" s="108">
        <v>101.6</v>
      </c>
      <c r="AL247" s="108">
        <v>1.66</v>
      </c>
      <c r="AM247" s="108">
        <v>8</v>
      </c>
      <c r="AN247" s="7">
        <f t="shared" si="44"/>
        <v>1.6971603163191948</v>
      </c>
      <c r="AO247" s="7">
        <f t="shared" si="45"/>
        <v>1.8260244428468726</v>
      </c>
      <c r="AP247" s="7">
        <f t="shared" si="46"/>
        <v>0.8260244428468726</v>
      </c>
      <c r="AQ247" s="7">
        <f t="shared" si="47"/>
        <v>-8.2481654611120364E-2</v>
      </c>
      <c r="AR247" s="7">
        <f t="shared" si="48"/>
        <v>8.2481654611120364E-2</v>
      </c>
      <c r="AS247" s="7">
        <f t="shared" si="49"/>
        <v>8</v>
      </c>
      <c r="AT247" s="184">
        <f t="shared" si="50"/>
        <v>3.4933333333333336</v>
      </c>
      <c r="AU247" s="108"/>
      <c r="AV247" s="7"/>
      <c r="AW247" s="7"/>
      <c r="AX247" s="7" t="s">
        <v>2228</v>
      </c>
      <c r="AY247" s="7" t="s">
        <v>1509</v>
      </c>
    </row>
    <row r="248" spans="1:51">
      <c r="A248" s="7" t="s">
        <v>33</v>
      </c>
      <c r="B248" s="7" t="s">
        <v>34</v>
      </c>
      <c r="C248" s="7" t="s">
        <v>282</v>
      </c>
      <c r="D248" s="7" t="s">
        <v>1541</v>
      </c>
      <c r="E248" s="7" t="s">
        <v>1542</v>
      </c>
      <c r="F248" s="7" t="s">
        <v>1543</v>
      </c>
      <c r="G248" s="7" t="s">
        <v>1544</v>
      </c>
      <c r="H248" s="7" t="s">
        <v>4180</v>
      </c>
      <c r="I248" s="100">
        <f>90/1000</f>
        <v>0.09</v>
      </c>
      <c r="J248" s="100">
        <f t="shared" si="41"/>
        <v>90</v>
      </c>
      <c r="K248" s="100">
        <f t="shared" si="42"/>
        <v>1.954242509439325</v>
      </c>
      <c r="L248" s="73" t="s">
        <v>1517</v>
      </c>
      <c r="M248" s="7" t="s">
        <v>1548</v>
      </c>
      <c r="N248" s="7" t="s">
        <v>1504</v>
      </c>
      <c r="O248" s="7" t="s">
        <v>1505</v>
      </c>
      <c r="P248" s="108" t="s">
        <v>1492</v>
      </c>
      <c r="Q248" s="7" t="s">
        <v>2229</v>
      </c>
      <c r="R248" s="7">
        <v>77.849999999999994</v>
      </c>
      <c r="S248" s="7">
        <f t="shared" si="39"/>
        <v>77.849999999999994</v>
      </c>
      <c r="T248" s="7">
        <v>166.65</v>
      </c>
      <c r="U248" s="7">
        <v>1</v>
      </c>
      <c r="V248" s="7">
        <v>30</v>
      </c>
      <c r="W248" s="7">
        <f t="shared" si="43"/>
        <v>1.4771212547196624</v>
      </c>
      <c r="X248" s="7" t="s">
        <v>1264</v>
      </c>
      <c r="Y248" s="7" t="s">
        <v>1781</v>
      </c>
      <c r="Z248" s="7">
        <v>-1</v>
      </c>
      <c r="AA248" s="7">
        <v>4</v>
      </c>
      <c r="AB248" s="7">
        <v>19</v>
      </c>
      <c r="AC248" s="7">
        <v>1</v>
      </c>
      <c r="AD248" s="7">
        <v>8</v>
      </c>
      <c r="AE248" s="7">
        <v>34</v>
      </c>
      <c r="AF248" s="7">
        <v>2</v>
      </c>
      <c r="AG248" s="7">
        <v>8</v>
      </c>
      <c r="AH248" s="7">
        <v>20.5</v>
      </c>
      <c r="AI248" s="7">
        <v>1.5</v>
      </c>
      <c r="AJ248" s="7">
        <v>8</v>
      </c>
      <c r="AK248" s="108">
        <v>20.5</v>
      </c>
      <c r="AL248" s="108">
        <v>4</v>
      </c>
      <c r="AM248" s="7">
        <v>8</v>
      </c>
      <c r="AN248" s="7">
        <f t="shared" si="44"/>
        <v>3.2022160664819945</v>
      </c>
      <c r="AO248" s="7">
        <f t="shared" si="45"/>
        <v>1.1641274238227148</v>
      </c>
      <c r="AP248" s="7">
        <f t="shared" si="46"/>
        <v>0.16412742382271484</v>
      </c>
      <c r="AQ248" s="7">
        <f t="shared" si="47"/>
        <v>-0.78218079453953937</v>
      </c>
      <c r="AR248" s="7">
        <f t="shared" si="48"/>
        <v>0.78218079453953937</v>
      </c>
      <c r="AS248" s="7">
        <f t="shared" si="49"/>
        <v>8</v>
      </c>
      <c r="AT248" s="184">
        <f t="shared" si="50"/>
        <v>2.3333333333333335</v>
      </c>
      <c r="AU248" s="7"/>
      <c r="AV248" s="7"/>
      <c r="AW248" s="7"/>
      <c r="AX248" s="7" t="s">
        <v>2175</v>
      </c>
      <c r="AY248" s="7" t="s">
        <v>1509</v>
      </c>
    </row>
    <row r="249" spans="1:51">
      <c r="A249" s="7" t="s">
        <v>33</v>
      </c>
      <c r="B249" s="7" t="s">
        <v>34</v>
      </c>
      <c r="C249" s="7" t="s">
        <v>282</v>
      </c>
      <c r="D249" s="7" t="s">
        <v>1541</v>
      </c>
      <c r="E249" s="7" t="s">
        <v>1542</v>
      </c>
      <c r="F249" s="7" t="s">
        <v>1543</v>
      </c>
      <c r="G249" s="7" t="s">
        <v>1544</v>
      </c>
      <c r="H249" s="7" t="s">
        <v>4180</v>
      </c>
      <c r="I249" s="100">
        <f>90/1000</f>
        <v>0.09</v>
      </c>
      <c r="J249" s="100">
        <f t="shared" si="41"/>
        <v>90</v>
      </c>
      <c r="K249" s="100">
        <f t="shared" si="42"/>
        <v>1.954242509439325</v>
      </c>
      <c r="L249" s="73" t="s">
        <v>1517</v>
      </c>
      <c r="M249" s="7" t="s">
        <v>1548</v>
      </c>
      <c r="N249" s="7" t="s">
        <v>1504</v>
      </c>
      <c r="O249" s="7" t="s">
        <v>1505</v>
      </c>
      <c r="P249" s="108" t="s">
        <v>1492</v>
      </c>
      <c r="Q249" s="7" t="s">
        <v>2229</v>
      </c>
      <c r="R249" s="7">
        <v>77.849999999999994</v>
      </c>
      <c r="S249" s="7">
        <f t="shared" si="39"/>
        <v>77.849999999999994</v>
      </c>
      <c r="T249" s="7">
        <v>166.65</v>
      </c>
      <c r="U249" s="7">
        <v>1</v>
      </c>
      <c r="V249" s="7">
        <v>30</v>
      </c>
      <c r="W249" s="7">
        <f t="shared" si="43"/>
        <v>1.4771212547196624</v>
      </c>
      <c r="X249" s="7" t="s">
        <v>1264</v>
      </c>
      <c r="Y249" s="7" t="s">
        <v>1778</v>
      </c>
      <c r="Z249" s="7">
        <v>-1</v>
      </c>
      <c r="AA249" s="7">
        <v>4</v>
      </c>
      <c r="AB249" s="7">
        <v>28</v>
      </c>
      <c r="AC249" s="7">
        <v>1</v>
      </c>
      <c r="AD249" s="7">
        <v>8</v>
      </c>
      <c r="AE249" s="7">
        <v>36</v>
      </c>
      <c r="AF249" s="7">
        <v>1</v>
      </c>
      <c r="AG249" s="7">
        <v>8</v>
      </c>
      <c r="AH249" s="7">
        <v>29</v>
      </c>
      <c r="AI249" s="7">
        <v>1</v>
      </c>
      <c r="AJ249" s="7">
        <v>8</v>
      </c>
      <c r="AK249" s="108">
        <v>41.5</v>
      </c>
      <c r="AL249" s="7">
        <v>2</v>
      </c>
      <c r="AM249" s="7">
        <v>8</v>
      </c>
      <c r="AN249" s="7">
        <f t="shared" si="44"/>
        <v>1.6530612244897962</v>
      </c>
      <c r="AO249" s="7">
        <f t="shared" si="45"/>
        <v>2.196747448979592</v>
      </c>
      <c r="AP249" s="7">
        <f t="shared" si="46"/>
        <v>1.196747448979592</v>
      </c>
      <c r="AQ249" s="7">
        <f t="shared" si="47"/>
        <v>7.8365254549789487E-2</v>
      </c>
      <c r="AR249" s="7">
        <f t="shared" si="48"/>
        <v>-7.8365254549789487E-2</v>
      </c>
      <c r="AS249" s="7">
        <f t="shared" si="49"/>
        <v>8</v>
      </c>
      <c r="AT249" s="184">
        <f t="shared" si="50"/>
        <v>1.3333333333333333</v>
      </c>
      <c r="AU249" s="7"/>
      <c r="AV249" s="7"/>
      <c r="AW249" s="7"/>
      <c r="AX249" s="7" t="s">
        <v>1709</v>
      </c>
      <c r="AY249" s="7" t="s">
        <v>1509</v>
      </c>
    </row>
    <row r="250" spans="1:51">
      <c r="A250" s="7" t="s">
        <v>33</v>
      </c>
      <c r="B250" s="7" t="s">
        <v>43</v>
      </c>
      <c r="C250" s="7" t="s">
        <v>44</v>
      </c>
      <c r="D250" s="7" t="s">
        <v>71</v>
      </c>
      <c r="E250" s="7" t="s">
        <v>2230</v>
      </c>
      <c r="F250" s="7" t="s">
        <v>2231</v>
      </c>
      <c r="G250" s="7" t="s">
        <v>2232</v>
      </c>
      <c r="H250" s="7" t="s">
        <v>4184</v>
      </c>
      <c r="I250" s="112">
        <f>20.36/1000</f>
        <v>2.036E-2</v>
      </c>
      <c r="J250" s="100">
        <f t="shared" si="41"/>
        <v>20.36</v>
      </c>
      <c r="K250" s="100">
        <f t="shared" si="42"/>
        <v>1.308777773664721</v>
      </c>
      <c r="L250" s="73" t="s">
        <v>1517</v>
      </c>
      <c r="M250" s="7" t="s">
        <v>2233</v>
      </c>
      <c r="N250" s="7" t="s">
        <v>1640</v>
      </c>
      <c r="O250" s="7" t="s">
        <v>1494</v>
      </c>
      <c r="P250" s="108" t="s">
        <v>1635</v>
      </c>
      <c r="Q250" s="7" t="s">
        <v>2234</v>
      </c>
      <c r="R250" s="7">
        <v>37.4</v>
      </c>
      <c r="S250" s="7">
        <f t="shared" si="39"/>
        <v>37.4</v>
      </c>
      <c r="T250" s="7">
        <v>121.3</v>
      </c>
      <c r="U250" s="7">
        <v>1</v>
      </c>
      <c r="V250" s="7">
        <v>38</v>
      </c>
      <c r="W250" s="7">
        <f t="shared" si="43"/>
        <v>1.5797835966168101</v>
      </c>
      <c r="X250" s="7" t="s">
        <v>1264</v>
      </c>
      <c r="Y250" s="7" t="s">
        <v>1781</v>
      </c>
      <c r="Z250" s="7">
        <v>22</v>
      </c>
      <c r="AA250" s="7">
        <v>30</v>
      </c>
      <c r="AB250" s="7">
        <v>50</v>
      </c>
      <c r="AC250" s="7">
        <v>1</v>
      </c>
      <c r="AD250" s="7">
        <v>24</v>
      </c>
      <c r="AE250" s="7">
        <v>110</v>
      </c>
      <c r="AF250" s="7">
        <v>1</v>
      </c>
      <c r="AG250" s="7">
        <v>24</v>
      </c>
      <c r="AH250" s="7">
        <v>43</v>
      </c>
      <c r="AI250" s="7">
        <v>1</v>
      </c>
      <c r="AJ250" s="7">
        <v>23</v>
      </c>
      <c r="AK250" s="108">
        <v>100</v>
      </c>
      <c r="AL250" s="7">
        <v>2</v>
      </c>
      <c r="AM250" s="7">
        <v>23</v>
      </c>
      <c r="AN250" s="7">
        <f t="shared" si="44"/>
        <v>2.679343228387995</v>
      </c>
      <c r="AO250" s="7">
        <f t="shared" si="45"/>
        <v>2.3784142300054421</v>
      </c>
      <c r="AP250" s="7">
        <f t="shared" si="46"/>
        <v>1.3784142300054421</v>
      </c>
      <c r="AQ250" s="7">
        <f t="shared" si="47"/>
        <v>0.13969470184790916</v>
      </c>
      <c r="AR250" s="7">
        <f t="shared" si="48"/>
        <v>-0.13969470184790916</v>
      </c>
      <c r="AS250" s="7">
        <f t="shared" si="49"/>
        <v>23.666666666666668</v>
      </c>
      <c r="AT250" s="184">
        <f t="shared" si="50"/>
        <v>1.3333333333333333</v>
      </c>
      <c r="AU250" s="7"/>
      <c r="AV250" s="7" t="s">
        <v>2235</v>
      </c>
      <c r="AW250" s="7"/>
      <c r="AX250" s="7" t="s">
        <v>2233</v>
      </c>
      <c r="AY250" s="7" t="s">
        <v>1509</v>
      </c>
    </row>
    <row r="251" spans="1:51">
      <c r="A251" s="7" t="s">
        <v>33</v>
      </c>
      <c r="B251" s="7" t="s">
        <v>43</v>
      </c>
      <c r="C251" s="7" t="s">
        <v>1550</v>
      </c>
      <c r="D251" s="7" t="s">
        <v>2236</v>
      </c>
      <c r="E251" s="7" t="s">
        <v>2237</v>
      </c>
      <c r="F251" s="7" t="s">
        <v>2238</v>
      </c>
      <c r="G251" s="7" t="s">
        <v>2239</v>
      </c>
      <c r="H251" s="7" t="s">
        <v>4184</v>
      </c>
      <c r="I251" s="100">
        <f>12.7/1000</f>
        <v>1.2699999999999999E-2</v>
      </c>
      <c r="J251" s="100">
        <f t="shared" si="41"/>
        <v>12.7</v>
      </c>
      <c r="K251" s="100">
        <f t="shared" si="42"/>
        <v>1.1038037209559568</v>
      </c>
      <c r="L251" s="73" t="s">
        <v>1517</v>
      </c>
      <c r="M251" s="7" t="s">
        <v>2233</v>
      </c>
      <c r="N251" s="7" t="s">
        <v>1538</v>
      </c>
      <c r="O251" s="7" t="s">
        <v>1505</v>
      </c>
      <c r="P251" s="108" t="s">
        <v>1635</v>
      </c>
      <c r="Q251" s="7" t="s">
        <v>2240</v>
      </c>
      <c r="R251" s="7">
        <v>41.9</v>
      </c>
      <c r="S251" s="7">
        <f t="shared" ref="S251:S262" si="51">ABS(R251)</f>
        <v>41.9</v>
      </c>
      <c r="T251" s="7">
        <v>90.1</v>
      </c>
      <c r="U251" s="7">
        <v>1</v>
      </c>
      <c r="V251" s="7">
        <v>37</v>
      </c>
      <c r="W251" s="7">
        <f t="shared" si="43"/>
        <v>1.568201724066995</v>
      </c>
      <c r="X251" s="7" t="s">
        <v>1264</v>
      </c>
      <c r="Y251" s="7" t="s">
        <v>1781</v>
      </c>
      <c r="Z251" s="7">
        <v>25</v>
      </c>
      <c r="AA251" s="7">
        <v>30</v>
      </c>
      <c r="AB251" s="7">
        <v>63</v>
      </c>
      <c r="AC251" s="7">
        <v>2</v>
      </c>
      <c r="AD251" s="7">
        <v>24</v>
      </c>
      <c r="AE251" s="7">
        <v>82</v>
      </c>
      <c r="AF251" s="7">
        <v>2</v>
      </c>
      <c r="AG251" s="7">
        <v>24</v>
      </c>
      <c r="AH251" s="7">
        <v>51</v>
      </c>
      <c r="AI251" s="7">
        <v>2</v>
      </c>
      <c r="AJ251" s="7">
        <v>24</v>
      </c>
      <c r="AK251" s="108">
        <v>82</v>
      </c>
      <c r="AL251" s="108">
        <v>3</v>
      </c>
      <c r="AM251" s="108">
        <v>24</v>
      </c>
      <c r="AN251" s="7">
        <f t="shared" si="44"/>
        <v>1.6941295036533133</v>
      </c>
      <c r="AO251" s="7">
        <f t="shared" si="45"/>
        <v>1.6941295036533133</v>
      </c>
      <c r="AP251" s="7">
        <f t="shared" si="46"/>
        <v>0.69412950365331327</v>
      </c>
      <c r="AQ251" s="7">
        <f t="shared" si="47"/>
        <v>-0.15793427816867203</v>
      </c>
      <c r="AR251" s="7">
        <f t="shared" si="48"/>
        <v>0.15793427816867203</v>
      </c>
      <c r="AS251" s="7">
        <f t="shared" si="49"/>
        <v>24</v>
      </c>
      <c r="AT251" s="184">
        <f t="shared" si="50"/>
        <v>2.3333333333333335</v>
      </c>
      <c r="AU251" s="108"/>
      <c r="AV251" s="7" t="s">
        <v>2235</v>
      </c>
      <c r="AW251" s="7"/>
      <c r="AX251" s="7" t="s">
        <v>2241</v>
      </c>
      <c r="AY251" s="7" t="s">
        <v>1509</v>
      </c>
    </row>
    <row r="252" spans="1:51">
      <c r="A252" s="7" t="s">
        <v>33</v>
      </c>
      <c r="B252" s="7" t="s">
        <v>43</v>
      </c>
      <c r="C252" s="7" t="s">
        <v>44</v>
      </c>
      <c r="D252" s="7" t="s">
        <v>1902</v>
      </c>
      <c r="E252" s="7" t="s">
        <v>2242</v>
      </c>
      <c r="F252" s="7" t="s">
        <v>2243</v>
      </c>
      <c r="G252" s="7" t="s">
        <v>2244</v>
      </c>
      <c r="H252" s="7" t="s">
        <v>4184</v>
      </c>
      <c r="I252" s="100">
        <f>0.46/1000</f>
        <v>4.6000000000000001E-4</v>
      </c>
      <c r="J252" s="100">
        <f t="shared" si="41"/>
        <v>0.46</v>
      </c>
      <c r="K252" s="100">
        <f t="shared" si="42"/>
        <v>-0.33724216831842591</v>
      </c>
      <c r="L252" s="73" t="s">
        <v>1517</v>
      </c>
      <c r="M252" s="7" t="s">
        <v>2233</v>
      </c>
      <c r="N252" s="7" t="s">
        <v>1640</v>
      </c>
      <c r="O252" s="7" t="s">
        <v>1505</v>
      </c>
      <c r="P252" s="108" t="s">
        <v>1635</v>
      </c>
      <c r="Q252" s="7" t="s">
        <v>2245</v>
      </c>
      <c r="R252" s="7">
        <v>35.21</v>
      </c>
      <c r="S252" s="7">
        <f t="shared" si="51"/>
        <v>35.21</v>
      </c>
      <c r="T252" s="7">
        <v>148.5</v>
      </c>
      <c r="U252" s="7">
        <v>1</v>
      </c>
      <c r="V252" s="7">
        <v>25</v>
      </c>
      <c r="W252" s="7">
        <f t="shared" si="43"/>
        <v>1.3979400086720377</v>
      </c>
      <c r="X252" s="7" t="s">
        <v>1264</v>
      </c>
      <c r="Y252" s="7" t="s">
        <v>1781</v>
      </c>
      <c r="Z252" s="7">
        <v>20</v>
      </c>
      <c r="AA252" s="7">
        <v>30</v>
      </c>
      <c r="AB252" s="7">
        <v>52</v>
      </c>
      <c r="AC252" s="7">
        <v>2</v>
      </c>
      <c r="AD252" s="7">
        <v>22</v>
      </c>
      <c r="AE252" s="7">
        <v>124</v>
      </c>
      <c r="AF252" s="7">
        <v>4</v>
      </c>
      <c r="AG252" s="7">
        <v>22</v>
      </c>
      <c r="AH252" s="7">
        <v>50</v>
      </c>
      <c r="AI252" s="7">
        <v>2</v>
      </c>
      <c r="AJ252" s="7">
        <v>25</v>
      </c>
      <c r="AK252" s="108">
        <v>126</v>
      </c>
      <c r="AL252" s="108">
        <v>5</v>
      </c>
      <c r="AM252" s="7">
        <v>25</v>
      </c>
      <c r="AN252" s="7">
        <f t="shared" si="44"/>
        <v>2.3846153846153846</v>
      </c>
      <c r="AO252" s="7">
        <f t="shared" si="45"/>
        <v>2.4230769230769229</v>
      </c>
      <c r="AP252" s="7">
        <f t="shared" si="46"/>
        <v>1.4230769230769229</v>
      </c>
      <c r="AQ252" s="7">
        <f t="shared" si="47"/>
        <v>0.15353344882721204</v>
      </c>
      <c r="AR252" s="7">
        <f t="shared" si="48"/>
        <v>-0.15353344882721204</v>
      </c>
      <c r="AS252" s="7">
        <f t="shared" si="49"/>
        <v>23</v>
      </c>
      <c r="AT252" s="184">
        <f t="shared" si="50"/>
        <v>3.6666666666666665</v>
      </c>
      <c r="AU252" s="7"/>
      <c r="AV252" s="7" t="s">
        <v>2235</v>
      </c>
      <c r="AW252" s="7"/>
      <c r="AX252" s="7" t="s">
        <v>2246</v>
      </c>
      <c r="AY252" s="7" t="s">
        <v>1509</v>
      </c>
    </row>
    <row r="253" spans="1:51">
      <c r="A253" s="7" t="s">
        <v>33</v>
      </c>
      <c r="B253" s="7" t="s">
        <v>43</v>
      </c>
      <c r="C253" s="7" t="s">
        <v>44</v>
      </c>
      <c r="D253" s="7" t="s">
        <v>45</v>
      </c>
      <c r="E253" s="7" t="s">
        <v>2247</v>
      </c>
      <c r="F253" s="7" t="s">
        <v>2248</v>
      </c>
      <c r="G253" s="7" t="s">
        <v>46</v>
      </c>
      <c r="H253" s="7" t="s">
        <v>4184</v>
      </c>
      <c r="I253" s="100">
        <f>0.41/1000</f>
        <v>4.0999999999999999E-4</v>
      </c>
      <c r="J253" s="100">
        <f t="shared" si="41"/>
        <v>0.41</v>
      </c>
      <c r="K253" s="100">
        <f t="shared" si="42"/>
        <v>-0.38721614328026455</v>
      </c>
      <c r="L253" s="73" t="s">
        <v>1517</v>
      </c>
      <c r="M253" s="7" t="s">
        <v>2233</v>
      </c>
      <c r="N253" s="7" t="s">
        <v>1640</v>
      </c>
      <c r="O253" s="7" t="s">
        <v>1505</v>
      </c>
      <c r="P253" s="108" t="s">
        <v>1635</v>
      </c>
      <c r="Q253" s="7" t="s">
        <v>2249</v>
      </c>
      <c r="R253" s="7">
        <v>34.159999999999997</v>
      </c>
      <c r="S253" s="7">
        <f t="shared" si="51"/>
        <v>34.159999999999997</v>
      </c>
      <c r="T253" s="7">
        <v>90.02</v>
      </c>
      <c r="U253" s="7">
        <v>1</v>
      </c>
      <c r="V253" s="7">
        <v>28</v>
      </c>
      <c r="W253" s="7">
        <f t="shared" si="43"/>
        <v>1.4471580313422192</v>
      </c>
      <c r="X253" s="7" t="s">
        <v>1264</v>
      </c>
      <c r="Y253" s="7" t="s">
        <v>1781</v>
      </c>
      <c r="Z253" s="7">
        <v>20</v>
      </c>
      <c r="AA253" s="7">
        <v>28</v>
      </c>
      <c r="AB253" s="7">
        <v>45</v>
      </c>
      <c r="AC253" s="7">
        <v>2</v>
      </c>
      <c r="AD253" s="7">
        <v>32</v>
      </c>
      <c r="AE253" s="7">
        <v>103</v>
      </c>
      <c r="AF253" s="7">
        <v>2</v>
      </c>
      <c r="AG253" s="7">
        <v>32</v>
      </c>
      <c r="AH253" s="7">
        <v>38</v>
      </c>
      <c r="AI253" s="7">
        <v>1</v>
      </c>
      <c r="AJ253" s="7">
        <v>29</v>
      </c>
      <c r="AK253" s="108">
        <v>100</v>
      </c>
      <c r="AL253" s="7">
        <v>2</v>
      </c>
      <c r="AM253" s="108">
        <v>29</v>
      </c>
      <c r="AN253" s="7">
        <f t="shared" si="44"/>
        <v>2.8153402456340944</v>
      </c>
      <c r="AO253" s="7">
        <f t="shared" si="45"/>
        <v>2.7132159270257086</v>
      </c>
      <c r="AP253" s="7">
        <f t="shared" si="46"/>
        <v>1.7132159270257086</v>
      </c>
      <c r="AQ253" s="7">
        <f t="shared" si="47"/>
        <v>0.23406552587736826</v>
      </c>
      <c r="AR253" s="7">
        <f t="shared" si="48"/>
        <v>-0.23406552587736826</v>
      </c>
      <c r="AS253" s="7">
        <f t="shared" si="49"/>
        <v>31</v>
      </c>
      <c r="AT253" s="184">
        <f t="shared" si="50"/>
        <v>2</v>
      </c>
      <c r="AU253" s="108"/>
      <c r="AV253" s="7" t="s">
        <v>2235</v>
      </c>
      <c r="AW253" s="7"/>
      <c r="AX253" s="7" t="s">
        <v>2250</v>
      </c>
      <c r="AY253" s="7" t="s">
        <v>1509</v>
      </c>
    </row>
    <row r="254" spans="1:51">
      <c r="A254" s="7" t="s">
        <v>33</v>
      </c>
      <c r="B254" s="7" t="s">
        <v>75</v>
      </c>
      <c r="C254" s="7" t="s">
        <v>76</v>
      </c>
      <c r="D254" s="7" t="s">
        <v>721</v>
      </c>
      <c r="E254" s="7" t="s">
        <v>752</v>
      </c>
      <c r="F254" s="7" t="s">
        <v>755</v>
      </c>
      <c r="G254" s="7" t="s">
        <v>1570</v>
      </c>
      <c r="H254" s="7" t="s">
        <v>4181</v>
      </c>
      <c r="I254" s="100">
        <f>20/1000</f>
        <v>0.02</v>
      </c>
      <c r="J254" s="100">
        <f t="shared" si="41"/>
        <v>20</v>
      </c>
      <c r="K254" s="100">
        <f t="shared" si="42"/>
        <v>1.3010299956639813</v>
      </c>
      <c r="L254" s="73" t="s">
        <v>1502</v>
      </c>
      <c r="M254" s="7" t="s">
        <v>1951</v>
      </c>
      <c r="N254" s="7" t="s">
        <v>1538</v>
      </c>
      <c r="O254" s="7" t="s">
        <v>1505</v>
      </c>
      <c r="P254" s="108" t="s">
        <v>1492</v>
      </c>
      <c r="Q254" s="7" t="s">
        <v>1572</v>
      </c>
      <c r="R254" s="7">
        <v>33.85</v>
      </c>
      <c r="S254" s="7">
        <f t="shared" si="51"/>
        <v>33.85</v>
      </c>
      <c r="T254" s="7">
        <v>151.19999999999999</v>
      </c>
      <c r="U254" s="7">
        <v>1</v>
      </c>
      <c r="V254" s="7">
        <v>60</v>
      </c>
      <c r="W254" s="7">
        <f t="shared" si="43"/>
        <v>1.7781512503836436</v>
      </c>
      <c r="X254" s="7" t="s">
        <v>2251</v>
      </c>
      <c r="Y254" s="7" t="s">
        <v>2194</v>
      </c>
      <c r="Z254" s="7">
        <v>15</v>
      </c>
      <c r="AA254" s="7">
        <v>25</v>
      </c>
      <c r="AB254" s="108">
        <v>6.4</v>
      </c>
      <c r="AC254" s="108">
        <v>2.1</v>
      </c>
      <c r="AD254" s="7">
        <v>5</v>
      </c>
      <c r="AE254" s="7">
        <v>12.6</v>
      </c>
      <c r="AF254" s="7">
        <v>3</v>
      </c>
      <c r="AG254" s="7">
        <v>5</v>
      </c>
      <c r="AH254" s="7">
        <v>3.4</v>
      </c>
      <c r="AI254" s="7">
        <v>0.3</v>
      </c>
      <c r="AJ254" s="7">
        <v>5</v>
      </c>
      <c r="AK254" s="108">
        <v>5.3</v>
      </c>
      <c r="AL254" s="108">
        <v>1</v>
      </c>
      <c r="AM254" s="108">
        <v>5</v>
      </c>
      <c r="AN254" s="7">
        <f t="shared" si="44"/>
        <v>1.9687499999999998</v>
      </c>
      <c r="AO254" s="7">
        <f t="shared" si="45"/>
        <v>0.82812499999999989</v>
      </c>
      <c r="AP254" s="7">
        <f t="shared" si="46"/>
        <v>0.17187500000000011</v>
      </c>
      <c r="AQ254" s="7">
        <f t="shared" si="47"/>
        <v>-0.76226780688263274</v>
      </c>
      <c r="AR254" s="7">
        <f t="shared" si="48"/>
        <v>0.76226780688263274</v>
      </c>
      <c r="AS254" s="7">
        <f t="shared" si="49"/>
        <v>5</v>
      </c>
      <c r="AT254" s="184">
        <f t="shared" ref="AT254:AT285" si="52">AVERAGE(AC254,AF254,AL254)</f>
        <v>2.0333333333333332</v>
      </c>
      <c r="AU254" s="108"/>
      <c r="AV254" s="7"/>
      <c r="AW254" s="7"/>
      <c r="AX254" s="7" t="s">
        <v>2252</v>
      </c>
      <c r="AY254" s="7" t="s">
        <v>1509</v>
      </c>
    </row>
    <row r="255" spans="1:51">
      <c r="A255" s="7" t="s">
        <v>33</v>
      </c>
      <c r="B255" s="7" t="s">
        <v>75</v>
      </c>
      <c r="C255" s="7" t="s">
        <v>76</v>
      </c>
      <c r="D255" s="7" t="s">
        <v>721</v>
      </c>
      <c r="E255" s="7" t="s">
        <v>752</v>
      </c>
      <c r="F255" s="7" t="s">
        <v>755</v>
      </c>
      <c r="G255" s="7" t="s">
        <v>1570</v>
      </c>
      <c r="H255" s="7" t="s">
        <v>4181</v>
      </c>
      <c r="I255" s="100">
        <f>20/1000</f>
        <v>0.02</v>
      </c>
      <c r="J255" s="100">
        <f t="shared" si="41"/>
        <v>20</v>
      </c>
      <c r="K255" s="100">
        <f t="shared" si="42"/>
        <v>1.3010299956639813</v>
      </c>
      <c r="L255" s="73" t="s">
        <v>1502</v>
      </c>
      <c r="M255" s="7" t="s">
        <v>1951</v>
      </c>
      <c r="N255" s="7" t="s">
        <v>1538</v>
      </c>
      <c r="O255" s="7" t="s">
        <v>1505</v>
      </c>
      <c r="P255" s="108" t="s">
        <v>1492</v>
      </c>
      <c r="Q255" s="7" t="s">
        <v>1572</v>
      </c>
      <c r="R255" s="7">
        <v>33.85</v>
      </c>
      <c r="S255" s="7">
        <f t="shared" si="51"/>
        <v>33.85</v>
      </c>
      <c r="T255" s="7">
        <v>151.19999999999999</v>
      </c>
      <c r="U255" s="7">
        <v>1</v>
      </c>
      <c r="V255" s="7">
        <v>60</v>
      </c>
      <c r="W255" s="7">
        <f t="shared" si="43"/>
        <v>1.7781512503836436</v>
      </c>
      <c r="X255" s="7" t="s">
        <v>2251</v>
      </c>
      <c r="Y255" s="7" t="s">
        <v>2253</v>
      </c>
      <c r="Z255" s="7">
        <v>15</v>
      </c>
      <c r="AA255" s="7">
        <v>25</v>
      </c>
      <c r="AB255" s="108">
        <v>2.1</v>
      </c>
      <c r="AC255" s="108">
        <v>0.2</v>
      </c>
      <c r="AD255" s="7">
        <v>5</v>
      </c>
      <c r="AE255" s="7">
        <v>3.1</v>
      </c>
      <c r="AF255" s="7">
        <v>0.5</v>
      </c>
      <c r="AG255" s="7">
        <v>5</v>
      </c>
      <c r="AH255" s="7">
        <v>2</v>
      </c>
      <c r="AI255" s="7">
        <v>0.3</v>
      </c>
      <c r="AJ255" s="7">
        <v>5</v>
      </c>
      <c r="AK255" s="108">
        <v>3.2</v>
      </c>
      <c r="AL255" s="108">
        <v>0.4</v>
      </c>
      <c r="AM255" s="108">
        <v>5</v>
      </c>
      <c r="AN255" s="7">
        <f t="shared" si="44"/>
        <v>1.4761904761904763</v>
      </c>
      <c r="AO255" s="7">
        <f t="shared" si="45"/>
        <v>1.5238095238095237</v>
      </c>
      <c r="AP255" s="7">
        <f t="shared" si="46"/>
        <v>0.52380952380952372</v>
      </c>
      <c r="AQ255" s="7">
        <f t="shared" si="47"/>
        <v>-0.27999829234353751</v>
      </c>
      <c r="AR255" s="7">
        <f t="shared" si="48"/>
        <v>0.27999829234353751</v>
      </c>
      <c r="AS255" s="7">
        <f t="shared" si="49"/>
        <v>5</v>
      </c>
      <c r="AT255" s="184">
        <f t="shared" si="52"/>
        <v>0.3666666666666667</v>
      </c>
      <c r="AU255" s="108"/>
      <c r="AV255" s="7"/>
      <c r="AW255" s="7"/>
      <c r="AX255" s="7" t="s">
        <v>2254</v>
      </c>
      <c r="AY255" s="7" t="s">
        <v>1509</v>
      </c>
    </row>
    <row r="256" spans="1:51">
      <c r="A256" s="7" t="s">
        <v>33</v>
      </c>
      <c r="B256" s="7" t="s">
        <v>34</v>
      </c>
      <c r="C256" s="7" t="s">
        <v>282</v>
      </c>
      <c r="D256" s="7" t="s">
        <v>2138</v>
      </c>
      <c r="E256" s="7" t="s">
        <v>2139</v>
      </c>
      <c r="F256" s="7" t="s">
        <v>2140</v>
      </c>
      <c r="G256" s="7" t="s">
        <v>2141</v>
      </c>
      <c r="H256" s="7" t="s">
        <v>4180</v>
      </c>
      <c r="I256" s="100">
        <f>AVERAGE(161,129)/1000</f>
        <v>0.14499999999999999</v>
      </c>
      <c r="J256" s="100">
        <f t="shared" si="41"/>
        <v>145</v>
      </c>
      <c r="K256" s="100">
        <f t="shared" si="42"/>
        <v>2.1613680022349748</v>
      </c>
      <c r="L256" s="73" t="s">
        <v>1502</v>
      </c>
      <c r="M256" s="7" t="s">
        <v>2142</v>
      </c>
      <c r="N256" s="7" t="s">
        <v>1538</v>
      </c>
      <c r="O256" s="7" t="s">
        <v>1505</v>
      </c>
      <c r="P256" s="108" t="s">
        <v>1492</v>
      </c>
      <c r="Q256" s="7" t="s">
        <v>2143</v>
      </c>
      <c r="R256" s="7">
        <v>41</v>
      </c>
      <c r="S256" s="7">
        <f t="shared" si="51"/>
        <v>41</v>
      </c>
      <c r="T256" s="7">
        <v>81.5</v>
      </c>
      <c r="U256" s="7">
        <v>1</v>
      </c>
      <c r="V256" s="7">
        <v>42</v>
      </c>
      <c r="W256" s="7">
        <f t="shared" si="43"/>
        <v>1.6232492903979006</v>
      </c>
      <c r="X256" s="7" t="s">
        <v>2255</v>
      </c>
      <c r="Y256" s="7" t="s">
        <v>2136</v>
      </c>
      <c r="Z256" s="7">
        <v>5</v>
      </c>
      <c r="AA256" s="7">
        <v>25</v>
      </c>
      <c r="AB256" s="108">
        <v>5.5</v>
      </c>
      <c r="AC256" s="108">
        <v>0.03</v>
      </c>
      <c r="AD256" s="7">
        <v>4</v>
      </c>
      <c r="AE256" s="7">
        <v>23</v>
      </c>
      <c r="AF256" s="7">
        <v>4</v>
      </c>
      <c r="AG256" s="7">
        <v>4</v>
      </c>
      <c r="AH256" s="7">
        <v>2</v>
      </c>
      <c r="AI256" s="7">
        <v>0.05</v>
      </c>
      <c r="AJ256" s="7">
        <v>4</v>
      </c>
      <c r="AK256" s="108">
        <v>8.5</v>
      </c>
      <c r="AL256" s="108">
        <v>2</v>
      </c>
      <c r="AM256" s="7">
        <v>4</v>
      </c>
      <c r="AN256" s="7">
        <f t="shared" si="44"/>
        <v>2.0449494325821802</v>
      </c>
      <c r="AO256" s="7">
        <f t="shared" si="45"/>
        <v>1.243163121016122</v>
      </c>
      <c r="AP256" s="7">
        <f t="shared" si="46"/>
        <v>0.24316312101612203</v>
      </c>
      <c r="AQ256" s="7">
        <f t="shared" si="47"/>
        <v>-0.6123199323186902</v>
      </c>
      <c r="AR256" s="7">
        <f t="shared" si="48"/>
        <v>0.6123199323186902</v>
      </c>
      <c r="AS256" s="7">
        <f t="shared" si="49"/>
        <v>4</v>
      </c>
      <c r="AT256" s="184">
        <f t="shared" si="52"/>
        <v>2.0100000000000002</v>
      </c>
      <c r="AU256" s="7"/>
      <c r="AV256" s="7" t="s">
        <v>2145</v>
      </c>
      <c r="AW256" s="7"/>
      <c r="AX256" s="7" t="s">
        <v>2256</v>
      </c>
      <c r="AY256" s="7" t="s">
        <v>1509</v>
      </c>
    </row>
    <row r="257" spans="1:51">
      <c r="A257" s="7" t="s">
        <v>33</v>
      </c>
      <c r="B257" s="7" t="s">
        <v>34</v>
      </c>
      <c r="C257" s="7" t="s">
        <v>282</v>
      </c>
      <c r="D257" s="7" t="s">
        <v>2138</v>
      </c>
      <c r="E257" s="7" t="s">
        <v>2150</v>
      </c>
      <c r="F257" s="7" t="s">
        <v>2151</v>
      </c>
      <c r="G257" s="7" t="s">
        <v>2152</v>
      </c>
      <c r="H257" s="7" t="s">
        <v>4180</v>
      </c>
      <c r="I257" s="100">
        <f>AVERAGE(107,135)/1000</f>
        <v>0.121</v>
      </c>
      <c r="J257" s="100">
        <f t="shared" si="41"/>
        <v>121</v>
      </c>
      <c r="K257" s="100">
        <f t="shared" si="42"/>
        <v>2.0827853703164503</v>
      </c>
      <c r="L257" s="73" t="s">
        <v>1502</v>
      </c>
      <c r="M257" s="7" t="s">
        <v>2142</v>
      </c>
      <c r="N257" s="7" t="s">
        <v>1538</v>
      </c>
      <c r="O257" s="7" t="s">
        <v>1494</v>
      </c>
      <c r="P257" s="108" t="s">
        <v>1492</v>
      </c>
      <c r="Q257" s="7" t="s">
        <v>2153</v>
      </c>
      <c r="R257" s="7">
        <v>40.450000000000003</v>
      </c>
      <c r="S257" s="7">
        <f t="shared" si="51"/>
        <v>40.450000000000003</v>
      </c>
      <c r="T257" s="7">
        <v>81.7</v>
      </c>
      <c r="U257" s="7">
        <v>1</v>
      </c>
      <c r="V257" s="7">
        <v>42</v>
      </c>
      <c r="W257" s="7">
        <f t="shared" si="43"/>
        <v>1.6232492903979006</v>
      </c>
      <c r="X257" s="7" t="s">
        <v>2255</v>
      </c>
      <c r="Y257" s="7" t="s">
        <v>2136</v>
      </c>
      <c r="Z257" s="7">
        <v>5</v>
      </c>
      <c r="AA257" s="7">
        <v>25</v>
      </c>
      <c r="AB257" s="108">
        <v>6</v>
      </c>
      <c r="AC257" s="108">
        <v>0.08</v>
      </c>
      <c r="AD257" s="7">
        <v>3</v>
      </c>
      <c r="AE257" s="7">
        <v>13</v>
      </c>
      <c r="AF257" s="7">
        <v>1.5</v>
      </c>
      <c r="AG257" s="7">
        <v>3</v>
      </c>
      <c r="AH257" s="7">
        <v>5</v>
      </c>
      <c r="AI257" s="7">
        <v>0.6</v>
      </c>
      <c r="AJ257" s="7">
        <v>3</v>
      </c>
      <c r="AK257" s="108">
        <v>16</v>
      </c>
      <c r="AL257" s="108">
        <v>2.5</v>
      </c>
      <c r="AM257" s="7">
        <v>3</v>
      </c>
      <c r="AN257" s="7">
        <f t="shared" si="44"/>
        <v>1.4719601443879744</v>
      </c>
      <c r="AO257" s="7">
        <f t="shared" si="45"/>
        <v>1.6329931618554521</v>
      </c>
      <c r="AP257" s="7">
        <f t="shared" si="46"/>
        <v>0.63299316185545207</v>
      </c>
      <c r="AQ257" s="7">
        <f t="shared" si="47"/>
        <v>-0.19791542632088446</v>
      </c>
      <c r="AR257" s="7">
        <f t="shared" si="48"/>
        <v>0.19791542632088446</v>
      </c>
      <c r="AS257" s="7">
        <f t="shared" si="49"/>
        <v>3</v>
      </c>
      <c r="AT257" s="184">
        <f t="shared" si="52"/>
        <v>1.36</v>
      </c>
      <c r="AU257" s="7"/>
      <c r="AV257" s="7" t="s">
        <v>2145</v>
      </c>
      <c r="AW257" s="7"/>
      <c r="AX257" s="7" t="s">
        <v>2257</v>
      </c>
      <c r="AY257" s="7" t="s">
        <v>1509</v>
      </c>
    </row>
    <row r="258" spans="1:51">
      <c r="A258" s="7" t="s">
        <v>33</v>
      </c>
      <c r="B258" s="7" t="s">
        <v>34</v>
      </c>
      <c r="C258" s="7" t="s">
        <v>282</v>
      </c>
      <c r="D258" s="7" t="s">
        <v>2138</v>
      </c>
      <c r="E258" s="7" t="s">
        <v>2139</v>
      </c>
      <c r="F258" s="7" t="s">
        <v>2172</v>
      </c>
      <c r="G258" s="7" t="s">
        <v>2173</v>
      </c>
      <c r="H258" s="7" t="s">
        <v>4180</v>
      </c>
      <c r="I258" s="100">
        <f>AVERAGE(73,107)/1000</f>
        <v>0.09</v>
      </c>
      <c r="J258" s="100">
        <f t="shared" si="41"/>
        <v>90</v>
      </c>
      <c r="K258" s="100">
        <f t="shared" si="42"/>
        <v>1.954242509439325</v>
      </c>
      <c r="L258" s="73" t="s">
        <v>1502</v>
      </c>
      <c r="M258" s="7" t="s">
        <v>2142</v>
      </c>
      <c r="N258" s="7" t="s">
        <v>1538</v>
      </c>
      <c r="O258" s="7" t="s">
        <v>1494</v>
      </c>
      <c r="P258" s="108" t="s">
        <v>1492</v>
      </c>
      <c r="Q258" s="7" t="s">
        <v>2153</v>
      </c>
      <c r="R258" s="7">
        <v>40.450000000000003</v>
      </c>
      <c r="S258" s="7">
        <f t="shared" si="51"/>
        <v>40.450000000000003</v>
      </c>
      <c r="T258" s="7">
        <v>81.7</v>
      </c>
      <c r="U258" s="7">
        <v>1</v>
      </c>
      <c r="V258" s="7">
        <v>42</v>
      </c>
      <c r="W258" s="7">
        <f t="shared" si="43"/>
        <v>1.6232492903979006</v>
      </c>
      <c r="X258" s="7" t="s">
        <v>2255</v>
      </c>
      <c r="Y258" s="7" t="s">
        <v>2136</v>
      </c>
      <c r="Z258" s="7">
        <v>5</v>
      </c>
      <c r="AA258" s="7">
        <v>25</v>
      </c>
      <c r="AB258" s="108">
        <v>3</v>
      </c>
      <c r="AC258" s="108">
        <v>0.08</v>
      </c>
      <c r="AD258" s="7">
        <v>3</v>
      </c>
      <c r="AE258" s="7">
        <v>12</v>
      </c>
      <c r="AF258" s="7">
        <v>0.08</v>
      </c>
      <c r="AG258" s="7">
        <v>3</v>
      </c>
      <c r="AH258" s="7">
        <v>3.5</v>
      </c>
      <c r="AI258" s="7">
        <v>0.05</v>
      </c>
      <c r="AJ258" s="7">
        <v>3</v>
      </c>
      <c r="AK258" s="108">
        <v>14</v>
      </c>
      <c r="AL258" s="108">
        <v>4</v>
      </c>
      <c r="AM258" s="7">
        <v>3</v>
      </c>
      <c r="AN258" s="7">
        <f t="shared" si="44"/>
        <v>2</v>
      </c>
      <c r="AO258" s="7">
        <f t="shared" si="45"/>
        <v>2.1602468994692869</v>
      </c>
      <c r="AP258" s="7">
        <f t="shared" si="46"/>
        <v>1.1602468994692869</v>
      </c>
      <c r="AQ258" s="7">
        <f t="shared" si="47"/>
        <v>6.4924567436421679E-2</v>
      </c>
      <c r="AR258" s="7">
        <f t="shared" si="48"/>
        <v>-6.4924567436421679E-2</v>
      </c>
      <c r="AS258" s="7">
        <f t="shared" si="49"/>
        <v>3</v>
      </c>
      <c r="AT258" s="184">
        <f t="shared" si="52"/>
        <v>1.3866666666666667</v>
      </c>
      <c r="AU258" s="7"/>
      <c r="AV258" s="7" t="s">
        <v>2145</v>
      </c>
      <c r="AW258" s="7"/>
      <c r="AX258" s="7" t="s">
        <v>2258</v>
      </c>
      <c r="AY258" s="7" t="s">
        <v>1509</v>
      </c>
    </row>
    <row r="259" spans="1:51">
      <c r="A259" s="7" t="s">
        <v>33</v>
      </c>
      <c r="B259" s="7" t="s">
        <v>34</v>
      </c>
      <c r="C259" s="7" t="s">
        <v>282</v>
      </c>
      <c r="D259" s="7" t="s">
        <v>2138</v>
      </c>
      <c r="E259" s="7" t="s">
        <v>2178</v>
      </c>
      <c r="F259" s="7" t="s">
        <v>2179</v>
      </c>
      <c r="G259" s="7" t="s">
        <v>2180</v>
      </c>
      <c r="H259" s="7" t="s">
        <v>4180</v>
      </c>
      <c r="I259" s="100">
        <f>AVERAGE(58,69)/1000</f>
        <v>6.3500000000000001E-2</v>
      </c>
      <c r="J259" s="100">
        <f t="shared" si="41"/>
        <v>63.5</v>
      </c>
      <c r="K259" s="100">
        <f t="shared" si="42"/>
        <v>1.8027737252919758</v>
      </c>
      <c r="L259" s="73" t="s">
        <v>1502</v>
      </c>
      <c r="M259" s="7" t="s">
        <v>2142</v>
      </c>
      <c r="N259" s="7" t="s">
        <v>1538</v>
      </c>
      <c r="O259" s="7" t="s">
        <v>1494</v>
      </c>
      <c r="P259" s="108" t="s">
        <v>1492</v>
      </c>
      <c r="Q259" s="7" t="s">
        <v>2153</v>
      </c>
      <c r="R259" s="7">
        <v>40.450000000000003</v>
      </c>
      <c r="S259" s="7">
        <f t="shared" si="51"/>
        <v>40.450000000000003</v>
      </c>
      <c r="T259" s="7">
        <v>81.7</v>
      </c>
      <c r="U259" s="7">
        <v>1</v>
      </c>
      <c r="V259" s="7">
        <v>42</v>
      </c>
      <c r="W259" s="7">
        <f t="shared" si="43"/>
        <v>1.6232492903979006</v>
      </c>
      <c r="X259" s="7" t="s">
        <v>2255</v>
      </c>
      <c r="Y259" s="7" t="s">
        <v>2136</v>
      </c>
      <c r="Z259" s="7">
        <v>5</v>
      </c>
      <c r="AA259" s="7">
        <v>25</v>
      </c>
      <c r="AB259" s="108">
        <v>4</v>
      </c>
      <c r="AC259" s="108">
        <v>0.05</v>
      </c>
      <c r="AD259" s="7">
        <v>5</v>
      </c>
      <c r="AE259" s="7">
        <v>17.5</v>
      </c>
      <c r="AF259" s="7">
        <v>2</v>
      </c>
      <c r="AG259" s="7">
        <v>5</v>
      </c>
      <c r="AH259" s="7">
        <v>3</v>
      </c>
      <c r="AI259" s="7">
        <v>0.02</v>
      </c>
      <c r="AJ259" s="7">
        <v>5</v>
      </c>
      <c r="AK259" s="108">
        <v>12</v>
      </c>
      <c r="AL259" s="108">
        <v>1</v>
      </c>
      <c r="AM259" s="7">
        <v>5</v>
      </c>
      <c r="AN259" s="7">
        <f t="shared" si="44"/>
        <v>2.0916500663351889</v>
      </c>
      <c r="AO259" s="7">
        <f t="shared" si="45"/>
        <v>1.7320508075688772</v>
      </c>
      <c r="AP259" s="7">
        <f t="shared" si="46"/>
        <v>0.73205080756887719</v>
      </c>
      <c r="AQ259" s="7">
        <f t="shared" si="47"/>
        <v>-0.13486592347332046</v>
      </c>
      <c r="AR259" s="7">
        <f t="shared" si="48"/>
        <v>0.13486592347332046</v>
      </c>
      <c r="AS259" s="7">
        <f t="shared" si="49"/>
        <v>5</v>
      </c>
      <c r="AT259" s="184">
        <f t="shared" si="52"/>
        <v>1.0166666666666666</v>
      </c>
      <c r="AU259" s="7"/>
      <c r="AV259" s="7" t="s">
        <v>2145</v>
      </c>
      <c r="AW259" s="7"/>
      <c r="AX259" s="7" t="s">
        <v>2259</v>
      </c>
      <c r="AY259" s="7" t="s">
        <v>1509</v>
      </c>
    </row>
    <row r="260" spans="1:51">
      <c r="A260" s="7" t="s">
        <v>33</v>
      </c>
      <c r="B260" s="7" t="s">
        <v>34</v>
      </c>
      <c r="C260" s="7" t="s">
        <v>282</v>
      </c>
      <c r="D260" s="7" t="s">
        <v>2138</v>
      </c>
      <c r="E260" s="7" t="s">
        <v>2178</v>
      </c>
      <c r="F260" s="7" t="s">
        <v>2184</v>
      </c>
      <c r="G260" s="7" t="s">
        <v>2185</v>
      </c>
      <c r="H260" s="7" t="s">
        <v>4180</v>
      </c>
      <c r="I260" s="100">
        <f>AVERAGE(37, 55)/1000</f>
        <v>4.5999999999999999E-2</v>
      </c>
      <c r="J260" s="100">
        <f t="shared" si="41"/>
        <v>46</v>
      </c>
      <c r="K260" s="100">
        <f t="shared" si="42"/>
        <v>1.6627578316815741</v>
      </c>
      <c r="L260" s="73" t="s">
        <v>1502</v>
      </c>
      <c r="M260" s="7" t="s">
        <v>2142</v>
      </c>
      <c r="N260" s="7" t="s">
        <v>1538</v>
      </c>
      <c r="O260" s="7" t="s">
        <v>1505</v>
      </c>
      <c r="P260" s="108" t="s">
        <v>1492</v>
      </c>
      <c r="Q260" s="7" t="s">
        <v>2186</v>
      </c>
      <c r="R260" s="7">
        <v>41.15</v>
      </c>
      <c r="S260" s="7">
        <f t="shared" si="51"/>
        <v>41.15</v>
      </c>
      <c r="T260" s="7">
        <v>81.650000000000006</v>
      </c>
      <c r="U260" s="7">
        <v>1</v>
      </c>
      <c r="V260" s="7">
        <v>42</v>
      </c>
      <c r="W260" s="7">
        <f t="shared" si="43"/>
        <v>1.6232492903979006</v>
      </c>
      <c r="X260" s="7" t="s">
        <v>2255</v>
      </c>
      <c r="Y260" s="7" t="s">
        <v>2136</v>
      </c>
      <c r="Z260" s="7">
        <v>5</v>
      </c>
      <c r="AA260" s="7">
        <v>25</v>
      </c>
      <c r="AB260" s="108">
        <v>1.5</v>
      </c>
      <c r="AC260" s="108">
        <v>0.08</v>
      </c>
      <c r="AD260" s="7">
        <v>7</v>
      </c>
      <c r="AE260" s="7">
        <v>9.5</v>
      </c>
      <c r="AF260" s="7">
        <v>3.5</v>
      </c>
      <c r="AG260" s="7">
        <v>7</v>
      </c>
      <c r="AH260" s="7">
        <v>2</v>
      </c>
      <c r="AI260" s="7">
        <v>0.08</v>
      </c>
      <c r="AJ260" s="7">
        <v>5</v>
      </c>
      <c r="AK260" s="108">
        <v>10.8</v>
      </c>
      <c r="AL260" s="108">
        <v>2.2000000000000002</v>
      </c>
      <c r="AM260" s="7">
        <v>5</v>
      </c>
      <c r="AN260" s="7">
        <f t="shared" si="44"/>
        <v>2.5166114784235831</v>
      </c>
      <c r="AO260" s="7">
        <f t="shared" si="45"/>
        <v>2.6832815729997477</v>
      </c>
      <c r="AP260" s="7">
        <f t="shared" si="46"/>
        <v>1.6832815729997477</v>
      </c>
      <c r="AQ260" s="7">
        <f t="shared" si="47"/>
        <v>0.22641469724546495</v>
      </c>
      <c r="AR260" s="7">
        <f t="shared" si="48"/>
        <v>-0.22641469724546495</v>
      </c>
      <c r="AS260" s="7">
        <f t="shared" si="49"/>
        <v>6.333333333333333</v>
      </c>
      <c r="AT260" s="184">
        <f t="shared" si="52"/>
        <v>1.9266666666666667</v>
      </c>
      <c r="AU260" s="7"/>
      <c r="AV260" s="7" t="s">
        <v>2145</v>
      </c>
      <c r="AW260" s="7"/>
      <c r="AX260" s="7" t="s">
        <v>2260</v>
      </c>
      <c r="AY260" s="7" t="s">
        <v>1509</v>
      </c>
    </row>
    <row r="261" spans="1:51">
      <c r="A261" s="7" t="s">
        <v>33</v>
      </c>
      <c r="B261" s="7" t="s">
        <v>75</v>
      </c>
      <c r="C261" s="7" t="s">
        <v>76</v>
      </c>
      <c r="D261" s="7" t="s">
        <v>369</v>
      </c>
      <c r="E261" s="7" t="s">
        <v>370</v>
      </c>
      <c r="F261" s="7" t="s">
        <v>397</v>
      </c>
      <c r="G261" s="7" t="s">
        <v>1793</v>
      </c>
      <c r="H261" s="7" t="s">
        <v>4181</v>
      </c>
      <c r="I261" s="100">
        <f>621/1000</f>
        <v>0.621</v>
      </c>
      <c r="J261" s="100">
        <f t="shared" si="41"/>
        <v>621</v>
      </c>
      <c r="K261" s="100">
        <f t="shared" si="42"/>
        <v>2.79309160017658</v>
      </c>
      <c r="L261" s="73" t="s">
        <v>1517</v>
      </c>
      <c r="M261" s="7" t="s">
        <v>1794</v>
      </c>
      <c r="N261" s="7" t="s">
        <v>1538</v>
      </c>
      <c r="O261" s="7" t="s">
        <v>1505</v>
      </c>
      <c r="P261" s="108" t="s">
        <v>1492</v>
      </c>
      <c r="Q261" s="7" t="s">
        <v>1795</v>
      </c>
      <c r="R261" s="7">
        <v>30.237500000000001</v>
      </c>
      <c r="S261" s="7">
        <f t="shared" si="51"/>
        <v>30.237500000000001</v>
      </c>
      <c r="T261" s="7">
        <v>-92.268000000000001</v>
      </c>
      <c r="U261" s="7">
        <v>1</v>
      </c>
      <c r="V261" s="7">
        <v>14</v>
      </c>
      <c r="W261" s="7">
        <f t="shared" si="43"/>
        <v>1.146128035678238</v>
      </c>
      <c r="X261" s="7" t="s">
        <v>2261</v>
      </c>
      <c r="Y261" s="7" t="s">
        <v>1781</v>
      </c>
      <c r="Z261" s="7">
        <v>5</v>
      </c>
      <c r="AA261" s="7">
        <v>20</v>
      </c>
      <c r="AB261" s="7">
        <v>8</v>
      </c>
      <c r="AC261" s="7">
        <v>0.3</v>
      </c>
      <c r="AD261" s="7">
        <v>8</v>
      </c>
      <c r="AE261" s="7">
        <v>26.9</v>
      </c>
      <c r="AF261" s="7">
        <v>1.5</v>
      </c>
      <c r="AG261" s="7">
        <v>8</v>
      </c>
      <c r="AH261" s="7">
        <v>8.1</v>
      </c>
      <c r="AI261" s="7">
        <v>0.5</v>
      </c>
      <c r="AJ261" s="7">
        <v>7</v>
      </c>
      <c r="AK261" s="7">
        <v>21.2</v>
      </c>
      <c r="AL261" s="7">
        <v>1.6</v>
      </c>
      <c r="AM261" s="7">
        <v>8</v>
      </c>
      <c r="AN261" s="7">
        <f t="shared" si="44"/>
        <v>2.2444410094319074</v>
      </c>
      <c r="AO261" s="7">
        <f t="shared" si="45"/>
        <v>1.9149785598428553</v>
      </c>
      <c r="AP261" s="7">
        <f t="shared" si="46"/>
        <v>0.91497855984285525</v>
      </c>
      <c r="AQ261" s="7">
        <f t="shared" si="47"/>
        <v>-3.8114691671574032E-2</v>
      </c>
      <c r="AR261" s="7">
        <f t="shared" si="48"/>
        <v>3.8114691671574032E-2</v>
      </c>
      <c r="AS261" s="7">
        <f t="shared" si="49"/>
        <v>8</v>
      </c>
      <c r="AT261" s="184">
        <f t="shared" si="52"/>
        <v>1.1333333333333335</v>
      </c>
      <c r="AU261" s="7"/>
      <c r="AV261" s="7" t="s">
        <v>2262</v>
      </c>
      <c r="AW261" s="7"/>
      <c r="AX261" s="7" t="s">
        <v>1794</v>
      </c>
      <c r="AY261" s="7" t="s">
        <v>1509</v>
      </c>
    </row>
    <row r="262" spans="1:51">
      <c r="A262" s="7" t="s">
        <v>33</v>
      </c>
      <c r="B262" s="7" t="s">
        <v>34</v>
      </c>
      <c r="C262" s="7" t="s">
        <v>61</v>
      </c>
      <c r="D262" s="7" t="s">
        <v>62</v>
      </c>
      <c r="E262" s="7" t="s">
        <v>1732</v>
      </c>
      <c r="F262" s="7" t="s">
        <v>1733</v>
      </c>
      <c r="G262" s="7" t="s">
        <v>1734</v>
      </c>
      <c r="H262" s="7" t="s">
        <v>4180</v>
      </c>
      <c r="I262" s="100">
        <f>(AVERAGE(66,79))/1000</f>
        <v>7.2499999999999995E-2</v>
      </c>
      <c r="J262" s="100">
        <f t="shared" si="41"/>
        <v>72.5</v>
      </c>
      <c r="K262" s="100">
        <f t="shared" si="42"/>
        <v>1.8603380065709938</v>
      </c>
      <c r="L262" s="73" t="s">
        <v>1502</v>
      </c>
      <c r="M262" s="7" t="s">
        <v>1735</v>
      </c>
      <c r="N262" s="7" t="s">
        <v>1538</v>
      </c>
      <c r="O262" s="7" t="s">
        <v>1494</v>
      </c>
      <c r="P262" s="108" t="s">
        <v>1539</v>
      </c>
      <c r="Q262" s="7" t="s">
        <v>2263</v>
      </c>
      <c r="R262" s="7">
        <v>62.75</v>
      </c>
      <c r="S262" s="7">
        <f t="shared" si="51"/>
        <v>62.75</v>
      </c>
      <c r="T262" s="7">
        <v>29.8</v>
      </c>
      <c r="U262" s="7">
        <v>1</v>
      </c>
      <c r="V262" s="7">
        <v>28</v>
      </c>
      <c r="W262" s="7">
        <f t="shared" si="43"/>
        <v>1.4471580313422192</v>
      </c>
      <c r="X262" s="7" t="s">
        <v>2264</v>
      </c>
      <c r="Y262" s="7" t="s">
        <v>2136</v>
      </c>
      <c r="Z262" s="7">
        <v>4</v>
      </c>
      <c r="AA262" s="7">
        <v>17</v>
      </c>
      <c r="AB262" s="7">
        <v>32</v>
      </c>
      <c r="AC262" s="7">
        <v>1</v>
      </c>
      <c r="AD262" s="7">
        <v>15</v>
      </c>
      <c r="AE262" s="7">
        <v>75</v>
      </c>
      <c r="AF262" s="7">
        <v>4</v>
      </c>
      <c r="AG262" s="7">
        <v>15</v>
      </c>
      <c r="AH262" s="7">
        <v>25</v>
      </c>
      <c r="AI262" s="7">
        <v>1</v>
      </c>
      <c r="AJ262" s="7">
        <v>15</v>
      </c>
      <c r="AK262" s="7">
        <v>88</v>
      </c>
      <c r="AL262" s="7">
        <v>2</v>
      </c>
      <c r="AM262" s="7">
        <v>15</v>
      </c>
      <c r="AN262" s="7">
        <f t="shared" si="44"/>
        <v>1.9255160471570734</v>
      </c>
      <c r="AO262" s="7">
        <f t="shared" si="45"/>
        <v>2.1774501743628245</v>
      </c>
      <c r="AP262" s="7">
        <f t="shared" si="46"/>
        <v>1.1774501743628245</v>
      </c>
      <c r="AQ262" s="7">
        <f t="shared" si="47"/>
        <v>7.1311224996336048E-2</v>
      </c>
      <c r="AR262" s="7">
        <f t="shared" si="48"/>
        <v>-7.1311224996336048E-2</v>
      </c>
      <c r="AS262" s="7">
        <f t="shared" si="49"/>
        <v>15</v>
      </c>
      <c r="AT262" s="184">
        <f t="shared" si="52"/>
        <v>2.3333333333333335</v>
      </c>
      <c r="AU262" s="7"/>
      <c r="AV262" s="7" t="s">
        <v>2265</v>
      </c>
      <c r="AW262" s="7"/>
      <c r="AX262" s="7" t="s">
        <v>1735</v>
      </c>
      <c r="AY262" s="7" t="s">
        <v>1509</v>
      </c>
    </row>
    <row r="263" spans="1:51">
      <c r="A263" s="7" t="s">
        <v>33</v>
      </c>
      <c r="B263" s="7" t="s">
        <v>34</v>
      </c>
      <c r="C263" s="7" t="s">
        <v>66</v>
      </c>
      <c r="D263" s="7" t="s">
        <v>67</v>
      </c>
      <c r="E263" s="7" t="s">
        <v>1743</v>
      </c>
      <c r="F263" s="7" t="s">
        <v>972</v>
      </c>
      <c r="G263" s="7" t="s">
        <v>1744</v>
      </c>
      <c r="H263" s="7" t="s">
        <v>4180</v>
      </c>
      <c r="I263" s="100">
        <f>1/1000</f>
        <v>1E-3</v>
      </c>
      <c r="J263" s="100">
        <f t="shared" si="41"/>
        <v>1</v>
      </c>
      <c r="K263" s="100">
        <f t="shared" si="42"/>
        <v>0</v>
      </c>
      <c r="L263" s="73" t="s">
        <v>1502</v>
      </c>
      <c r="M263" s="7" t="s">
        <v>1745</v>
      </c>
      <c r="N263" s="7" t="s">
        <v>1538</v>
      </c>
      <c r="O263" s="7" t="s">
        <v>1494</v>
      </c>
      <c r="P263" s="108" t="s">
        <v>1492</v>
      </c>
      <c r="Q263" s="7" t="s">
        <v>2209</v>
      </c>
      <c r="R263" s="7">
        <v>34.700000000000003</v>
      </c>
      <c r="S263" s="7">
        <v>34.700000000000003</v>
      </c>
      <c r="T263" s="7"/>
      <c r="U263" s="7">
        <v>1</v>
      </c>
      <c r="V263" s="7">
        <v>60</v>
      </c>
      <c r="W263" s="7">
        <f t="shared" si="43"/>
        <v>1.7781512503836436</v>
      </c>
      <c r="X263" s="7" t="s">
        <v>2261</v>
      </c>
      <c r="Y263" s="7" t="s">
        <v>2262</v>
      </c>
      <c r="Z263" s="7">
        <v>10</v>
      </c>
      <c r="AA263" s="7">
        <v>25</v>
      </c>
      <c r="AB263" s="7">
        <v>16.8</v>
      </c>
      <c r="AC263" s="7">
        <v>2</v>
      </c>
      <c r="AD263" s="7">
        <v>9</v>
      </c>
      <c r="AE263" s="7">
        <v>40.700000000000003</v>
      </c>
      <c r="AF263" s="7">
        <v>5.0999999999999996</v>
      </c>
      <c r="AG263" s="7">
        <v>9</v>
      </c>
      <c r="AH263" s="7">
        <v>13.1</v>
      </c>
      <c r="AI263" s="7">
        <v>0.6</v>
      </c>
      <c r="AJ263" s="7">
        <v>9</v>
      </c>
      <c r="AK263" s="7">
        <v>66.8</v>
      </c>
      <c r="AL263" s="7">
        <v>6.9</v>
      </c>
      <c r="AM263" s="7">
        <v>9</v>
      </c>
      <c r="AN263" s="7">
        <f t="shared" si="44"/>
        <v>1.8038070708077996</v>
      </c>
      <c r="AO263" s="7">
        <f t="shared" si="45"/>
        <v>2.5098327800296691</v>
      </c>
      <c r="AP263" s="7">
        <f t="shared" si="46"/>
        <v>1.5098327800296691</v>
      </c>
      <c r="AQ263" s="7">
        <f t="shared" si="47"/>
        <v>0.17921639899872405</v>
      </c>
      <c r="AR263" s="7">
        <f t="shared" si="48"/>
        <v>-0.17921639899872405</v>
      </c>
      <c r="AS263" s="7">
        <f t="shared" si="49"/>
        <v>9</v>
      </c>
      <c r="AT263" s="184">
        <f t="shared" si="52"/>
        <v>4.666666666666667</v>
      </c>
      <c r="AU263" s="7"/>
      <c r="AV263" s="7"/>
      <c r="AW263" s="7" t="s">
        <v>2266</v>
      </c>
      <c r="AX263" s="7" t="s">
        <v>2267</v>
      </c>
      <c r="AY263" s="7" t="s">
        <v>1509</v>
      </c>
    </row>
    <row r="264" spans="1:51">
      <c r="A264" s="7" t="s">
        <v>33</v>
      </c>
      <c r="B264" s="7" t="s">
        <v>34</v>
      </c>
      <c r="C264" s="7" t="s">
        <v>66</v>
      </c>
      <c r="D264" s="7" t="s">
        <v>67</v>
      </c>
      <c r="E264" s="7" t="s">
        <v>1743</v>
      </c>
      <c r="F264" s="7" t="s">
        <v>972</v>
      </c>
      <c r="G264" s="7" t="s">
        <v>1744</v>
      </c>
      <c r="H264" s="7" t="s">
        <v>4180</v>
      </c>
      <c r="I264" s="100">
        <f>1/1000</f>
        <v>1E-3</v>
      </c>
      <c r="J264" s="100">
        <f t="shared" ref="J264:J327" si="53">I264*1000</f>
        <v>1</v>
      </c>
      <c r="K264" s="100">
        <f t="shared" ref="K264:K327" si="54">LOG(J264)</f>
        <v>0</v>
      </c>
      <c r="L264" s="73" t="s">
        <v>1502</v>
      </c>
      <c r="M264" s="7" t="s">
        <v>1745</v>
      </c>
      <c r="N264" s="7" t="s">
        <v>1538</v>
      </c>
      <c r="O264" s="7" t="s">
        <v>1494</v>
      </c>
      <c r="P264" s="108" t="s">
        <v>1492</v>
      </c>
      <c r="Q264" s="7" t="s">
        <v>2209</v>
      </c>
      <c r="R264" s="7">
        <v>34.700000000000003</v>
      </c>
      <c r="S264" s="7">
        <v>34.700000000000003</v>
      </c>
      <c r="T264" s="7"/>
      <c r="U264" s="7">
        <v>1</v>
      </c>
      <c r="V264" s="7">
        <v>60</v>
      </c>
      <c r="W264" s="7">
        <f t="shared" ref="W264:W327" si="55">LOG(V264)</f>
        <v>1.7781512503836436</v>
      </c>
      <c r="X264" s="7" t="s">
        <v>2261</v>
      </c>
      <c r="Y264" s="7" t="s">
        <v>2262</v>
      </c>
      <c r="Z264" s="7">
        <v>10</v>
      </c>
      <c r="AA264" s="7">
        <v>25</v>
      </c>
      <c r="AB264" s="7">
        <v>23.7</v>
      </c>
      <c r="AC264" s="7">
        <v>3.7</v>
      </c>
      <c r="AD264" s="7">
        <v>7</v>
      </c>
      <c r="AE264" s="7">
        <v>52.8</v>
      </c>
      <c r="AF264" s="7">
        <v>3.4</v>
      </c>
      <c r="AG264" s="7">
        <v>7</v>
      </c>
      <c r="AH264" s="7">
        <v>17.600000000000001</v>
      </c>
      <c r="AI264" s="7">
        <v>1.5</v>
      </c>
      <c r="AJ264" s="7">
        <v>7</v>
      </c>
      <c r="AK264" s="7">
        <v>48.4</v>
      </c>
      <c r="AL264" s="7">
        <v>5.8</v>
      </c>
      <c r="AM264" s="7">
        <v>7</v>
      </c>
      <c r="AN264" s="7">
        <f t="shared" ref="AN264:AN327" si="56">(AE264/AB264)^(10/(AA264-Z264))</f>
        <v>1.7057827478726131</v>
      </c>
      <c r="AO264" s="7">
        <f t="shared" ref="AO264:AO327" si="57">(AK264/AB264)^(10/(AA264-Z264))</f>
        <v>1.6096495916778151</v>
      </c>
      <c r="AP264" s="7">
        <f t="shared" ref="AP264:AP327" si="58">ABS(AO264-1)</f>
        <v>0.60964959167781507</v>
      </c>
      <c r="AQ264" s="7">
        <f t="shared" ref="AQ264:AQ327" si="59">LOG(AP264+0.001)</f>
        <v>-0.21420792896388927</v>
      </c>
      <c r="AR264" s="7">
        <f t="shared" ref="AR264:AR327" si="60">AQ264*-1</f>
        <v>0.21420792896388927</v>
      </c>
      <c r="AS264" s="7">
        <f t="shared" ref="AS264:AS327" si="61">AVERAGE(AD264,AG264,AM264)</f>
        <v>7</v>
      </c>
      <c r="AT264" s="184">
        <f t="shared" si="52"/>
        <v>4.3</v>
      </c>
      <c r="AU264" s="7"/>
      <c r="AV264" s="7"/>
      <c r="AW264" s="7"/>
      <c r="AX264" s="7" t="s">
        <v>2267</v>
      </c>
      <c r="AY264" s="7" t="s">
        <v>1509</v>
      </c>
    </row>
    <row r="265" spans="1:51">
      <c r="A265" s="7" t="s">
        <v>33</v>
      </c>
      <c r="B265" s="7" t="s">
        <v>34</v>
      </c>
      <c r="C265" s="7" t="s">
        <v>66</v>
      </c>
      <c r="D265" s="7" t="s">
        <v>67</v>
      </c>
      <c r="E265" s="7" t="s">
        <v>1743</v>
      </c>
      <c r="F265" s="7" t="s">
        <v>972</v>
      </c>
      <c r="G265" s="7" t="s">
        <v>1744</v>
      </c>
      <c r="H265" s="7" t="s">
        <v>4180</v>
      </c>
      <c r="I265" s="100">
        <f>1/1000</f>
        <v>1E-3</v>
      </c>
      <c r="J265" s="100">
        <f t="shared" si="53"/>
        <v>1</v>
      </c>
      <c r="K265" s="100">
        <f t="shared" si="54"/>
        <v>0</v>
      </c>
      <c r="L265" s="73" t="s">
        <v>1502</v>
      </c>
      <c r="M265" s="7" t="s">
        <v>1745</v>
      </c>
      <c r="N265" s="7" t="s">
        <v>1538</v>
      </c>
      <c r="O265" s="7" t="s">
        <v>1494</v>
      </c>
      <c r="P265" s="108" t="s">
        <v>1492</v>
      </c>
      <c r="Q265" s="7" t="s">
        <v>2209</v>
      </c>
      <c r="R265" s="7">
        <v>34.700000000000003</v>
      </c>
      <c r="S265" s="7">
        <v>34.700000000000003</v>
      </c>
      <c r="T265" s="7"/>
      <c r="U265" s="7">
        <v>1</v>
      </c>
      <c r="V265" s="7">
        <v>60</v>
      </c>
      <c r="W265" s="7">
        <f t="shared" si="55"/>
        <v>1.7781512503836436</v>
      </c>
      <c r="X265" s="7" t="s">
        <v>2261</v>
      </c>
      <c r="Y265" s="7" t="s">
        <v>2136</v>
      </c>
      <c r="Z265" s="7">
        <v>10</v>
      </c>
      <c r="AA265" s="7">
        <v>25</v>
      </c>
      <c r="AB265" s="7">
        <v>19.8</v>
      </c>
      <c r="AC265" s="7">
        <v>3.2</v>
      </c>
      <c r="AD265" s="7">
        <v>8</v>
      </c>
      <c r="AE265" s="7">
        <v>60.8</v>
      </c>
      <c r="AF265" s="7">
        <v>4.8</v>
      </c>
      <c r="AG265" s="7">
        <v>8</v>
      </c>
      <c r="AH265" s="7">
        <v>15</v>
      </c>
      <c r="AI265" s="7">
        <v>1.6</v>
      </c>
      <c r="AJ265" s="7">
        <v>8</v>
      </c>
      <c r="AK265" s="7">
        <v>63.3</v>
      </c>
      <c r="AL265" s="7">
        <v>9.9</v>
      </c>
      <c r="AM265" s="7">
        <v>8</v>
      </c>
      <c r="AN265" s="7">
        <f t="shared" si="56"/>
        <v>2.1126404590171126</v>
      </c>
      <c r="AO265" s="7">
        <f t="shared" si="57"/>
        <v>2.1701629588269986</v>
      </c>
      <c r="AP265" s="7">
        <f t="shared" si="58"/>
        <v>1.1701629588269986</v>
      </c>
      <c r="AQ265" s="7">
        <f t="shared" si="59"/>
        <v>6.8617328202509223E-2</v>
      </c>
      <c r="AR265" s="7">
        <f t="shared" si="60"/>
        <v>-6.8617328202509223E-2</v>
      </c>
      <c r="AS265" s="7">
        <f t="shared" si="61"/>
        <v>8</v>
      </c>
      <c r="AT265" s="184">
        <f t="shared" si="52"/>
        <v>5.9666666666666659</v>
      </c>
      <c r="AU265" s="7"/>
      <c r="AV265" s="7" t="s">
        <v>2262</v>
      </c>
      <c r="AW265" s="7"/>
      <c r="AX265" s="7" t="s">
        <v>2268</v>
      </c>
      <c r="AY265" s="7" t="s">
        <v>1509</v>
      </c>
    </row>
    <row r="266" spans="1:51">
      <c r="A266" s="7" t="s">
        <v>33</v>
      </c>
      <c r="B266" s="7" t="s">
        <v>34</v>
      </c>
      <c r="C266" s="7" t="s">
        <v>66</v>
      </c>
      <c r="D266" s="7" t="s">
        <v>67</v>
      </c>
      <c r="E266" s="7" t="s">
        <v>1743</v>
      </c>
      <c r="F266" s="7" t="s">
        <v>972</v>
      </c>
      <c r="G266" s="7" t="s">
        <v>1744</v>
      </c>
      <c r="H266" s="7" t="s">
        <v>4180</v>
      </c>
      <c r="I266" s="100">
        <f>1/1000</f>
        <v>1E-3</v>
      </c>
      <c r="J266" s="100">
        <f t="shared" si="53"/>
        <v>1</v>
      </c>
      <c r="K266" s="100">
        <f t="shared" si="54"/>
        <v>0</v>
      </c>
      <c r="L266" s="73" t="s">
        <v>1502</v>
      </c>
      <c r="M266" s="7" t="s">
        <v>1745</v>
      </c>
      <c r="N266" s="7" t="s">
        <v>1538</v>
      </c>
      <c r="O266" s="7" t="s">
        <v>1494</v>
      </c>
      <c r="P266" s="108" t="s">
        <v>1492</v>
      </c>
      <c r="Q266" s="7" t="s">
        <v>2209</v>
      </c>
      <c r="R266" s="7">
        <v>34.700000000000003</v>
      </c>
      <c r="S266" s="7">
        <v>34.700000000000003</v>
      </c>
      <c r="T266" s="7"/>
      <c r="U266" s="7">
        <v>1</v>
      </c>
      <c r="V266" s="7">
        <v>60</v>
      </c>
      <c r="W266" s="7">
        <f t="shared" si="55"/>
        <v>1.7781512503836436</v>
      </c>
      <c r="X266" s="7" t="s">
        <v>2261</v>
      </c>
      <c r="Y266" s="7" t="s">
        <v>2136</v>
      </c>
      <c r="Z266" s="7">
        <v>10</v>
      </c>
      <c r="AA266" s="7">
        <v>25</v>
      </c>
      <c r="AB266" s="7">
        <v>203.2</v>
      </c>
      <c r="AC266" s="7">
        <v>41.9</v>
      </c>
      <c r="AD266" s="7">
        <v>8</v>
      </c>
      <c r="AE266" s="7">
        <v>975.3</v>
      </c>
      <c r="AF266" s="7">
        <v>148.4</v>
      </c>
      <c r="AG266" s="7">
        <v>8</v>
      </c>
      <c r="AH266" s="7">
        <v>100.8</v>
      </c>
      <c r="AI266" s="7">
        <v>17.5</v>
      </c>
      <c r="AJ266" s="7">
        <v>8</v>
      </c>
      <c r="AK266" s="7">
        <v>759</v>
      </c>
      <c r="AL266" s="7">
        <v>165.8</v>
      </c>
      <c r="AM266" s="7">
        <v>8</v>
      </c>
      <c r="AN266" s="7">
        <f t="shared" si="56"/>
        <v>2.8453979464210208</v>
      </c>
      <c r="AO266" s="7">
        <f t="shared" si="57"/>
        <v>2.4073840650645768</v>
      </c>
      <c r="AP266" s="7">
        <f t="shared" si="58"/>
        <v>1.4073840650645768</v>
      </c>
      <c r="AQ266" s="7">
        <f t="shared" si="59"/>
        <v>0.14872110267074398</v>
      </c>
      <c r="AR266" s="7">
        <f t="shared" si="60"/>
        <v>-0.14872110267074398</v>
      </c>
      <c r="AS266" s="7">
        <f t="shared" si="61"/>
        <v>8</v>
      </c>
      <c r="AT266" s="184">
        <f t="shared" si="52"/>
        <v>118.7</v>
      </c>
      <c r="AU266" s="7"/>
      <c r="AV266" s="7" t="s">
        <v>2269</v>
      </c>
      <c r="AW266" s="7" t="s">
        <v>2266</v>
      </c>
      <c r="AX266" s="7" t="s">
        <v>2268</v>
      </c>
      <c r="AY266" s="7" t="s">
        <v>1509</v>
      </c>
    </row>
    <row r="267" spans="1:51">
      <c r="A267" s="7" t="s">
        <v>33</v>
      </c>
      <c r="B267" s="7" t="s">
        <v>34</v>
      </c>
      <c r="C267" s="7" t="s">
        <v>66</v>
      </c>
      <c r="D267" s="7" t="s">
        <v>67</v>
      </c>
      <c r="E267" s="7" t="s">
        <v>1764</v>
      </c>
      <c r="F267" s="7" t="s">
        <v>1765</v>
      </c>
      <c r="G267" s="7" t="s">
        <v>1766</v>
      </c>
      <c r="H267" s="7" t="s">
        <v>4180</v>
      </c>
      <c r="I267" s="100">
        <f>AVERAGE(5.14, 2.91)/1000</f>
        <v>4.0249999999999999E-3</v>
      </c>
      <c r="J267" s="100">
        <f t="shared" si="53"/>
        <v>4.0250000000000004</v>
      </c>
      <c r="K267" s="100">
        <f t="shared" si="54"/>
        <v>0.60476588470388737</v>
      </c>
      <c r="L267" s="73" t="s">
        <v>1502</v>
      </c>
      <c r="M267" s="7" t="s">
        <v>1767</v>
      </c>
      <c r="N267" s="7" t="s">
        <v>1538</v>
      </c>
      <c r="O267" s="7" t="s">
        <v>1494</v>
      </c>
      <c r="P267" s="108" t="s">
        <v>1492</v>
      </c>
      <c r="Q267" s="7" t="s">
        <v>1768</v>
      </c>
      <c r="R267" s="7">
        <v>41</v>
      </c>
      <c r="S267" s="7">
        <f>ABS(R267)</f>
        <v>41</v>
      </c>
      <c r="T267" s="7">
        <v>-77.5</v>
      </c>
      <c r="U267" s="7">
        <v>1</v>
      </c>
      <c r="V267" s="7">
        <v>14</v>
      </c>
      <c r="W267" s="7">
        <f t="shared" si="55"/>
        <v>1.146128035678238</v>
      </c>
      <c r="X267" s="7" t="s">
        <v>2270</v>
      </c>
      <c r="Y267" s="7" t="s">
        <v>2271</v>
      </c>
      <c r="Z267" s="7">
        <v>7</v>
      </c>
      <c r="AA267" s="7">
        <v>15</v>
      </c>
      <c r="AB267" s="7">
        <v>0.91700000000000004</v>
      </c>
      <c r="AC267" s="7">
        <v>0.12</v>
      </c>
      <c r="AD267" s="7">
        <v>17</v>
      </c>
      <c r="AE267" s="7">
        <v>1.069</v>
      </c>
      <c r="AF267" s="7">
        <v>0.05</v>
      </c>
      <c r="AG267" s="7">
        <v>20</v>
      </c>
      <c r="AH267" s="7">
        <v>0.67400000000000004</v>
      </c>
      <c r="AI267" s="7">
        <v>0.05</v>
      </c>
      <c r="AJ267" s="7">
        <v>19</v>
      </c>
      <c r="AK267" s="7">
        <v>0.91800000000000004</v>
      </c>
      <c r="AL267" s="7">
        <v>7.0000000000000007E-2</v>
      </c>
      <c r="AM267" s="7">
        <v>20</v>
      </c>
      <c r="AN267" s="7">
        <f t="shared" si="56"/>
        <v>1.2113243902799278</v>
      </c>
      <c r="AO267" s="7">
        <f t="shared" si="57"/>
        <v>1.0013633264407338</v>
      </c>
      <c r="AP267" s="7">
        <f t="shared" si="58"/>
        <v>1.3633264407337808E-3</v>
      </c>
      <c r="AQ267" s="7">
        <f t="shared" si="59"/>
        <v>-2.6264762861468851</v>
      </c>
      <c r="AR267" s="7">
        <f t="shared" si="60"/>
        <v>2.6264762861468851</v>
      </c>
      <c r="AS267" s="7">
        <f t="shared" si="61"/>
        <v>19</v>
      </c>
      <c r="AT267" s="184">
        <f t="shared" si="52"/>
        <v>0.08</v>
      </c>
      <c r="AU267" s="7"/>
      <c r="AV267" s="7" t="s">
        <v>1770</v>
      </c>
      <c r="AW267" s="7"/>
      <c r="AX267" s="7" t="s">
        <v>1767</v>
      </c>
      <c r="AY267" s="7" t="s">
        <v>1509</v>
      </c>
    </row>
    <row r="268" spans="1:51">
      <c r="A268" s="7" t="s">
        <v>33</v>
      </c>
      <c r="B268" s="7" t="s">
        <v>34</v>
      </c>
      <c r="C268" s="7" t="s">
        <v>66</v>
      </c>
      <c r="D268" s="7" t="s">
        <v>67</v>
      </c>
      <c r="E268" s="7" t="s">
        <v>1764</v>
      </c>
      <c r="F268" s="7" t="s">
        <v>1765</v>
      </c>
      <c r="G268" s="7" t="s">
        <v>1766</v>
      </c>
      <c r="H268" s="7" t="s">
        <v>4180</v>
      </c>
      <c r="I268" s="100">
        <f>AVERAGE(5.14, 2.91)/1000</f>
        <v>4.0249999999999999E-3</v>
      </c>
      <c r="J268" s="100">
        <f t="shared" si="53"/>
        <v>4.0250000000000004</v>
      </c>
      <c r="K268" s="100">
        <f t="shared" si="54"/>
        <v>0.60476588470388737</v>
      </c>
      <c r="L268" s="73" t="s">
        <v>1502</v>
      </c>
      <c r="M268" s="7" t="s">
        <v>1767</v>
      </c>
      <c r="N268" s="7" t="s">
        <v>1538</v>
      </c>
      <c r="O268" s="7" t="s">
        <v>1494</v>
      </c>
      <c r="P268" s="108" t="s">
        <v>1492</v>
      </c>
      <c r="Q268" s="7" t="s">
        <v>1768</v>
      </c>
      <c r="R268" s="7">
        <v>41</v>
      </c>
      <c r="S268" s="7">
        <f>ABS(R268)</f>
        <v>41</v>
      </c>
      <c r="T268" s="7">
        <v>-77.5</v>
      </c>
      <c r="U268" s="7">
        <v>1</v>
      </c>
      <c r="V268" s="7">
        <v>14</v>
      </c>
      <c r="W268" s="7">
        <f t="shared" si="55"/>
        <v>1.146128035678238</v>
      </c>
      <c r="X268" s="7" t="s">
        <v>2270</v>
      </c>
      <c r="Y268" s="7" t="s">
        <v>2271</v>
      </c>
      <c r="Z268" s="7">
        <v>7</v>
      </c>
      <c r="AA268" s="7">
        <v>23</v>
      </c>
      <c r="AB268" s="7">
        <v>0.91700000000000004</v>
      </c>
      <c r="AC268" s="7">
        <v>0.12</v>
      </c>
      <c r="AD268" s="7">
        <v>17</v>
      </c>
      <c r="AE268" s="7">
        <v>1.587</v>
      </c>
      <c r="AF268" s="7">
        <v>0.25</v>
      </c>
      <c r="AG268" s="7">
        <v>18</v>
      </c>
      <c r="AH268" s="7">
        <v>0.66800000000000004</v>
      </c>
      <c r="AI268" s="7">
        <v>7.0000000000000007E-2</v>
      </c>
      <c r="AJ268" s="7">
        <v>19</v>
      </c>
      <c r="AK268" s="7">
        <v>1.4379999999999999</v>
      </c>
      <c r="AL268" s="7">
        <v>0.1</v>
      </c>
      <c r="AM268" s="7">
        <v>20</v>
      </c>
      <c r="AN268" s="7">
        <f t="shared" si="56"/>
        <v>1.4088986222255588</v>
      </c>
      <c r="AO268" s="7">
        <f t="shared" si="57"/>
        <v>1.3247028448721445</v>
      </c>
      <c r="AP268" s="7">
        <f t="shared" si="58"/>
        <v>0.32470284487214451</v>
      </c>
      <c r="AQ268" s="7">
        <f t="shared" si="59"/>
        <v>-0.4871784480458784</v>
      </c>
      <c r="AR268" s="7">
        <f t="shared" si="60"/>
        <v>0.4871784480458784</v>
      </c>
      <c r="AS268" s="7">
        <f t="shared" si="61"/>
        <v>18.333333333333332</v>
      </c>
      <c r="AT268" s="184">
        <f t="shared" si="52"/>
        <v>0.15666666666666665</v>
      </c>
      <c r="AU268" s="7"/>
      <c r="AV268" s="7" t="s">
        <v>1770</v>
      </c>
      <c r="AW268" s="7"/>
      <c r="AX268" s="7" t="s">
        <v>1767</v>
      </c>
      <c r="AY268" s="7" t="s">
        <v>1509</v>
      </c>
    </row>
    <row r="269" spans="1:51">
      <c r="A269" s="7" t="s">
        <v>33</v>
      </c>
      <c r="B269" s="7" t="s">
        <v>34</v>
      </c>
      <c r="C269" s="7" t="s">
        <v>66</v>
      </c>
      <c r="D269" s="7" t="s">
        <v>67</v>
      </c>
      <c r="E269" s="7" t="s">
        <v>1764</v>
      </c>
      <c r="F269" s="7" t="s">
        <v>1765</v>
      </c>
      <c r="G269" s="7" t="s">
        <v>1766</v>
      </c>
      <c r="H269" s="7" t="s">
        <v>4180</v>
      </c>
      <c r="I269" s="100">
        <f>AVERAGE(5.14, 2.91)/1000</f>
        <v>4.0249999999999999E-3</v>
      </c>
      <c r="J269" s="100">
        <f t="shared" si="53"/>
        <v>4.0250000000000004</v>
      </c>
      <c r="K269" s="100">
        <f t="shared" si="54"/>
        <v>0.60476588470388737</v>
      </c>
      <c r="L269" s="73" t="s">
        <v>1502</v>
      </c>
      <c r="M269" s="7" t="s">
        <v>1767</v>
      </c>
      <c r="N269" s="7" t="s">
        <v>1538</v>
      </c>
      <c r="O269" s="7" t="s">
        <v>1494</v>
      </c>
      <c r="P269" s="108" t="s">
        <v>1492</v>
      </c>
      <c r="Q269" s="7" t="s">
        <v>1768</v>
      </c>
      <c r="R269" s="7">
        <v>41</v>
      </c>
      <c r="S269" s="7">
        <f>ABS(R269)</f>
        <v>41</v>
      </c>
      <c r="T269" s="7">
        <v>-77.5</v>
      </c>
      <c r="U269" s="7">
        <v>1</v>
      </c>
      <c r="V269" s="7">
        <v>14</v>
      </c>
      <c r="W269" s="7">
        <f t="shared" si="55"/>
        <v>1.146128035678238</v>
      </c>
      <c r="X269" s="7" t="s">
        <v>2270</v>
      </c>
      <c r="Y269" s="7" t="s">
        <v>2271</v>
      </c>
      <c r="Z269" s="7">
        <v>15</v>
      </c>
      <c r="AA269" s="7">
        <v>23</v>
      </c>
      <c r="AB269" s="7">
        <v>0.91800000000000004</v>
      </c>
      <c r="AC269" s="7">
        <v>7.0000000000000007E-2</v>
      </c>
      <c r="AD269" s="7">
        <v>20</v>
      </c>
      <c r="AE269" s="7">
        <v>1.327</v>
      </c>
      <c r="AF269" s="7">
        <v>0.09</v>
      </c>
      <c r="AG269" s="7">
        <v>20</v>
      </c>
      <c r="AH269" s="7">
        <v>0.89200000000000002</v>
      </c>
      <c r="AI269" s="7">
        <v>0.06</v>
      </c>
      <c r="AJ269" s="7">
        <v>19</v>
      </c>
      <c r="AK269" s="7">
        <v>1.4379999999999999</v>
      </c>
      <c r="AL269" s="7">
        <v>0.1</v>
      </c>
      <c r="AM269" s="7">
        <v>20</v>
      </c>
      <c r="AN269" s="7">
        <f t="shared" si="56"/>
        <v>1.5850220273900479</v>
      </c>
      <c r="AO269" s="7">
        <f t="shared" si="57"/>
        <v>1.7524484678800691</v>
      </c>
      <c r="AP269" s="7">
        <f t="shared" si="58"/>
        <v>0.75244846788006914</v>
      </c>
      <c r="AQ269" s="7">
        <f t="shared" si="59"/>
        <v>-0.12294644591159685</v>
      </c>
      <c r="AR269" s="7">
        <f t="shared" si="60"/>
        <v>0.12294644591159685</v>
      </c>
      <c r="AS269" s="7">
        <f t="shared" si="61"/>
        <v>20</v>
      </c>
      <c r="AT269" s="184">
        <f t="shared" si="52"/>
        <v>8.666666666666667E-2</v>
      </c>
      <c r="AU269" s="7"/>
      <c r="AV269" s="7" t="s">
        <v>1770</v>
      </c>
      <c r="AW269" s="7"/>
      <c r="AX269" s="107" t="s">
        <v>1767</v>
      </c>
      <c r="AY269" s="7" t="s">
        <v>1509</v>
      </c>
    </row>
    <row r="270" spans="1:51">
      <c r="A270" s="7" t="s">
        <v>23</v>
      </c>
      <c r="B270" s="7" t="s">
        <v>2272</v>
      </c>
      <c r="C270" s="7" t="s">
        <v>2273</v>
      </c>
      <c r="D270" s="7" t="s">
        <v>2274</v>
      </c>
      <c r="E270" s="7" t="s">
        <v>2275</v>
      </c>
      <c r="F270" s="7" t="s">
        <v>1898</v>
      </c>
      <c r="G270" s="7" t="s">
        <v>2276</v>
      </c>
      <c r="H270" s="7" t="s">
        <v>4185</v>
      </c>
      <c r="I270" s="100">
        <f>60/1000000000</f>
        <v>5.9999999999999995E-8</v>
      </c>
      <c r="J270" s="100">
        <f t="shared" si="53"/>
        <v>5.9999999999999995E-5</v>
      </c>
      <c r="K270" s="100">
        <f t="shared" si="54"/>
        <v>-4.2218487496163561</v>
      </c>
      <c r="L270" s="73" t="s">
        <v>1517</v>
      </c>
      <c r="M270" s="7" t="s">
        <v>1632</v>
      </c>
      <c r="N270" s="7" t="s">
        <v>1538</v>
      </c>
      <c r="O270" s="7" t="s">
        <v>1494</v>
      </c>
      <c r="P270" s="108" t="s">
        <v>1492</v>
      </c>
      <c r="Q270" s="7" t="s">
        <v>2277</v>
      </c>
      <c r="R270" s="7">
        <v>50</v>
      </c>
      <c r="S270" s="7">
        <v>50</v>
      </c>
      <c r="T270" s="7"/>
      <c r="U270" s="7">
        <v>1</v>
      </c>
      <c r="V270" s="7">
        <v>70</v>
      </c>
      <c r="W270" s="7">
        <f t="shared" si="55"/>
        <v>1.8450980400142569</v>
      </c>
      <c r="X270" s="7" t="s">
        <v>2278</v>
      </c>
      <c r="Y270" s="7" t="s">
        <v>1996</v>
      </c>
      <c r="Z270" s="7">
        <v>5</v>
      </c>
      <c r="AA270" s="7">
        <v>10</v>
      </c>
      <c r="AB270" s="7">
        <v>0.7</v>
      </c>
      <c r="AC270" s="7">
        <v>0.01</v>
      </c>
      <c r="AD270" s="7">
        <v>25</v>
      </c>
      <c r="AE270" s="7">
        <v>1.6</v>
      </c>
      <c r="AF270" s="7">
        <v>0.2</v>
      </c>
      <c r="AG270" s="7">
        <v>25</v>
      </c>
      <c r="AH270" s="7">
        <v>0.55000000000000004</v>
      </c>
      <c r="AI270" s="7">
        <v>0.05</v>
      </c>
      <c r="AJ270" s="7">
        <v>25</v>
      </c>
      <c r="AK270" s="7">
        <v>0.67</v>
      </c>
      <c r="AL270" s="7">
        <v>0.01</v>
      </c>
      <c r="AM270" s="7">
        <v>25</v>
      </c>
      <c r="AN270" s="7">
        <f t="shared" si="56"/>
        <v>5.2244897959183687</v>
      </c>
      <c r="AO270" s="7">
        <f t="shared" si="57"/>
        <v>0.91612244897959216</v>
      </c>
      <c r="AP270" s="7">
        <f t="shared" si="58"/>
        <v>8.3877551020407837E-2</v>
      </c>
      <c r="AQ270" s="7">
        <f t="shared" si="59"/>
        <v>-1.0712071596635817</v>
      </c>
      <c r="AR270" s="7">
        <f t="shared" si="60"/>
        <v>1.0712071596635817</v>
      </c>
      <c r="AS270" s="7">
        <f t="shared" si="61"/>
        <v>25</v>
      </c>
      <c r="AT270" s="184">
        <f t="shared" si="52"/>
        <v>7.3333333333333348E-2</v>
      </c>
      <c r="AU270" s="7"/>
      <c r="AV270" s="7"/>
      <c r="AW270" s="7"/>
      <c r="AX270" s="7" t="s">
        <v>2279</v>
      </c>
      <c r="AY270" s="7" t="s">
        <v>1509</v>
      </c>
    </row>
    <row r="271" spans="1:51">
      <c r="A271" s="7" t="s">
        <v>23</v>
      </c>
      <c r="B271" s="7" t="s">
        <v>2272</v>
      </c>
      <c r="C271" s="7" t="s">
        <v>2273</v>
      </c>
      <c r="D271" s="7" t="s">
        <v>2274</v>
      </c>
      <c r="E271" s="7" t="s">
        <v>2275</v>
      </c>
      <c r="F271" s="7" t="s">
        <v>1898</v>
      </c>
      <c r="G271" s="7" t="s">
        <v>2276</v>
      </c>
      <c r="H271" s="7" t="s">
        <v>4185</v>
      </c>
      <c r="I271" s="100">
        <f>60/1000000000</f>
        <v>5.9999999999999995E-8</v>
      </c>
      <c r="J271" s="100">
        <f t="shared" si="53"/>
        <v>5.9999999999999995E-5</v>
      </c>
      <c r="K271" s="100">
        <f t="shared" si="54"/>
        <v>-4.2218487496163561</v>
      </c>
      <c r="L271" s="73" t="s">
        <v>1517</v>
      </c>
      <c r="M271" s="7" t="s">
        <v>1632</v>
      </c>
      <c r="N271" s="7" t="s">
        <v>1538</v>
      </c>
      <c r="O271" s="7" t="s">
        <v>1494</v>
      </c>
      <c r="P271" s="108" t="s">
        <v>1492</v>
      </c>
      <c r="Q271" s="7" t="s">
        <v>2277</v>
      </c>
      <c r="R271" s="7">
        <v>50</v>
      </c>
      <c r="S271" s="7">
        <v>50</v>
      </c>
      <c r="T271" s="7"/>
      <c r="U271" s="7">
        <v>1</v>
      </c>
      <c r="V271" s="7">
        <v>70</v>
      </c>
      <c r="W271" s="7">
        <f t="shared" si="55"/>
        <v>1.8450980400142569</v>
      </c>
      <c r="X271" s="7" t="s">
        <v>2278</v>
      </c>
      <c r="Y271" s="7" t="s">
        <v>1996</v>
      </c>
      <c r="Z271" s="7">
        <v>10</v>
      </c>
      <c r="AA271" s="7">
        <v>15</v>
      </c>
      <c r="AB271" s="7">
        <v>0.67</v>
      </c>
      <c r="AC271" s="7">
        <v>0.01</v>
      </c>
      <c r="AD271" s="7">
        <v>25</v>
      </c>
      <c r="AE271" s="7">
        <v>1.9</v>
      </c>
      <c r="AF271" s="7">
        <v>0.25</v>
      </c>
      <c r="AG271" s="7">
        <v>25</v>
      </c>
      <c r="AH271" s="7">
        <v>0.8</v>
      </c>
      <c r="AI271" s="7">
        <v>0.25</v>
      </c>
      <c r="AJ271" s="7">
        <v>25</v>
      </c>
      <c r="AK271" s="7">
        <v>2.4</v>
      </c>
      <c r="AL271" s="7">
        <v>0.3</v>
      </c>
      <c r="AM271" s="7">
        <v>25</v>
      </c>
      <c r="AN271" s="7">
        <f t="shared" si="56"/>
        <v>8.0418801514813971</v>
      </c>
      <c r="AO271" s="7">
        <f t="shared" si="57"/>
        <v>12.831365560258407</v>
      </c>
      <c r="AP271" s="7">
        <f t="shared" si="58"/>
        <v>11.831365560258407</v>
      </c>
      <c r="AQ271" s="7">
        <f t="shared" si="59"/>
        <v>1.0730715786993288</v>
      </c>
      <c r="AR271" s="7">
        <f t="shared" si="60"/>
        <v>-1.0730715786993288</v>
      </c>
      <c r="AS271" s="7">
        <f t="shared" si="61"/>
        <v>25</v>
      </c>
      <c r="AT271" s="184">
        <f t="shared" si="52"/>
        <v>0.18666666666666668</v>
      </c>
      <c r="AU271" s="7"/>
      <c r="AV271" s="7"/>
      <c r="AW271" s="7"/>
      <c r="AX271" s="7" t="s">
        <v>2279</v>
      </c>
      <c r="AY271" s="7" t="s">
        <v>1509</v>
      </c>
    </row>
    <row r="272" spans="1:51">
      <c r="A272" s="7" t="s">
        <v>23</v>
      </c>
      <c r="B272" s="7" t="s">
        <v>2272</v>
      </c>
      <c r="C272" s="7" t="s">
        <v>2273</v>
      </c>
      <c r="D272" s="7" t="s">
        <v>2274</v>
      </c>
      <c r="E272" s="7" t="s">
        <v>2275</v>
      </c>
      <c r="F272" s="7" t="s">
        <v>1898</v>
      </c>
      <c r="G272" s="7" t="s">
        <v>2276</v>
      </c>
      <c r="H272" s="7" t="s">
        <v>4185</v>
      </c>
      <c r="I272" s="100">
        <f>60/1000000000</f>
        <v>5.9999999999999995E-8</v>
      </c>
      <c r="J272" s="100">
        <f t="shared" si="53"/>
        <v>5.9999999999999995E-5</v>
      </c>
      <c r="K272" s="100">
        <f t="shared" si="54"/>
        <v>-4.2218487496163561</v>
      </c>
      <c r="L272" s="73" t="s">
        <v>1517</v>
      </c>
      <c r="M272" s="7" t="s">
        <v>1632</v>
      </c>
      <c r="N272" s="7" t="s">
        <v>1538</v>
      </c>
      <c r="O272" s="7" t="s">
        <v>1494</v>
      </c>
      <c r="P272" s="108" t="s">
        <v>1492</v>
      </c>
      <c r="Q272" s="7" t="s">
        <v>2277</v>
      </c>
      <c r="R272" s="7">
        <v>50</v>
      </c>
      <c r="S272" s="7">
        <v>50</v>
      </c>
      <c r="T272" s="7"/>
      <c r="U272" s="7">
        <v>1</v>
      </c>
      <c r="V272" s="7">
        <v>70</v>
      </c>
      <c r="W272" s="7">
        <f t="shared" si="55"/>
        <v>1.8450980400142569</v>
      </c>
      <c r="X272" s="7" t="s">
        <v>2278</v>
      </c>
      <c r="Y272" s="7" t="s">
        <v>1996</v>
      </c>
      <c r="Z272" s="7">
        <v>15</v>
      </c>
      <c r="AA272" s="7">
        <v>24</v>
      </c>
      <c r="AB272" s="7">
        <v>2.4</v>
      </c>
      <c r="AC272" s="7">
        <v>0.3</v>
      </c>
      <c r="AD272" s="7">
        <v>25</v>
      </c>
      <c r="AE272" s="7">
        <v>2.5</v>
      </c>
      <c r="AF272" s="7">
        <v>0.05</v>
      </c>
      <c r="AG272" s="7">
        <v>25</v>
      </c>
      <c r="AH272" s="7">
        <v>0.8</v>
      </c>
      <c r="AI272" s="7">
        <v>7.0000000000000007E-2</v>
      </c>
      <c r="AJ272" s="7">
        <v>25</v>
      </c>
      <c r="AK272" s="7">
        <v>2.8</v>
      </c>
      <c r="AL272" s="7">
        <v>0.2</v>
      </c>
      <c r="AM272" s="7">
        <v>25</v>
      </c>
      <c r="AN272" s="7">
        <f t="shared" si="56"/>
        <v>1.0464021660171496</v>
      </c>
      <c r="AO272" s="7">
        <f t="shared" si="57"/>
        <v>1.1868212720459479</v>
      </c>
      <c r="AP272" s="7">
        <f t="shared" si="58"/>
        <v>0.18682127204594789</v>
      </c>
      <c r="AQ272" s="7">
        <f t="shared" si="59"/>
        <v>-0.72625522245860863</v>
      </c>
      <c r="AR272" s="7">
        <f t="shared" si="60"/>
        <v>0.72625522245860863</v>
      </c>
      <c r="AS272" s="7">
        <f t="shared" si="61"/>
        <v>25</v>
      </c>
      <c r="AT272" s="184">
        <f t="shared" si="52"/>
        <v>0.18333333333333335</v>
      </c>
      <c r="AU272" s="7"/>
      <c r="AV272" s="7"/>
      <c r="AW272" s="7"/>
      <c r="AX272" s="7" t="s">
        <v>2279</v>
      </c>
      <c r="AY272" s="7" t="s">
        <v>1509</v>
      </c>
    </row>
    <row r="273" spans="1:51">
      <c r="A273" s="7" t="s">
        <v>33</v>
      </c>
      <c r="B273" s="7" t="s">
        <v>34</v>
      </c>
      <c r="C273" s="7" t="s">
        <v>1496</v>
      </c>
      <c r="D273" s="7" t="s">
        <v>1497</v>
      </c>
      <c r="E273" s="7" t="s">
        <v>1498</v>
      </c>
      <c r="F273" s="7" t="s">
        <v>1499</v>
      </c>
      <c r="G273" s="7" t="s">
        <v>1500</v>
      </c>
      <c r="H273" s="7" t="s">
        <v>4180</v>
      </c>
      <c r="I273" s="100">
        <f>400/1000</f>
        <v>0.4</v>
      </c>
      <c r="J273" s="100">
        <f t="shared" si="53"/>
        <v>400</v>
      </c>
      <c r="K273" s="100">
        <f t="shared" si="54"/>
        <v>2.6020599913279625</v>
      </c>
      <c r="L273" s="73" t="s">
        <v>1502</v>
      </c>
      <c r="M273" s="7" t="s">
        <v>1526</v>
      </c>
      <c r="N273" s="7" t="s">
        <v>1504</v>
      </c>
      <c r="O273" s="7" t="s">
        <v>1505</v>
      </c>
      <c r="P273" s="108" t="s">
        <v>1492</v>
      </c>
      <c r="Q273" s="7" t="s">
        <v>1506</v>
      </c>
      <c r="R273" s="7">
        <v>56.340400000000002</v>
      </c>
      <c r="S273" s="7">
        <f t="shared" ref="S273:S304" si="62">ABS(R273)</f>
        <v>56.340400000000002</v>
      </c>
      <c r="T273" s="7">
        <v>-2.7955000000000001</v>
      </c>
      <c r="U273" s="7">
        <v>1</v>
      </c>
      <c r="V273" s="7">
        <v>50</v>
      </c>
      <c r="W273" s="7">
        <f t="shared" si="55"/>
        <v>1.6989700043360187</v>
      </c>
      <c r="X273" s="7" t="s">
        <v>2280</v>
      </c>
      <c r="Y273" s="7" t="s">
        <v>2281</v>
      </c>
      <c r="Z273" s="7">
        <v>5</v>
      </c>
      <c r="AA273" s="7">
        <v>15</v>
      </c>
      <c r="AB273" s="7">
        <v>3.7</v>
      </c>
      <c r="AC273" s="7">
        <v>0.2</v>
      </c>
      <c r="AD273" s="7">
        <v>8</v>
      </c>
      <c r="AE273" s="7">
        <v>3</v>
      </c>
      <c r="AF273" s="7">
        <v>0.7</v>
      </c>
      <c r="AG273" s="7">
        <v>5</v>
      </c>
      <c r="AH273" s="7">
        <v>3.6</v>
      </c>
      <c r="AI273" s="7">
        <v>0.5</v>
      </c>
      <c r="AJ273" s="7">
        <v>5</v>
      </c>
      <c r="AK273" s="7">
        <v>7.1</v>
      </c>
      <c r="AL273" s="7">
        <v>0.9</v>
      </c>
      <c r="AM273" s="7">
        <v>5</v>
      </c>
      <c r="AN273" s="7">
        <f t="shared" si="56"/>
        <v>0.81081081081081074</v>
      </c>
      <c r="AO273" s="7">
        <f t="shared" si="57"/>
        <v>1.9189189189189186</v>
      </c>
      <c r="AP273" s="7">
        <f t="shared" si="58"/>
        <v>0.91891891891891864</v>
      </c>
      <c r="AQ273" s="7">
        <f t="shared" si="59"/>
        <v>-3.6250449413013926E-2</v>
      </c>
      <c r="AR273" s="7">
        <f t="shared" si="60"/>
        <v>3.6250449413013926E-2</v>
      </c>
      <c r="AS273" s="7">
        <f t="shared" si="61"/>
        <v>6</v>
      </c>
      <c r="AT273" s="184">
        <f t="shared" si="52"/>
        <v>0.6</v>
      </c>
      <c r="AU273" s="7"/>
      <c r="AV273" s="7" t="s">
        <v>2281</v>
      </c>
      <c r="AW273" s="7"/>
      <c r="AX273" s="7" t="s">
        <v>1763</v>
      </c>
      <c r="AY273" s="7" t="s">
        <v>1509</v>
      </c>
    </row>
    <row r="274" spans="1:51">
      <c r="A274" s="7" t="s">
        <v>33</v>
      </c>
      <c r="B274" s="7" t="s">
        <v>34</v>
      </c>
      <c r="C274" s="7" t="s">
        <v>1496</v>
      </c>
      <c r="D274" s="7" t="s">
        <v>1497</v>
      </c>
      <c r="E274" s="7" t="s">
        <v>1498</v>
      </c>
      <c r="F274" s="7" t="s">
        <v>1499</v>
      </c>
      <c r="G274" s="7" t="s">
        <v>1500</v>
      </c>
      <c r="H274" s="7" t="s">
        <v>4180</v>
      </c>
      <c r="I274" s="100">
        <f>400/1000</f>
        <v>0.4</v>
      </c>
      <c r="J274" s="100">
        <f t="shared" si="53"/>
        <v>400</v>
      </c>
      <c r="K274" s="100">
        <f t="shared" si="54"/>
        <v>2.6020599913279625</v>
      </c>
      <c r="L274" s="73" t="s">
        <v>1502</v>
      </c>
      <c r="M274" s="7" t="s">
        <v>1526</v>
      </c>
      <c r="N274" s="7" t="s">
        <v>1504</v>
      </c>
      <c r="O274" s="7" t="s">
        <v>1505</v>
      </c>
      <c r="P274" s="108" t="s">
        <v>1492</v>
      </c>
      <c r="Q274" s="7" t="s">
        <v>1506</v>
      </c>
      <c r="R274" s="7">
        <v>56.340400000000002</v>
      </c>
      <c r="S274" s="7">
        <f t="shared" si="62"/>
        <v>56.340400000000002</v>
      </c>
      <c r="T274" s="7">
        <v>-2.7955000000000001</v>
      </c>
      <c r="U274" s="7">
        <v>2</v>
      </c>
      <c r="V274" s="7">
        <v>50</v>
      </c>
      <c r="W274" s="7">
        <f t="shared" si="55"/>
        <v>1.6989700043360187</v>
      </c>
      <c r="X274" s="7" t="s">
        <v>2280</v>
      </c>
      <c r="Y274" s="7" t="s">
        <v>2281</v>
      </c>
      <c r="Z274" s="7">
        <v>5</v>
      </c>
      <c r="AA274" s="7">
        <v>15</v>
      </c>
      <c r="AB274" s="7">
        <v>4.4000000000000004</v>
      </c>
      <c r="AC274" s="7">
        <v>0.4</v>
      </c>
      <c r="AD274" s="7">
        <v>10</v>
      </c>
      <c r="AE274" s="7">
        <v>4</v>
      </c>
      <c r="AF274" s="7">
        <v>0.3</v>
      </c>
      <c r="AG274" s="7">
        <v>7</v>
      </c>
      <c r="AH274" s="7">
        <v>3.2</v>
      </c>
      <c r="AI274" s="7">
        <v>0.7</v>
      </c>
      <c r="AJ274" s="7">
        <v>7</v>
      </c>
      <c r="AK274" s="7">
        <v>6.4</v>
      </c>
      <c r="AL274" s="7">
        <v>0.5</v>
      </c>
      <c r="AM274" s="7">
        <v>7</v>
      </c>
      <c r="AN274" s="7">
        <f t="shared" si="56"/>
        <v>0.90909090909090906</v>
      </c>
      <c r="AO274" s="7">
        <f t="shared" si="57"/>
        <v>1.4545454545454546</v>
      </c>
      <c r="AP274" s="7">
        <f t="shared" si="58"/>
        <v>0.45454545454545459</v>
      </c>
      <c r="AQ274" s="7">
        <f t="shared" si="59"/>
        <v>-0.34146828241574828</v>
      </c>
      <c r="AR274" s="7">
        <f t="shared" si="60"/>
        <v>0.34146828241574828</v>
      </c>
      <c r="AS274" s="7">
        <f t="shared" si="61"/>
        <v>8</v>
      </c>
      <c r="AT274" s="184">
        <f t="shared" si="52"/>
        <v>0.39999999999999997</v>
      </c>
      <c r="AU274" s="7"/>
      <c r="AV274" s="7" t="s">
        <v>2281</v>
      </c>
      <c r="AW274" s="7"/>
      <c r="AX274" s="7" t="s">
        <v>1763</v>
      </c>
      <c r="AY274" s="7" t="s">
        <v>1509</v>
      </c>
    </row>
    <row r="275" spans="1:51">
      <c r="A275" s="7" t="s">
        <v>33</v>
      </c>
      <c r="B275" s="7" t="s">
        <v>34</v>
      </c>
      <c r="C275" s="7" t="s">
        <v>61</v>
      </c>
      <c r="D275" s="7" t="s">
        <v>62</v>
      </c>
      <c r="E275" s="7" t="s">
        <v>1732</v>
      </c>
      <c r="F275" s="7" t="s">
        <v>1733</v>
      </c>
      <c r="G275" s="7" t="s">
        <v>1734</v>
      </c>
      <c r="H275" s="7" t="s">
        <v>4180</v>
      </c>
      <c r="I275" s="100">
        <f>(AVERAGE(355,330))/1000</f>
        <v>0.34250000000000003</v>
      </c>
      <c r="J275" s="100">
        <f t="shared" si="53"/>
        <v>342.5</v>
      </c>
      <c r="K275" s="100">
        <f t="shared" si="54"/>
        <v>2.5346605758284442</v>
      </c>
      <c r="L275" s="73" t="s">
        <v>1502</v>
      </c>
      <c r="M275" s="7" t="s">
        <v>2282</v>
      </c>
      <c r="N275" s="7" t="s">
        <v>1538</v>
      </c>
      <c r="O275" s="7" t="s">
        <v>1494</v>
      </c>
      <c r="P275" s="108" t="s">
        <v>1539</v>
      </c>
      <c r="Q275" s="7" t="s">
        <v>2283</v>
      </c>
      <c r="R275" s="7">
        <v>46.56</v>
      </c>
      <c r="S275" s="7">
        <f t="shared" si="62"/>
        <v>46.56</v>
      </c>
      <c r="T275" s="7">
        <v>70.58</v>
      </c>
      <c r="U275" s="7">
        <v>1</v>
      </c>
      <c r="V275" s="7">
        <v>56</v>
      </c>
      <c r="W275" s="7">
        <f t="shared" si="55"/>
        <v>1.7481880270062005</v>
      </c>
      <c r="X275" s="7" t="s">
        <v>2284</v>
      </c>
      <c r="Y275" s="7" t="s">
        <v>2285</v>
      </c>
      <c r="Z275" s="7">
        <v>5</v>
      </c>
      <c r="AA275" s="7">
        <v>15</v>
      </c>
      <c r="AB275" s="108">
        <v>17.100000000000001</v>
      </c>
      <c r="AC275" s="108">
        <v>0.6</v>
      </c>
      <c r="AD275" s="7">
        <v>15</v>
      </c>
      <c r="AE275" s="108">
        <v>28.4</v>
      </c>
      <c r="AF275" s="108">
        <v>0.7</v>
      </c>
      <c r="AG275" s="108">
        <v>15</v>
      </c>
      <c r="AH275" s="108">
        <v>14.2</v>
      </c>
      <c r="AI275" s="108">
        <v>0.6</v>
      </c>
      <c r="AJ275" s="108">
        <v>14</v>
      </c>
      <c r="AK275" s="108">
        <v>22.6</v>
      </c>
      <c r="AL275" s="108">
        <v>0.9</v>
      </c>
      <c r="AM275" s="108">
        <v>14</v>
      </c>
      <c r="AN275" s="7">
        <f t="shared" si="56"/>
        <v>1.6608187134502921</v>
      </c>
      <c r="AO275" s="7">
        <f t="shared" si="57"/>
        <v>1.3216374269005848</v>
      </c>
      <c r="AP275" s="7">
        <f t="shared" si="58"/>
        <v>0.32163742690058483</v>
      </c>
      <c r="AQ275" s="7">
        <f t="shared" si="59"/>
        <v>-0.49128525457387401</v>
      </c>
      <c r="AR275" s="7">
        <f t="shared" si="60"/>
        <v>0.49128525457387401</v>
      </c>
      <c r="AS275" s="7">
        <f t="shared" si="61"/>
        <v>14.666666666666666</v>
      </c>
      <c r="AT275" s="184">
        <f t="shared" si="52"/>
        <v>0.73333333333333328</v>
      </c>
      <c r="AU275" s="7"/>
      <c r="AV275" s="7"/>
      <c r="AW275" s="7"/>
      <c r="AX275" s="7" t="s">
        <v>2282</v>
      </c>
      <c r="AY275" s="7" t="s">
        <v>1509</v>
      </c>
    </row>
    <row r="276" spans="1:51">
      <c r="A276" s="7" t="s">
        <v>33</v>
      </c>
      <c r="B276" s="7" t="s">
        <v>43</v>
      </c>
      <c r="C276" s="7" t="s">
        <v>1532</v>
      </c>
      <c r="D276" s="7" t="s">
        <v>1533</v>
      </c>
      <c r="E276" s="7" t="s">
        <v>1534</v>
      </c>
      <c r="F276" s="7" t="s">
        <v>1535</v>
      </c>
      <c r="G276" s="7" t="s">
        <v>1536</v>
      </c>
      <c r="H276" s="7" t="s">
        <v>4184</v>
      </c>
      <c r="I276" s="100">
        <f>177/1000</f>
        <v>0.17699999999999999</v>
      </c>
      <c r="J276" s="100">
        <f t="shared" si="53"/>
        <v>177</v>
      </c>
      <c r="K276" s="100">
        <f t="shared" si="54"/>
        <v>2.2479732663618068</v>
      </c>
      <c r="L276" s="73" t="s">
        <v>1502</v>
      </c>
      <c r="M276" s="7" t="s">
        <v>1537</v>
      </c>
      <c r="N276" s="7" t="s">
        <v>1538</v>
      </c>
      <c r="O276" s="7" t="s">
        <v>1494</v>
      </c>
      <c r="P276" s="108" t="s">
        <v>1539</v>
      </c>
      <c r="Q276" s="7" t="s">
        <v>1540</v>
      </c>
      <c r="R276" s="7">
        <v>12.45</v>
      </c>
      <c r="S276" s="7">
        <f t="shared" si="62"/>
        <v>12.45</v>
      </c>
      <c r="T276" s="7">
        <v>130.86000000000001</v>
      </c>
      <c r="U276" s="7">
        <v>1</v>
      </c>
      <c r="V276" s="7">
        <v>33</v>
      </c>
      <c r="W276" s="7">
        <f t="shared" si="55"/>
        <v>1.5185139398778875</v>
      </c>
      <c r="X276" s="7" t="s">
        <v>2284</v>
      </c>
      <c r="Y276" s="7" t="s">
        <v>2136</v>
      </c>
      <c r="Z276" s="7">
        <v>20</v>
      </c>
      <c r="AA276" s="7">
        <v>29</v>
      </c>
      <c r="AB276" s="7">
        <v>9.9</v>
      </c>
      <c r="AC276" s="7">
        <v>1.3</v>
      </c>
      <c r="AD276" s="7">
        <v>8</v>
      </c>
      <c r="AE276" s="7">
        <v>8.1</v>
      </c>
      <c r="AF276" s="7">
        <v>2.4</v>
      </c>
      <c r="AG276" s="7">
        <v>8</v>
      </c>
      <c r="AH276" s="7">
        <v>11.4</v>
      </c>
      <c r="AI276" s="7">
        <v>0.6</v>
      </c>
      <c r="AJ276" s="7">
        <v>9</v>
      </c>
      <c r="AK276" s="108">
        <v>16.399999999999999</v>
      </c>
      <c r="AL276" s="7">
        <v>1.4</v>
      </c>
      <c r="AM276" s="7">
        <v>9</v>
      </c>
      <c r="AN276" s="7">
        <f t="shared" si="56"/>
        <v>0.80014090193634613</v>
      </c>
      <c r="AO276" s="7">
        <f t="shared" si="57"/>
        <v>1.7521253395007907</v>
      </c>
      <c r="AP276" s="7">
        <f t="shared" si="58"/>
        <v>0.75212533950079075</v>
      </c>
      <c r="AQ276" s="7">
        <f t="shared" si="59"/>
        <v>-0.12313273996971903</v>
      </c>
      <c r="AR276" s="7">
        <f t="shared" si="60"/>
        <v>0.12313273996971903</v>
      </c>
      <c r="AS276" s="7">
        <f t="shared" si="61"/>
        <v>8.3333333333333339</v>
      </c>
      <c r="AT276" s="184">
        <f t="shared" si="52"/>
        <v>1.7</v>
      </c>
      <c r="AU276" s="7"/>
      <c r="AV276" s="7"/>
      <c r="AW276" s="7"/>
      <c r="AX276" s="7" t="s">
        <v>2286</v>
      </c>
      <c r="AY276" s="7" t="s">
        <v>1509</v>
      </c>
    </row>
    <row r="277" spans="1:51">
      <c r="A277" s="7" t="s">
        <v>33</v>
      </c>
      <c r="B277" s="7" t="s">
        <v>43</v>
      </c>
      <c r="C277" s="7" t="s">
        <v>1532</v>
      </c>
      <c r="D277" s="7" t="s">
        <v>1533</v>
      </c>
      <c r="E277" s="7" t="s">
        <v>1534</v>
      </c>
      <c r="F277" s="7" t="s">
        <v>1535</v>
      </c>
      <c r="G277" s="7" t="s">
        <v>1536</v>
      </c>
      <c r="H277" s="7" t="s">
        <v>4184</v>
      </c>
      <c r="I277" s="100">
        <f>177/1000</f>
        <v>0.17699999999999999</v>
      </c>
      <c r="J277" s="100">
        <f t="shared" si="53"/>
        <v>177</v>
      </c>
      <c r="K277" s="100">
        <f t="shared" si="54"/>
        <v>2.2479732663618068</v>
      </c>
      <c r="L277" s="73" t="s">
        <v>1502</v>
      </c>
      <c r="M277" s="7" t="s">
        <v>1537</v>
      </c>
      <c r="N277" s="7" t="s">
        <v>1538</v>
      </c>
      <c r="O277" s="7" t="s">
        <v>1494</v>
      </c>
      <c r="P277" s="108" t="s">
        <v>1539</v>
      </c>
      <c r="Q277" s="7" t="s">
        <v>1540</v>
      </c>
      <c r="R277" s="7">
        <v>12.45</v>
      </c>
      <c r="S277" s="7">
        <f t="shared" si="62"/>
        <v>12.45</v>
      </c>
      <c r="T277" s="7">
        <v>130.86000000000001</v>
      </c>
      <c r="U277" s="7">
        <v>1</v>
      </c>
      <c r="V277" s="7">
        <v>33</v>
      </c>
      <c r="W277" s="7">
        <f t="shared" si="55"/>
        <v>1.5185139398778875</v>
      </c>
      <c r="X277" s="7" t="s">
        <v>2284</v>
      </c>
      <c r="Y277" s="7" t="s">
        <v>2134</v>
      </c>
      <c r="Z277" s="7">
        <v>20</v>
      </c>
      <c r="AA277" s="7">
        <v>29</v>
      </c>
      <c r="AB277" s="7">
        <v>2.8</v>
      </c>
      <c r="AC277" s="7">
        <v>0.5</v>
      </c>
      <c r="AD277" s="7">
        <v>8</v>
      </c>
      <c r="AE277" s="7">
        <v>5.2</v>
      </c>
      <c r="AF277" s="7">
        <v>0.7</v>
      </c>
      <c r="AG277" s="7">
        <v>8</v>
      </c>
      <c r="AH277" s="7">
        <v>3</v>
      </c>
      <c r="AI277" s="7">
        <v>0.6</v>
      </c>
      <c r="AJ277" s="7">
        <v>9</v>
      </c>
      <c r="AK277" s="108">
        <v>8.3000000000000007</v>
      </c>
      <c r="AL277" s="7">
        <v>1.4</v>
      </c>
      <c r="AM277" s="7">
        <v>9</v>
      </c>
      <c r="AN277" s="7">
        <f t="shared" si="56"/>
        <v>1.9893766384884424</v>
      </c>
      <c r="AO277" s="7">
        <f t="shared" si="57"/>
        <v>3.3446880873438714</v>
      </c>
      <c r="AP277" s="7">
        <f t="shared" si="58"/>
        <v>2.3446880873438714</v>
      </c>
      <c r="AQ277" s="7">
        <f t="shared" si="59"/>
        <v>0.37027026227594317</v>
      </c>
      <c r="AR277" s="7">
        <f t="shared" si="60"/>
        <v>-0.37027026227594317</v>
      </c>
      <c r="AS277" s="7">
        <f t="shared" si="61"/>
        <v>8.3333333333333339</v>
      </c>
      <c r="AT277" s="184">
        <f t="shared" si="52"/>
        <v>0.86666666666666659</v>
      </c>
      <c r="AU277" s="7"/>
      <c r="AV277" s="7"/>
      <c r="AW277" s="7"/>
      <c r="AX277" s="7" t="s">
        <v>2287</v>
      </c>
      <c r="AY277" s="7" t="s">
        <v>1509</v>
      </c>
    </row>
    <row r="278" spans="1:51">
      <c r="A278" s="7" t="s">
        <v>33</v>
      </c>
      <c r="B278" s="7" t="s">
        <v>43</v>
      </c>
      <c r="C278" s="7" t="s">
        <v>1532</v>
      </c>
      <c r="D278" s="7" t="s">
        <v>1533</v>
      </c>
      <c r="E278" s="7" t="s">
        <v>1534</v>
      </c>
      <c r="F278" s="7" t="s">
        <v>1535</v>
      </c>
      <c r="G278" s="7" t="s">
        <v>1536</v>
      </c>
      <c r="H278" s="7" t="s">
        <v>4184</v>
      </c>
      <c r="I278" s="100">
        <f>177/1000</f>
        <v>0.17699999999999999</v>
      </c>
      <c r="J278" s="100">
        <f t="shared" si="53"/>
        <v>177</v>
      </c>
      <c r="K278" s="100">
        <f t="shared" si="54"/>
        <v>2.2479732663618068</v>
      </c>
      <c r="L278" s="73" t="s">
        <v>1502</v>
      </c>
      <c r="M278" s="7" t="s">
        <v>1537</v>
      </c>
      <c r="N278" s="7" t="s">
        <v>1538</v>
      </c>
      <c r="O278" s="7" t="s">
        <v>1494</v>
      </c>
      <c r="P278" s="108" t="s">
        <v>1539</v>
      </c>
      <c r="Q278" s="7" t="s">
        <v>1540</v>
      </c>
      <c r="R278" s="7">
        <v>12.45</v>
      </c>
      <c r="S278" s="7">
        <f t="shared" si="62"/>
        <v>12.45</v>
      </c>
      <c r="T278" s="7">
        <v>130.86000000000001</v>
      </c>
      <c r="U278" s="7">
        <v>1</v>
      </c>
      <c r="V278" s="7">
        <v>33</v>
      </c>
      <c r="W278" s="7">
        <f t="shared" si="55"/>
        <v>1.5185139398778875</v>
      </c>
      <c r="X278" s="7" t="s">
        <v>2284</v>
      </c>
      <c r="Y278" s="7" t="s">
        <v>2132</v>
      </c>
      <c r="Z278" s="7">
        <v>20</v>
      </c>
      <c r="AA278" s="7">
        <v>29</v>
      </c>
      <c r="AB278" s="7">
        <v>3</v>
      </c>
      <c r="AC278" s="7">
        <v>0.6</v>
      </c>
      <c r="AD278" s="7">
        <v>8</v>
      </c>
      <c r="AE278" s="7">
        <v>4.4000000000000004</v>
      </c>
      <c r="AF278" s="7">
        <v>0.8</v>
      </c>
      <c r="AG278" s="7">
        <v>8</v>
      </c>
      <c r="AH278" s="7">
        <v>2.7</v>
      </c>
      <c r="AI278" s="7">
        <v>0.5</v>
      </c>
      <c r="AJ278" s="7">
        <v>9</v>
      </c>
      <c r="AK278" s="108">
        <v>5.6</v>
      </c>
      <c r="AL278" s="108">
        <v>0.6</v>
      </c>
      <c r="AM278" s="7">
        <v>9</v>
      </c>
      <c r="AN278" s="7">
        <f t="shared" si="56"/>
        <v>1.5304272533109868</v>
      </c>
      <c r="AO278" s="7">
        <f t="shared" si="57"/>
        <v>2.0007153424960986</v>
      </c>
      <c r="AP278" s="7">
        <f t="shared" si="58"/>
        <v>1.0007153424960986</v>
      </c>
      <c r="AQ278" s="7">
        <f t="shared" si="59"/>
        <v>7.4432557633598089E-4</v>
      </c>
      <c r="AR278" s="7">
        <f t="shared" si="60"/>
        <v>-7.4432557633598089E-4</v>
      </c>
      <c r="AS278" s="7">
        <f t="shared" si="61"/>
        <v>8.3333333333333339</v>
      </c>
      <c r="AT278" s="184">
        <f t="shared" si="52"/>
        <v>0.66666666666666663</v>
      </c>
      <c r="AU278" s="7"/>
      <c r="AV278" s="7"/>
      <c r="AW278" s="7"/>
      <c r="AX278" s="7" t="s">
        <v>2288</v>
      </c>
      <c r="AY278" s="7" t="s">
        <v>1509</v>
      </c>
    </row>
    <row r="279" spans="1:51">
      <c r="A279" s="7" t="s">
        <v>33</v>
      </c>
      <c r="B279" s="7" t="s">
        <v>43</v>
      </c>
      <c r="C279" s="7" t="s">
        <v>1532</v>
      </c>
      <c r="D279" s="7" t="s">
        <v>2157</v>
      </c>
      <c r="E279" s="7" t="s">
        <v>2158</v>
      </c>
      <c r="F279" s="7" t="s">
        <v>2159</v>
      </c>
      <c r="G279" s="7" t="s">
        <v>2160</v>
      </c>
      <c r="H279" s="7" t="s">
        <v>4184</v>
      </c>
      <c r="I279" s="100">
        <f>AVERAGE(107, 95)/1000</f>
        <v>0.10100000000000001</v>
      </c>
      <c r="J279" s="100">
        <f t="shared" si="53"/>
        <v>101</v>
      </c>
      <c r="K279" s="100">
        <f t="shared" si="54"/>
        <v>2.0043213737826426</v>
      </c>
      <c r="L279" s="73" t="s">
        <v>1502</v>
      </c>
      <c r="M279" s="7" t="s">
        <v>2289</v>
      </c>
      <c r="N279" s="7" t="s">
        <v>1538</v>
      </c>
      <c r="O279" s="7" t="s">
        <v>1494</v>
      </c>
      <c r="P279" s="108" t="s">
        <v>1539</v>
      </c>
      <c r="Q279" s="7" t="s">
        <v>1572</v>
      </c>
      <c r="R279" s="7">
        <v>33.35</v>
      </c>
      <c r="S279" s="7">
        <f t="shared" si="62"/>
        <v>33.35</v>
      </c>
      <c r="T279" s="7">
        <v>151.19999999999999</v>
      </c>
      <c r="U279" s="7">
        <v>1</v>
      </c>
      <c r="V279" s="7">
        <v>42</v>
      </c>
      <c r="W279" s="7">
        <f t="shared" si="55"/>
        <v>1.6232492903979006</v>
      </c>
      <c r="X279" s="7" t="s">
        <v>2284</v>
      </c>
      <c r="Y279" s="7" t="s">
        <v>2134</v>
      </c>
      <c r="Z279" s="7">
        <v>20</v>
      </c>
      <c r="AA279" s="7">
        <v>30</v>
      </c>
      <c r="AB279" s="108">
        <v>5.300459</v>
      </c>
      <c r="AC279" s="108">
        <v>1.5830360000000001</v>
      </c>
      <c r="AD279" s="7">
        <v>9</v>
      </c>
      <c r="AE279" s="108">
        <v>7.7352939999999997</v>
      </c>
      <c r="AF279" s="108">
        <v>1.49333</v>
      </c>
      <c r="AG279" s="7">
        <v>9</v>
      </c>
      <c r="AH279" s="108">
        <v>3.7977940000000001</v>
      </c>
      <c r="AI279" s="108">
        <v>0.57901420000000003</v>
      </c>
      <c r="AJ279" s="7">
        <v>8</v>
      </c>
      <c r="AK279" s="108">
        <v>5.2054229999999997</v>
      </c>
      <c r="AL279" s="108">
        <v>0.79608350000000005</v>
      </c>
      <c r="AM279" s="7">
        <v>8</v>
      </c>
      <c r="AN279" s="7">
        <f t="shared" si="56"/>
        <v>1.4593630476153103</v>
      </c>
      <c r="AO279" s="7">
        <f t="shared" si="57"/>
        <v>0.98207023203084853</v>
      </c>
      <c r="AP279" s="7">
        <f t="shared" si="58"/>
        <v>1.7929767969151467E-2</v>
      </c>
      <c r="AQ279" s="7">
        <f t="shared" si="59"/>
        <v>-1.7228547093502411</v>
      </c>
      <c r="AR279" s="7">
        <f t="shared" si="60"/>
        <v>1.7228547093502411</v>
      </c>
      <c r="AS279" s="7">
        <f t="shared" si="61"/>
        <v>8.6666666666666661</v>
      </c>
      <c r="AT279" s="184">
        <f t="shared" si="52"/>
        <v>1.2908165</v>
      </c>
      <c r="AU279" s="7"/>
      <c r="AV279" s="7"/>
      <c r="AW279" s="7"/>
      <c r="AX279" s="7" t="s">
        <v>2289</v>
      </c>
      <c r="AY279" s="7" t="s">
        <v>1509</v>
      </c>
    </row>
    <row r="280" spans="1:51">
      <c r="A280" s="7" t="s">
        <v>33</v>
      </c>
      <c r="B280" s="7" t="s">
        <v>75</v>
      </c>
      <c r="C280" s="7" t="s">
        <v>76</v>
      </c>
      <c r="D280" s="7" t="s">
        <v>389</v>
      </c>
      <c r="E280" s="7" t="s">
        <v>405</v>
      </c>
      <c r="F280" s="7" t="s">
        <v>406</v>
      </c>
      <c r="G280" s="7" t="s">
        <v>2166</v>
      </c>
      <c r="H280" s="7" t="s">
        <v>4181</v>
      </c>
      <c r="I280" s="100">
        <f>101/1000</f>
        <v>0.10100000000000001</v>
      </c>
      <c r="J280" s="100">
        <f t="shared" si="53"/>
        <v>101</v>
      </c>
      <c r="K280" s="100">
        <f t="shared" si="54"/>
        <v>2.0043213737826426</v>
      </c>
      <c r="L280" s="73" t="s">
        <v>1502</v>
      </c>
      <c r="M280" s="107" t="s">
        <v>1821</v>
      </c>
      <c r="N280" s="7" t="s">
        <v>1640</v>
      </c>
      <c r="O280" s="7" t="s">
        <v>1505</v>
      </c>
      <c r="P280" s="108" t="s">
        <v>1492</v>
      </c>
      <c r="Q280" s="7" t="s">
        <v>2167</v>
      </c>
      <c r="R280" s="7">
        <v>27.45</v>
      </c>
      <c r="S280" s="7">
        <f t="shared" si="62"/>
        <v>27.45</v>
      </c>
      <c r="T280" s="7">
        <v>153.35</v>
      </c>
      <c r="U280" s="7">
        <v>1</v>
      </c>
      <c r="V280" s="7">
        <v>28</v>
      </c>
      <c r="W280" s="7">
        <f t="shared" si="55"/>
        <v>1.4471580313422192</v>
      </c>
      <c r="X280" s="7" t="s">
        <v>2284</v>
      </c>
      <c r="Y280" s="7" t="s">
        <v>2144</v>
      </c>
      <c r="Z280" s="7">
        <v>20</v>
      </c>
      <c r="AA280" s="7">
        <v>30</v>
      </c>
      <c r="AB280" s="108">
        <v>7.3</v>
      </c>
      <c r="AC280" s="108">
        <v>0.4</v>
      </c>
      <c r="AD280" s="7">
        <v>10</v>
      </c>
      <c r="AE280" s="7">
        <v>10.3</v>
      </c>
      <c r="AF280" s="7">
        <v>0.7</v>
      </c>
      <c r="AG280" s="7">
        <v>10</v>
      </c>
      <c r="AH280" s="7">
        <v>9</v>
      </c>
      <c r="AI280" s="7">
        <v>0.5</v>
      </c>
      <c r="AJ280" s="7">
        <v>10</v>
      </c>
      <c r="AK280" s="108">
        <v>12.7</v>
      </c>
      <c r="AL280" s="108">
        <v>1</v>
      </c>
      <c r="AM280" s="108">
        <v>10</v>
      </c>
      <c r="AN280" s="7">
        <f t="shared" si="56"/>
        <v>1.4109589041095891</v>
      </c>
      <c r="AO280" s="7">
        <f t="shared" si="57"/>
        <v>1.7397260273972601</v>
      </c>
      <c r="AP280" s="7">
        <f t="shared" si="58"/>
        <v>0.73972602739726012</v>
      </c>
      <c r="AQ280" s="7">
        <f t="shared" si="59"/>
        <v>-0.13034239497792374</v>
      </c>
      <c r="AR280" s="7">
        <f t="shared" si="60"/>
        <v>0.13034239497792374</v>
      </c>
      <c r="AS280" s="7">
        <f t="shared" si="61"/>
        <v>10</v>
      </c>
      <c r="AT280" s="184">
        <f t="shared" si="52"/>
        <v>0.70000000000000007</v>
      </c>
      <c r="AU280" s="108"/>
      <c r="AV280" s="7"/>
      <c r="AW280" s="7"/>
      <c r="AX280" s="7" t="s">
        <v>2290</v>
      </c>
      <c r="AY280" s="7" t="s">
        <v>1509</v>
      </c>
    </row>
    <row r="281" spans="1:51">
      <c r="A281" s="7" t="s">
        <v>33</v>
      </c>
      <c r="B281" s="7" t="s">
        <v>43</v>
      </c>
      <c r="C281" s="7" t="s">
        <v>1532</v>
      </c>
      <c r="D281" s="7" t="s">
        <v>2157</v>
      </c>
      <c r="E281" s="7" t="s">
        <v>2158</v>
      </c>
      <c r="F281" s="7" t="s">
        <v>2159</v>
      </c>
      <c r="G281" s="7" t="s">
        <v>2160</v>
      </c>
      <c r="H281" s="7" t="s">
        <v>4184</v>
      </c>
      <c r="I281" s="100">
        <f>AVERAGE(107, 95)/1000</f>
        <v>0.10100000000000001</v>
      </c>
      <c r="J281" s="100">
        <f t="shared" si="53"/>
        <v>101</v>
      </c>
      <c r="K281" s="100">
        <f t="shared" si="54"/>
        <v>2.0043213737826426</v>
      </c>
      <c r="L281" s="73" t="s">
        <v>1502</v>
      </c>
      <c r="M281" s="7" t="s">
        <v>2291</v>
      </c>
      <c r="N281" s="7" t="s">
        <v>1538</v>
      </c>
      <c r="O281" s="7" t="s">
        <v>1494</v>
      </c>
      <c r="P281" s="108" t="s">
        <v>1539</v>
      </c>
      <c r="Q281" s="7" t="s">
        <v>1572</v>
      </c>
      <c r="R281" s="7">
        <v>33.35</v>
      </c>
      <c r="S281" s="7">
        <f t="shared" si="62"/>
        <v>33.35</v>
      </c>
      <c r="T281" s="7">
        <v>151.19999999999999</v>
      </c>
      <c r="U281" s="7">
        <v>1</v>
      </c>
      <c r="V281" s="7">
        <v>42</v>
      </c>
      <c r="W281" s="7">
        <f t="shared" si="55"/>
        <v>1.6232492903979006</v>
      </c>
      <c r="X281" s="7" t="s">
        <v>2284</v>
      </c>
      <c r="Y281" s="7" t="s">
        <v>2162</v>
      </c>
      <c r="Z281" s="7">
        <v>20</v>
      </c>
      <c r="AA281" s="7">
        <v>30</v>
      </c>
      <c r="AB281" s="108">
        <v>12.72467</v>
      </c>
      <c r="AC281" s="108">
        <v>1.463552</v>
      </c>
      <c r="AD281" s="7">
        <v>9</v>
      </c>
      <c r="AE281" s="108">
        <v>16.253270000000001</v>
      </c>
      <c r="AF281" s="108">
        <v>2.6533799999999998</v>
      </c>
      <c r="AG281" s="7">
        <v>9</v>
      </c>
      <c r="AH281" s="108">
        <v>11.572609999999999</v>
      </c>
      <c r="AI281" s="108">
        <v>1.3403849999999999</v>
      </c>
      <c r="AJ281" s="7">
        <v>8</v>
      </c>
      <c r="AK281" s="108">
        <v>12.481619999999999</v>
      </c>
      <c r="AL281" s="108">
        <v>1.7217290000000001</v>
      </c>
      <c r="AM281" s="7">
        <v>8</v>
      </c>
      <c r="AN281" s="7">
        <f t="shared" si="56"/>
        <v>1.2773038514947737</v>
      </c>
      <c r="AO281" s="7">
        <f t="shared" si="57"/>
        <v>0.98089930819423998</v>
      </c>
      <c r="AP281" s="7">
        <f t="shared" si="58"/>
        <v>1.9100691805760017E-2</v>
      </c>
      <c r="AQ281" s="7">
        <f t="shared" si="59"/>
        <v>-1.6967889952036994</v>
      </c>
      <c r="AR281" s="7">
        <f t="shared" si="60"/>
        <v>1.6967889952036994</v>
      </c>
      <c r="AS281" s="7">
        <f t="shared" si="61"/>
        <v>8.6666666666666661</v>
      </c>
      <c r="AT281" s="184">
        <f t="shared" si="52"/>
        <v>1.9462203333333334</v>
      </c>
      <c r="AU281" s="7"/>
      <c r="AV281" s="7"/>
      <c r="AW281" s="7"/>
      <c r="AX281" s="7" t="s">
        <v>2292</v>
      </c>
      <c r="AY281" s="7" t="s">
        <v>1509</v>
      </c>
    </row>
    <row r="282" spans="1:51">
      <c r="A282" s="7" t="s">
        <v>33</v>
      </c>
      <c r="B282" s="7" t="s">
        <v>43</v>
      </c>
      <c r="C282" s="7" t="s">
        <v>1532</v>
      </c>
      <c r="D282" s="7" t="s">
        <v>2157</v>
      </c>
      <c r="E282" s="7" t="s">
        <v>2158</v>
      </c>
      <c r="F282" s="7" t="s">
        <v>2159</v>
      </c>
      <c r="G282" s="7" t="s">
        <v>2160</v>
      </c>
      <c r="H282" s="7" t="s">
        <v>4184</v>
      </c>
      <c r="I282" s="100">
        <f>AVERAGE(107, 95)/1000</f>
        <v>0.10100000000000001</v>
      </c>
      <c r="J282" s="100">
        <f t="shared" si="53"/>
        <v>101</v>
      </c>
      <c r="K282" s="100">
        <f t="shared" si="54"/>
        <v>2.0043213737826426</v>
      </c>
      <c r="L282" s="73" t="s">
        <v>1502</v>
      </c>
      <c r="M282" s="7" t="s">
        <v>2289</v>
      </c>
      <c r="N282" s="7" t="s">
        <v>1538</v>
      </c>
      <c r="O282" s="7" t="s">
        <v>1494</v>
      </c>
      <c r="P282" s="108" t="s">
        <v>1539</v>
      </c>
      <c r="Q282" s="7" t="s">
        <v>1572</v>
      </c>
      <c r="R282" s="7">
        <v>33.35</v>
      </c>
      <c r="S282" s="7">
        <f t="shared" si="62"/>
        <v>33.35</v>
      </c>
      <c r="T282" s="7">
        <v>151.19999999999999</v>
      </c>
      <c r="U282" s="7">
        <v>1</v>
      </c>
      <c r="V282" s="7">
        <v>42</v>
      </c>
      <c r="W282" s="7">
        <f t="shared" si="55"/>
        <v>1.6232492903979006</v>
      </c>
      <c r="X282" s="7" t="s">
        <v>2284</v>
      </c>
      <c r="Y282" s="7" t="s">
        <v>2144</v>
      </c>
      <c r="Z282" s="7">
        <v>20</v>
      </c>
      <c r="AA282" s="7">
        <v>30</v>
      </c>
      <c r="AB282" s="108">
        <v>12.72467</v>
      </c>
      <c r="AC282" s="108">
        <v>1.463552</v>
      </c>
      <c r="AD282" s="7">
        <v>9</v>
      </c>
      <c r="AE282" s="108">
        <v>16.253270000000001</v>
      </c>
      <c r="AF282" s="108">
        <v>2.6533799999999998</v>
      </c>
      <c r="AG282" s="7">
        <v>9</v>
      </c>
      <c r="AH282" s="108">
        <v>11.572609999999999</v>
      </c>
      <c r="AI282" s="108">
        <v>1.3403849999999999</v>
      </c>
      <c r="AJ282" s="7">
        <v>8</v>
      </c>
      <c r="AK282" s="108">
        <v>12.481619999999999</v>
      </c>
      <c r="AL282" s="108">
        <v>1.7217290000000001</v>
      </c>
      <c r="AM282" s="7">
        <v>8</v>
      </c>
      <c r="AN282" s="7">
        <f t="shared" si="56"/>
        <v>1.2773038514947737</v>
      </c>
      <c r="AO282" s="7">
        <f t="shared" si="57"/>
        <v>0.98089930819423998</v>
      </c>
      <c r="AP282" s="7">
        <f t="shared" si="58"/>
        <v>1.9100691805760017E-2</v>
      </c>
      <c r="AQ282" s="7">
        <f t="shared" si="59"/>
        <v>-1.6967889952036994</v>
      </c>
      <c r="AR282" s="7">
        <f t="shared" si="60"/>
        <v>1.6967889952036994</v>
      </c>
      <c r="AS282" s="7">
        <f t="shared" si="61"/>
        <v>8.6666666666666661</v>
      </c>
      <c r="AT282" s="184">
        <f t="shared" si="52"/>
        <v>1.9462203333333334</v>
      </c>
      <c r="AU282" s="7"/>
      <c r="AV282" s="7"/>
      <c r="AW282" s="7"/>
      <c r="AX282" s="7" t="s">
        <v>2293</v>
      </c>
      <c r="AY282" s="7" t="s">
        <v>1509</v>
      </c>
    </row>
    <row r="283" spans="1:51">
      <c r="A283" s="7" t="s">
        <v>33</v>
      </c>
      <c r="B283" s="7" t="s">
        <v>75</v>
      </c>
      <c r="C283" s="7" t="s">
        <v>76</v>
      </c>
      <c r="D283" s="7" t="s">
        <v>389</v>
      </c>
      <c r="E283" s="7" t="s">
        <v>405</v>
      </c>
      <c r="F283" s="7" t="s">
        <v>406</v>
      </c>
      <c r="G283" s="7" t="s">
        <v>2166</v>
      </c>
      <c r="H283" s="7" t="s">
        <v>4181</v>
      </c>
      <c r="I283" s="100">
        <f>101/1000</f>
        <v>0.10100000000000001</v>
      </c>
      <c r="J283" s="100">
        <f t="shared" si="53"/>
        <v>101</v>
      </c>
      <c r="K283" s="100">
        <f t="shared" si="54"/>
        <v>2.0043213737826426</v>
      </c>
      <c r="L283" s="73" t="s">
        <v>1502</v>
      </c>
      <c r="M283" s="107" t="s">
        <v>1821</v>
      </c>
      <c r="N283" s="7" t="s">
        <v>1640</v>
      </c>
      <c r="O283" s="7" t="s">
        <v>1505</v>
      </c>
      <c r="P283" s="108" t="s">
        <v>1492</v>
      </c>
      <c r="Q283" s="7" t="s">
        <v>2167</v>
      </c>
      <c r="R283" s="7">
        <v>27.45</v>
      </c>
      <c r="S283" s="7">
        <f t="shared" si="62"/>
        <v>27.45</v>
      </c>
      <c r="T283" s="7">
        <v>153.35</v>
      </c>
      <c r="U283" s="7">
        <v>1</v>
      </c>
      <c r="V283" s="7">
        <v>28</v>
      </c>
      <c r="W283" s="7">
        <f t="shared" si="55"/>
        <v>1.4471580313422192</v>
      </c>
      <c r="X283" s="7" t="s">
        <v>2284</v>
      </c>
      <c r="Y283" s="7" t="s">
        <v>2170</v>
      </c>
      <c r="Z283" s="7">
        <v>20</v>
      </c>
      <c r="AA283" s="7">
        <v>30</v>
      </c>
      <c r="AB283" s="108">
        <v>15.1</v>
      </c>
      <c r="AC283" s="108">
        <v>1.2</v>
      </c>
      <c r="AD283" s="7">
        <v>10</v>
      </c>
      <c r="AE283" s="7">
        <v>22.3</v>
      </c>
      <c r="AF283" s="7">
        <v>1.9</v>
      </c>
      <c r="AG283" s="7">
        <v>10</v>
      </c>
      <c r="AH283" s="7">
        <v>13.7</v>
      </c>
      <c r="AI283" s="7">
        <v>0.5</v>
      </c>
      <c r="AJ283" s="7">
        <v>10</v>
      </c>
      <c r="AK283" s="108">
        <v>19.399999999999999</v>
      </c>
      <c r="AL283" s="108">
        <v>0.6</v>
      </c>
      <c r="AM283" s="108">
        <v>10</v>
      </c>
      <c r="AN283" s="7">
        <f t="shared" si="56"/>
        <v>1.4768211920529801</v>
      </c>
      <c r="AO283" s="7">
        <f t="shared" si="57"/>
        <v>1.2847682119205297</v>
      </c>
      <c r="AP283" s="7">
        <f t="shared" si="58"/>
        <v>0.2847682119205297</v>
      </c>
      <c r="AQ283" s="7">
        <f t="shared" si="59"/>
        <v>-0.54398608259652748</v>
      </c>
      <c r="AR283" s="7">
        <f t="shared" si="60"/>
        <v>0.54398608259652748</v>
      </c>
      <c r="AS283" s="7">
        <f t="shared" si="61"/>
        <v>10</v>
      </c>
      <c r="AT283" s="184">
        <f t="shared" si="52"/>
        <v>1.2333333333333332</v>
      </c>
      <c r="AU283" s="108"/>
      <c r="AV283" s="7"/>
      <c r="AW283" s="7"/>
      <c r="AX283" s="7" t="s">
        <v>2294</v>
      </c>
      <c r="AY283" s="7" t="s">
        <v>1509</v>
      </c>
    </row>
    <row r="284" spans="1:51">
      <c r="A284" s="7" t="s">
        <v>33</v>
      </c>
      <c r="B284" s="7" t="s">
        <v>43</v>
      </c>
      <c r="C284" s="7" t="s">
        <v>1532</v>
      </c>
      <c r="D284" s="7" t="s">
        <v>2157</v>
      </c>
      <c r="E284" s="7" t="s">
        <v>2158</v>
      </c>
      <c r="F284" s="7" t="s">
        <v>2159</v>
      </c>
      <c r="G284" s="7" t="s">
        <v>2160</v>
      </c>
      <c r="H284" s="7" t="s">
        <v>4184</v>
      </c>
      <c r="I284" s="100">
        <f>AVERAGE(107, 95)/1000</f>
        <v>0.10100000000000001</v>
      </c>
      <c r="J284" s="100">
        <f t="shared" si="53"/>
        <v>101</v>
      </c>
      <c r="K284" s="100">
        <f t="shared" si="54"/>
        <v>2.0043213737826426</v>
      </c>
      <c r="L284" s="73" t="s">
        <v>1502</v>
      </c>
      <c r="M284" s="7" t="s">
        <v>2293</v>
      </c>
      <c r="N284" s="7" t="s">
        <v>1538</v>
      </c>
      <c r="O284" s="7" t="s">
        <v>1494</v>
      </c>
      <c r="P284" s="108" t="s">
        <v>1539</v>
      </c>
      <c r="Q284" s="7" t="s">
        <v>1572</v>
      </c>
      <c r="R284" s="7">
        <v>33.35</v>
      </c>
      <c r="S284" s="7">
        <f t="shared" si="62"/>
        <v>33.35</v>
      </c>
      <c r="T284" s="7">
        <v>151.19999999999999</v>
      </c>
      <c r="U284" s="7">
        <v>1</v>
      </c>
      <c r="V284" s="7">
        <v>42</v>
      </c>
      <c r="W284" s="7">
        <f t="shared" si="55"/>
        <v>1.6232492903979006</v>
      </c>
      <c r="X284" s="7" t="s">
        <v>2284</v>
      </c>
      <c r="Y284" s="7" t="s">
        <v>2136</v>
      </c>
      <c r="Z284" s="7">
        <v>20</v>
      </c>
      <c r="AA284" s="7">
        <v>30</v>
      </c>
      <c r="AB284" s="108">
        <v>32.67239</v>
      </c>
      <c r="AC284" s="108">
        <v>3.1562600000000001</v>
      </c>
      <c r="AD284" s="7">
        <v>9</v>
      </c>
      <c r="AE284" s="108">
        <v>43.635210000000001</v>
      </c>
      <c r="AF284" s="108">
        <v>4.530068</v>
      </c>
      <c r="AG284" s="7">
        <v>9</v>
      </c>
      <c r="AH284" s="108">
        <v>28.734380000000002</v>
      </c>
      <c r="AI284" s="108">
        <v>4.6510629999999997</v>
      </c>
      <c r="AJ284" s="7">
        <v>8</v>
      </c>
      <c r="AK284" s="108">
        <v>39.267000000000003</v>
      </c>
      <c r="AL284" s="108">
        <v>6.2035010000000002</v>
      </c>
      <c r="AM284" s="7">
        <v>8</v>
      </c>
      <c r="AN284" s="7">
        <f t="shared" si="56"/>
        <v>1.3355377430301243</v>
      </c>
      <c r="AO284" s="7">
        <f t="shared" si="57"/>
        <v>1.2018404530553168</v>
      </c>
      <c r="AP284" s="7">
        <f t="shared" si="58"/>
        <v>0.20184045305531684</v>
      </c>
      <c r="AQ284" s="7">
        <f t="shared" si="59"/>
        <v>-0.69284542810245098</v>
      </c>
      <c r="AR284" s="7">
        <f t="shared" si="60"/>
        <v>0.69284542810245098</v>
      </c>
      <c r="AS284" s="7">
        <f t="shared" si="61"/>
        <v>8.6666666666666661</v>
      </c>
      <c r="AT284" s="184">
        <f t="shared" si="52"/>
        <v>4.6299429999999999</v>
      </c>
      <c r="AU284" s="7"/>
      <c r="AV284" s="7"/>
      <c r="AW284" s="7"/>
      <c r="AX284" s="7" t="s">
        <v>2291</v>
      </c>
      <c r="AY284" s="7" t="s">
        <v>1509</v>
      </c>
    </row>
    <row r="285" spans="1:51">
      <c r="A285" s="7" t="s">
        <v>33</v>
      </c>
      <c r="B285" s="7" t="s">
        <v>34</v>
      </c>
      <c r="C285" s="7" t="s">
        <v>282</v>
      </c>
      <c r="D285" s="7" t="s">
        <v>1541</v>
      </c>
      <c r="E285" s="7" t="s">
        <v>1542</v>
      </c>
      <c r="F285" s="7" t="s">
        <v>1543</v>
      </c>
      <c r="G285" s="7" t="s">
        <v>1544</v>
      </c>
      <c r="H285" s="7" t="s">
        <v>4180</v>
      </c>
      <c r="I285" s="100">
        <f>90/1000</f>
        <v>0.09</v>
      </c>
      <c r="J285" s="100">
        <f t="shared" si="53"/>
        <v>90</v>
      </c>
      <c r="K285" s="100">
        <f t="shared" si="54"/>
        <v>1.954242509439325</v>
      </c>
      <c r="L285" s="73" t="s">
        <v>1517</v>
      </c>
      <c r="M285" s="7" t="s">
        <v>2295</v>
      </c>
      <c r="N285" s="7" t="s">
        <v>1504</v>
      </c>
      <c r="O285" s="7" t="s">
        <v>1505</v>
      </c>
      <c r="P285" s="108" t="s">
        <v>1492</v>
      </c>
      <c r="Q285" s="7" t="s">
        <v>1546</v>
      </c>
      <c r="R285" s="7">
        <v>77.849999999999994</v>
      </c>
      <c r="S285" s="7">
        <f t="shared" si="62"/>
        <v>77.849999999999994</v>
      </c>
      <c r="T285" s="7">
        <v>166.75</v>
      </c>
      <c r="U285" s="7">
        <v>1</v>
      </c>
      <c r="V285" s="7">
        <v>42</v>
      </c>
      <c r="W285" s="7">
        <f t="shared" si="55"/>
        <v>1.6232492903979006</v>
      </c>
      <c r="X285" s="7" t="s">
        <v>2284</v>
      </c>
      <c r="Y285" s="7" t="s">
        <v>1711</v>
      </c>
      <c r="Z285" s="7">
        <v>-1</v>
      </c>
      <c r="AA285" s="7">
        <v>4</v>
      </c>
      <c r="AB285" s="108">
        <v>56.14</v>
      </c>
      <c r="AC285" s="108">
        <v>4.21</v>
      </c>
      <c r="AD285" s="7">
        <v>10</v>
      </c>
      <c r="AE285" s="7">
        <v>59.31</v>
      </c>
      <c r="AF285" s="7">
        <v>6.17</v>
      </c>
      <c r="AG285" s="7">
        <v>10</v>
      </c>
      <c r="AH285" s="7">
        <v>55.45</v>
      </c>
      <c r="AI285" s="7">
        <v>3.7</v>
      </c>
      <c r="AJ285" s="7">
        <v>10</v>
      </c>
      <c r="AK285" s="108">
        <v>62.77</v>
      </c>
      <c r="AL285" s="108">
        <v>3.69</v>
      </c>
      <c r="AM285" s="108">
        <v>10</v>
      </c>
      <c r="AN285" s="7">
        <f t="shared" si="56"/>
        <v>1.1161203624863232</v>
      </c>
      <c r="AO285" s="7">
        <f t="shared" si="57"/>
        <v>1.2501422724424625</v>
      </c>
      <c r="AP285" s="7">
        <f t="shared" si="58"/>
        <v>0.25014227244246245</v>
      </c>
      <c r="AQ285" s="7">
        <f t="shared" si="59"/>
        <v>-0.60008018038409994</v>
      </c>
      <c r="AR285" s="7">
        <f t="shared" si="60"/>
        <v>0.60008018038409994</v>
      </c>
      <c r="AS285" s="7">
        <f t="shared" si="61"/>
        <v>10</v>
      </c>
      <c r="AT285" s="184">
        <f t="shared" si="52"/>
        <v>4.6899999999999995</v>
      </c>
      <c r="AU285" s="108"/>
      <c r="AV285" s="7"/>
      <c r="AW285" s="7"/>
      <c r="AX285" s="7" t="s">
        <v>2296</v>
      </c>
      <c r="AY285" s="7" t="s">
        <v>1509</v>
      </c>
    </row>
    <row r="286" spans="1:51">
      <c r="A286" s="7" t="s">
        <v>33</v>
      </c>
      <c r="B286" s="7" t="s">
        <v>34</v>
      </c>
      <c r="C286" s="7" t="s">
        <v>282</v>
      </c>
      <c r="D286" s="7" t="s">
        <v>1840</v>
      </c>
      <c r="E286" s="7" t="s">
        <v>1841</v>
      </c>
      <c r="F286" s="7" t="s">
        <v>1842</v>
      </c>
      <c r="G286" s="7" t="s">
        <v>1843</v>
      </c>
      <c r="H286" s="7" t="s">
        <v>4180</v>
      </c>
      <c r="I286" s="100">
        <f>42.8/1000</f>
        <v>4.2799999999999998E-2</v>
      </c>
      <c r="J286" s="100">
        <f t="shared" si="53"/>
        <v>42.8</v>
      </c>
      <c r="K286" s="100">
        <f t="shared" si="54"/>
        <v>1.631443769013172</v>
      </c>
      <c r="L286" s="73" t="s">
        <v>1502</v>
      </c>
      <c r="M286" s="7" t="s">
        <v>2223</v>
      </c>
      <c r="N286" s="7" t="s">
        <v>1504</v>
      </c>
      <c r="O286" s="7" t="s">
        <v>1505</v>
      </c>
      <c r="P286" s="108" t="s">
        <v>1492</v>
      </c>
      <c r="Q286" s="7" t="s">
        <v>1519</v>
      </c>
      <c r="R286" s="7">
        <v>54.15</v>
      </c>
      <c r="S286" s="7">
        <f t="shared" si="62"/>
        <v>54.15</v>
      </c>
      <c r="T286" s="7">
        <v>7.9</v>
      </c>
      <c r="U286" s="7">
        <v>1</v>
      </c>
      <c r="V286" s="7">
        <v>300</v>
      </c>
      <c r="W286" s="7">
        <f t="shared" si="55"/>
        <v>2.4771212547196626</v>
      </c>
      <c r="X286" s="7" t="s">
        <v>2284</v>
      </c>
      <c r="Y286" s="7" t="s">
        <v>2144</v>
      </c>
      <c r="Z286" s="7">
        <v>5</v>
      </c>
      <c r="AA286" s="7">
        <v>10</v>
      </c>
      <c r="AB286" s="108">
        <v>0.7</v>
      </c>
      <c r="AC286" s="108">
        <v>0.2</v>
      </c>
      <c r="AD286" s="108">
        <v>5</v>
      </c>
      <c r="AE286" s="108">
        <v>0.9</v>
      </c>
      <c r="AF286" s="108">
        <v>0.2</v>
      </c>
      <c r="AG286" s="108">
        <v>5</v>
      </c>
      <c r="AH286" s="108">
        <v>0.75</v>
      </c>
      <c r="AI286" s="108">
        <v>0.2</v>
      </c>
      <c r="AJ286" s="7">
        <v>5</v>
      </c>
      <c r="AK286" s="108">
        <v>0.8</v>
      </c>
      <c r="AL286" s="108">
        <v>0.2</v>
      </c>
      <c r="AM286" s="108">
        <v>5</v>
      </c>
      <c r="AN286" s="7">
        <f t="shared" si="56"/>
        <v>1.6530612244897962</v>
      </c>
      <c r="AO286" s="7">
        <f t="shared" si="57"/>
        <v>1.3061224489795922</v>
      </c>
      <c r="AP286" s="7">
        <f t="shared" si="58"/>
        <v>0.30612244897959218</v>
      </c>
      <c r="AQ286" s="7">
        <f t="shared" si="59"/>
        <v>-0.51268843783359652</v>
      </c>
      <c r="AR286" s="7">
        <f t="shared" si="60"/>
        <v>0.51268843783359652</v>
      </c>
      <c r="AS286" s="7">
        <f t="shared" si="61"/>
        <v>5</v>
      </c>
      <c r="AT286" s="184">
        <f t="shared" ref="AT286:AT317" si="63">AVERAGE(AC286,AF286,AL286)</f>
        <v>0.20000000000000004</v>
      </c>
      <c r="AU286" s="108"/>
      <c r="AV286" s="7"/>
      <c r="AW286" s="7"/>
      <c r="AX286" s="7" t="s">
        <v>2223</v>
      </c>
      <c r="AY286" s="7" t="s">
        <v>1509</v>
      </c>
    </row>
    <row r="287" spans="1:51">
      <c r="A287" s="7" t="s">
        <v>33</v>
      </c>
      <c r="B287" s="7" t="s">
        <v>75</v>
      </c>
      <c r="C287" s="7" t="s">
        <v>76</v>
      </c>
      <c r="D287" s="7" t="s">
        <v>721</v>
      </c>
      <c r="E287" s="7" t="s">
        <v>752</v>
      </c>
      <c r="F287" s="7" t="s">
        <v>755</v>
      </c>
      <c r="G287" s="7" t="s">
        <v>1570</v>
      </c>
      <c r="H287" s="7" t="s">
        <v>4181</v>
      </c>
      <c r="I287" s="100">
        <f>20/1000</f>
        <v>0.02</v>
      </c>
      <c r="J287" s="100">
        <f t="shared" si="53"/>
        <v>20</v>
      </c>
      <c r="K287" s="100">
        <f t="shared" si="54"/>
        <v>1.3010299956639813</v>
      </c>
      <c r="L287" s="73" t="s">
        <v>1502</v>
      </c>
      <c r="M287" s="7" t="s">
        <v>1951</v>
      </c>
      <c r="N287" s="7" t="s">
        <v>1538</v>
      </c>
      <c r="O287" s="7" t="s">
        <v>1505</v>
      </c>
      <c r="P287" s="108" t="s">
        <v>1492</v>
      </c>
      <c r="Q287" s="7" t="s">
        <v>1572</v>
      </c>
      <c r="R287" s="7">
        <v>33.85</v>
      </c>
      <c r="S287" s="7">
        <f t="shared" si="62"/>
        <v>33.85</v>
      </c>
      <c r="T287" s="7">
        <v>151.19999999999999</v>
      </c>
      <c r="U287" s="7">
        <v>1</v>
      </c>
      <c r="V287" s="7">
        <v>60</v>
      </c>
      <c r="W287" s="7">
        <f t="shared" si="55"/>
        <v>1.7781512503836436</v>
      </c>
      <c r="X287" s="7" t="s">
        <v>2284</v>
      </c>
      <c r="Y287" s="7" t="s">
        <v>2194</v>
      </c>
      <c r="Z287" s="7">
        <v>15</v>
      </c>
      <c r="AA287" s="7">
        <v>25</v>
      </c>
      <c r="AB287" s="108">
        <v>36.9</v>
      </c>
      <c r="AC287" s="108">
        <v>6.3</v>
      </c>
      <c r="AD287" s="7">
        <v>5</v>
      </c>
      <c r="AE287" s="7">
        <v>53.3</v>
      </c>
      <c r="AF287" s="7">
        <v>8.9</v>
      </c>
      <c r="AG287" s="7">
        <v>5</v>
      </c>
      <c r="AH287" s="7">
        <v>14.5</v>
      </c>
      <c r="AI287" s="7">
        <v>4.3</v>
      </c>
      <c r="AJ287" s="7">
        <v>5</v>
      </c>
      <c r="AK287" s="108">
        <v>26.3</v>
      </c>
      <c r="AL287" s="108">
        <v>3.9</v>
      </c>
      <c r="AM287" s="108">
        <v>5</v>
      </c>
      <c r="AN287" s="7">
        <f t="shared" si="56"/>
        <v>1.4444444444444444</v>
      </c>
      <c r="AO287" s="7">
        <f t="shared" si="57"/>
        <v>0.7127371273712737</v>
      </c>
      <c r="AP287" s="7">
        <f t="shared" si="58"/>
        <v>0.2872628726287263</v>
      </c>
      <c r="AQ287" s="7">
        <f t="shared" si="59"/>
        <v>-0.54021128980326516</v>
      </c>
      <c r="AR287" s="7">
        <f t="shared" si="60"/>
        <v>0.54021128980326516</v>
      </c>
      <c r="AS287" s="7">
        <f t="shared" si="61"/>
        <v>5</v>
      </c>
      <c r="AT287" s="184">
        <f t="shared" si="63"/>
        <v>6.3666666666666663</v>
      </c>
      <c r="AU287" s="108"/>
      <c r="AV287" s="7"/>
      <c r="AW287" s="7"/>
      <c r="AX287" s="7" t="s">
        <v>2297</v>
      </c>
      <c r="AY287" s="7" t="s">
        <v>1509</v>
      </c>
    </row>
    <row r="288" spans="1:51">
      <c r="A288" s="7" t="s">
        <v>33</v>
      </c>
      <c r="B288" s="7" t="s">
        <v>75</v>
      </c>
      <c r="C288" s="7" t="s">
        <v>76</v>
      </c>
      <c r="D288" s="7" t="s">
        <v>721</v>
      </c>
      <c r="E288" s="7" t="s">
        <v>752</v>
      </c>
      <c r="F288" s="7" t="s">
        <v>755</v>
      </c>
      <c r="G288" s="7" t="s">
        <v>1570</v>
      </c>
      <c r="H288" s="7" t="s">
        <v>4181</v>
      </c>
      <c r="I288" s="100">
        <f>20/1000</f>
        <v>0.02</v>
      </c>
      <c r="J288" s="100">
        <f t="shared" si="53"/>
        <v>20</v>
      </c>
      <c r="K288" s="100">
        <f t="shared" si="54"/>
        <v>1.3010299956639813</v>
      </c>
      <c r="L288" s="73" t="s">
        <v>1502</v>
      </c>
      <c r="M288" s="7" t="s">
        <v>1951</v>
      </c>
      <c r="N288" s="7" t="s">
        <v>1538</v>
      </c>
      <c r="O288" s="7" t="s">
        <v>1505</v>
      </c>
      <c r="P288" s="108" t="s">
        <v>1492</v>
      </c>
      <c r="Q288" s="7" t="s">
        <v>1572</v>
      </c>
      <c r="R288" s="7">
        <v>33.85</v>
      </c>
      <c r="S288" s="7">
        <f t="shared" si="62"/>
        <v>33.85</v>
      </c>
      <c r="T288" s="7">
        <v>151.19999999999999</v>
      </c>
      <c r="U288" s="7">
        <v>1</v>
      </c>
      <c r="V288" s="7">
        <v>60</v>
      </c>
      <c r="W288" s="7">
        <f t="shared" si="55"/>
        <v>1.7781512503836436</v>
      </c>
      <c r="X288" s="7" t="s">
        <v>2284</v>
      </c>
      <c r="Y288" s="7" t="s">
        <v>2144</v>
      </c>
      <c r="Z288" s="7">
        <v>15</v>
      </c>
      <c r="AA288" s="7">
        <v>25</v>
      </c>
      <c r="AB288" s="108">
        <v>4</v>
      </c>
      <c r="AC288" s="108">
        <v>0.3</v>
      </c>
      <c r="AD288" s="7">
        <v>5</v>
      </c>
      <c r="AE288" s="7">
        <v>6</v>
      </c>
      <c r="AF288" s="7">
        <v>0.5</v>
      </c>
      <c r="AG288" s="7">
        <v>5</v>
      </c>
      <c r="AH288" s="7">
        <v>6</v>
      </c>
      <c r="AI288" s="7">
        <v>0.6</v>
      </c>
      <c r="AJ288" s="7">
        <v>5</v>
      </c>
      <c r="AK288" s="108">
        <v>9</v>
      </c>
      <c r="AL288" s="108">
        <v>1.2</v>
      </c>
      <c r="AM288" s="108">
        <v>5</v>
      </c>
      <c r="AN288" s="7">
        <f t="shared" si="56"/>
        <v>1.5</v>
      </c>
      <c r="AO288" s="7">
        <f t="shared" si="57"/>
        <v>2.25</v>
      </c>
      <c r="AP288" s="7">
        <f t="shared" si="58"/>
        <v>1.25</v>
      </c>
      <c r="AQ288" s="7">
        <f t="shared" si="59"/>
        <v>9.7257309693419919E-2</v>
      </c>
      <c r="AR288" s="7">
        <f t="shared" si="60"/>
        <v>-9.7257309693419919E-2</v>
      </c>
      <c r="AS288" s="7">
        <f t="shared" si="61"/>
        <v>5</v>
      </c>
      <c r="AT288" s="184">
        <f t="shared" si="63"/>
        <v>0.66666666666666663</v>
      </c>
      <c r="AU288" s="108"/>
      <c r="AV288" s="7"/>
      <c r="AW288" s="7"/>
      <c r="AX288" s="7" t="s">
        <v>2298</v>
      </c>
      <c r="AY288" s="7" t="s">
        <v>1509</v>
      </c>
    </row>
    <row r="289" spans="1:51">
      <c r="A289" s="7" t="s">
        <v>33</v>
      </c>
      <c r="B289" s="7" t="s">
        <v>75</v>
      </c>
      <c r="C289" s="7" t="s">
        <v>76</v>
      </c>
      <c r="D289" s="7" t="s">
        <v>721</v>
      </c>
      <c r="E289" s="7" t="s">
        <v>752</v>
      </c>
      <c r="F289" s="7" t="s">
        <v>755</v>
      </c>
      <c r="G289" s="7" t="s">
        <v>1570</v>
      </c>
      <c r="H289" s="7" t="s">
        <v>4181</v>
      </c>
      <c r="I289" s="100">
        <f>20/1000</f>
        <v>0.02</v>
      </c>
      <c r="J289" s="100">
        <f t="shared" si="53"/>
        <v>20</v>
      </c>
      <c r="K289" s="100">
        <f t="shared" si="54"/>
        <v>1.3010299956639813</v>
      </c>
      <c r="L289" s="73" t="s">
        <v>1502</v>
      </c>
      <c r="M289" s="7" t="s">
        <v>1951</v>
      </c>
      <c r="N289" s="7" t="s">
        <v>1538</v>
      </c>
      <c r="O289" s="7" t="s">
        <v>1505</v>
      </c>
      <c r="P289" s="108" t="s">
        <v>1492</v>
      </c>
      <c r="Q289" s="7" t="s">
        <v>1572</v>
      </c>
      <c r="R289" s="7">
        <v>33.85</v>
      </c>
      <c r="S289" s="7">
        <f t="shared" si="62"/>
        <v>33.85</v>
      </c>
      <c r="T289" s="7">
        <v>151.19999999999999</v>
      </c>
      <c r="U289" s="7">
        <v>1</v>
      </c>
      <c r="V289" s="7">
        <v>60</v>
      </c>
      <c r="W289" s="7">
        <f t="shared" si="55"/>
        <v>1.7781512503836436</v>
      </c>
      <c r="X289" s="7" t="s">
        <v>2284</v>
      </c>
      <c r="Y289" s="7" t="s">
        <v>2253</v>
      </c>
      <c r="Z289" s="7">
        <v>15</v>
      </c>
      <c r="AA289" s="7">
        <v>25</v>
      </c>
      <c r="AB289" s="108">
        <v>6.8</v>
      </c>
      <c r="AC289" s="108">
        <v>1.1000000000000001</v>
      </c>
      <c r="AD289" s="7">
        <v>5</v>
      </c>
      <c r="AE289" s="7">
        <v>11.3</v>
      </c>
      <c r="AF289" s="7">
        <v>3.5</v>
      </c>
      <c r="AG289" s="7">
        <v>5</v>
      </c>
      <c r="AH289" s="7">
        <v>6.8</v>
      </c>
      <c r="AI289" s="7">
        <v>1</v>
      </c>
      <c r="AJ289" s="7">
        <v>5</v>
      </c>
      <c r="AK289" s="108">
        <v>9.3000000000000007</v>
      </c>
      <c r="AL289" s="108">
        <v>1.8</v>
      </c>
      <c r="AM289" s="108">
        <v>5</v>
      </c>
      <c r="AN289" s="7">
        <f t="shared" si="56"/>
        <v>1.661764705882353</v>
      </c>
      <c r="AO289" s="7">
        <f t="shared" si="57"/>
        <v>1.3676470588235297</v>
      </c>
      <c r="AP289" s="7">
        <f t="shared" si="58"/>
        <v>0.36764705882352966</v>
      </c>
      <c r="AQ289" s="7">
        <f t="shared" si="59"/>
        <v>-0.4333892266783026</v>
      </c>
      <c r="AR289" s="7">
        <f t="shared" si="60"/>
        <v>0.4333892266783026</v>
      </c>
      <c r="AS289" s="7">
        <f t="shared" si="61"/>
        <v>5</v>
      </c>
      <c r="AT289" s="184">
        <f t="shared" si="63"/>
        <v>2.1333333333333333</v>
      </c>
      <c r="AU289" s="108"/>
      <c r="AV289" s="7"/>
      <c r="AW289" s="7"/>
      <c r="AX289" s="7" t="s">
        <v>2299</v>
      </c>
      <c r="AY289" s="7" t="s">
        <v>1509</v>
      </c>
    </row>
    <row r="290" spans="1:51">
      <c r="A290" s="7" t="s">
        <v>33</v>
      </c>
      <c r="B290" s="7" t="s">
        <v>75</v>
      </c>
      <c r="C290" s="7" t="s">
        <v>76</v>
      </c>
      <c r="D290" s="7" t="s">
        <v>721</v>
      </c>
      <c r="E290" s="7" t="s">
        <v>752</v>
      </c>
      <c r="F290" s="7" t="s">
        <v>755</v>
      </c>
      <c r="G290" s="7" t="s">
        <v>1570</v>
      </c>
      <c r="H290" s="7" t="s">
        <v>4181</v>
      </c>
      <c r="I290" s="100">
        <f>20/1000</f>
        <v>0.02</v>
      </c>
      <c r="J290" s="100">
        <f t="shared" si="53"/>
        <v>20</v>
      </c>
      <c r="K290" s="100">
        <f t="shared" si="54"/>
        <v>1.3010299956639813</v>
      </c>
      <c r="L290" s="73" t="s">
        <v>1502</v>
      </c>
      <c r="M290" s="7" t="s">
        <v>1951</v>
      </c>
      <c r="N290" s="7" t="s">
        <v>1538</v>
      </c>
      <c r="O290" s="7" t="s">
        <v>1505</v>
      </c>
      <c r="P290" s="108" t="s">
        <v>1492</v>
      </c>
      <c r="Q290" s="7" t="s">
        <v>1572</v>
      </c>
      <c r="R290" s="7">
        <v>33.85</v>
      </c>
      <c r="S290" s="7">
        <f t="shared" si="62"/>
        <v>33.85</v>
      </c>
      <c r="T290" s="7">
        <v>151.19999999999999</v>
      </c>
      <c r="U290" s="7">
        <v>1</v>
      </c>
      <c r="V290" s="7">
        <v>60</v>
      </c>
      <c r="W290" s="7">
        <f t="shared" si="55"/>
        <v>1.7781512503836436</v>
      </c>
      <c r="X290" s="7" t="s">
        <v>2284</v>
      </c>
      <c r="Y290" s="7" t="s">
        <v>2192</v>
      </c>
      <c r="Z290" s="7">
        <v>15</v>
      </c>
      <c r="AA290" s="7">
        <v>25</v>
      </c>
      <c r="AB290" s="108">
        <v>7</v>
      </c>
      <c r="AC290" s="108">
        <v>0.4</v>
      </c>
      <c r="AD290" s="7">
        <v>5</v>
      </c>
      <c r="AE290" s="7">
        <v>8</v>
      </c>
      <c r="AF290" s="7">
        <v>0.7</v>
      </c>
      <c r="AG290" s="7">
        <v>5</v>
      </c>
      <c r="AH290" s="7">
        <v>6</v>
      </c>
      <c r="AI290" s="7">
        <v>0.5</v>
      </c>
      <c r="AJ290" s="7">
        <v>5</v>
      </c>
      <c r="AK290" s="108">
        <v>9</v>
      </c>
      <c r="AL290" s="108">
        <v>0.8</v>
      </c>
      <c r="AM290" s="108">
        <v>5</v>
      </c>
      <c r="AN290" s="7">
        <f t="shared" si="56"/>
        <v>1.1428571428571428</v>
      </c>
      <c r="AO290" s="7">
        <f t="shared" si="57"/>
        <v>1.2857142857142858</v>
      </c>
      <c r="AP290" s="7">
        <f t="shared" si="58"/>
        <v>0.28571428571428581</v>
      </c>
      <c r="AQ290" s="7">
        <f t="shared" si="59"/>
        <v>-0.54255066752677117</v>
      </c>
      <c r="AR290" s="7">
        <f t="shared" si="60"/>
        <v>0.54255066752677117</v>
      </c>
      <c r="AS290" s="7">
        <f t="shared" si="61"/>
        <v>5</v>
      </c>
      <c r="AT290" s="184">
        <f t="shared" si="63"/>
        <v>0.63333333333333341</v>
      </c>
      <c r="AU290" s="108"/>
      <c r="AV290" s="7"/>
      <c r="AW290" s="7"/>
      <c r="AX290" s="7" t="s">
        <v>2300</v>
      </c>
      <c r="AY290" s="7" t="s">
        <v>1509</v>
      </c>
    </row>
    <row r="291" spans="1:51">
      <c r="A291" s="7" t="s">
        <v>33</v>
      </c>
      <c r="B291" s="7" t="s">
        <v>2197</v>
      </c>
      <c r="C291" s="7" t="s">
        <v>2198</v>
      </c>
      <c r="D291" s="7" t="s">
        <v>2199</v>
      </c>
      <c r="E291" s="7" t="s">
        <v>2200</v>
      </c>
      <c r="F291" s="7" t="s">
        <v>2201</v>
      </c>
      <c r="G291" s="7" t="s">
        <v>2202</v>
      </c>
      <c r="H291" s="7" t="s">
        <v>4180</v>
      </c>
      <c r="I291" s="100">
        <f>19.7/1000</f>
        <v>1.9699999999999999E-2</v>
      </c>
      <c r="J291" s="100">
        <f t="shared" si="53"/>
        <v>19.7</v>
      </c>
      <c r="K291" s="100">
        <f t="shared" si="54"/>
        <v>1.2944662261615929</v>
      </c>
      <c r="L291" s="73" t="s">
        <v>1502</v>
      </c>
      <c r="M291" s="7" t="s">
        <v>2203</v>
      </c>
      <c r="N291" s="110" t="s">
        <v>1504</v>
      </c>
      <c r="O291" s="110" t="s">
        <v>1494</v>
      </c>
      <c r="P291" s="108" t="s">
        <v>1539</v>
      </c>
      <c r="Q291" s="110" t="s">
        <v>2204</v>
      </c>
      <c r="R291" s="110">
        <v>10</v>
      </c>
      <c r="S291" s="7">
        <f t="shared" si="62"/>
        <v>10</v>
      </c>
      <c r="T291" s="110">
        <v>110</v>
      </c>
      <c r="U291" s="7">
        <v>1</v>
      </c>
      <c r="V291" s="7">
        <v>102</v>
      </c>
      <c r="W291" s="7">
        <f t="shared" si="55"/>
        <v>2.0086001717619175</v>
      </c>
      <c r="X291" s="7" t="s">
        <v>2284</v>
      </c>
      <c r="Y291" s="7" t="s">
        <v>2147</v>
      </c>
      <c r="Z291" s="7">
        <v>15</v>
      </c>
      <c r="AA291" s="7">
        <v>30</v>
      </c>
      <c r="AB291" s="108">
        <v>0.8</v>
      </c>
      <c r="AC291" s="108">
        <v>0.08</v>
      </c>
      <c r="AD291" s="110">
        <v>5</v>
      </c>
      <c r="AE291" s="7">
        <v>1.75</v>
      </c>
      <c r="AF291" s="7">
        <v>0.25</v>
      </c>
      <c r="AG291" s="110">
        <v>5</v>
      </c>
      <c r="AH291" s="7">
        <v>0.5</v>
      </c>
      <c r="AI291" s="7">
        <v>7.0000000000000007E-2</v>
      </c>
      <c r="AJ291" s="110">
        <v>5</v>
      </c>
      <c r="AK291" s="108">
        <v>1.05</v>
      </c>
      <c r="AL291" s="108">
        <v>0.1</v>
      </c>
      <c r="AM291" s="110">
        <v>0.11</v>
      </c>
      <c r="AN291" s="7">
        <f t="shared" si="56"/>
        <v>1.6851246873599064</v>
      </c>
      <c r="AO291" s="7">
        <f t="shared" si="57"/>
        <v>1.1987617435402722</v>
      </c>
      <c r="AP291" s="7">
        <f t="shared" si="58"/>
        <v>0.19876174354027221</v>
      </c>
      <c r="AQ291" s="7">
        <f t="shared" si="59"/>
        <v>-0.69948768007493711</v>
      </c>
      <c r="AR291" s="7">
        <f t="shared" si="60"/>
        <v>0.69948768007493711</v>
      </c>
      <c r="AS291" s="7">
        <f t="shared" si="61"/>
        <v>3.3699999999999997</v>
      </c>
      <c r="AT291" s="184">
        <f t="shared" si="63"/>
        <v>0.14333333333333334</v>
      </c>
      <c r="AU291" s="110"/>
      <c r="AV291" s="7"/>
      <c r="AW291" s="7"/>
      <c r="AX291" s="7" t="s">
        <v>2301</v>
      </c>
      <c r="AY291" s="7" t="s">
        <v>1509</v>
      </c>
    </row>
    <row r="292" spans="1:51">
      <c r="A292" s="7" t="s">
        <v>33</v>
      </c>
      <c r="B292" s="7" t="s">
        <v>75</v>
      </c>
      <c r="C292" s="7" t="s">
        <v>348</v>
      </c>
      <c r="D292" s="7" t="s">
        <v>622</v>
      </c>
      <c r="E292" s="7" t="s">
        <v>683</v>
      </c>
      <c r="F292" s="7" t="s">
        <v>682</v>
      </c>
      <c r="G292" s="7" t="s">
        <v>2026</v>
      </c>
      <c r="H292" s="7" t="s">
        <v>4181</v>
      </c>
      <c r="I292" s="100">
        <f>AVERAGE(2.82, 3.1, 3.34)/1000</f>
        <v>3.0866666666666664E-3</v>
      </c>
      <c r="J292" s="100">
        <f t="shared" si="53"/>
        <v>3.0866666666666664</v>
      </c>
      <c r="K292" s="100">
        <f t="shared" si="54"/>
        <v>0.48948973196227186</v>
      </c>
      <c r="L292" s="73" t="s">
        <v>1502</v>
      </c>
      <c r="M292" s="7" t="s">
        <v>2027</v>
      </c>
      <c r="N292" s="7" t="s">
        <v>1538</v>
      </c>
      <c r="O292" s="7" t="s">
        <v>1494</v>
      </c>
      <c r="P292" s="108" t="s">
        <v>1492</v>
      </c>
      <c r="Q292" s="7" t="s">
        <v>2028</v>
      </c>
      <c r="R292" s="7">
        <v>36.200000000000003</v>
      </c>
      <c r="S292" s="7">
        <f t="shared" si="62"/>
        <v>36.200000000000003</v>
      </c>
      <c r="T292" s="7">
        <v>86.75</v>
      </c>
      <c r="U292" s="7">
        <v>1</v>
      </c>
      <c r="V292" s="7">
        <v>84</v>
      </c>
      <c r="W292" s="7">
        <f t="shared" si="55"/>
        <v>1.9242792860618816</v>
      </c>
      <c r="X292" s="7" t="s">
        <v>2284</v>
      </c>
      <c r="Y292" s="7" t="s">
        <v>2134</v>
      </c>
      <c r="Z292" s="7">
        <v>8</v>
      </c>
      <c r="AA292" s="7">
        <v>26</v>
      </c>
      <c r="AB292" s="108">
        <v>3.8</v>
      </c>
      <c r="AC292" s="108">
        <v>0.1</v>
      </c>
      <c r="AD292" s="7">
        <v>10</v>
      </c>
      <c r="AE292" s="108">
        <v>8.0500000000000007</v>
      </c>
      <c r="AF292" s="108">
        <v>0.5</v>
      </c>
      <c r="AG292" s="108">
        <v>10</v>
      </c>
      <c r="AH292" s="108">
        <v>2.2999999999999998</v>
      </c>
      <c r="AI292" s="108">
        <v>0.1</v>
      </c>
      <c r="AJ292" s="108">
        <v>10</v>
      </c>
      <c r="AK292" s="108">
        <v>5.4</v>
      </c>
      <c r="AL292" s="108">
        <v>0.4</v>
      </c>
      <c r="AM292" s="108">
        <v>10</v>
      </c>
      <c r="AN292" s="7">
        <f t="shared" si="56"/>
        <v>1.5174623880360389</v>
      </c>
      <c r="AO292" s="7">
        <f t="shared" si="57"/>
        <v>1.2155796585419716</v>
      </c>
      <c r="AP292" s="7">
        <f t="shared" si="58"/>
        <v>0.21557965854197159</v>
      </c>
      <c r="AQ292" s="7">
        <f t="shared" si="59"/>
        <v>-0.66438233532760471</v>
      </c>
      <c r="AR292" s="7">
        <f t="shared" si="60"/>
        <v>0.66438233532760471</v>
      </c>
      <c r="AS292" s="7">
        <f t="shared" si="61"/>
        <v>10</v>
      </c>
      <c r="AT292" s="184">
        <f t="shared" si="63"/>
        <v>0.33333333333333331</v>
      </c>
      <c r="AU292" s="7"/>
      <c r="AV292" s="7"/>
      <c r="AW292" s="7"/>
      <c r="AX292" s="7" t="s">
        <v>2302</v>
      </c>
      <c r="AY292" s="7" t="s">
        <v>1509</v>
      </c>
    </row>
    <row r="293" spans="1:51">
      <c r="A293" s="7" t="s">
        <v>179</v>
      </c>
      <c r="B293" s="7" t="s">
        <v>180</v>
      </c>
      <c r="C293" s="7" t="s">
        <v>2303</v>
      </c>
      <c r="D293" s="7" t="s">
        <v>2304</v>
      </c>
      <c r="E293" s="7" t="s">
        <v>2305</v>
      </c>
      <c r="F293" s="7" t="s">
        <v>406</v>
      </c>
      <c r="G293" s="7" t="s">
        <v>2306</v>
      </c>
      <c r="H293" s="7" t="s">
        <v>4186</v>
      </c>
      <c r="I293" s="100">
        <f>2.5/1000</f>
        <v>2.5000000000000001E-3</v>
      </c>
      <c r="J293" s="100">
        <f t="shared" si="53"/>
        <v>2.5</v>
      </c>
      <c r="K293" s="100">
        <f t="shared" si="54"/>
        <v>0.3979400086720376</v>
      </c>
      <c r="L293" s="73" t="s">
        <v>1502</v>
      </c>
      <c r="M293" s="7" t="s">
        <v>2307</v>
      </c>
      <c r="N293" s="7" t="s">
        <v>1504</v>
      </c>
      <c r="O293" s="7" t="s">
        <v>1505</v>
      </c>
      <c r="P293" s="108" t="s">
        <v>1492</v>
      </c>
      <c r="Q293" s="7" t="s">
        <v>2308</v>
      </c>
      <c r="R293" s="7">
        <v>53.7</v>
      </c>
      <c r="S293" s="7">
        <f t="shared" si="62"/>
        <v>53.7</v>
      </c>
      <c r="T293" s="7">
        <v>66.349999999999994</v>
      </c>
      <c r="U293" s="7">
        <v>1</v>
      </c>
      <c r="V293" s="7">
        <v>28</v>
      </c>
      <c r="W293" s="7">
        <f t="shared" si="55"/>
        <v>1.4471580313422192</v>
      </c>
      <c r="X293" s="7" t="s">
        <v>2284</v>
      </c>
      <c r="Y293" s="7" t="s">
        <v>2309</v>
      </c>
      <c r="Z293" s="7">
        <v>0</v>
      </c>
      <c r="AA293" s="7">
        <v>11</v>
      </c>
      <c r="AB293" s="108">
        <v>0.6</v>
      </c>
      <c r="AC293" s="108">
        <v>0.05</v>
      </c>
      <c r="AD293" s="7">
        <v>6</v>
      </c>
      <c r="AE293" s="7">
        <v>1.5</v>
      </c>
      <c r="AF293" s="7">
        <v>0.15</v>
      </c>
      <c r="AG293" s="7">
        <v>6</v>
      </c>
      <c r="AH293" s="7">
        <v>0.55000000000000004</v>
      </c>
      <c r="AI293" s="7">
        <v>0.05</v>
      </c>
      <c r="AJ293" s="7">
        <v>6</v>
      </c>
      <c r="AK293" s="108">
        <v>1.1499999999999999</v>
      </c>
      <c r="AL293" s="108">
        <v>0.2</v>
      </c>
      <c r="AM293" s="108">
        <v>6</v>
      </c>
      <c r="AN293" s="7">
        <f t="shared" si="56"/>
        <v>2.3001896462588776</v>
      </c>
      <c r="AO293" s="7">
        <f t="shared" si="57"/>
        <v>1.8065938868605558</v>
      </c>
      <c r="AP293" s="7">
        <f t="shared" si="58"/>
        <v>0.80659388686055578</v>
      </c>
      <c r="AQ293" s="7">
        <f t="shared" si="59"/>
        <v>-9.280697713896785E-2</v>
      </c>
      <c r="AR293" s="7">
        <f t="shared" si="60"/>
        <v>9.280697713896785E-2</v>
      </c>
      <c r="AS293" s="7">
        <f t="shared" si="61"/>
        <v>6</v>
      </c>
      <c r="AT293" s="184">
        <f t="shared" si="63"/>
        <v>0.13333333333333333</v>
      </c>
      <c r="AU293" s="108"/>
      <c r="AV293" s="7"/>
      <c r="AW293" s="7"/>
      <c r="AX293" s="7" t="s">
        <v>2310</v>
      </c>
      <c r="AY293" s="7" t="s">
        <v>1509</v>
      </c>
    </row>
    <row r="294" spans="1:51">
      <c r="A294" s="7" t="s">
        <v>33</v>
      </c>
      <c r="B294" s="7" t="s">
        <v>34</v>
      </c>
      <c r="C294" s="7" t="s">
        <v>1601</v>
      </c>
      <c r="D294" s="7" t="s">
        <v>1602</v>
      </c>
      <c r="E294" s="7" t="s">
        <v>1603</v>
      </c>
      <c r="F294" s="7" t="s">
        <v>1604</v>
      </c>
      <c r="G294" s="7" t="s">
        <v>1605</v>
      </c>
      <c r="H294" s="7" t="s">
        <v>4180</v>
      </c>
      <c r="I294" s="100">
        <f>(AVERAGE(410, 465, 783, 788, 734, 725, 829, 807))/1000000</f>
        <v>6.9262499999999999E-4</v>
      </c>
      <c r="J294" s="100">
        <f t="shared" si="53"/>
        <v>0.69262499999999994</v>
      </c>
      <c r="K294" s="100">
        <f t="shared" si="54"/>
        <v>-0.15950183683203978</v>
      </c>
      <c r="L294" s="73" t="s">
        <v>1502</v>
      </c>
      <c r="M294" s="7" t="s">
        <v>1606</v>
      </c>
      <c r="N294" s="7" t="s">
        <v>1538</v>
      </c>
      <c r="O294" s="7" t="s">
        <v>1505</v>
      </c>
      <c r="P294" s="108" t="s">
        <v>1539</v>
      </c>
      <c r="Q294" s="7" t="s">
        <v>1607</v>
      </c>
      <c r="R294" s="7">
        <v>48</v>
      </c>
      <c r="S294" s="7">
        <f t="shared" si="62"/>
        <v>48</v>
      </c>
      <c r="T294" s="7">
        <v>69.349999999999994</v>
      </c>
      <c r="U294" s="7">
        <v>1</v>
      </c>
      <c r="V294" s="7">
        <v>77</v>
      </c>
      <c r="W294" s="7">
        <f t="shared" si="55"/>
        <v>1.8864907251724818</v>
      </c>
      <c r="X294" s="7" t="s">
        <v>2284</v>
      </c>
      <c r="Y294" s="7" t="s">
        <v>1723</v>
      </c>
      <c r="Z294" s="7">
        <v>8</v>
      </c>
      <c r="AA294" s="7">
        <v>23</v>
      </c>
      <c r="AB294" s="7">
        <v>6</v>
      </c>
      <c r="AC294" s="7">
        <v>0.11338934190276816</v>
      </c>
      <c r="AD294" s="7">
        <v>7</v>
      </c>
      <c r="AE294" s="7">
        <v>9.5</v>
      </c>
      <c r="AF294" s="7">
        <v>0.1889822365046136</v>
      </c>
      <c r="AG294" s="7">
        <v>7</v>
      </c>
      <c r="AH294" s="7">
        <v>3.6</v>
      </c>
      <c r="AI294" s="7">
        <v>0.1889822365046136</v>
      </c>
      <c r="AJ294" s="7">
        <v>7</v>
      </c>
      <c r="AK294" s="108">
        <v>5.5</v>
      </c>
      <c r="AL294" s="108">
        <v>0.56694670951384085</v>
      </c>
      <c r="AM294" s="7">
        <v>7</v>
      </c>
      <c r="AN294" s="7">
        <f t="shared" si="56"/>
        <v>1.358464321324494</v>
      </c>
      <c r="AO294" s="7">
        <f t="shared" si="57"/>
        <v>0.94364279020016373</v>
      </c>
      <c r="AP294" s="7">
        <f t="shared" si="58"/>
        <v>5.6357209799836272E-2</v>
      </c>
      <c r="AQ294" s="7">
        <f t="shared" si="59"/>
        <v>-1.241411983525889</v>
      </c>
      <c r="AR294" s="7">
        <f t="shared" si="60"/>
        <v>1.241411983525889</v>
      </c>
      <c r="AS294" s="7">
        <f t="shared" si="61"/>
        <v>7</v>
      </c>
      <c r="AT294" s="184">
        <f t="shared" si="63"/>
        <v>0.28977276264040758</v>
      </c>
      <c r="AU294" s="7"/>
      <c r="AV294" s="7" t="s">
        <v>1608</v>
      </c>
      <c r="AW294" s="7"/>
      <c r="AX294" s="7" t="s">
        <v>2311</v>
      </c>
      <c r="AY294" s="7" t="s">
        <v>1509</v>
      </c>
    </row>
    <row r="295" spans="1:51">
      <c r="A295" s="7" t="s">
        <v>33</v>
      </c>
      <c r="B295" s="7" t="s">
        <v>34</v>
      </c>
      <c r="C295" s="7" t="s">
        <v>1601</v>
      </c>
      <c r="D295" s="7" t="s">
        <v>1602</v>
      </c>
      <c r="E295" s="7" t="s">
        <v>1603</v>
      </c>
      <c r="F295" s="7" t="s">
        <v>1604</v>
      </c>
      <c r="G295" s="7" t="s">
        <v>1605</v>
      </c>
      <c r="H295" s="7" t="s">
        <v>4180</v>
      </c>
      <c r="I295" s="100">
        <f>(AVERAGE(410, 465, 783, 788, 734, 725, 829, 807))/1000000</f>
        <v>6.9262499999999999E-4</v>
      </c>
      <c r="J295" s="100">
        <f t="shared" si="53"/>
        <v>0.69262499999999994</v>
      </c>
      <c r="K295" s="100">
        <f t="shared" si="54"/>
        <v>-0.15950183683203978</v>
      </c>
      <c r="L295" s="73" t="s">
        <v>1502</v>
      </c>
      <c r="M295" s="7" t="s">
        <v>1606</v>
      </c>
      <c r="N295" s="7" t="s">
        <v>1538</v>
      </c>
      <c r="O295" s="7" t="s">
        <v>1505</v>
      </c>
      <c r="P295" s="108" t="s">
        <v>1539</v>
      </c>
      <c r="Q295" s="7" t="s">
        <v>1607</v>
      </c>
      <c r="R295" s="7">
        <v>48</v>
      </c>
      <c r="S295" s="7">
        <f t="shared" si="62"/>
        <v>48</v>
      </c>
      <c r="T295" s="7">
        <v>69.349999999999994</v>
      </c>
      <c r="U295" s="7">
        <v>1</v>
      </c>
      <c r="V295" s="7">
        <v>77</v>
      </c>
      <c r="W295" s="7">
        <f t="shared" si="55"/>
        <v>1.8864907251724818</v>
      </c>
      <c r="X295" s="7" t="s">
        <v>2284</v>
      </c>
      <c r="Y295" s="7" t="s">
        <v>1723</v>
      </c>
      <c r="Z295" s="7">
        <v>8</v>
      </c>
      <c r="AA295" s="7">
        <v>23</v>
      </c>
      <c r="AB295" s="7">
        <v>6.24</v>
      </c>
      <c r="AC295" s="7">
        <v>0.624</v>
      </c>
      <c r="AD295" s="7">
        <v>10</v>
      </c>
      <c r="AE295" s="7">
        <v>9.59</v>
      </c>
      <c r="AF295" s="7">
        <v>0.28776726707532252</v>
      </c>
      <c r="AG295" s="7">
        <v>10</v>
      </c>
      <c r="AH295" s="7">
        <v>3.99</v>
      </c>
      <c r="AI295" s="7">
        <v>0.3383637096380166</v>
      </c>
      <c r="AJ295" s="7">
        <v>10</v>
      </c>
      <c r="AK295" s="108">
        <v>6.2</v>
      </c>
      <c r="AL295" s="108">
        <v>0.50280214796677236</v>
      </c>
      <c r="AM295" s="7">
        <v>10</v>
      </c>
      <c r="AN295" s="7">
        <f t="shared" si="56"/>
        <v>1.33174991680252</v>
      </c>
      <c r="AO295" s="7">
        <f t="shared" si="57"/>
        <v>0.99572191696023304</v>
      </c>
      <c r="AP295" s="7">
        <f t="shared" si="58"/>
        <v>4.2780830397669556E-3</v>
      </c>
      <c r="AQ295" s="7">
        <f t="shared" si="59"/>
        <v>-2.2775237813329317</v>
      </c>
      <c r="AR295" s="7">
        <f t="shared" si="60"/>
        <v>2.2775237813329317</v>
      </c>
      <c r="AS295" s="7">
        <f t="shared" si="61"/>
        <v>10</v>
      </c>
      <c r="AT295" s="184">
        <f t="shared" si="63"/>
        <v>0.47152313834736498</v>
      </c>
      <c r="AU295" s="7"/>
      <c r="AV295" s="7" t="s">
        <v>1608</v>
      </c>
      <c r="AW295" s="7"/>
      <c r="AX295" s="7" t="s">
        <v>2312</v>
      </c>
      <c r="AY295" s="7" t="s">
        <v>1509</v>
      </c>
    </row>
    <row r="296" spans="1:51">
      <c r="A296" s="7" t="s">
        <v>33</v>
      </c>
      <c r="B296" s="7" t="s">
        <v>34</v>
      </c>
      <c r="C296" s="7" t="s">
        <v>1601</v>
      </c>
      <c r="D296" s="7" t="s">
        <v>1602</v>
      </c>
      <c r="E296" s="7" t="s">
        <v>1603</v>
      </c>
      <c r="F296" s="7" t="s">
        <v>1604</v>
      </c>
      <c r="G296" s="7" t="s">
        <v>1605</v>
      </c>
      <c r="H296" s="7" t="s">
        <v>4180</v>
      </c>
      <c r="I296" s="100">
        <f>(AVERAGE(410, 465, 783, 788, 734, 725, 829, 807))/1000000</f>
        <v>6.9262499999999999E-4</v>
      </c>
      <c r="J296" s="100">
        <f t="shared" si="53"/>
        <v>0.69262499999999994</v>
      </c>
      <c r="K296" s="100">
        <f t="shared" si="54"/>
        <v>-0.15950183683203978</v>
      </c>
      <c r="L296" s="73" t="s">
        <v>1502</v>
      </c>
      <c r="M296" s="7" t="s">
        <v>1606</v>
      </c>
      <c r="N296" s="7" t="s">
        <v>1538</v>
      </c>
      <c r="O296" s="7" t="s">
        <v>1505</v>
      </c>
      <c r="P296" s="108" t="s">
        <v>1539</v>
      </c>
      <c r="Q296" s="7" t="s">
        <v>1607</v>
      </c>
      <c r="R296" s="7">
        <v>48</v>
      </c>
      <c r="S296" s="7">
        <f t="shared" si="62"/>
        <v>48</v>
      </c>
      <c r="T296" s="7">
        <v>69.349999999999994</v>
      </c>
      <c r="U296" s="7">
        <v>1</v>
      </c>
      <c r="V296" s="7">
        <v>77</v>
      </c>
      <c r="W296" s="7">
        <f t="shared" si="55"/>
        <v>1.8864907251724818</v>
      </c>
      <c r="X296" s="7" t="s">
        <v>2284</v>
      </c>
      <c r="Y296" s="7" t="s">
        <v>1711</v>
      </c>
      <c r="Z296" s="7">
        <v>8</v>
      </c>
      <c r="AA296" s="7">
        <v>23</v>
      </c>
      <c r="AB296" s="7">
        <v>22</v>
      </c>
      <c r="AC296" s="7">
        <v>0.7559289460184544</v>
      </c>
      <c r="AD296" s="7">
        <v>7</v>
      </c>
      <c r="AE296" s="7">
        <v>34</v>
      </c>
      <c r="AF296" s="7">
        <v>1.8898223650461361</v>
      </c>
      <c r="AG296" s="7">
        <v>7</v>
      </c>
      <c r="AH296" s="7">
        <v>17</v>
      </c>
      <c r="AI296" s="7">
        <v>1.8898223650461361</v>
      </c>
      <c r="AJ296" s="7">
        <v>7</v>
      </c>
      <c r="AK296" s="108">
        <v>26</v>
      </c>
      <c r="AL296" s="108">
        <v>1.8898223650461361</v>
      </c>
      <c r="AM296" s="7">
        <v>7</v>
      </c>
      <c r="AN296" s="7">
        <f t="shared" si="56"/>
        <v>1.3367109041880123</v>
      </c>
      <c r="AO296" s="7">
        <f t="shared" si="57"/>
        <v>1.1178077373511717</v>
      </c>
      <c r="AP296" s="7">
        <f t="shared" si="58"/>
        <v>0.11780773735117167</v>
      </c>
      <c r="AQ296" s="7">
        <f t="shared" si="59"/>
        <v>-0.92515527501562778</v>
      </c>
      <c r="AR296" s="7">
        <f t="shared" si="60"/>
        <v>0.92515527501562778</v>
      </c>
      <c r="AS296" s="7">
        <f t="shared" si="61"/>
        <v>7</v>
      </c>
      <c r="AT296" s="184">
        <f t="shared" si="63"/>
        <v>1.511857892036909</v>
      </c>
      <c r="AU296" s="7"/>
      <c r="AV296" s="7" t="s">
        <v>1608</v>
      </c>
      <c r="AW296" s="7"/>
      <c r="AX296" s="7" t="s">
        <v>2313</v>
      </c>
      <c r="AY296" s="7" t="s">
        <v>1509</v>
      </c>
    </row>
    <row r="297" spans="1:51">
      <c r="A297" s="7" t="s">
        <v>33</v>
      </c>
      <c r="B297" s="7" t="s">
        <v>34</v>
      </c>
      <c r="C297" s="7" t="s">
        <v>1601</v>
      </c>
      <c r="D297" s="7" t="s">
        <v>1602</v>
      </c>
      <c r="E297" s="7" t="s">
        <v>1603</v>
      </c>
      <c r="F297" s="7" t="s">
        <v>1604</v>
      </c>
      <c r="G297" s="7" t="s">
        <v>1605</v>
      </c>
      <c r="H297" s="7" t="s">
        <v>4180</v>
      </c>
      <c r="I297" s="100">
        <f>(AVERAGE(410, 465, 783, 788, 734, 725, 829, 807))/1000000</f>
        <v>6.9262499999999999E-4</v>
      </c>
      <c r="J297" s="100">
        <f t="shared" si="53"/>
        <v>0.69262499999999994</v>
      </c>
      <c r="K297" s="100">
        <f t="shared" si="54"/>
        <v>-0.15950183683203978</v>
      </c>
      <c r="L297" s="73" t="s">
        <v>1502</v>
      </c>
      <c r="M297" s="7" t="s">
        <v>1606</v>
      </c>
      <c r="N297" s="7" t="s">
        <v>1538</v>
      </c>
      <c r="O297" s="7" t="s">
        <v>1505</v>
      </c>
      <c r="P297" s="108" t="s">
        <v>1539</v>
      </c>
      <c r="Q297" s="7" t="s">
        <v>1607</v>
      </c>
      <c r="R297" s="7">
        <v>48</v>
      </c>
      <c r="S297" s="7">
        <f t="shared" si="62"/>
        <v>48</v>
      </c>
      <c r="T297" s="7">
        <v>69.349999999999994</v>
      </c>
      <c r="U297" s="7">
        <v>1</v>
      </c>
      <c r="V297" s="7">
        <v>77</v>
      </c>
      <c r="W297" s="7">
        <f t="shared" si="55"/>
        <v>1.8864907251724818</v>
      </c>
      <c r="X297" s="7" t="s">
        <v>2284</v>
      </c>
      <c r="Y297" s="7" t="s">
        <v>1711</v>
      </c>
      <c r="Z297" s="7">
        <v>8</v>
      </c>
      <c r="AA297" s="7">
        <v>23</v>
      </c>
      <c r="AB297" s="7">
        <v>23.03</v>
      </c>
      <c r="AC297" s="7">
        <v>2.3029999999999999</v>
      </c>
      <c r="AD297" s="7">
        <v>10</v>
      </c>
      <c r="AE297" s="7">
        <v>31.64</v>
      </c>
      <c r="AF297" s="7">
        <v>0.52493809158795091</v>
      </c>
      <c r="AG297" s="7">
        <v>10</v>
      </c>
      <c r="AH297" s="7">
        <v>19.510000000000002</v>
      </c>
      <c r="AI297" s="7">
        <v>2.2167566397780338</v>
      </c>
      <c r="AJ297" s="7">
        <v>10</v>
      </c>
      <c r="AK297" s="108">
        <v>30.12</v>
      </c>
      <c r="AL297" s="108">
        <v>3.2571459899734307</v>
      </c>
      <c r="AM297" s="7">
        <v>10</v>
      </c>
      <c r="AN297" s="7">
        <f t="shared" si="56"/>
        <v>1.2358384163461411</v>
      </c>
      <c r="AO297" s="7">
        <f t="shared" si="57"/>
        <v>1.195934385896237</v>
      </c>
      <c r="AP297" s="7">
        <f t="shared" si="58"/>
        <v>0.19593438589623702</v>
      </c>
      <c r="AQ297" s="7">
        <f t="shared" si="59"/>
        <v>-0.7056784468828684</v>
      </c>
      <c r="AR297" s="7">
        <f t="shared" si="60"/>
        <v>0.7056784468828684</v>
      </c>
      <c r="AS297" s="7">
        <f t="shared" si="61"/>
        <v>10</v>
      </c>
      <c r="AT297" s="184">
        <f t="shared" si="63"/>
        <v>2.0283613605204605</v>
      </c>
      <c r="AU297" s="7"/>
      <c r="AV297" s="7" t="s">
        <v>1608</v>
      </c>
      <c r="AW297" s="7"/>
      <c r="AX297" s="7" t="s">
        <v>2314</v>
      </c>
      <c r="AY297" s="7" t="s">
        <v>1509</v>
      </c>
    </row>
    <row r="298" spans="1:51">
      <c r="A298" s="7" t="s">
        <v>33</v>
      </c>
      <c r="B298" s="7" t="s">
        <v>34</v>
      </c>
      <c r="C298" s="7" t="s">
        <v>282</v>
      </c>
      <c r="D298" s="7" t="s">
        <v>1840</v>
      </c>
      <c r="E298" s="7" t="s">
        <v>1841</v>
      </c>
      <c r="F298" s="7" t="s">
        <v>435</v>
      </c>
      <c r="G298" s="7" t="s">
        <v>2095</v>
      </c>
      <c r="H298" s="7" t="s">
        <v>4180</v>
      </c>
      <c r="I298" s="100">
        <f>280/1000000</f>
        <v>2.7999999999999998E-4</v>
      </c>
      <c r="J298" s="100">
        <f t="shared" si="53"/>
        <v>0.27999999999999997</v>
      </c>
      <c r="K298" s="100">
        <f t="shared" si="54"/>
        <v>-0.55284196865778079</v>
      </c>
      <c r="L298" s="73" t="s">
        <v>1517</v>
      </c>
      <c r="M298" s="7" t="s">
        <v>2096</v>
      </c>
      <c r="N298" s="7" t="s">
        <v>1504</v>
      </c>
      <c r="O298" s="7" t="s">
        <v>1505</v>
      </c>
      <c r="P298" s="108" t="s">
        <v>1539</v>
      </c>
      <c r="Q298" s="7" t="s">
        <v>2097</v>
      </c>
      <c r="R298" s="7">
        <v>47.65</v>
      </c>
      <c r="S298" s="7">
        <f t="shared" si="62"/>
        <v>47.65</v>
      </c>
      <c r="T298" s="7">
        <v>52.7</v>
      </c>
      <c r="U298" s="7">
        <v>1</v>
      </c>
      <c r="V298" s="7">
        <v>28</v>
      </c>
      <c r="W298" s="7">
        <f t="shared" si="55"/>
        <v>1.4471580313422192</v>
      </c>
      <c r="X298" s="7" t="s">
        <v>2284</v>
      </c>
      <c r="Y298" s="7" t="s">
        <v>2315</v>
      </c>
      <c r="Z298" s="7">
        <v>3</v>
      </c>
      <c r="AA298" s="7">
        <v>11</v>
      </c>
      <c r="AB298" s="108">
        <v>0.49</v>
      </c>
      <c r="AC298" s="108">
        <v>0.08</v>
      </c>
      <c r="AD298" s="108">
        <v>7</v>
      </c>
      <c r="AE298" s="108">
        <v>0.76</v>
      </c>
      <c r="AF298" s="108">
        <v>0.2</v>
      </c>
      <c r="AG298" s="108">
        <v>7</v>
      </c>
      <c r="AH298" s="108">
        <v>0.56999999999999995</v>
      </c>
      <c r="AI298" s="108">
        <v>0.05</v>
      </c>
      <c r="AJ298" s="108">
        <v>7</v>
      </c>
      <c r="AK298" s="108">
        <v>0.9</v>
      </c>
      <c r="AL298" s="108">
        <v>0.17</v>
      </c>
      <c r="AM298" s="108">
        <v>7</v>
      </c>
      <c r="AN298" s="7">
        <f t="shared" si="56"/>
        <v>1.7308996508245647</v>
      </c>
      <c r="AO298" s="7">
        <f t="shared" si="57"/>
        <v>2.1382478142729737</v>
      </c>
      <c r="AP298" s="7">
        <f t="shared" si="58"/>
        <v>1.1382478142729737</v>
      </c>
      <c r="AQ298" s="7">
        <f t="shared" si="59"/>
        <v>5.6618204030789127E-2</v>
      </c>
      <c r="AR298" s="7">
        <f t="shared" si="60"/>
        <v>-5.6618204030789127E-2</v>
      </c>
      <c r="AS298" s="7">
        <f t="shared" si="61"/>
        <v>7</v>
      </c>
      <c r="AT298" s="184">
        <f t="shared" si="63"/>
        <v>0.15000000000000002</v>
      </c>
      <c r="AU298" s="108"/>
      <c r="AV298" s="7"/>
      <c r="AW298" s="7"/>
      <c r="AX298" s="7" t="s">
        <v>2316</v>
      </c>
      <c r="AY298" s="7" t="s">
        <v>1509</v>
      </c>
    </row>
    <row r="299" spans="1:51">
      <c r="A299" s="7" t="s">
        <v>33</v>
      </c>
      <c r="B299" s="7" t="s">
        <v>75</v>
      </c>
      <c r="C299" s="7" t="s">
        <v>76</v>
      </c>
      <c r="D299" s="7" t="s">
        <v>721</v>
      </c>
      <c r="E299" s="7" t="s">
        <v>752</v>
      </c>
      <c r="F299" s="7" t="s">
        <v>755</v>
      </c>
      <c r="G299" s="7" t="s">
        <v>1570</v>
      </c>
      <c r="H299" s="7" t="s">
        <v>4181</v>
      </c>
      <c r="I299" s="100">
        <f>AVERAGE(0.18,0.36)/1000</f>
        <v>2.7E-4</v>
      </c>
      <c r="J299" s="100">
        <f t="shared" si="53"/>
        <v>0.27</v>
      </c>
      <c r="K299" s="100">
        <f t="shared" si="54"/>
        <v>-0.56863623584101264</v>
      </c>
      <c r="L299" s="73" t="s">
        <v>1502</v>
      </c>
      <c r="M299" s="7" t="s">
        <v>2098</v>
      </c>
      <c r="N299" s="7" t="s">
        <v>1538</v>
      </c>
      <c r="O299" s="7" t="s">
        <v>1505</v>
      </c>
      <c r="P299" s="108" t="s">
        <v>1539</v>
      </c>
      <c r="Q299" s="7" t="s">
        <v>1572</v>
      </c>
      <c r="R299" s="7">
        <v>33.85</v>
      </c>
      <c r="S299" s="7">
        <f t="shared" si="62"/>
        <v>33.85</v>
      </c>
      <c r="T299" s="7">
        <v>151.19999999999999</v>
      </c>
      <c r="U299" s="7">
        <v>1</v>
      </c>
      <c r="V299" s="7">
        <v>42</v>
      </c>
      <c r="W299" s="7">
        <f t="shared" si="55"/>
        <v>1.6232492903979006</v>
      </c>
      <c r="X299" s="7" t="s">
        <v>2284</v>
      </c>
      <c r="Y299" s="7" t="s">
        <v>2134</v>
      </c>
      <c r="Z299" s="7">
        <v>10</v>
      </c>
      <c r="AA299" s="7">
        <v>20</v>
      </c>
      <c r="AB299" s="108">
        <v>8.1999999999999993</v>
      </c>
      <c r="AC299" s="108">
        <v>1</v>
      </c>
      <c r="AD299" s="7">
        <v>8</v>
      </c>
      <c r="AE299" s="7">
        <v>8.8000000000000007</v>
      </c>
      <c r="AF299" s="7">
        <v>0.9</v>
      </c>
      <c r="AG299" s="7">
        <v>8</v>
      </c>
      <c r="AH299" s="7">
        <v>6.2</v>
      </c>
      <c r="AI299" s="7">
        <v>2</v>
      </c>
      <c r="AJ299" s="7">
        <v>8</v>
      </c>
      <c r="AK299" s="108">
        <v>6.5</v>
      </c>
      <c r="AL299" s="108">
        <v>3</v>
      </c>
      <c r="AM299" s="108">
        <v>8</v>
      </c>
      <c r="AN299" s="7">
        <f t="shared" si="56"/>
        <v>1.0731707317073174</v>
      </c>
      <c r="AO299" s="7">
        <f t="shared" si="57"/>
        <v>0.79268292682926833</v>
      </c>
      <c r="AP299" s="7">
        <f t="shared" si="58"/>
        <v>0.20731707317073167</v>
      </c>
      <c r="AQ299" s="7">
        <f t="shared" si="59"/>
        <v>-0.68127513485311808</v>
      </c>
      <c r="AR299" s="7">
        <f t="shared" si="60"/>
        <v>0.68127513485311808</v>
      </c>
      <c r="AS299" s="7">
        <f t="shared" si="61"/>
        <v>8</v>
      </c>
      <c r="AT299" s="184">
        <f t="shared" si="63"/>
        <v>1.6333333333333335</v>
      </c>
      <c r="AU299" s="108"/>
      <c r="AV299" s="7"/>
      <c r="AW299" s="7"/>
      <c r="AX299" s="7" t="s">
        <v>2317</v>
      </c>
      <c r="AY299" s="7" t="s">
        <v>1509</v>
      </c>
    </row>
    <row r="300" spans="1:51">
      <c r="A300" s="7" t="s">
        <v>33</v>
      </c>
      <c r="B300" s="7" t="s">
        <v>34</v>
      </c>
      <c r="C300" s="7" t="s">
        <v>61</v>
      </c>
      <c r="D300" s="7" t="s">
        <v>62</v>
      </c>
      <c r="E300" s="7" t="s">
        <v>1732</v>
      </c>
      <c r="F300" s="7" t="s">
        <v>1733</v>
      </c>
      <c r="G300" s="7" t="s">
        <v>1734</v>
      </c>
      <c r="H300" s="7" t="s">
        <v>4180</v>
      </c>
      <c r="I300" s="100">
        <f>(AVERAGE(355,330))/1000</f>
        <v>0.34250000000000003</v>
      </c>
      <c r="J300" s="100">
        <f t="shared" si="53"/>
        <v>342.5</v>
      </c>
      <c r="K300" s="100">
        <f t="shared" si="54"/>
        <v>2.5346605758284442</v>
      </c>
      <c r="L300" s="73" t="s">
        <v>1502</v>
      </c>
      <c r="M300" s="7" t="s">
        <v>2318</v>
      </c>
      <c r="N300" s="7" t="s">
        <v>1538</v>
      </c>
      <c r="O300" s="7" t="s">
        <v>1494</v>
      </c>
      <c r="P300" s="108" t="s">
        <v>1539</v>
      </c>
      <c r="Q300" s="7" t="s">
        <v>2283</v>
      </c>
      <c r="R300" s="7">
        <v>46.56</v>
      </c>
      <c r="S300" s="7">
        <f t="shared" si="62"/>
        <v>46.56</v>
      </c>
      <c r="T300" s="7">
        <v>70.58</v>
      </c>
      <c r="U300" s="7">
        <v>1</v>
      </c>
      <c r="V300" s="7">
        <v>56</v>
      </c>
      <c r="W300" s="7">
        <f t="shared" si="55"/>
        <v>1.7481880270062005</v>
      </c>
      <c r="X300" s="7" t="s">
        <v>2319</v>
      </c>
      <c r="Y300" s="7" t="s">
        <v>2285</v>
      </c>
      <c r="Z300" s="7">
        <v>5</v>
      </c>
      <c r="AA300" s="7">
        <v>15</v>
      </c>
      <c r="AB300" s="108">
        <v>0.37</v>
      </c>
      <c r="AC300" s="108">
        <v>0.02</v>
      </c>
      <c r="AD300" s="7">
        <v>15</v>
      </c>
      <c r="AE300" s="108">
        <v>0.74</v>
      </c>
      <c r="AF300" s="108">
        <v>0.03</v>
      </c>
      <c r="AG300" s="108">
        <v>15</v>
      </c>
      <c r="AH300" s="108">
        <v>0.2</v>
      </c>
      <c r="AI300" s="108">
        <v>0.01</v>
      </c>
      <c r="AJ300" s="108">
        <v>14</v>
      </c>
      <c r="AK300" s="108">
        <v>0.42</v>
      </c>
      <c r="AL300" s="108">
        <v>0.02</v>
      </c>
      <c r="AM300" s="108">
        <v>14</v>
      </c>
      <c r="AN300" s="7">
        <f t="shared" si="56"/>
        <v>2</v>
      </c>
      <c r="AO300" s="7">
        <f t="shared" si="57"/>
        <v>1.1351351351351351</v>
      </c>
      <c r="AP300" s="7">
        <f t="shared" si="58"/>
        <v>0.13513513513513509</v>
      </c>
      <c r="AQ300" s="7">
        <f t="shared" si="59"/>
        <v>-0.86602977320928398</v>
      </c>
      <c r="AR300" s="7">
        <f t="shared" si="60"/>
        <v>0.86602977320928398</v>
      </c>
      <c r="AS300" s="7">
        <f t="shared" si="61"/>
        <v>14.666666666666666</v>
      </c>
      <c r="AT300" s="184">
        <f t="shared" si="63"/>
        <v>2.3333333333333334E-2</v>
      </c>
      <c r="AU300" s="7"/>
      <c r="AV300" s="7"/>
      <c r="AW300" s="7"/>
      <c r="AX300" s="7" t="s">
        <v>2318</v>
      </c>
      <c r="AY300" s="7" t="s">
        <v>1509</v>
      </c>
    </row>
    <row r="301" spans="1:51">
      <c r="A301" s="7" t="s">
        <v>33</v>
      </c>
      <c r="B301" s="7" t="s">
        <v>43</v>
      </c>
      <c r="C301" s="7" t="s">
        <v>1532</v>
      </c>
      <c r="D301" s="7" t="s">
        <v>1533</v>
      </c>
      <c r="E301" s="7" t="s">
        <v>1534</v>
      </c>
      <c r="F301" s="7" t="s">
        <v>1535</v>
      </c>
      <c r="G301" s="7" t="s">
        <v>1536</v>
      </c>
      <c r="H301" s="7" t="s">
        <v>4184</v>
      </c>
      <c r="I301" s="100">
        <f>AVERAGE(719,727)/1000</f>
        <v>0.72299999999999998</v>
      </c>
      <c r="J301" s="100">
        <f t="shared" si="53"/>
        <v>723</v>
      </c>
      <c r="K301" s="100">
        <f t="shared" si="54"/>
        <v>2.859138297294531</v>
      </c>
      <c r="L301" s="73" t="s">
        <v>1502</v>
      </c>
      <c r="M301" s="7" t="s">
        <v>1755</v>
      </c>
      <c r="N301" s="7" t="s">
        <v>1538</v>
      </c>
      <c r="O301" s="7" t="s">
        <v>1494</v>
      </c>
      <c r="P301" s="108" t="s">
        <v>1539</v>
      </c>
      <c r="Q301" s="7" t="s">
        <v>1540</v>
      </c>
      <c r="R301" s="7">
        <v>12.45</v>
      </c>
      <c r="S301" s="7">
        <f t="shared" si="62"/>
        <v>12.45</v>
      </c>
      <c r="T301" s="7">
        <v>130.85</v>
      </c>
      <c r="U301" s="7">
        <v>1</v>
      </c>
      <c r="V301" s="7">
        <v>30</v>
      </c>
      <c r="W301" s="7">
        <f t="shared" si="55"/>
        <v>1.4771212547196624</v>
      </c>
      <c r="X301" s="7" t="s">
        <v>2320</v>
      </c>
      <c r="Y301" s="7" t="s">
        <v>1757</v>
      </c>
      <c r="Z301" s="7">
        <v>20</v>
      </c>
      <c r="AA301" s="7">
        <v>30</v>
      </c>
      <c r="AB301" s="108">
        <v>1.61</v>
      </c>
      <c r="AC301" s="108">
        <v>0.2</v>
      </c>
      <c r="AD301" s="7">
        <v>8</v>
      </c>
      <c r="AE301" s="7">
        <v>3.2</v>
      </c>
      <c r="AF301" s="7">
        <v>0.4</v>
      </c>
      <c r="AG301" s="7">
        <v>8</v>
      </c>
      <c r="AH301" s="7">
        <v>1.6</v>
      </c>
      <c r="AI301" s="7">
        <v>0.2</v>
      </c>
      <c r="AJ301" s="7">
        <v>8</v>
      </c>
      <c r="AK301" s="108">
        <v>3.6</v>
      </c>
      <c r="AL301" s="108">
        <v>0.3</v>
      </c>
      <c r="AM301" s="108">
        <v>8</v>
      </c>
      <c r="AN301" s="7">
        <f t="shared" si="56"/>
        <v>1.9875776397515528</v>
      </c>
      <c r="AO301" s="7">
        <f t="shared" si="57"/>
        <v>2.2360248447204967</v>
      </c>
      <c r="AP301" s="7">
        <f t="shared" si="58"/>
        <v>1.2360248447204967</v>
      </c>
      <c r="AQ301" s="7">
        <f t="shared" si="59"/>
        <v>9.2378422197157486E-2</v>
      </c>
      <c r="AR301" s="7">
        <f t="shared" si="60"/>
        <v>-9.2378422197157486E-2</v>
      </c>
      <c r="AS301" s="7">
        <f t="shared" si="61"/>
        <v>8</v>
      </c>
      <c r="AT301" s="184">
        <f t="shared" si="63"/>
        <v>0.30000000000000004</v>
      </c>
      <c r="AU301" s="108"/>
      <c r="AV301" s="7"/>
      <c r="AW301" s="7"/>
      <c r="AX301" s="7" t="s">
        <v>2321</v>
      </c>
      <c r="AY301" s="7" t="s">
        <v>1509</v>
      </c>
    </row>
    <row r="302" spans="1:51">
      <c r="A302" s="7" t="s">
        <v>33</v>
      </c>
      <c r="B302" s="7" t="s">
        <v>34</v>
      </c>
      <c r="C302" s="7" t="s">
        <v>61</v>
      </c>
      <c r="D302" s="7" t="s">
        <v>62</v>
      </c>
      <c r="E302" s="7" t="s">
        <v>1732</v>
      </c>
      <c r="F302" s="7" t="s">
        <v>1733</v>
      </c>
      <c r="G302" s="7" t="s">
        <v>1734</v>
      </c>
      <c r="H302" s="7" t="s">
        <v>4180</v>
      </c>
      <c r="I302" s="100">
        <f>(AVERAGE(355,330))/1000</f>
        <v>0.34250000000000003</v>
      </c>
      <c r="J302" s="100">
        <f t="shared" si="53"/>
        <v>342.5</v>
      </c>
      <c r="K302" s="100">
        <f t="shared" si="54"/>
        <v>2.5346605758284442</v>
      </c>
      <c r="L302" s="73" t="s">
        <v>1502</v>
      </c>
      <c r="M302" s="7" t="s">
        <v>2322</v>
      </c>
      <c r="N302" s="7" t="s">
        <v>1538</v>
      </c>
      <c r="O302" s="7" t="s">
        <v>1494</v>
      </c>
      <c r="P302" s="108" t="s">
        <v>1539</v>
      </c>
      <c r="Q302" s="7" t="s">
        <v>2283</v>
      </c>
      <c r="R302" s="7">
        <v>46.56</v>
      </c>
      <c r="S302" s="7">
        <f t="shared" si="62"/>
        <v>46.56</v>
      </c>
      <c r="T302" s="7">
        <v>70.58</v>
      </c>
      <c r="U302" s="7">
        <v>1</v>
      </c>
      <c r="V302" s="7">
        <v>56</v>
      </c>
      <c r="W302" s="7">
        <f t="shared" si="55"/>
        <v>1.7481880270062005</v>
      </c>
      <c r="X302" s="7" t="s">
        <v>2320</v>
      </c>
      <c r="Y302" s="7" t="s">
        <v>2285</v>
      </c>
      <c r="Z302" s="7">
        <v>5</v>
      </c>
      <c r="AA302" s="7">
        <v>15</v>
      </c>
      <c r="AB302" s="108">
        <v>54.3</v>
      </c>
      <c r="AC302" s="108">
        <v>3</v>
      </c>
      <c r="AD302" s="7">
        <v>15</v>
      </c>
      <c r="AE302" s="108">
        <v>65.5</v>
      </c>
      <c r="AF302" s="108">
        <v>3</v>
      </c>
      <c r="AG302" s="108">
        <v>15</v>
      </c>
      <c r="AH302" s="108">
        <v>50.4</v>
      </c>
      <c r="AI302" s="108">
        <v>2.5</v>
      </c>
      <c r="AJ302" s="108">
        <v>14</v>
      </c>
      <c r="AK302" s="108">
        <v>64.099999999999994</v>
      </c>
      <c r="AL302" s="108">
        <v>3.5</v>
      </c>
      <c r="AM302" s="108">
        <v>14</v>
      </c>
      <c r="AN302" s="7">
        <f t="shared" si="56"/>
        <v>1.2062615101289136</v>
      </c>
      <c r="AO302" s="7">
        <f t="shared" si="57"/>
        <v>1.1804788213627992</v>
      </c>
      <c r="AP302" s="7">
        <f t="shared" si="58"/>
        <v>0.18047882136279925</v>
      </c>
      <c r="AQ302" s="7">
        <f t="shared" si="59"/>
        <v>-0.74117404997740444</v>
      </c>
      <c r="AR302" s="7">
        <f t="shared" si="60"/>
        <v>0.74117404997740444</v>
      </c>
      <c r="AS302" s="7">
        <f t="shared" si="61"/>
        <v>14.666666666666666</v>
      </c>
      <c r="AT302" s="184">
        <f t="shared" si="63"/>
        <v>3.1666666666666665</v>
      </c>
      <c r="AU302" s="7"/>
      <c r="AV302" s="7"/>
      <c r="AW302" s="7"/>
      <c r="AX302" s="7" t="s">
        <v>2322</v>
      </c>
      <c r="AY302" s="7" t="s">
        <v>1509</v>
      </c>
    </row>
    <row r="303" spans="1:51">
      <c r="A303" s="7" t="s">
        <v>33</v>
      </c>
      <c r="B303" s="7" t="s">
        <v>43</v>
      </c>
      <c r="C303" s="7" t="s">
        <v>1532</v>
      </c>
      <c r="D303" s="7" t="s">
        <v>1533</v>
      </c>
      <c r="E303" s="7" t="s">
        <v>1534</v>
      </c>
      <c r="F303" s="7" t="s">
        <v>1535</v>
      </c>
      <c r="G303" s="7" t="s">
        <v>1536</v>
      </c>
      <c r="H303" s="7" t="s">
        <v>4184</v>
      </c>
      <c r="I303" s="100">
        <f>177/1000</f>
        <v>0.17699999999999999</v>
      </c>
      <c r="J303" s="100">
        <f t="shared" si="53"/>
        <v>177</v>
      </c>
      <c r="K303" s="100">
        <f t="shared" si="54"/>
        <v>2.2479732663618068</v>
      </c>
      <c r="L303" s="73" t="s">
        <v>1502</v>
      </c>
      <c r="M303" s="7" t="s">
        <v>1537</v>
      </c>
      <c r="N303" s="7" t="s">
        <v>1538</v>
      </c>
      <c r="O303" s="7" t="s">
        <v>1494</v>
      </c>
      <c r="P303" s="108" t="s">
        <v>1539</v>
      </c>
      <c r="Q303" s="7" t="s">
        <v>1540</v>
      </c>
      <c r="R303" s="7">
        <v>12.45</v>
      </c>
      <c r="S303" s="7">
        <f t="shared" si="62"/>
        <v>12.45</v>
      </c>
      <c r="T303" s="7">
        <v>130.86000000000001</v>
      </c>
      <c r="U303" s="7">
        <v>1</v>
      </c>
      <c r="V303" s="7">
        <v>33</v>
      </c>
      <c r="W303" s="7">
        <f t="shared" si="55"/>
        <v>1.5185139398778875</v>
      </c>
      <c r="X303" s="7" t="s">
        <v>2320</v>
      </c>
      <c r="Y303" s="7" t="s">
        <v>2136</v>
      </c>
      <c r="Z303" s="7">
        <v>20</v>
      </c>
      <c r="AA303" s="7">
        <v>29</v>
      </c>
      <c r="AB303" s="7">
        <v>7.5</v>
      </c>
      <c r="AC303" s="7">
        <v>1</v>
      </c>
      <c r="AD303" s="7">
        <v>8</v>
      </c>
      <c r="AE303" s="7">
        <v>6.9</v>
      </c>
      <c r="AF303" s="7">
        <v>1.3</v>
      </c>
      <c r="AG303" s="7">
        <v>8</v>
      </c>
      <c r="AH303" s="7">
        <v>8.1</v>
      </c>
      <c r="AI303" s="7">
        <v>0.7</v>
      </c>
      <c r="AJ303" s="7">
        <v>9</v>
      </c>
      <c r="AK303" s="108">
        <v>10.7</v>
      </c>
      <c r="AL303" s="108">
        <v>1.2</v>
      </c>
      <c r="AM303" s="7">
        <v>9</v>
      </c>
      <c r="AN303" s="7">
        <f t="shared" si="56"/>
        <v>0.91151590828299989</v>
      </c>
      <c r="AO303" s="7">
        <f t="shared" si="57"/>
        <v>1.4841215126766925</v>
      </c>
      <c r="AP303" s="7">
        <f t="shared" si="58"/>
        <v>0.48412151267669246</v>
      </c>
      <c r="AQ303" s="7">
        <f t="shared" si="59"/>
        <v>-0.31414946619104267</v>
      </c>
      <c r="AR303" s="7">
        <f t="shared" si="60"/>
        <v>0.31414946619104267</v>
      </c>
      <c r="AS303" s="7">
        <f t="shared" si="61"/>
        <v>8.3333333333333339</v>
      </c>
      <c r="AT303" s="184">
        <f t="shared" si="63"/>
        <v>1.1666666666666667</v>
      </c>
      <c r="AU303" s="7"/>
      <c r="AV303" s="7"/>
      <c r="AW303" s="7"/>
      <c r="AX303" s="7" t="s">
        <v>2323</v>
      </c>
      <c r="AY303" s="7" t="s">
        <v>1509</v>
      </c>
    </row>
    <row r="304" spans="1:51">
      <c r="A304" s="7" t="s">
        <v>33</v>
      </c>
      <c r="B304" s="7" t="s">
        <v>43</v>
      </c>
      <c r="C304" s="7" t="s">
        <v>1532</v>
      </c>
      <c r="D304" s="7" t="s">
        <v>1533</v>
      </c>
      <c r="E304" s="7" t="s">
        <v>1534</v>
      </c>
      <c r="F304" s="7" t="s">
        <v>1535</v>
      </c>
      <c r="G304" s="7" t="s">
        <v>1536</v>
      </c>
      <c r="H304" s="7" t="s">
        <v>4184</v>
      </c>
      <c r="I304" s="100">
        <f>177/1000</f>
        <v>0.17699999999999999</v>
      </c>
      <c r="J304" s="100">
        <f t="shared" si="53"/>
        <v>177</v>
      </c>
      <c r="K304" s="100">
        <f t="shared" si="54"/>
        <v>2.2479732663618068</v>
      </c>
      <c r="L304" s="73" t="s">
        <v>1502</v>
      </c>
      <c r="M304" s="7" t="s">
        <v>1537</v>
      </c>
      <c r="N304" s="7" t="s">
        <v>1538</v>
      </c>
      <c r="O304" s="7" t="s">
        <v>1494</v>
      </c>
      <c r="P304" s="108" t="s">
        <v>1539</v>
      </c>
      <c r="Q304" s="7" t="s">
        <v>1540</v>
      </c>
      <c r="R304" s="7">
        <v>12.45</v>
      </c>
      <c r="S304" s="7">
        <f t="shared" si="62"/>
        <v>12.45</v>
      </c>
      <c r="T304" s="7">
        <v>130.86000000000001</v>
      </c>
      <c r="U304" s="7">
        <v>1</v>
      </c>
      <c r="V304" s="7">
        <v>33</v>
      </c>
      <c r="W304" s="7">
        <f t="shared" si="55"/>
        <v>1.5185139398778875</v>
      </c>
      <c r="X304" s="7" t="s">
        <v>2320</v>
      </c>
      <c r="Y304" s="7" t="s">
        <v>2132</v>
      </c>
      <c r="Z304" s="7">
        <v>20</v>
      </c>
      <c r="AA304" s="7">
        <v>29</v>
      </c>
      <c r="AB304" s="7">
        <v>14.7</v>
      </c>
      <c r="AC304" s="7">
        <v>1.1000000000000001</v>
      </c>
      <c r="AD304" s="7">
        <v>8</v>
      </c>
      <c r="AE304" s="7">
        <v>7.5</v>
      </c>
      <c r="AF304" s="7">
        <v>0.9</v>
      </c>
      <c r="AG304" s="7">
        <v>8</v>
      </c>
      <c r="AH304" s="7">
        <v>8.3000000000000007</v>
      </c>
      <c r="AI304" s="7">
        <v>1.2</v>
      </c>
      <c r="AJ304" s="7">
        <v>9</v>
      </c>
      <c r="AK304" s="108">
        <v>9.8000000000000007</v>
      </c>
      <c r="AL304" s="7">
        <v>1.2</v>
      </c>
      <c r="AM304" s="7">
        <v>9</v>
      </c>
      <c r="AN304" s="7">
        <f t="shared" si="56"/>
        <v>0.47344663244363311</v>
      </c>
      <c r="AO304" s="7">
        <f t="shared" si="57"/>
        <v>0.6372987189486502</v>
      </c>
      <c r="AP304" s="7">
        <f t="shared" si="58"/>
        <v>0.3627012810513498</v>
      </c>
      <c r="AQ304" s="7">
        <f t="shared" si="59"/>
        <v>-0.43925516924346669</v>
      </c>
      <c r="AR304" s="7">
        <f t="shared" si="60"/>
        <v>0.43925516924346669</v>
      </c>
      <c r="AS304" s="7">
        <f t="shared" si="61"/>
        <v>8.3333333333333339</v>
      </c>
      <c r="AT304" s="184">
        <f t="shared" si="63"/>
        <v>1.0666666666666667</v>
      </c>
      <c r="AU304" s="7"/>
      <c r="AV304" s="7"/>
      <c r="AW304" s="7"/>
      <c r="AX304" s="7" t="s">
        <v>2324</v>
      </c>
      <c r="AY304" s="7" t="s">
        <v>1509</v>
      </c>
    </row>
    <row r="305" spans="1:51">
      <c r="A305" s="7" t="s">
        <v>33</v>
      </c>
      <c r="B305" s="7" t="s">
        <v>43</v>
      </c>
      <c r="C305" s="7" t="s">
        <v>1532</v>
      </c>
      <c r="D305" s="7" t="s">
        <v>1533</v>
      </c>
      <c r="E305" s="7" t="s">
        <v>1534</v>
      </c>
      <c r="F305" s="7" t="s">
        <v>1535</v>
      </c>
      <c r="G305" s="7" t="s">
        <v>1536</v>
      </c>
      <c r="H305" s="7" t="s">
        <v>4184</v>
      </c>
      <c r="I305" s="100">
        <f>177/1000</f>
        <v>0.17699999999999999</v>
      </c>
      <c r="J305" s="100">
        <f t="shared" si="53"/>
        <v>177</v>
      </c>
      <c r="K305" s="100">
        <f t="shared" si="54"/>
        <v>2.2479732663618068</v>
      </c>
      <c r="L305" s="73" t="s">
        <v>1502</v>
      </c>
      <c r="M305" s="7" t="s">
        <v>1537</v>
      </c>
      <c r="N305" s="7" t="s">
        <v>1538</v>
      </c>
      <c r="O305" s="7" t="s">
        <v>1494</v>
      </c>
      <c r="P305" s="108" t="s">
        <v>1539</v>
      </c>
      <c r="Q305" s="7" t="s">
        <v>1540</v>
      </c>
      <c r="R305" s="7">
        <v>12.45</v>
      </c>
      <c r="S305" s="7">
        <f t="shared" ref="S305:S336" si="64">ABS(R305)</f>
        <v>12.45</v>
      </c>
      <c r="T305" s="7">
        <v>130.86000000000001</v>
      </c>
      <c r="U305" s="7">
        <v>1</v>
      </c>
      <c r="V305" s="7">
        <v>33</v>
      </c>
      <c r="W305" s="7">
        <f t="shared" si="55"/>
        <v>1.5185139398778875</v>
      </c>
      <c r="X305" s="7" t="s">
        <v>2320</v>
      </c>
      <c r="Y305" s="7" t="s">
        <v>2134</v>
      </c>
      <c r="Z305" s="7">
        <v>20</v>
      </c>
      <c r="AA305" s="7">
        <v>29</v>
      </c>
      <c r="AB305" s="7">
        <v>4.2</v>
      </c>
      <c r="AC305" s="7">
        <v>0.5</v>
      </c>
      <c r="AD305" s="7">
        <v>8</v>
      </c>
      <c r="AE305" s="7">
        <v>4.8</v>
      </c>
      <c r="AF305" s="7">
        <v>0.6</v>
      </c>
      <c r="AG305" s="7">
        <v>8</v>
      </c>
      <c r="AH305" s="7">
        <v>4.8</v>
      </c>
      <c r="AI305" s="7">
        <v>0.8</v>
      </c>
      <c r="AJ305" s="7">
        <v>9</v>
      </c>
      <c r="AK305" s="108">
        <v>6.2</v>
      </c>
      <c r="AL305" s="108">
        <v>1.2</v>
      </c>
      <c r="AM305" s="7">
        <v>9</v>
      </c>
      <c r="AN305" s="7">
        <f t="shared" si="56"/>
        <v>1.1599399238901269</v>
      </c>
      <c r="AO305" s="7">
        <f t="shared" si="57"/>
        <v>1.5414732727662113</v>
      </c>
      <c r="AP305" s="7">
        <f t="shared" si="58"/>
        <v>0.54147327276621127</v>
      </c>
      <c r="AQ305" s="7">
        <f t="shared" si="59"/>
        <v>-0.2656216543017228</v>
      </c>
      <c r="AR305" s="7">
        <f t="shared" si="60"/>
        <v>0.2656216543017228</v>
      </c>
      <c r="AS305" s="7">
        <f t="shared" si="61"/>
        <v>8.3333333333333339</v>
      </c>
      <c r="AT305" s="184">
        <f t="shared" si="63"/>
        <v>0.76666666666666661</v>
      </c>
      <c r="AU305" s="7"/>
      <c r="AV305" s="7"/>
      <c r="AW305" s="7"/>
      <c r="AX305" s="7" t="s">
        <v>2325</v>
      </c>
      <c r="AY305" s="7" t="s">
        <v>1509</v>
      </c>
    </row>
    <row r="306" spans="1:51">
      <c r="A306" s="7" t="s">
        <v>33</v>
      </c>
      <c r="B306" s="7" t="s">
        <v>34</v>
      </c>
      <c r="C306" s="7" t="s">
        <v>61</v>
      </c>
      <c r="D306" s="7" t="s">
        <v>62</v>
      </c>
      <c r="E306" s="7" t="s">
        <v>1732</v>
      </c>
      <c r="F306" s="7" t="s">
        <v>1733</v>
      </c>
      <c r="G306" s="7" t="s">
        <v>1734</v>
      </c>
      <c r="H306" s="7" t="s">
        <v>4180</v>
      </c>
      <c r="I306" s="100">
        <f>((AVERAGE(100,250)/1000))</f>
        <v>0.17499999999999999</v>
      </c>
      <c r="J306" s="100">
        <f t="shared" si="53"/>
        <v>175</v>
      </c>
      <c r="K306" s="100">
        <f t="shared" si="54"/>
        <v>2.2430380486862944</v>
      </c>
      <c r="L306" s="73" t="s">
        <v>1502</v>
      </c>
      <c r="M306" s="7" t="s">
        <v>1809</v>
      </c>
      <c r="N306" s="7" t="s">
        <v>1538</v>
      </c>
      <c r="O306" s="7" t="s">
        <v>1494</v>
      </c>
      <c r="P306" s="108" t="s">
        <v>1539</v>
      </c>
      <c r="Q306" s="7" t="s">
        <v>2283</v>
      </c>
      <c r="R306" s="7">
        <v>46.56</v>
      </c>
      <c r="S306" s="7">
        <f t="shared" si="64"/>
        <v>46.56</v>
      </c>
      <c r="T306" s="7">
        <v>70.58</v>
      </c>
      <c r="U306" s="7">
        <v>1</v>
      </c>
      <c r="V306" s="7">
        <v>56</v>
      </c>
      <c r="W306" s="7">
        <f t="shared" si="55"/>
        <v>1.7481880270062005</v>
      </c>
      <c r="X306" s="7" t="s">
        <v>2320</v>
      </c>
      <c r="Y306" s="7" t="s">
        <v>2326</v>
      </c>
      <c r="Z306" s="7">
        <v>5</v>
      </c>
      <c r="AA306" s="7">
        <v>15</v>
      </c>
      <c r="AB306" s="108">
        <v>1.9</v>
      </c>
      <c r="AC306" s="108">
        <v>0.2</v>
      </c>
      <c r="AD306" s="108">
        <v>8</v>
      </c>
      <c r="AE306" s="108">
        <v>3.15</v>
      </c>
      <c r="AF306" s="108">
        <v>0.3</v>
      </c>
      <c r="AG306" s="7">
        <v>8</v>
      </c>
      <c r="AH306" s="108">
        <v>1.2</v>
      </c>
      <c r="AI306" s="108">
        <v>0.2</v>
      </c>
      <c r="AJ306" s="7">
        <v>7</v>
      </c>
      <c r="AK306" s="108">
        <v>1.95</v>
      </c>
      <c r="AL306" s="108">
        <v>0.5</v>
      </c>
      <c r="AM306" s="108">
        <v>7</v>
      </c>
      <c r="AN306" s="7">
        <f t="shared" si="56"/>
        <v>1.6578947368421053</v>
      </c>
      <c r="AO306" s="7">
        <f t="shared" si="57"/>
        <v>1.0263157894736843</v>
      </c>
      <c r="AP306" s="7">
        <f t="shared" si="58"/>
        <v>2.6315789473684292E-2</v>
      </c>
      <c r="AQ306" s="7">
        <f t="shared" si="59"/>
        <v>-1.5635862431043699</v>
      </c>
      <c r="AR306" s="7">
        <f t="shared" si="60"/>
        <v>1.5635862431043699</v>
      </c>
      <c r="AS306" s="7">
        <f t="shared" si="61"/>
        <v>7.666666666666667</v>
      </c>
      <c r="AT306" s="184">
        <f t="shared" si="63"/>
        <v>0.33333333333333331</v>
      </c>
      <c r="AU306" s="108"/>
      <c r="AV306" s="7"/>
      <c r="AW306" s="7"/>
      <c r="AX306" s="7" t="s">
        <v>2327</v>
      </c>
      <c r="AY306" s="7" t="s">
        <v>1509</v>
      </c>
    </row>
    <row r="307" spans="1:51">
      <c r="A307" s="7" t="s">
        <v>33</v>
      </c>
      <c r="B307" s="7" t="s">
        <v>34</v>
      </c>
      <c r="C307" s="7" t="s">
        <v>282</v>
      </c>
      <c r="D307" s="7" t="s">
        <v>2138</v>
      </c>
      <c r="E307" s="7" t="s">
        <v>2139</v>
      </c>
      <c r="F307" s="7" t="s">
        <v>2140</v>
      </c>
      <c r="G307" s="7" t="s">
        <v>2141</v>
      </c>
      <c r="H307" s="7" t="s">
        <v>4180</v>
      </c>
      <c r="I307" s="100">
        <f>AVERAGE(161,129)/1000</f>
        <v>0.14499999999999999</v>
      </c>
      <c r="J307" s="100">
        <f t="shared" si="53"/>
        <v>145</v>
      </c>
      <c r="K307" s="100">
        <f t="shared" si="54"/>
        <v>2.1613680022349748</v>
      </c>
      <c r="L307" s="73" t="s">
        <v>1502</v>
      </c>
      <c r="M307" s="7" t="s">
        <v>2142</v>
      </c>
      <c r="N307" s="7" t="s">
        <v>1538</v>
      </c>
      <c r="O307" s="7" t="s">
        <v>1505</v>
      </c>
      <c r="P307" s="108" t="s">
        <v>1492</v>
      </c>
      <c r="Q307" s="7" t="s">
        <v>2143</v>
      </c>
      <c r="R307" s="7">
        <v>41</v>
      </c>
      <c r="S307" s="7">
        <f t="shared" si="64"/>
        <v>41</v>
      </c>
      <c r="T307" s="7">
        <v>81.5</v>
      </c>
      <c r="U307" s="7">
        <v>1</v>
      </c>
      <c r="V307" s="7">
        <v>42</v>
      </c>
      <c r="W307" s="7">
        <f t="shared" si="55"/>
        <v>1.6232492903979006</v>
      </c>
      <c r="X307" s="7" t="s">
        <v>2320</v>
      </c>
      <c r="Y307" s="7" t="s">
        <v>2136</v>
      </c>
      <c r="Z307" s="7">
        <v>5</v>
      </c>
      <c r="AA307" s="7">
        <v>25</v>
      </c>
      <c r="AB307" s="108">
        <v>40.020000000000003</v>
      </c>
      <c r="AC307" s="108">
        <v>5</v>
      </c>
      <c r="AD307" s="7">
        <v>4</v>
      </c>
      <c r="AE307" s="7">
        <v>49</v>
      </c>
      <c r="AF307" s="7">
        <v>10</v>
      </c>
      <c r="AG307" s="7">
        <v>4</v>
      </c>
      <c r="AH307" s="7">
        <v>22.5</v>
      </c>
      <c r="AI307" s="7">
        <v>7</v>
      </c>
      <c r="AJ307" s="7">
        <v>4</v>
      </c>
      <c r="AK307" s="108">
        <v>36</v>
      </c>
      <c r="AL307" s="108">
        <v>8</v>
      </c>
      <c r="AM307" s="7">
        <v>4</v>
      </c>
      <c r="AN307" s="7">
        <f t="shared" si="56"/>
        <v>1.1065205854826885</v>
      </c>
      <c r="AO307" s="7">
        <f t="shared" si="57"/>
        <v>0.9484462161280186</v>
      </c>
      <c r="AP307" s="7">
        <f t="shared" si="58"/>
        <v>5.1553783871981396E-2</v>
      </c>
      <c r="AQ307" s="7">
        <f t="shared" si="59"/>
        <v>-1.2793960093110766</v>
      </c>
      <c r="AR307" s="7">
        <f t="shared" si="60"/>
        <v>1.2793960093110766</v>
      </c>
      <c r="AS307" s="7">
        <f t="shared" si="61"/>
        <v>4</v>
      </c>
      <c r="AT307" s="184">
        <f t="shared" si="63"/>
        <v>7.666666666666667</v>
      </c>
      <c r="AU307" s="7"/>
      <c r="AV307" s="7" t="s">
        <v>2145</v>
      </c>
      <c r="AW307" s="7"/>
      <c r="AX307" s="7" t="s">
        <v>2328</v>
      </c>
      <c r="AY307" s="7" t="s">
        <v>1509</v>
      </c>
    </row>
    <row r="308" spans="1:51">
      <c r="A308" s="7" t="s">
        <v>33</v>
      </c>
      <c r="B308" s="7" t="s">
        <v>34</v>
      </c>
      <c r="C308" s="7" t="s">
        <v>282</v>
      </c>
      <c r="D308" s="7" t="s">
        <v>2138</v>
      </c>
      <c r="E308" s="7" t="s">
        <v>2139</v>
      </c>
      <c r="F308" s="7" t="s">
        <v>2140</v>
      </c>
      <c r="G308" s="7" t="s">
        <v>2141</v>
      </c>
      <c r="H308" s="7" t="s">
        <v>4180</v>
      </c>
      <c r="I308" s="100">
        <f>AVERAGE(161,129)/1000</f>
        <v>0.14499999999999999</v>
      </c>
      <c r="J308" s="100">
        <f t="shared" si="53"/>
        <v>145</v>
      </c>
      <c r="K308" s="100">
        <f t="shared" si="54"/>
        <v>2.1613680022349748</v>
      </c>
      <c r="L308" s="73" t="s">
        <v>1502</v>
      </c>
      <c r="M308" s="7" t="s">
        <v>2142</v>
      </c>
      <c r="N308" s="7" t="s">
        <v>1538</v>
      </c>
      <c r="O308" s="7" t="s">
        <v>1505</v>
      </c>
      <c r="P308" s="108" t="s">
        <v>1492</v>
      </c>
      <c r="Q308" s="7" t="s">
        <v>2143</v>
      </c>
      <c r="R308" s="7">
        <v>41</v>
      </c>
      <c r="S308" s="7">
        <f t="shared" si="64"/>
        <v>41</v>
      </c>
      <c r="T308" s="7">
        <v>81.5</v>
      </c>
      <c r="U308" s="7">
        <v>1</v>
      </c>
      <c r="V308" s="7">
        <v>42</v>
      </c>
      <c r="W308" s="7">
        <f t="shared" si="55"/>
        <v>1.6232492903979006</v>
      </c>
      <c r="X308" s="7" t="s">
        <v>2320</v>
      </c>
      <c r="Y308" s="7" t="s">
        <v>2147</v>
      </c>
      <c r="Z308" s="7">
        <v>5</v>
      </c>
      <c r="AA308" s="7">
        <v>25</v>
      </c>
      <c r="AB308" s="108">
        <v>5.4</v>
      </c>
      <c r="AC308" s="108">
        <v>0.6</v>
      </c>
      <c r="AD308" s="110">
        <v>4</v>
      </c>
      <c r="AE308" s="7">
        <v>6.35</v>
      </c>
      <c r="AF308" s="7">
        <v>1.5</v>
      </c>
      <c r="AG308" s="110">
        <v>4</v>
      </c>
      <c r="AH308" s="7">
        <v>2.4</v>
      </c>
      <c r="AI308" s="7">
        <v>0.7</v>
      </c>
      <c r="AJ308" s="7">
        <v>4</v>
      </c>
      <c r="AK308" s="108">
        <v>8</v>
      </c>
      <c r="AL308" s="108">
        <v>2</v>
      </c>
      <c r="AM308" s="7">
        <v>4</v>
      </c>
      <c r="AN308" s="7">
        <f t="shared" si="56"/>
        <v>1.0844011831079519</v>
      </c>
      <c r="AO308" s="7">
        <f t="shared" si="57"/>
        <v>1.2171612389003692</v>
      </c>
      <c r="AP308" s="7">
        <f t="shared" si="58"/>
        <v>0.2171612389003692</v>
      </c>
      <c r="AQ308" s="7">
        <f t="shared" si="59"/>
        <v>-0.66122240877532723</v>
      </c>
      <c r="AR308" s="7">
        <f t="shared" si="60"/>
        <v>0.66122240877532723</v>
      </c>
      <c r="AS308" s="7">
        <f t="shared" si="61"/>
        <v>4</v>
      </c>
      <c r="AT308" s="184">
        <f t="shared" si="63"/>
        <v>1.3666666666666665</v>
      </c>
      <c r="AU308" s="7"/>
      <c r="AV308" s="7" t="s">
        <v>2145</v>
      </c>
      <c r="AW308" s="7"/>
      <c r="AX308" s="7" t="s">
        <v>2329</v>
      </c>
      <c r="AY308" s="7" t="s">
        <v>1509</v>
      </c>
    </row>
    <row r="309" spans="1:51">
      <c r="A309" s="7" t="s">
        <v>33</v>
      </c>
      <c r="B309" s="7" t="s">
        <v>34</v>
      </c>
      <c r="C309" s="7" t="s">
        <v>282</v>
      </c>
      <c r="D309" s="7" t="s">
        <v>2138</v>
      </c>
      <c r="E309" s="7" t="s">
        <v>2150</v>
      </c>
      <c r="F309" s="7" t="s">
        <v>2151</v>
      </c>
      <c r="G309" s="7" t="s">
        <v>2152</v>
      </c>
      <c r="H309" s="7" t="s">
        <v>4180</v>
      </c>
      <c r="I309" s="100">
        <f>AVERAGE(107,135)/1000</f>
        <v>0.121</v>
      </c>
      <c r="J309" s="100">
        <f t="shared" si="53"/>
        <v>121</v>
      </c>
      <c r="K309" s="100">
        <f t="shared" si="54"/>
        <v>2.0827853703164503</v>
      </c>
      <c r="L309" s="73" t="s">
        <v>1502</v>
      </c>
      <c r="M309" s="7" t="s">
        <v>2142</v>
      </c>
      <c r="N309" s="7" t="s">
        <v>1538</v>
      </c>
      <c r="O309" s="7" t="s">
        <v>1494</v>
      </c>
      <c r="P309" s="108" t="s">
        <v>1492</v>
      </c>
      <c r="Q309" s="7" t="s">
        <v>2153</v>
      </c>
      <c r="R309" s="7">
        <v>40.450000000000003</v>
      </c>
      <c r="S309" s="7">
        <f t="shared" si="64"/>
        <v>40.450000000000003</v>
      </c>
      <c r="T309" s="7">
        <v>81.7</v>
      </c>
      <c r="U309" s="7">
        <v>1</v>
      </c>
      <c r="V309" s="7">
        <v>42</v>
      </c>
      <c r="W309" s="7">
        <f t="shared" si="55"/>
        <v>1.6232492903979006</v>
      </c>
      <c r="X309" s="7" t="s">
        <v>2320</v>
      </c>
      <c r="Y309" s="7" t="s">
        <v>2147</v>
      </c>
      <c r="Z309" s="7">
        <v>5</v>
      </c>
      <c r="AA309" s="7">
        <v>25</v>
      </c>
      <c r="AB309" s="108">
        <v>1.5</v>
      </c>
      <c r="AC309" s="108">
        <v>0.6</v>
      </c>
      <c r="AD309" s="110">
        <v>3</v>
      </c>
      <c r="AE309" s="7">
        <v>3.9</v>
      </c>
      <c r="AF309" s="7">
        <v>0.8</v>
      </c>
      <c r="AG309" s="110">
        <v>3</v>
      </c>
      <c r="AH309" s="7">
        <v>1.45</v>
      </c>
      <c r="AI309" s="7">
        <v>0.5</v>
      </c>
      <c r="AJ309" s="7">
        <v>3</v>
      </c>
      <c r="AK309" s="108">
        <v>2.0499999999999998</v>
      </c>
      <c r="AL309" s="108">
        <v>0.1</v>
      </c>
      <c r="AM309" s="7">
        <v>3</v>
      </c>
      <c r="AN309" s="7">
        <f t="shared" si="56"/>
        <v>1.61245154965971</v>
      </c>
      <c r="AO309" s="7">
        <f t="shared" si="57"/>
        <v>1.169045194450012</v>
      </c>
      <c r="AP309" s="7">
        <f t="shared" si="58"/>
        <v>0.16904519445001198</v>
      </c>
      <c r="AQ309" s="7">
        <f t="shared" si="59"/>
        <v>-0.76943563690580841</v>
      </c>
      <c r="AR309" s="7">
        <f t="shared" si="60"/>
        <v>0.76943563690580841</v>
      </c>
      <c r="AS309" s="7">
        <f t="shared" si="61"/>
        <v>3</v>
      </c>
      <c r="AT309" s="184">
        <f t="shared" si="63"/>
        <v>0.5</v>
      </c>
      <c r="AU309" s="7"/>
      <c r="AV309" s="7" t="s">
        <v>2145</v>
      </c>
      <c r="AW309" s="7"/>
      <c r="AX309" s="7" t="s">
        <v>2330</v>
      </c>
      <c r="AY309" s="7" t="s">
        <v>1509</v>
      </c>
    </row>
    <row r="310" spans="1:51">
      <c r="A310" s="7" t="s">
        <v>33</v>
      </c>
      <c r="B310" s="7" t="s">
        <v>34</v>
      </c>
      <c r="C310" s="7" t="s">
        <v>282</v>
      </c>
      <c r="D310" s="7" t="s">
        <v>2138</v>
      </c>
      <c r="E310" s="7" t="s">
        <v>2150</v>
      </c>
      <c r="F310" s="7" t="s">
        <v>2151</v>
      </c>
      <c r="G310" s="7" t="s">
        <v>2152</v>
      </c>
      <c r="H310" s="7" t="s">
        <v>4180</v>
      </c>
      <c r="I310" s="100">
        <f>AVERAGE(107,135)/1000</f>
        <v>0.121</v>
      </c>
      <c r="J310" s="100">
        <f t="shared" si="53"/>
        <v>121</v>
      </c>
      <c r="K310" s="100">
        <f t="shared" si="54"/>
        <v>2.0827853703164503</v>
      </c>
      <c r="L310" s="73" t="s">
        <v>1502</v>
      </c>
      <c r="M310" s="7" t="s">
        <v>2142</v>
      </c>
      <c r="N310" s="7" t="s">
        <v>1538</v>
      </c>
      <c r="O310" s="7" t="s">
        <v>1494</v>
      </c>
      <c r="P310" s="108" t="s">
        <v>1492</v>
      </c>
      <c r="Q310" s="7" t="s">
        <v>2153</v>
      </c>
      <c r="R310" s="7">
        <v>40.450000000000003</v>
      </c>
      <c r="S310" s="7">
        <f t="shared" si="64"/>
        <v>40.450000000000003</v>
      </c>
      <c r="T310" s="7">
        <v>81.7</v>
      </c>
      <c r="U310" s="7">
        <v>1</v>
      </c>
      <c r="V310" s="7">
        <v>42</v>
      </c>
      <c r="W310" s="7">
        <f t="shared" si="55"/>
        <v>1.6232492903979006</v>
      </c>
      <c r="X310" s="7" t="s">
        <v>2320</v>
      </c>
      <c r="Y310" s="7" t="s">
        <v>2136</v>
      </c>
      <c r="Z310" s="7">
        <v>5</v>
      </c>
      <c r="AA310" s="7">
        <v>25</v>
      </c>
      <c r="AB310" s="108">
        <v>19.7</v>
      </c>
      <c r="AC310" s="108">
        <v>7</v>
      </c>
      <c r="AD310" s="7">
        <v>3</v>
      </c>
      <c r="AE310" s="7">
        <v>28</v>
      </c>
      <c r="AF310" s="7">
        <v>2</v>
      </c>
      <c r="AG310" s="7">
        <v>3</v>
      </c>
      <c r="AH310" s="7">
        <v>5</v>
      </c>
      <c r="AI310" s="7">
        <v>0.5</v>
      </c>
      <c r="AJ310" s="7">
        <v>3</v>
      </c>
      <c r="AK310" s="108">
        <v>22</v>
      </c>
      <c r="AL310" s="108">
        <v>2</v>
      </c>
      <c r="AM310" s="7">
        <v>3</v>
      </c>
      <c r="AN310" s="7">
        <f t="shared" si="56"/>
        <v>1.1921911746671818</v>
      </c>
      <c r="AO310" s="7">
        <f t="shared" si="57"/>
        <v>1.0567645286607292</v>
      </c>
      <c r="AP310" s="7">
        <f t="shared" si="58"/>
        <v>5.676452866072923E-2</v>
      </c>
      <c r="AQ310" s="7">
        <f t="shared" si="59"/>
        <v>-1.238338766005125</v>
      </c>
      <c r="AR310" s="7">
        <f t="shared" si="60"/>
        <v>1.238338766005125</v>
      </c>
      <c r="AS310" s="7">
        <f t="shared" si="61"/>
        <v>3</v>
      </c>
      <c r="AT310" s="184">
        <f t="shared" si="63"/>
        <v>3.6666666666666665</v>
      </c>
      <c r="AU310" s="7"/>
      <c r="AV310" s="7" t="s">
        <v>2145</v>
      </c>
      <c r="AW310" s="7"/>
      <c r="AX310" s="7" t="s">
        <v>2331</v>
      </c>
      <c r="AY310" s="7" t="s">
        <v>1509</v>
      </c>
    </row>
    <row r="311" spans="1:51">
      <c r="A311" s="7" t="s">
        <v>33</v>
      </c>
      <c r="B311" s="7" t="s">
        <v>43</v>
      </c>
      <c r="C311" s="7" t="s">
        <v>1532</v>
      </c>
      <c r="D311" s="7" t="s">
        <v>2157</v>
      </c>
      <c r="E311" s="7" t="s">
        <v>2158</v>
      </c>
      <c r="F311" s="7" t="s">
        <v>2159</v>
      </c>
      <c r="G311" s="7" t="s">
        <v>2160</v>
      </c>
      <c r="H311" s="7" t="s">
        <v>4184</v>
      </c>
      <c r="I311" s="100">
        <f>AVERAGE(107, 95)/1000</f>
        <v>0.10100000000000001</v>
      </c>
      <c r="J311" s="100">
        <f t="shared" si="53"/>
        <v>101</v>
      </c>
      <c r="K311" s="100">
        <f t="shared" si="54"/>
        <v>2.0043213737826426</v>
      </c>
      <c r="L311" s="73" t="s">
        <v>1502</v>
      </c>
      <c r="M311" s="7" t="s">
        <v>2292</v>
      </c>
      <c r="N311" s="7" t="s">
        <v>1538</v>
      </c>
      <c r="O311" s="7" t="s">
        <v>1494</v>
      </c>
      <c r="P311" s="108" t="s">
        <v>1539</v>
      </c>
      <c r="Q311" s="7" t="s">
        <v>1572</v>
      </c>
      <c r="R311" s="7">
        <v>33.35</v>
      </c>
      <c r="S311" s="7">
        <f t="shared" si="64"/>
        <v>33.35</v>
      </c>
      <c r="T311" s="7">
        <v>151.19999999999999</v>
      </c>
      <c r="U311" s="7">
        <v>1</v>
      </c>
      <c r="V311" s="7">
        <v>42</v>
      </c>
      <c r="W311" s="7">
        <f t="shared" si="55"/>
        <v>1.6232492903979006</v>
      </c>
      <c r="X311" s="7" t="s">
        <v>2320</v>
      </c>
      <c r="Y311" s="7" t="s">
        <v>2134</v>
      </c>
      <c r="Z311" s="7">
        <v>20</v>
      </c>
      <c r="AA311" s="7">
        <v>30</v>
      </c>
      <c r="AB311" s="108">
        <v>3.7607979999999999</v>
      </c>
      <c r="AC311" s="108">
        <v>0.84488940000000001</v>
      </c>
      <c r="AD311" s="7">
        <v>9</v>
      </c>
      <c r="AE311" s="108">
        <v>5.1806279999999996</v>
      </c>
      <c r="AF311" s="108">
        <v>0.79701230000000001</v>
      </c>
      <c r="AG311" s="7">
        <v>9</v>
      </c>
      <c r="AH311" s="108">
        <v>2.5265049999999998</v>
      </c>
      <c r="AI311" s="108">
        <v>0.48707329999999999</v>
      </c>
      <c r="AJ311" s="7">
        <v>8</v>
      </c>
      <c r="AK311" s="108">
        <v>3.0605370000000001</v>
      </c>
      <c r="AL311" s="108">
        <v>0.61687230000000004</v>
      </c>
      <c r="AM311" s="7">
        <v>8</v>
      </c>
      <c r="AN311" s="7">
        <f t="shared" si="56"/>
        <v>1.3775342360850011</v>
      </c>
      <c r="AO311" s="7">
        <f t="shared" si="57"/>
        <v>0.81379989034242206</v>
      </c>
      <c r="AP311" s="7">
        <f t="shared" si="58"/>
        <v>0.18620010965757794</v>
      </c>
      <c r="AQ311" s="7">
        <f t="shared" si="59"/>
        <v>-0.72769390119798272</v>
      </c>
      <c r="AR311" s="7">
        <f t="shared" si="60"/>
        <v>0.72769390119798272</v>
      </c>
      <c r="AS311" s="7">
        <f t="shared" si="61"/>
        <v>8.6666666666666661</v>
      </c>
      <c r="AT311" s="184">
        <f t="shared" si="63"/>
        <v>0.75292466666666658</v>
      </c>
      <c r="AU311" s="7"/>
      <c r="AV311" s="7"/>
      <c r="AW311" s="7"/>
      <c r="AX311" s="7" t="s">
        <v>2332</v>
      </c>
      <c r="AY311" s="7" t="s">
        <v>1509</v>
      </c>
    </row>
    <row r="312" spans="1:51">
      <c r="A312" s="7" t="s">
        <v>33</v>
      </c>
      <c r="B312" s="7" t="s">
        <v>43</v>
      </c>
      <c r="C312" s="7" t="s">
        <v>1532</v>
      </c>
      <c r="D312" s="7" t="s">
        <v>2157</v>
      </c>
      <c r="E312" s="7" t="s">
        <v>2158</v>
      </c>
      <c r="F312" s="7" t="s">
        <v>2159</v>
      </c>
      <c r="G312" s="7" t="s">
        <v>2160</v>
      </c>
      <c r="H312" s="7" t="s">
        <v>4184</v>
      </c>
      <c r="I312" s="100">
        <f>AVERAGE(107, 95)/1000</f>
        <v>0.10100000000000001</v>
      </c>
      <c r="J312" s="100">
        <f t="shared" si="53"/>
        <v>101</v>
      </c>
      <c r="K312" s="100">
        <f t="shared" si="54"/>
        <v>2.0043213737826426</v>
      </c>
      <c r="L312" s="73" t="s">
        <v>1502</v>
      </c>
      <c r="M312" s="7" t="s">
        <v>2333</v>
      </c>
      <c r="N312" s="7" t="s">
        <v>1538</v>
      </c>
      <c r="O312" s="7" t="s">
        <v>1494</v>
      </c>
      <c r="P312" s="108" t="s">
        <v>1539</v>
      </c>
      <c r="Q312" s="7" t="s">
        <v>1572</v>
      </c>
      <c r="R312" s="7">
        <v>33.35</v>
      </c>
      <c r="S312" s="7">
        <f t="shared" si="64"/>
        <v>33.35</v>
      </c>
      <c r="T312" s="7">
        <v>151.19999999999999</v>
      </c>
      <c r="U312" s="7">
        <v>1</v>
      </c>
      <c r="V312" s="7">
        <v>42</v>
      </c>
      <c r="W312" s="7">
        <f t="shared" si="55"/>
        <v>1.6232492903979006</v>
      </c>
      <c r="X312" s="7" t="s">
        <v>2320</v>
      </c>
      <c r="Y312" s="7" t="s">
        <v>2162</v>
      </c>
      <c r="Z312" s="7">
        <v>20</v>
      </c>
      <c r="AA312" s="7">
        <v>30</v>
      </c>
      <c r="AB312" s="7">
        <v>5.48</v>
      </c>
      <c r="AC312" s="7">
        <v>0.76</v>
      </c>
      <c r="AD312" s="7">
        <v>9</v>
      </c>
      <c r="AE312" s="108">
        <v>7.2678880000000001</v>
      </c>
      <c r="AF312" s="108">
        <v>1.0159050000000001</v>
      </c>
      <c r="AG312" s="7">
        <v>9</v>
      </c>
      <c r="AH312" s="108">
        <v>3.5107979999999999</v>
      </c>
      <c r="AI312" s="108">
        <v>0.44569920000000002</v>
      </c>
      <c r="AJ312" s="7">
        <v>8</v>
      </c>
      <c r="AK312" s="108">
        <v>4.5029450000000004</v>
      </c>
      <c r="AL312" s="108">
        <v>0.61966509999999997</v>
      </c>
      <c r="AM312" s="7">
        <v>8</v>
      </c>
      <c r="AN312" s="7">
        <f t="shared" si="56"/>
        <v>1.3262569343065693</v>
      </c>
      <c r="AO312" s="7">
        <f t="shared" si="57"/>
        <v>0.82170529197080289</v>
      </c>
      <c r="AP312" s="7">
        <f t="shared" si="58"/>
        <v>0.17829470802919711</v>
      </c>
      <c r="AQ312" s="7">
        <f t="shared" si="59"/>
        <v>-0.7464325286622181</v>
      </c>
      <c r="AR312" s="7">
        <f t="shared" si="60"/>
        <v>0.7464325286622181</v>
      </c>
      <c r="AS312" s="7">
        <f t="shared" si="61"/>
        <v>8.6666666666666661</v>
      </c>
      <c r="AT312" s="184">
        <f t="shared" si="63"/>
        <v>0.79852336666666668</v>
      </c>
      <c r="AU312" s="7"/>
      <c r="AV312" s="7"/>
      <c r="AW312" s="7"/>
      <c r="AX312" s="7" t="s">
        <v>2169</v>
      </c>
      <c r="AY312" s="7" t="s">
        <v>1509</v>
      </c>
    </row>
    <row r="313" spans="1:51">
      <c r="A313" s="7" t="s">
        <v>33</v>
      </c>
      <c r="B313" s="7" t="s">
        <v>43</v>
      </c>
      <c r="C313" s="7" t="s">
        <v>1532</v>
      </c>
      <c r="D313" s="7" t="s">
        <v>2157</v>
      </c>
      <c r="E313" s="7" t="s">
        <v>2158</v>
      </c>
      <c r="F313" s="7" t="s">
        <v>2159</v>
      </c>
      <c r="G313" s="7" t="s">
        <v>2160</v>
      </c>
      <c r="H313" s="7" t="s">
        <v>4184</v>
      </c>
      <c r="I313" s="100">
        <f>AVERAGE(107, 95)/1000</f>
        <v>0.10100000000000001</v>
      </c>
      <c r="J313" s="100">
        <f t="shared" si="53"/>
        <v>101</v>
      </c>
      <c r="K313" s="100">
        <f t="shared" si="54"/>
        <v>2.0043213737826426</v>
      </c>
      <c r="L313" s="73" t="s">
        <v>1502</v>
      </c>
      <c r="M313" s="7" t="s">
        <v>2332</v>
      </c>
      <c r="N313" s="7" t="s">
        <v>1538</v>
      </c>
      <c r="O313" s="7" t="s">
        <v>1494</v>
      </c>
      <c r="P313" s="108" t="s">
        <v>1539</v>
      </c>
      <c r="Q313" s="7" t="s">
        <v>1572</v>
      </c>
      <c r="R313" s="7">
        <v>33.35</v>
      </c>
      <c r="S313" s="7">
        <f t="shared" si="64"/>
        <v>33.35</v>
      </c>
      <c r="T313" s="7">
        <v>151.19999999999999</v>
      </c>
      <c r="U313" s="7">
        <v>1</v>
      </c>
      <c r="V313" s="7">
        <v>42</v>
      </c>
      <c r="W313" s="7">
        <f t="shared" si="55"/>
        <v>1.6232492903979006</v>
      </c>
      <c r="X313" s="7" t="s">
        <v>2320</v>
      </c>
      <c r="Y313" s="7" t="s">
        <v>2144</v>
      </c>
      <c r="Z313" s="7">
        <v>20</v>
      </c>
      <c r="AA313" s="7">
        <v>30</v>
      </c>
      <c r="AB313" s="108">
        <v>5.4770219999999998</v>
      </c>
      <c r="AC313" s="108">
        <v>0.75820699999999996</v>
      </c>
      <c r="AD313" s="7">
        <v>9</v>
      </c>
      <c r="AE313" s="108">
        <v>7.2678880000000001</v>
      </c>
      <c r="AF313" s="108">
        <v>1.0159050000000001</v>
      </c>
      <c r="AG313" s="7">
        <v>9</v>
      </c>
      <c r="AH313" s="108">
        <v>3.5107979999999999</v>
      </c>
      <c r="AI313" s="108">
        <v>0.44569920000000002</v>
      </c>
      <c r="AJ313" s="7">
        <v>8</v>
      </c>
      <c r="AK313" s="108">
        <v>4.5029450000000004</v>
      </c>
      <c r="AL313" s="108">
        <v>0.61966509999999997</v>
      </c>
      <c r="AM313" s="7">
        <v>8</v>
      </c>
      <c r="AN313" s="7">
        <f t="shared" si="56"/>
        <v>1.3269780548626608</v>
      </c>
      <c r="AO313" s="7">
        <f t="shared" si="57"/>
        <v>0.82215207461280981</v>
      </c>
      <c r="AP313" s="7">
        <f t="shared" si="58"/>
        <v>0.17784792538719019</v>
      </c>
      <c r="AQ313" s="7">
        <f t="shared" si="59"/>
        <v>-0.74751609324562984</v>
      </c>
      <c r="AR313" s="7">
        <f t="shared" si="60"/>
        <v>0.74751609324562984</v>
      </c>
      <c r="AS313" s="7">
        <f t="shared" si="61"/>
        <v>8.6666666666666661</v>
      </c>
      <c r="AT313" s="184">
        <f t="shared" si="63"/>
        <v>0.79792570000000007</v>
      </c>
      <c r="AU313" s="7"/>
      <c r="AV313" s="7"/>
      <c r="AW313" s="7"/>
      <c r="AX313" s="7" t="s">
        <v>2334</v>
      </c>
      <c r="AY313" s="7" t="s">
        <v>1509</v>
      </c>
    </row>
    <row r="314" spans="1:51">
      <c r="A314" s="7" t="s">
        <v>33</v>
      </c>
      <c r="B314" s="7" t="s">
        <v>75</v>
      </c>
      <c r="C314" s="7" t="s">
        <v>76</v>
      </c>
      <c r="D314" s="7" t="s">
        <v>389</v>
      </c>
      <c r="E314" s="7" t="s">
        <v>405</v>
      </c>
      <c r="F314" s="7" t="s">
        <v>406</v>
      </c>
      <c r="G314" s="7" t="s">
        <v>2166</v>
      </c>
      <c r="H314" s="7" t="s">
        <v>4181</v>
      </c>
      <c r="I314" s="100">
        <f>101/1000</f>
        <v>0.10100000000000001</v>
      </c>
      <c r="J314" s="100">
        <f t="shared" si="53"/>
        <v>101</v>
      </c>
      <c r="K314" s="100">
        <f t="shared" si="54"/>
        <v>2.0043213737826426</v>
      </c>
      <c r="L314" s="73" t="s">
        <v>1502</v>
      </c>
      <c r="M314" s="107" t="s">
        <v>1821</v>
      </c>
      <c r="N314" s="7" t="s">
        <v>1640</v>
      </c>
      <c r="O314" s="7" t="s">
        <v>1505</v>
      </c>
      <c r="P314" s="108" t="s">
        <v>1492</v>
      </c>
      <c r="Q314" s="7" t="s">
        <v>2167</v>
      </c>
      <c r="R314" s="7">
        <v>27.45</v>
      </c>
      <c r="S314" s="7">
        <f t="shared" si="64"/>
        <v>27.45</v>
      </c>
      <c r="T314" s="7">
        <v>153.35</v>
      </c>
      <c r="U314" s="7">
        <v>1</v>
      </c>
      <c r="V314" s="7">
        <v>28</v>
      </c>
      <c r="W314" s="7">
        <f t="shared" si="55"/>
        <v>1.4471580313422192</v>
      </c>
      <c r="X314" s="7" t="s">
        <v>2320</v>
      </c>
      <c r="Y314" s="7" t="s">
        <v>2144</v>
      </c>
      <c r="Z314" s="7">
        <v>20</v>
      </c>
      <c r="AA314" s="7">
        <v>30</v>
      </c>
      <c r="AB314" s="108">
        <v>7.5</v>
      </c>
      <c r="AC314" s="108">
        <v>1</v>
      </c>
      <c r="AD314" s="7">
        <v>10</v>
      </c>
      <c r="AE314" s="7">
        <v>12.5</v>
      </c>
      <c r="AF314" s="7">
        <v>0.9</v>
      </c>
      <c r="AG314" s="7">
        <v>10</v>
      </c>
      <c r="AH314" s="7">
        <v>9.5</v>
      </c>
      <c r="AI314" s="7">
        <v>2.1</v>
      </c>
      <c r="AJ314" s="7">
        <v>10</v>
      </c>
      <c r="AK314" s="108">
        <v>14.7</v>
      </c>
      <c r="AL314" s="108">
        <v>2.6</v>
      </c>
      <c r="AM314" s="108">
        <v>10</v>
      </c>
      <c r="AN314" s="7">
        <f t="shared" si="56"/>
        <v>1.6666666666666667</v>
      </c>
      <c r="AO314" s="7">
        <f t="shared" si="57"/>
        <v>1.96</v>
      </c>
      <c r="AP314" s="7">
        <f t="shared" si="58"/>
        <v>0.96</v>
      </c>
      <c r="AQ314" s="7">
        <f t="shared" si="59"/>
        <v>-1.7276612331454656E-2</v>
      </c>
      <c r="AR314" s="7">
        <f t="shared" si="60"/>
        <v>1.7276612331454656E-2</v>
      </c>
      <c r="AS314" s="7">
        <f t="shared" si="61"/>
        <v>10</v>
      </c>
      <c r="AT314" s="184">
        <f t="shared" si="63"/>
        <v>1.5</v>
      </c>
      <c r="AU314" s="108"/>
      <c r="AV314" s="7"/>
      <c r="AW314" s="7"/>
      <c r="AX314" s="7" t="s">
        <v>2335</v>
      </c>
      <c r="AY314" s="7" t="s">
        <v>1509</v>
      </c>
    </row>
    <row r="315" spans="1:51">
      <c r="A315" s="7" t="s">
        <v>33</v>
      </c>
      <c r="B315" s="7" t="s">
        <v>43</v>
      </c>
      <c r="C315" s="7" t="s">
        <v>1532</v>
      </c>
      <c r="D315" s="7" t="s">
        <v>2157</v>
      </c>
      <c r="E315" s="7" t="s">
        <v>2158</v>
      </c>
      <c r="F315" s="7" t="s">
        <v>2159</v>
      </c>
      <c r="G315" s="7" t="s">
        <v>2160</v>
      </c>
      <c r="H315" s="7" t="s">
        <v>4184</v>
      </c>
      <c r="I315" s="100">
        <f>AVERAGE(107, 95)/1000</f>
        <v>0.10100000000000001</v>
      </c>
      <c r="J315" s="100">
        <f t="shared" si="53"/>
        <v>101</v>
      </c>
      <c r="K315" s="100">
        <f t="shared" si="54"/>
        <v>2.0043213737826426</v>
      </c>
      <c r="L315" s="73" t="s">
        <v>1502</v>
      </c>
      <c r="M315" s="7" t="s">
        <v>2334</v>
      </c>
      <c r="N315" s="7" t="s">
        <v>1538</v>
      </c>
      <c r="O315" s="7" t="s">
        <v>1494</v>
      </c>
      <c r="P315" s="108" t="s">
        <v>1539</v>
      </c>
      <c r="Q315" s="7" t="s">
        <v>1572</v>
      </c>
      <c r="R315" s="7">
        <v>33.35</v>
      </c>
      <c r="S315" s="7">
        <f t="shared" si="64"/>
        <v>33.35</v>
      </c>
      <c r="T315" s="7">
        <v>151.19999999999999</v>
      </c>
      <c r="U315" s="7">
        <v>1</v>
      </c>
      <c r="V315" s="7">
        <v>42</v>
      </c>
      <c r="W315" s="7">
        <f t="shared" si="55"/>
        <v>1.6232492903979006</v>
      </c>
      <c r="X315" s="7" t="s">
        <v>2320</v>
      </c>
      <c r="Y315" s="7" t="s">
        <v>2136</v>
      </c>
      <c r="Z315" s="7">
        <v>20</v>
      </c>
      <c r="AA315" s="7">
        <v>30</v>
      </c>
      <c r="AB315" s="108">
        <v>23.663180000000001</v>
      </c>
      <c r="AC315" s="108">
        <v>2.969846</v>
      </c>
      <c r="AD315" s="7">
        <v>9</v>
      </c>
      <c r="AE315" s="108">
        <v>28.819949999999999</v>
      </c>
      <c r="AF315" s="108">
        <v>3.580819</v>
      </c>
      <c r="AG315" s="7">
        <v>9</v>
      </c>
      <c r="AH315" s="108">
        <v>27.343589999999999</v>
      </c>
      <c r="AI315" s="108">
        <v>4.792319</v>
      </c>
      <c r="AJ315" s="7">
        <v>8</v>
      </c>
      <c r="AK315" s="108">
        <v>33.518329999999999</v>
      </c>
      <c r="AL315" s="108">
        <v>6.1549810000000003</v>
      </c>
      <c r="AM315" s="7">
        <v>8</v>
      </c>
      <c r="AN315" s="7">
        <f t="shared" si="56"/>
        <v>1.2179237955338209</v>
      </c>
      <c r="AO315" s="7">
        <f t="shared" si="57"/>
        <v>1.4164761456406112</v>
      </c>
      <c r="AP315" s="7">
        <f t="shared" si="58"/>
        <v>0.4164761456406112</v>
      </c>
      <c r="AQ315" s="7">
        <f t="shared" si="59"/>
        <v>-0.3793683348213932</v>
      </c>
      <c r="AR315" s="7">
        <f t="shared" si="60"/>
        <v>0.3793683348213932</v>
      </c>
      <c r="AS315" s="7">
        <f t="shared" si="61"/>
        <v>8.6666666666666661</v>
      </c>
      <c r="AT315" s="184">
        <f t="shared" si="63"/>
        <v>4.2352153333333336</v>
      </c>
      <c r="AU315" s="7"/>
      <c r="AV315" s="7"/>
      <c r="AW315" s="7"/>
      <c r="AX315" s="7" t="s">
        <v>2333</v>
      </c>
      <c r="AY315" s="7" t="s">
        <v>1509</v>
      </c>
    </row>
    <row r="316" spans="1:51">
      <c r="A316" s="7" t="s">
        <v>33</v>
      </c>
      <c r="B316" s="7" t="s">
        <v>75</v>
      </c>
      <c r="C316" s="7" t="s">
        <v>76</v>
      </c>
      <c r="D316" s="7" t="s">
        <v>389</v>
      </c>
      <c r="E316" s="7" t="s">
        <v>405</v>
      </c>
      <c r="F316" s="7" t="s">
        <v>406</v>
      </c>
      <c r="G316" s="7" t="s">
        <v>2166</v>
      </c>
      <c r="H316" s="7" t="s">
        <v>4181</v>
      </c>
      <c r="I316" s="100">
        <f>101/1000</f>
        <v>0.10100000000000001</v>
      </c>
      <c r="J316" s="100">
        <f t="shared" si="53"/>
        <v>101</v>
      </c>
      <c r="K316" s="100">
        <f t="shared" si="54"/>
        <v>2.0043213737826426</v>
      </c>
      <c r="L316" s="73" t="s">
        <v>1502</v>
      </c>
      <c r="M316" s="107" t="s">
        <v>1821</v>
      </c>
      <c r="N316" s="7" t="s">
        <v>1640</v>
      </c>
      <c r="O316" s="7" t="s">
        <v>1505</v>
      </c>
      <c r="P316" s="108" t="s">
        <v>1492</v>
      </c>
      <c r="Q316" s="7" t="s">
        <v>2167</v>
      </c>
      <c r="R316" s="7">
        <v>27.45</v>
      </c>
      <c r="S316" s="7">
        <f t="shared" si="64"/>
        <v>27.45</v>
      </c>
      <c r="T316" s="7">
        <v>153.35</v>
      </c>
      <c r="U316" s="7">
        <v>1</v>
      </c>
      <c r="V316" s="7">
        <v>28</v>
      </c>
      <c r="W316" s="7">
        <f t="shared" si="55"/>
        <v>1.4471580313422192</v>
      </c>
      <c r="X316" s="7" t="s">
        <v>2320</v>
      </c>
      <c r="Y316" s="7" t="s">
        <v>2170</v>
      </c>
      <c r="Z316" s="7">
        <v>20</v>
      </c>
      <c r="AA316" s="7">
        <v>30</v>
      </c>
      <c r="AB316" s="108">
        <v>10.95</v>
      </c>
      <c r="AC316" s="108">
        <v>0.8</v>
      </c>
      <c r="AD316" s="7">
        <v>10</v>
      </c>
      <c r="AE316" s="7">
        <v>16.11</v>
      </c>
      <c r="AF316" s="7">
        <v>0.74</v>
      </c>
      <c r="AG316" s="7">
        <v>10</v>
      </c>
      <c r="AH316" s="7">
        <v>10.65</v>
      </c>
      <c r="AI316" s="7">
        <v>0.96</v>
      </c>
      <c r="AJ316" s="7">
        <v>10</v>
      </c>
      <c r="AK316" s="108">
        <v>15.3</v>
      </c>
      <c r="AL316" s="108">
        <v>1.3</v>
      </c>
      <c r="AM316" s="108">
        <v>10</v>
      </c>
      <c r="AN316" s="7">
        <f t="shared" si="56"/>
        <v>1.4712328767123288</v>
      </c>
      <c r="AO316" s="7">
        <f t="shared" si="57"/>
        <v>1.397260273972603</v>
      </c>
      <c r="AP316" s="7">
        <f t="shared" si="58"/>
        <v>0.397260273972603</v>
      </c>
      <c r="AQ316" s="7">
        <f t="shared" si="59"/>
        <v>-0.39983301183052022</v>
      </c>
      <c r="AR316" s="7">
        <f t="shared" si="60"/>
        <v>0.39983301183052022</v>
      </c>
      <c r="AS316" s="7">
        <f t="shared" si="61"/>
        <v>10</v>
      </c>
      <c r="AT316" s="184">
        <f t="shared" si="63"/>
        <v>0.94666666666666666</v>
      </c>
      <c r="AU316" s="108"/>
      <c r="AV316" s="7"/>
      <c r="AW316" s="7"/>
      <c r="AX316" s="7" t="s">
        <v>2336</v>
      </c>
      <c r="AY316" s="7" t="s">
        <v>1509</v>
      </c>
    </row>
    <row r="317" spans="1:51">
      <c r="A317" s="7" t="s">
        <v>33</v>
      </c>
      <c r="B317" s="7" t="s">
        <v>34</v>
      </c>
      <c r="C317" s="7" t="s">
        <v>282</v>
      </c>
      <c r="D317" s="7" t="s">
        <v>1541</v>
      </c>
      <c r="E317" s="7" t="s">
        <v>1542</v>
      </c>
      <c r="F317" s="7" t="s">
        <v>1543</v>
      </c>
      <c r="G317" s="7" t="s">
        <v>1544</v>
      </c>
      <c r="H317" s="7" t="s">
        <v>4180</v>
      </c>
      <c r="I317" s="100">
        <f>90/1000</f>
        <v>0.09</v>
      </c>
      <c r="J317" s="100">
        <f t="shared" si="53"/>
        <v>90</v>
      </c>
      <c r="K317" s="100">
        <f t="shared" si="54"/>
        <v>1.954242509439325</v>
      </c>
      <c r="L317" s="73" t="s">
        <v>1517</v>
      </c>
      <c r="M317" s="7" t="s">
        <v>2337</v>
      </c>
      <c r="N317" s="7" t="s">
        <v>1504</v>
      </c>
      <c r="O317" s="7" t="s">
        <v>1505</v>
      </c>
      <c r="P317" s="108" t="s">
        <v>1492</v>
      </c>
      <c r="Q317" s="7" t="s">
        <v>1546</v>
      </c>
      <c r="R317" s="7">
        <v>77.849999999999994</v>
      </c>
      <c r="S317" s="7">
        <f t="shared" si="64"/>
        <v>77.849999999999994</v>
      </c>
      <c r="T317" s="7">
        <v>166.75</v>
      </c>
      <c r="U317" s="7">
        <v>1</v>
      </c>
      <c r="V317" s="7">
        <v>42</v>
      </c>
      <c r="W317" s="7">
        <f t="shared" si="55"/>
        <v>1.6232492903979006</v>
      </c>
      <c r="X317" s="7" t="s">
        <v>2320</v>
      </c>
      <c r="Y317" s="7" t="s">
        <v>1711</v>
      </c>
      <c r="Z317" s="7">
        <v>-1</v>
      </c>
      <c r="AA317" s="7">
        <v>4</v>
      </c>
      <c r="AB317" s="108">
        <v>21.47</v>
      </c>
      <c r="AC317" s="108">
        <v>1.98</v>
      </c>
      <c r="AD317" s="7">
        <v>10</v>
      </c>
      <c r="AE317" s="7">
        <v>26.56</v>
      </c>
      <c r="AF317" s="7">
        <v>2.56</v>
      </c>
      <c r="AG317" s="7">
        <v>10</v>
      </c>
      <c r="AH317" s="7">
        <v>30.47</v>
      </c>
      <c r="AI317" s="7">
        <v>3.02</v>
      </c>
      <c r="AJ317" s="7">
        <v>10</v>
      </c>
      <c r="AK317" s="108">
        <v>38.450000000000003</v>
      </c>
      <c r="AL317" s="108">
        <v>4.1100000000000003</v>
      </c>
      <c r="AM317" s="108">
        <v>10</v>
      </c>
      <c r="AN317" s="7">
        <f t="shared" si="56"/>
        <v>1.5303545268156151</v>
      </c>
      <c r="AO317" s="7">
        <f t="shared" si="57"/>
        <v>3.2072188769155918</v>
      </c>
      <c r="AP317" s="7">
        <f t="shared" si="58"/>
        <v>2.2072188769155918</v>
      </c>
      <c r="AQ317" s="7">
        <f t="shared" si="59"/>
        <v>0.34404211811762891</v>
      </c>
      <c r="AR317" s="7">
        <f t="shared" si="60"/>
        <v>-0.34404211811762891</v>
      </c>
      <c r="AS317" s="7">
        <f t="shared" si="61"/>
        <v>10</v>
      </c>
      <c r="AT317" s="184">
        <f t="shared" si="63"/>
        <v>2.8833333333333333</v>
      </c>
      <c r="AU317" s="108"/>
      <c r="AV317" s="7"/>
      <c r="AW317" s="7"/>
      <c r="AX317" s="7" t="s">
        <v>2338</v>
      </c>
      <c r="AY317" s="7" t="s">
        <v>1509</v>
      </c>
    </row>
    <row r="318" spans="1:51">
      <c r="A318" s="7" t="s">
        <v>33</v>
      </c>
      <c r="B318" s="7" t="s">
        <v>34</v>
      </c>
      <c r="C318" s="7" t="s">
        <v>282</v>
      </c>
      <c r="D318" s="7" t="s">
        <v>2138</v>
      </c>
      <c r="E318" s="7" t="s">
        <v>2139</v>
      </c>
      <c r="F318" s="7" t="s">
        <v>2172</v>
      </c>
      <c r="G318" s="7" t="s">
        <v>2173</v>
      </c>
      <c r="H318" s="7" t="s">
        <v>4180</v>
      </c>
      <c r="I318" s="100">
        <f>AVERAGE(73,107)/1000</f>
        <v>0.09</v>
      </c>
      <c r="J318" s="100">
        <f t="shared" si="53"/>
        <v>90</v>
      </c>
      <c r="K318" s="100">
        <f t="shared" si="54"/>
        <v>1.954242509439325</v>
      </c>
      <c r="L318" s="73" t="s">
        <v>1502</v>
      </c>
      <c r="M318" s="7" t="s">
        <v>2142</v>
      </c>
      <c r="N318" s="7" t="s">
        <v>1538</v>
      </c>
      <c r="O318" s="7" t="s">
        <v>1494</v>
      </c>
      <c r="P318" s="108" t="s">
        <v>1492</v>
      </c>
      <c r="Q318" s="7" t="s">
        <v>2153</v>
      </c>
      <c r="R318" s="7">
        <v>40.450000000000003</v>
      </c>
      <c r="S318" s="7">
        <f t="shared" si="64"/>
        <v>40.450000000000003</v>
      </c>
      <c r="T318" s="7">
        <v>81.7</v>
      </c>
      <c r="U318" s="7">
        <v>1</v>
      </c>
      <c r="V318" s="7">
        <v>42</v>
      </c>
      <c r="W318" s="7">
        <f t="shared" si="55"/>
        <v>1.6232492903979006</v>
      </c>
      <c r="X318" s="7" t="s">
        <v>2320</v>
      </c>
      <c r="Y318" s="7" t="s">
        <v>2136</v>
      </c>
      <c r="Z318" s="7">
        <v>5</v>
      </c>
      <c r="AA318" s="7">
        <v>25</v>
      </c>
      <c r="AB318" s="108">
        <v>10</v>
      </c>
      <c r="AC318" s="108">
        <v>3</v>
      </c>
      <c r="AD318" s="7">
        <v>3</v>
      </c>
      <c r="AE318" s="7">
        <v>36</v>
      </c>
      <c r="AF318" s="7">
        <v>9</v>
      </c>
      <c r="AG318" s="7">
        <v>3</v>
      </c>
      <c r="AH318" s="7">
        <v>18</v>
      </c>
      <c r="AI318" s="7">
        <v>7</v>
      </c>
      <c r="AJ318" s="7">
        <v>3</v>
      </c>
      <c r="AK318" s="108">
        <v>29</v>
      </c>
      <c r="AL318" s="108">
        <v>10</v>
      </c>
      <c r="AM318" s="7">
        <v>3</v>
      </c>
      <c r="AN318" s="7">
        <f t="shared" si="56"/>
        <v>1.8973665961010275</v>
      </c>
      <c r="AO318" s="7">
        <f t="shared" si="57"/>
        <v>1.70293863659264</v>
      </c>
      <c r="AP318" s="7">
        <f t="shared" si="58"/>
        <v>0.70293863659264</v>
      </c>
      <c r="AQ318" s="7">
        <f t="shared" si="59"/>
        <v>-0.15246519732198568</v>
      </c>
      <c r="AR318" s="7">
        <f t="shared" si="60"/>
        <v>0.15246519732198568</v>
      </c>
      <c r="AS318" s="7">
        <f t="shared" si="61"/>
        <v>3</v>
      </c>
      <c r="AT318" s="184">
        <f t="shared" ref="AT318:AT340" si="65">AVERAGE(AC318,AF318,AL318)</f>
        <v>7.333333333333333</v>
      </c>
      <c r="AU318" s="7"/>
      <c r="AV318" s="7" t="s">
        <v>2145</v>
      </c>
      <c r="AW318" s="7"/>
      <c r="AX318" s="7" t="s">
        <v>2339</v>
      </c>
      <c r="AY318" s="7" t="s">
        <v>1509</v>
      </c>
    </row>
    <row r="319" spans="1:51">
      <c r="A319" s="7" t="s">
        <v>33</v>
      </c>
      <c r="B319" s="7" t="s">
        <v>34</v>
      </c>
      <c r="C319" s="7" t="s">
        <v>282</v>
      </c>
      <c r="D319" s="7" t="s">
        <v>2138</v>
      </c>
      <c r="E319" s="7" t="s">
        <v>2178</v>
      </c>
      <c r="F319" s="7" t="s">
        <v>2179</v>
      </c>
      <c r="G319" s="7" t="s">
        <v>2180</v>
      </c>
      <c r="H319" s="7" t="s">
        <v>4180</v>
      </c>
      <c r="I319" s="100">
        <f>AVERAGE(58,69)/1000</f>
        <v>6.3500000000000001E-2</v>
      </c>
      <c r="J319" s="100">
        <f t="shared" si="53"/>
        <v>63.5</v>
      </c>
      <c r="K319" s="100">
        <f t="shared" si="54"/>
        <v>1.8027737252919758</v>
      </c>
      <c r="L319" s="73" t="s">
        <v>1502</v>
      </c>
      <c r="M319" s="7" t="s">
        <v>2142</v>
      </c>
      <c r="N319" s="7" t="s">
        <v>1538</v>
      </c>
      <c r="O319" s="7" t="s">
        <v>1494</v>
      </c>
      <c r="P319" s="108" t="s">
        <v>1492</v>
      </c>
      <c r="Q319" s="7" t="s">
        <v>2153</v>
      </c>
      <c r="R319" s="7">
        <v>40.450000000000003</v>
      </c>
      <c r="S319" s="7">
        <f t="shared" si="64"/>
        <v>40.450000000000003</v>
      </c>
      <c r="T319" s="7">
        <v>81.7</v>
      </c>
      <c r="U319" s="7">
        <v>1</v>
      </c>
      <c r="V319" s="7">
        <v>42</v>
      </c>
      <c r="W319" s="7">
        <f t="shared" si="55"/>
        <v>1.6232492903979006</v>
      </c>
      <c r="X319" s="7" t="s">
        <v>2320</v>
      </c>
      <c r="Y319" s="7" t="s">
        <v>2136</v>
      </c>
      <c r="Z319" s="7">
        <v>5</v>
      </c>
      <c r="AA319" s="7">
        <v>25</v>
      </c>
      <c r="AB319" s="108">
        <v>19.7</v>
      </c>
      <c r="AC319" s="108">
        <v>2</v>
      </c>
      <c r="AD319" s="7">
        <v>5</v>
      </c>
      <c r="AE319" s="7">
        <v>28.5</v>
      </c>
      <c r="AF319" s="7">
        <v>3.5</v>
      </c>
      <c r="AG319" s="7">
        <v>5</v>
      </c>
      <c r="AH319" s="7">
        <v>18</v>
      </c>
      <c r="AI319" s="7">
        <v>1.5</v>
      </c>
      <c r="AJ319" s="7">
        <v>5</v>
      </c>
      <c r="AK319" s="108">
        <v>59.7</v>
      </c>
      <c r="AL319" s="108">
        <v>15</v>
      </c>
      <c r="AM319" s="7">
        <v>5</v>
      </c>
      <c r="AN319" s="7">
        <f t="shared" si="56"/>
        <v>1.2027886379635506</v>
      </c>
      <c r="AO319" s="7">
        <f t="shared" si="57"/>
        <v>1.7408207411424872</v>
      </c>
      <c r="AP319" s="7">
        <f t="shared" si="58"/>
        <v>0.74082074114248719</v>
      </c>
      <c r="AQ319" s="7">
        <f t="shared" si="59"/>
        <v>-0.12970102806078981</v>
      </c>
      <c r="AR319" s="7">
        <f t="shared" si="60"/>
        <v>0.12970102806078981</v>
      </c>
      <c r="AS319" s="7">
        <f t="shared" si="61"/>
        <v>5</v>
      </c>
      <c r="AT319" s="184">
        <f t="shared" si="65"/>
        <v>6.833333333333333</v>
      </c>
      <c r="AU319" s="7"/>
      <c r="AV319" s="7" t="s">
        <v>2145</v>
      </c>
      <c r="AW319" s="7"/>
      <c r="AX319" s="7" t="s">
        <v>2340</v>
      </c>
      <c r="AY319" s="7" t="s">
        <v>1509</v>
      </c>
    </row>
    <row r="320" spans="1:51">
      <c r="A320" s="7" t="s">
        <v>33</v>
      </c>
      <c r="B320" s="7" t="s">
        <v>34</v>
      </c>
      <c r="C320" s="7" t="s">
        <v>282</v>
      </c>
      <c r="D320" s="7" t="s">
        <v>2138</v>
      </c>
      <c r="E320" s="7" t="s">
        <v>2178</v>
      </c>
      <c r="F320" s="7" t="s">
        <v>2179</v>
      </c>
      <c r="G320" s="7" t="s">
        <v>2180</v>
      </c>
      <c r="H320" s="7" t="s">
        <v>4180</v>
      </c>
      <c r="I320" s="100">
        <f>AVERAGE(58,69)/1000</f>
        <v>6.3500000000000001E-2</v>
      </c>
      <c r="J320" s="100">
        <f t="shared" si="53"/>
        <v>63.5</v>
      </c>
      <c r="K320" s="100">
        <f t="shared" si="54"/>
        <v>1.8027737252919758</v>
      </c>
      <c r="L320" s="73" t="s">
        <v>1502</v>
      </c>
      <c r="M320" s="7" t="s">
        <v>2142</v>
      </c>
      <c r="N320" s="7" t="s">
        <v>1538</v>
      </c>
      <c r="O320" s="7" t="s">
        <v>1494</v>
      </c>
      <c r="P320" s="108" t="s">
        <v>1492</v>
      </c>
      <c r="Q320" s="7" t="s">
        <v>2153</v>
      </c>
      <c r="R320" s="7">
        <v>40.450000000000003</v>
      </c>
      <c r="S320" s="7">
        <f t="shared" si="64"/>
        <v>40.450000000000003</v>
      </c>
      <c r="T320" s="7">
        <v>81.7</v>
      </c>
      <c r="U320" s="7">
        <v>1</v>
      </c>
      <c r="V320" s="7">
        <v>42</v>
      </c>
      <c r="W320" s="7">
        <f t="shared" si="55"/>
        <v>1.6232492903979006</v>
      </c>
      <c r="X320" s="7" t="s">
        <v>2320</v>
      </c>
      <c r="Y320" s="7" t="s">
        <v>2147</v>
      </c>
      <c r="Z320" s="7">
        <v>5</v>
      </c>
      <c r="AA320" s="7">
        <v>25</v>
      </c>
      <c r="AB320" s="108">
        <v>2.0499999999999998</v>
      </c>
      <c r="AC320" s="108">
        <v>0.1</v>
      </c>
      <c r="AD320" s="110">
        <v>5</v>
      </c>
      <c r="AE320" s="7">
        <v>2.9</v>
      </c>
      <c r="AF320" s="7">
        <v>0.9</v>
      </c>
      <c r="AG320" s="110">
        <v>5</v>
      </c>
      <c r="AH320" s="7">
        <v>2.85</v>
      </c>
      <c r="AI320" s="7">
        <v>1</v>
      </c>
      <c r="AJ320" s="7">
        <v>5</v>
      </c>
      <c r="AK320" s="108">
        <v>3.5</v>
      </c>
      <c r="AL320" s="108">
        <v>1.8</v>
      </c>
      <c r="AM320" s="7">
        <v>5</v>
      </c>
      <c r="AN320" s="7">
        <f t="shared" si="56"/>
        <v>1.18938393563284</v>
      </c>
      <c r="AO320" s="7">
        <f t="shared" si="57"/>
        <v>1.3066434376564755</v>
      </c>
      <c r="AP320" s="7">
        <f t="shared" si="58"/>
        <v>0.3066434376564755</v>
      </c>
      <c r="AQ320" s="7">
        <f t="shared" si="59"/>
        <v>-0.51195234441465687</v>
      </c>
      <c r="AR320" s="7">
        <f t="shared" si="60"/>
        <v>0.51195234441465687</v>
      </c>
      <c r="AS320" s="7">
        <f t="shared" si="61"/>
        <v>5</v>
      </c>
      <c r="AT320" s="184">
        <f t="shared" si="65"/>
        <v>0.93333333333333324</v>
      </c>
      <c r="AU320" s="7"/>
      <c r="AV320" s="7" t="s">
        <v>2145</v>
      </c>
      <c r="AW320" s="7"/>
      <c r="AX320" s="7" t="s">
        <v>2341</v>
      </c>
      <c r="AY320" s="7" t="s">
        <v>1509</v>
      </c>
    </row>
    <row r="321" spans="1:51">
      <c r="A321" s="7" t="s">
        <v>33</v>
      </c>
      <c r="B321" s="7" t="s">
        <v>34</v>
      </c>
      <c r="C321" s="7" t="s">
        <v>282</v>
      </c>
      <c r="D321" s="7" t="s">
        <v>2138</v>
      </c>
      <c r="E321" s="7" t="s">
        <v>2178</v>
      </c>
      <c r="F321" s="7" t="s">
        <v>2184</v>
      </c>
      <c r="G321" s="7" t="s">
        <v>2185</v>
      </c>
      <c r="H321" s="7" t="s">
        <v>4180</v>
      </c>
      <c r="I321" s="100">
        <f>AVERAGE(37, 55)/1000</f>
        <v>4.5999999999999999E-2</v>
      </c>
      <c r="J321" s="100">
        <f t="shared" si="53"/>
        <v>46</v>
      </c>
      <c r="K321" s="100">
        <f t="shared" si="54"/>
        <v>1.6627578316815741</v>
      </c>
      <c r="L321" s="73" t="s">
        <v>1502</v>
      </c>
      <c r="M321" s="7" t="s">
        <v>2142</v>
      </c>
      <c r="N321" s="7" t="s">
        <v>1538</v>
      </c>
      <c r="O321" s="7" t="s">
        <v>1505</v>
      </c>
      <c r="P321" s="108" t="s">
        <v>1492</v>
      </c>
      <c r="Q321" s="7" t="s">
        <v>2186</v>
      </c>
      <c r="R321" s="7">
        <v>41.15</v>
      </c>
      <c r="S321" s="7">
        <f t="shared" si="64"/>
        <v>41.15</v>
      </c>
      <c r="T321" s="7">
        <v>81.650000000000006</v>
      </c>
      <c r="U321" s="7">
        <v>1</v>
      </c>
      <c r="V321" s="7">
        <v>42</v>
      </c>
      <c r="W321" s="7">
        <f t="shared" si="55"/>
        <v>1.6232492903979006</v>
      </c>
      <c r="X321" s="7" t="s">
        <v>2320</v>
      </c>
      <c r="Y321" s="7" t="s">
        <v>2147</v>
      </c>
      <c r="Z321" s="7">
        <v>5</v>
      </c>
      <c r="AA321" s="7">
        <v>25</v>
      </c>
      <c r="AB321" s="108">
        <v>3</v>
      </c>
      <c r="AC321" s="108">
        <v>0.8</v>
      </c>
      <c r="AD321" s="110">
        <v>7</v>
      </c>
      <c r="AE321" s="7">
        <v>5</v>
      </c>
      <c r="AF321" s="7">
        <v>0.8</v>
      </c>
      <c r="AG321" s="110">
        <v>7</v>
      </c>
      <c r="AH321" s="7">
        <v>0.5</v>
      </c>
      <c r="AI321" s="7">
        <v>0.01</v>
      </c>
      <c r="AJ321" s="7">
        <v>5</v>
      </c>
      <c r="AK321" s="108">
        <v>1</v>
      </c>
      <c r="AL321" s="108">
        <v>0.1</v>
      </c>
      <c r="AM321" s="7">
        <v>5</v>
      </c>
      <c r="AN321" s="7">
        <f t="shared" si="56"/>
        <v>1.2909944487358056</v>
      </c>
      <c r="AO321" s="7">
        <f t="shared" si="57"/>
        <v>0.57735026918962573</v>
      </c>
      <c r="AP321" s="7">
        <f t="shared" si="58"/>
        <v>0.42264973081037427</v>
      </c>
      <c r="AQ321" s="7">
        <f t="shared" si="59"/>
        <v>-0.37299306521037612</v>
      </c>
      <c r="AR321" s="7">
        <f t="shared" si="60"/>
        <v>0.37299306521037612</v>
      </c>
      <c r="AS321" s="7">
        <f t="shared" si="61"/>
        <v>6.333333333333333</v>
      </c>
      <c r="AT321" s="184">
        <f t="shared" si="65"/>
        <v>0.56666666666666676</v>
      </c>
      <c r="AU321" s="7"/>
      <c r="AV321" s="7" t="s">
        <v>2145</v>
      </c>
      <c r="AW321" s="7"/>
      <c r="AX321" s="7" t="s">
        <v>2342</v>
      </c>
      <c r="AY321" s="7" t="s">
        <v>1509</v>
      </c>
    </row>
    <row r="322" spans="1:51">
      <c r="A322" s="7" t="s">
        <v>33</v>
      </c>
      <c r="B322" s="7" t="s">
        <v>34</v>
      </c>
      <c r="C322" s="7" t="s">
        <v>282</v>
      </c>
      <c r="D322" s="7" t="s">
        <v>2138</v>
      </c>
      <c r="E322" s="7" t="s">
        <v>2178</v>
      </c>
      <c r="F322" s="7" t="s">
        <v>2184</v>
      </c>
      <c r="G322" s="7" t="s">
        <v>2185</v>
      </c>
      <c r="H322" s="7" t="s">
        <v>4180</v>
      </c>
      <c r="I322" s="100">
        <f>AVERAGE(37, 55)/1000</f>
        <v>4.5999999999999999E-2</v>
      </c>
      <c r="J322" s="100">
        <f t="shared" si="53"/>
        <v>46</v>
      </c>
      <c r="K322" s="100">
        <f t="shared" si="54"/>
        <v>1.6627578316815741</v>
      </c>
      <c r="L322" s="73" t="s">
        <v>1502</v>
      </c>
      <c r="M322" s="7" t="s">
        <v>2142</v>
      </c>
      <c r="N322" s="7" t="s">
        <v>1538</v>
      </c>
      <c r="O322" s="7" t="s">
        <v>1505</v>
      </c>
      <c r="P322" s="108" t="s">
        <v>1492</v>
      </c>
      <c r="Q322" s="7" t="s">
        <v>2186</v>
      </c>
      <c r="R322" s="7">
        <v>41.15</v>
      </c>
      <c r="S322" s="7">
        <f t="shared" si="64"/>
        <v>41.15</v>
      </c>
      <c r="T322" s="7">
        <v>81.650000000000006</v>
      </c>
      <c r="U322" s="7">
        <v>1</v>
      </c>
      <c r="V322" s="7">
        <v>42</v>
      </c>
      <c r="W322" s="7">
        <f t="shared" si="55"/>
        <v>1.6232492903979006</v>
      </c>
      <c r="X322" s="7" t="s">
        <v>2320</v>
      </c>
      <c r="Y322" s="7" t="s">
        <v>2136</v>
      </c>
      <c r="Z322" s="7">
        <v>5</v>
      </c>
      <c r="AA322" s="7">
        <v>25</v>
      </c>
      <c r="AB322" s="108">
        <v>13</v>
      </c>
      <c r="AC322" s="108">
        <v>2</v>
      </c>
      <c r="AD322" s="7">
        <v>7</v>
      </c>
      <c r="AE322" s="7">
        <v>24</v>
      </c>
      <c r="AF322" s="7">
        <v>7</v>
      </c>
      <c r="AG322" s="7">
        <v>7</v>
      </c>
      <c r="AH322" s="7">
        <v>11</v>
      </c>
      <c r="AI322" s="7">
        <v>3</v>
      </c>
      <c r="AJ322" s="7">
        <v>5</v>
      </c>
      <c r="AK322" s="108">
        <v>20.3</v>
      </c>
      <c r="AL322" s="108">
        <v>6</v>
      </c>
      <c r="AM322" s="7">
        <v>5</v>
      </c>
      <c r="AN322" s="7">
        <f t="shared" si="56"/>
        <v>1.3587324409735149</v>
      </c>
      <c r="AO322" s="7">
        <f t="shared" si="57"/>
        <v>1.2496153254255733</v>
      </c>
      <c r="AP322" s="7">
        <f t="shared" si="58"/>
        <v>0.2496153254255733</v>
      </c>
      <c r="AQ322" s="7">
        <f t="shared" si="59"/>
        <v>-0.60099237490511026</v>
      </c>
      <c r="AR322" s="7">
        <f t="shared" si="60"/>
        <v>0.60099237490511026</v>
      </c>
      <c r="AS322" s="7">
        <f t="shared" si="61"/>
        <v>6.333333333333333</v>
      </c>
      <c r="AT322" s="184">
        <f t="shared" si="65"/>
        <v>5</v>
      </c>
      <c r="AU322" s="7"/>
      <c r="AV322" s="7" t="s">
        <v>2145</v>
      </c>
      <c r="AW322" s="7"/>
      <c r="AX322" s="7" t="s">
        <v>2343</v>
      </c>
      <c r="AY322" s="7" t="s">
        <v>1509</v>
      </c>
    </row>
    <row r="323" spans="1:51">
      <c r="A323" s="7" t="s">
        <v>33</v>
      </c>
      <c r="B323" s="7" t="s">
        <v>75</v>
      </c>
      <c r="C323" s="7" t="s">
        <v>76</v>
      </c>
      <c r="D323" s="7" t="s">
        <v>721</v>
      </c>
      <c r="E323" s="7" t="s">
        <v>752</v>
      </c>
      <c r="F323" s="7" t="s">
        <v>755</v>
      </c>
      <c r="G323" s="7" t="s">
        <v>1570</v>
      </c>
      <c r="H323" s="7" t="s">
        <v>4181</v>
      </c>
      <c r="I323" s="100">
        <f>20/1000</f>
        <v>0.02</v>
      </c>
      <c r="J323" s="100">
        <f t="shared" si="53"/>
        <v>20</v>
      </c>
      <c r="K323" s="100">
        <f t="shared" si="54"/>
        <v>1.3010299956639813</v>
      </c>
      <c r="L323" s="73" t="s">
        <v>1502</v>
      </c>
      <c r="M323" s="7" t="s">
        <v>1951</v>
      </c>
      <c r="N323" s="7" t="s">
        <v>1538</v>
      </c>
      <c r="O323" s="7" t="s">
        <v>1505</v>
      </c>
      <c r="P323" s="108" t="s">
        <v>1492</v>
      </c>
      <c r="Q323" s="7" t="s">
        <v>1572</v>
      </c>
      <c r="R323" s="7">
        <v>33.85</v>
      </c>
      <c r="S323" s="7">
        <f t="shared" si="64"/>
        <v>33.85</v>
      </c>
      <c r="T323" s="7">
        <v>151.19999999999999</v>
      </c>
      <c r="U323" s="7">
        <v>1</v>
      </c>
      <c r="V323" s="7">
        <v>60</v>
      </c>
      <c r="W323" s="7">
        <f t="shared" si="55"/>
        <v>1.7781512503836436</v>
      </c>
      <c r="X323" s="7" t="s">
        <v>2320</v>
      </c>
      <c r="Y323" s="7" t="s">
        <v>2253</v>
      </c>
      <c r="Z323" s="7">
        <v>15</v>
      </c>
      <c r="AA323" s="7">
        <v>25</v>
      </c>
      <c r="AB323" s="108">
        <v>5</v>
      </c>
      <c r="AC323" s="108">
        <v>1.2</v>
      </c>
      <c r="AD323" s="7">
        <v>5</v>
      </c>
      <c r="AE323" s="7">
        <v>6.2</v>
      </c>
      <c r="AF323" s="7">
        <v>1.3</v>
      </c>
      <c r="AG323" s="7">
        <v>5</v>
      </c>
      <c r="AH323" s="7">
        <v>3.5</v>
      </c>
      <c r="AI323" s="7">
        <v>0.6</v>
      </c>
      <c r="AJ323" s="7">
        <v>5</v>
      </c>
      <c r="AK323" s="108">
        <v>8.1999999999999993</v>
      </c>
      <c r="AL323" s="108">
        <v>3</v>
      </c>
      <c r="AM323" s="108">
        <v>5</v>
      </c>
      <c r="AN323" s="7">
        <f t="shared" si="56"/>
        <v>1.24</v>
      </c>
      <c r="AO323" s="7">
        <f t="shared" si="57"/>
        <v>1.64</v>
      </c>
      <c r="AP323" s="7">
        <f t="shared" si="58"/>
        <v>0.6399999999999999</v>
      </c>
      <c r="AQ323" s="7">
        <f t="shared" si="59"/>
        <v>-0.19314197048118265</v>
      </c>
      <c r="AR323" s="7">
        <f t="shared" si="60"/>
        <v>0.19314197048118265</v>
      </c>
      <c r="AS323" s="7">
        <f t="shared" si="61"/>
        <v>5</v>
      </c>
      <c r="AT323" s="184">
        <f t="shared" si="65"/>
        <v>1.8333333333333333</v>
      </c>
      <c r="AU323" s="108"/>
      <c r="AV323" s="7"/>
      <c r="AW323" s="7"/>
      <c r="AX323" s="7" t="s">
        <v>2344</v>
      </c>
      <c r="AY323" s="7" t="s">
        <v>1509</v>
      </c>
    </row>
    <row r="324" spans="1:51">
      <c r="A324" s="7" t="s">
        <v>33</v>
      </c>
      <c r="B324" s="7" t="s">
        <v>75</v>
      </c>
      <c r="C324" s="7" t="s">
        <v>76</v>
      </c>
      <c r="D324" s="7" t="s">
        <v>721</v>
      </c>
      <c r="E324" s="7" t="s">
        <v>752</v>
      </c>
      <c r="F324" s="7" t="s">
        <v>755</v>
      </c>
      <c r="G324" s="7" t="s">
        <v>1570</v>
      </c>
      <c r="H324" s="7" t="s">
        <v>4181</v>
      </c>
      <c r="I324" s="100">
        <f>20/1000</f>
        <v>0.02</v>
      </c>
      <c r="J324" s="100">
        <f t="shared" si="53"/>
        <v>20</v>
      </c>
      <c r="K324" s="100">
        <f t="shared" si="54"/>
        <v>1.3010299956639813</v>
      </c>
      <c r="L324" s="73" t="s">
        <v>1502</v>
      </c>
      <c r="M324" s="7" t="s">
        <v>1951</v>
      </c>
      <c r="N324" s="7" t="s">
        <v>1538</v>
      </c>
      <c r="O324" s="7" t="s">
        <v>1505</v>
      </c>
      <c r="P324" s="108" t="s">
        <v>1492</v>
      </c>
      <c r="Q324" s="7" t="s">
        <v>1572</v>
      </c>
      <c r="R324" s="7">
        <v>33.85</v>
      </c>
      <c r="S324" s="7">
        <f t="shared" si="64"/>
        <v>33.85</v>
      </c>
      <c r="T324" s="7">
        <v>151.19999999999999</v>
      </c>
      <c r="U324" s="7">
        <v>1</v>
      </c>
      <c r="V324" s="7">
        <v>60</v>
      </c>
      <c r="W324" s="7">
        <f t="shared" si="55"/>
        <v>1.7781512503836436</v>
      </c>
      <c r="X324" s="7" t="s">
        <v>2320</v>
      </c>
      <c r="Y324" s="7" t="s">
        <v>2144</v>
      </c>
      <c r="Z324" s="7">
        <v>15</v>
      </c>
      <c r="AA324" s="7">
        <v>25</v>
      </c>
      <c r="AB324" s="108">
        <v>5.6</v>
      </c>
      <c r="AC324" s="108">
        <v>0.3</v>
      </c>
      <c r="AD324" s="7">
        <v>5</v>
      </c>
      <c r="AE324" s="7">
        <v>5.8</v>
      </c>
      <c r="AF324" s="7">
        <v>0.6</v>
      </c>
      <c r="AG324" s="7">
        <v>5</v>
      </c>
      <c r="AH324" s="7">
        <v>3</v>
      </c>
      <c r="AI324" s="7">
        <v>0.3</v>
      </c>
      <c r="AJ324" s="7">
        <v>5</v>
      </c>
      <c r="AK324" s="108">
        <v>4.8</v>
      </c>
      <c r="AL324" s="108">
        <v>0.6</v>
      </c>
      <c r="AM324" s="108">
        <v>5</v>
      </c>
      <c r="AN324" s="7">
        <f t="shared" si="56"/>
        <v>1.0357142857142858</v>
      </c>
      <c r="AO324" s="7">
        <f t="shared" si="57"/>
        <v>0.85714285714285721</v>
      </c>
      <c r="AP324" s="7">
        <f t="shared" si="58"/>
        <v>0.14285714285714279</v>
      </c>
      <c r="AQ324" s="7">
        <f t="shared" si="59"/>
        <v>-0.84206856946063902</v>
      </c>
      <c r="AR324" s="7">
        <f t="shared" si="60"/>
        <v>0.84206856946063902</v>
      </c>
      <c r="AS324" s="7">
        <f t="shared" si="61"/>
        <v>5</v>
      </c>
      <c r="AT324" s="184">
        <f t="shared" si="65"/>
        <v>0.5</v>
      </c>
      <c r="AU324" s="108"/>
      <c r="AV324" s="7"/>
      <c r="AW324" s="7"/>
      <c r="AX324" s="7" t="s">
        <v>2345</v>
      </c>
      <c r="AY324" s="7" t="s">
        <v>1509</v>
      </c>
    </row>
    <row r="325" spans="1:51">
      <c r="A325" s="7" t="s">
        <v>33</v>
      </c>
      <c r="B325" s="7" t="s">
        <v>75</v>
      </c>
      <c r="C325" s="7" t="s">
        <v>76</v>
      </c>
      <c r="D325" s="7" t="s">
        <v>721</v>
      </c>
      <c r="E325" s="7" t="s">
        <v>752</v>
      </c>
      <c r="F325" s="7" t="s">
        <v>755</v>
      </c>
      <c r="G325" s="7" t="s">
        <v>1570</v>
      </c>
      <c r="H325" s="7" t="s">
        <v>4181</v>
      </c>
      <c r="I325" s="100">
        <f>20/1000</f>
        <v>0.02</v>
      </c>
      <c r="J325" s="100">
        <f t="shared" si="53"/>
        <v>20</v>
      </c>
      <c r="K325" s="100">
        <f t="shared" si="54"/>
        <v>1.3010299956639813</v>
      </c>
      <c r="L325" s="73" t="s">
        <v>1502</v>
      </c>
      <c r="M325" s="7" t="s">
        <v>1951</v>
      </c>
      <c r="N325" s="7" t="s">
        <v>1538</v>
      </c>
      <c r="O325" s="7" t="s">
        <v>1505</v>
      </c>
      <c r="P325" s="108" t="s">
        <v>1492</v>
      </c>
      <c r="Q325" s="7" t="s">
        <v>1572</v>
      </c>
      <c r="R325" s="7">
        <v>33.85</v>
      </c>
      <c r="S325" s="7">
        <f t="shared" si="64"/>
        <v>33.85</v>
      </c>
      <c r="T325" s="7">
        <v>151.19999999999999</v>
      </c>
      <c r="U325" s="7">
        <v>1</v>
      </c>
      <c r="V325" s="7">
        <v>60</v>
      </c>
      <c r="W325" s="7">
        <f t="shared" si="55"/>
        <v>1.7781512503836436</v>
      </c>
      <c r="X325" s="7" t="s">
        <v>2320</v>
      </c>
      <c r="Y325" s="7" t="s">
        <v>2192</v>
      </c>
      <c r="Z325" s="7">
        <v>15</v>
      </c>
      <c r="AA325" s="7">
        <v>25</v>
      </c>
      <c r="AB325" s="108">
        <v>4</v>
      </c>
      <c r="AC325" s="108">
        <v>0.5</v>
      </c>
      <c r="AD325" s="7">
        <v>5</v>
      </c>
      <c r="AE325" s="7">
        <v>4.5999999999999996</v>
      </c>
      <c r="AF325" s="7">
        <v>0.5</v>
      </c>
      <c r="AG325" s="7">
        <v>5</v>
      </c>
      <c r="AH325" s="7">
        <v>3.5</v>
      </c>
      <c r="AI325" s="7">
        <v>0.4</v>
      </c>
      <c r="AJ325" s="7">
        <v>5</v>
      </c>
      <c r="AK325" s="108">
        <v>4.3</v>
      </c>
      <c r="AL325" s="108">
        <v>0.5</v>
      </c>
      <c r="AM325" s="108">
        <v>5</v>
      </c>
      <c r="AN325" s="7">
        <f t="shared" si="56"/>
        <v>1.1499999999999999</v>
      </c>
      <c r="AO325" s="7">
        <f t="shared" si="57"/>
        <v>1.075</v>
      </c>
      <c r="AP325" s="7">
        <f t="shared" si="58"/>
        <v>7.4999999999999956E-2</v>
      </c>
      <c r="AQ325" s="7">
        <f t="shared" si="59"/>
        <v>-1.1191864077192089</v>
      </c>
      <c r="AR325" s="7">
        <f t="shared" si="60"/>
        <v>1.1191864077192089</v>
      </c>
      <c r="AS325" s="7">
        <f t="shared" si="61"/>
        <v>5</v>
      </c>
      <c r="AT325" s="184">
        <f t="shared" si="65"/>
        <v>0.5</v>
      </c>
      <c r="AU325" s="108"/>
      <c r="AV325" s="7"/>
      <c r="AW325" s="7"/>
      <c r="AX325" s="7" t="s">
        <v>2346</v>
      </c>
      <c r="AY325" s="7" t="s">
        <v>1509</v>
      </c>
    </row>
    <row r="326" spans="1:51">
      <c r="A326" s="7" t="s">
        <v>33</v>
      </c>
      <c r="B326" s="7" t="s">
        <v>75</v>
      </c>
      <c r="C326" s="7" t="s">
        <v>76</v>
      </c>
      <c r="D326" s="7" t="s">
        <v>721</v>
      </c>
      <c r="E326" s="7" t="s">
        <v>752</v>
      </c>
      <c r="F326" s="7" t="s">
        <v>755</v>
      </c>
      <c r="G326" s="7" t="s">
        <v>1570</v>
      </c>
      <c r="H326" s="7" t="s">
        <v>4181</v>
      </c>
      <c r="I326" s="100">
        <f>20/1000</f>
        <v>0.02</v>
      </c>
      <c r="J326" s="100">
        <f t="shared" si="53"/>
        <v>20</v>
      </c>
      <c r="K326" s="100">
        <f t="shared" si="54"/>
        <v>1.3010299956639813</v>
      </c>
      <c r="L326" s="73" t="s">
        <v>1502</v>
      </c>
      <c r="M326" s="7" t="s">
        <v>1951</v>
      </c>
      <c r="N326" s="7" t="s">
        <v>1538</v>
      </c>
      <c r="O326" s="7" t="s">
        <v>1505</v>
      </c>
      <c r="P326" s="108" t="s">
        <v>1492</v>
      </c>
      <c r="Q326" s="7" t="s">
        <v>1572</v>
      </c>
      <c r="R326" s="7">
        <v>33.85</v>
      </c>
      <c r="S326" s="7">
        <f t="shared" si="64"/>
        <v>33.85</v>
      </c>
      <c r="T326" s="7">
        <v>151.19999999999999</v>
      </c>
      <c r="U326" s="7">
        <v>1</v>
      </c>
      <c r="V326" s="7">
        <v>60</v>
      </c>
      <c r="W326" s="7">
        <f t="shared" si="55"/>
        <v>1.7781512503836436</v>
      </c>
      <c r="X326" s="7" t="s">
        <v>2320</v>
      </c>
      <c r="Y326" s="7" t="s">
        <v>2194</v>
      </c>
      <c r="Z326" s="7">
        <v>15</v>
      </c>
      <c r="AA326" s="7">
        <v>25</v>
      </c>
      <c r="AB326" s="108">
        <v>11.6</v>
      </c>
      <c r="AC326" s="108">
        <v>0.8</v>
      </c>
      <c r="AD326" s="7">
        <v>5</v>
      </c>
      <c r="AE326" s="7">
        <v>13.2</v>
      </c>
      <c r="AF326" s="7">
        <v>2.7</v>
      </c>
      <c r="AG326" s="7">
        <v>5</v>
      </c>
      <c r="AH326" s="7">
        <v>6.4</v>
      </c>
      <c r="AI326" s="7">
        <v>0.7</v>
      </c>
      <c r="AJ326" s="7">
        <v>5</v>
      </c>
      <c r="AK326" s="108">
        <v>12.4</v>
      </c>
      <c r="AL326" s="108">
        <v>2.4</v>
      </c>
      <c r="AM326" s="108">
        <v>5</v>
      </c>
      <c r="AN326" s="7">
        <f t="shared" si="56"/>
        <v>1.1379310344827587</v>
      </c>
      <c r="AO326" s="7">
        <f t="shared" si="57"/>
        <v>1.0689655172413794</v>
      </c>
      <c r="AP326" s="7">
        <f t="shared" si="58"/>
        <v>6.8965517241379448E-2</v>
      </c>
      <c r="AQ326" s="7">
        <f t="shared" si="59"/>
        <v>-1.1551159508656093</v>
      </c>
      <c r="AR326" s="7">
        <f t="shared" si="60"/>
        <v>1.1551159508656093</v>
      </c>
      <c r="AS326" s="7">
        <f t="shared" si="61"/>
        <v>5</v>
      </c>
      <c r="AT326" s="184">
        <f t="shared" si="65"/>
        <v>1.9666666666666668</v>
      </c>
      <c r="AU326" s="108"/>
      <c r="AV326" s="7"/>
      <c r="AW326" s="7"/>
      <c r="AX326" s="7" t="s">
        <v>2347</v>
      </c>
      <c r="AY326" s="7" t="s">
        <v>1509</v>
      </c>
    </row>
    <row r="327" spans="1:51">
      <c r="A327" s="7" t="s">
        <v>33</v>
      </c>
      <c r="B327" s="7" t="s">
        <v>34</v>
      </c>
      <c r="C327" s="7" t="s">
        <v>282</v>
      </c>
      <c r="D327" s="7" t="s">
        <v>1560</v>
      </c>
      <c r="E327" s="7" t="s">
        <v>1561</v>
      </c>
      <c r="F327" s="7" t="s">
        <v>1562</v>
      </c>
      <c r="G327" s="7" t="s">
        <v>1563</v>
      </c>
      <c r="H327" s="7" t="s">
        <v>4180</v>
      </c>
      <c r="I327" s="100">
        <f>8.99/1000</f>
        <v>8.9899999999999997E-3</v>
      </c>
      <c r="J327" s="100">
        <f t="shared" si="53"/>
        <v>8.99</v>
      </c>
      <c r="K327" s="100">
        <f t="shared" si="54"/>
        <v>0.95375969173322883</v>
      </c>
      <c r="L327" s="73" t="s">
        <v>1502</v>
      </c>
      <c r="M327" s="7" t="s">
        <v>1564</v>
      </c>
      <c r="N327" s="7" t="s">
        <v>1538</v>
      </c>
      <c r="O327" s="7" t="s">
        <v>1505</v>
      </c>
      <c r="P327" s="108" t="s">
        <v>1539</v>
      </c>
      <c r="Q327" s="7" t="s">
        <v>1565</v>
      </c>
      <c r="R327" s="7">
        <v>28</v>
      </c>
      <c r="S327" s="7">
        <f t="shared" si="64"/>
        <v>28</v>
      </c>
      <c r="T327" s="7">
        <v>153</v>
      </c>
      <c r="U327" s="7">
        <v>1</v>
      </c>
      <c r="V327" s="7">
        <v>28</v>
      </c>
      <c r="W327" s="7">
        <f t="shared" si="55"/>
        <v>1.4471580313422192</v>
      </c>
      <c r="X327" s="7" t="s">
        <v>2320</v>
      </c>
      <c r="Y327" s="7" t="s">
        <v>2134</v>
      </c>
      <c r="Z327" s="7">
        <v>14</v>
      </c>
      <c r="AA327" s="7">
        <v>22</v>
      </c>
      <c r="AB327" s="108">
        <v>1.6</v>
      </c>
      <c r="AC327" s="108">
        <v>0.2</v>
      </c>
      <c r="AD327" s="7">
        <v>15</v>
      </c>
      <c r="AE327" s="7">
        <v>2.1</v>
      </c>
      <c r="AF327" s="7">
        <v>0.2</v>
      </c>
      <c r="AG327" s="7">
        <v>15</v>
      </c>
      <c r="AH327" s="7">
        <v>1.6</v>
      </c>
      <c r="AI327" s="7">
        <v>0.2</v>
      </c>
      <c r="AJ327" s="7">
        <v>15</v>
      </c>
      <c r="AK327" s="108">
        <v>1.8</v>
      </c>
      <c r="AL327" s="108">
        <v>0.4</v>
      </c>
      <c r="AM327" s="108">
        <v>15</v>
      </c>
      <c r="AN327" s="7">
        <f t="shared" si="56"/>
        <v>1.4048311875465476</v>
      </c>
      <c r="AO327" s="7">
        <f t="shared" si="57"/>
        <v>1.1586190184477538</v>
      </c>
      <c r="AP327" s="7">
        <f t="shared" si="58"/>
        <v>0.15861901844775383</v>
      </c>
      <c r="AQ327" s="7">
        <f t="shared" si="59"/>
        <v>-0.7969153641454878</v>
      </c>
      <c r="AR327" s="7">
        <f t="shared" si="60"/>
        <v>0.7969153641454878</v>
      </c>
      <c r="AS327" s="7">
        <f t="shared" si="61"/>
        <v>15</v>
      </c>
      <c r="AT327" s="184">
        <f t="shared" si="65"/>
        <v>0.26666666666666666</v>
      </c>
      <c r="AU327" s="108"/>
      <c r="AV327" s="7"/>
      <c r="AW327" s="7"/>
      <c r="AX327" s="7" t="s">
        <v>1564</v>
      </c>
      <c r="AY327" s="7" t="s">
        <v>1509</v>
      </c>
    </row>
    <row r="328" spans="1:51">
      <c r="A328" s="7" t="s">
        <v>33</v>
      </c>
      <c r="B328" s="7" t="s">
        <v>34</v>
      </c>
      <c r="C328" s="7" t="s">
        <v>282</v>
      </c>
      <c r="D328" s="7" t="s">
        <v>1560</v>
      </c>
      <c r="E328" s="7" t="s">
        <v>1561</v>
      </c>
      <c r="F328" s="7" t="s">
        <v>1562</v>
      </c>
      <c r="G328" s="7" t="s">
        <v>1563</v>
      </c>
      <c r="H328" s="7" t="s">
        <v>4180</v>
      </c>
      <c r="I328" s="100">
        <f>8.99/1000</f>
        <v>8.9899999999999997E-3</v>
      </c>
      <c r="J328" s="100">
        <f t="shared" ref="J328:J340" si="66">I328*1000</f>
        <v>8.99</v>
      </c>
      <c r="K328" s="100">
        <f t="shared" ref="K328:K340" si="67">LOG(J328)</f>
        <v>0.95375969173322883</v>
      </c>
      <c r="L328" s="73" t="s">
        <v>1502</v>
      </c>
      <c r="M328" s="7" t="s">
        <v>1564</v>
      </c>
      <c r="N328" s="7" t="s">
        <v>1538</v>
      </c>
      <c r="O328" s="7" t="s">
        <v>1505</v>
      </c>
      <c r="P328" s="108" t="s">
        <v>1539</v>
      </c>
      <c r="Q328" s="7" t="s">
        <v>1565</v>
      </c>
      <c r="R328" s="7">
        <v>28</v>
      </c>
      <c r="S328" s="7">
        <f t="shared" si="64"/>
        <v>28</v>
      </c>
      <c r="T328" s="7">
        <v>153</v>
      </c>
      <c r="U328" s="7">
        <v>1</v>
      </c>
      <c r="V328" s="7">
        <v>28</v>
      </c>
      <c r="W328" s="7">
        <f t="shared" ref="W328:W340" si="68">LOG(V328)</f>
        <v>1.4471580313422192</v>
      </c>
      <c r="X328" s="7" t="s">
        <v>2320</v>
      </c>
      <c r="Y328" s="7" t="s">
        <v>2144</v>
      </c>
      <c r="Z328" s="7">
        <v>14</v>
      </c>
      <c r="AA328" s="7">
        <v>22</v>
      </c>
      <c r="AB328" s="108">
        <v>3</v>
      </c>
      <c r="AC328" s="108">
        <v>0.6</v>
      </c>
      <c r="AD328" s="7">
        <v>15</v>
      </c>
      <c r="AE328" s="7">
        <v>3.9</v>
      </c>
      <c r="AF328" s="7">
        <v>0.8</v>
      </c>
      <c r="AG328" s="7">
        <v>15</v>
      </c>
      <c r="AH328" s="7">
        <v>2</v>
      </c>
      <c r="AI328" s="7">
        <v>0.6</v>
      </c>
      <c r="AJ328" s="7">
        <v>15</v>
      </c>
      <c r="AK328" s="108">
        <v>3.6</v>
      </c>
      <c r="AL328" s="108">
        <v>1</v>
      </c>
      <c r="AM328" s="108">
        <v>15</v>
      </c>
      <c r="AN328" s="7">
        <f t="shared" ref="AN328:AN340" si="69">(AE328/AB328)^(10/(AA328-Z328))</f>
        <v>1.3881269640841731</v>
      </c>
      <c r="AO328" s="7">
        <f t="shared" ref="AO328:AO340" si="70">(AK328/AB328)^(10/(AA328-Z328))</f>
        <v>1.2559621672705266</v>
      </c>
      <c r="AP328" s="7">
        <f t="shared" ref="AP328:AP340" si="71">ABS(AO328-1)</f>
        <v>0.25596216727052656</v>
      </c>
      <c r="AQ328" s="7">
        <f t="shared" ref="AQ328:AQ340" si="72">LOG(AP328+0.001)</f>
        <v>-0.5901308134590828</v>
      </c>
      <c r="AR328" s="7">
        <f t="shared" ref="AR328:AR340" si="73">AQ328*-1</f>
        <v>0.5901308134590828</v>
      </c>
      <c r="AS328" s="7">
        <f t="shared" ref="AS328:AS340" si="74">AVERAGE(AD328,AG328,AM328)</f>
        <v>15</v>
      </c>
      <c r="AT328" s="184">
        <f t="shared" si="65"/>
        <v>0.79999999999999993</v>
      </c>
      <c r="AU328" s="108"/>
      <c r="AV328" s="7"/>
      <c r="AW328" s="7"/>
      <c r="AX328" s="7" t="s">
        <v>2348</v>
      </c>
      <c r="AY328" s="7" t="s">
        <v>1509</v>
      </c>
    </row>
    <row r="329" spans="1:51">
      <c r="A329" s="7" t="s">
        <v>33</v>
      </c>
      <c r="B329" s="7" t="s">
        <v>75</v>
      </c>
      <c r="C329" s="7" t="s">
        <v>348</v>
      </c>
      <c r="D329" s="7" t="s">
        <v>622</v>
      </c>
      <c r="E329" s="7" t="s">
        <v>683</v>
      </c>
      <c r="F329" s="7" t="s">
        <v>682</v>
      </c>
      <c r="G329" s="7" t="s">
        <v>2026</v>
      </c>
      <c r="H329" s="7" t="s">
        <v>4181</v>
      </c>
      <c r="I329" s="100">
        <f>AVERAGE(2.82, 3.1, 3.34)/1000</f>
        <v>3.0866666666666664E-3</v>
      </c>
      <c r="J329" s="100">
        <f t="shared" si="66"/>
        <v>3.0866666666666664</v>
      </c>
      <c r="K329" s="100">
        <f t="shared" si="67"/>
        <v>0.48948973196227186</v>
      </c>
      <c r="L329" s="73" t="s">
        <v>1502</v>
      </c>
      <c r="M329" s="7" t="s">
        <v>2027</v>
      </c>
      <c r="N329" s="7" t="s">
        <v>1538</v>
      </c>
      <c r="O329" s="7" t="s">
        <v>1494</v>
      </c>
      <c r="P329" s="108" t="s">
        <v>1492</v>
      </c>
      <c r="Q329" s="7" t="s">
        <v>2028</v>
      </c>
      <c r="R329" s="7">
        <v>36.200000000000003</v>
      </c>
      <c r="S329" s="7">
        <f t="shared" si="64"/>
        <v>36.200000000000003</v>
      </c>
      <c r="T329" s="7">
        <v>86.75</v>
      </c>
      <c r="U329" s="7">
        <v>1</v>
      </c>
      <c r="V329" s="7">
        <v>84</v>
      </c>
      <c r="W329" s="7">
        <f t="shared" si="68"/>
        <v>1.9242792860618816</v>
      </c>
      <c r="X329" s="7" t="s">
        <v>2320</v>
      </c>
      <c r="Y329" s="7" t="s">
        <v>2134</v>
      </c>
      <c r="Z329" s="7">
        <v>8</v>
      </c>
      <c r="AA329" s="7">
        <v>26</v>
      </c>
      <c r="AB329" s="108">
        <v>4.7</v>
      </c>
      <c r="AC329" s="108">
        <v>0.3</v>
      </c>
      <c r="AD329" s="7">
        <v>10</v>
      </c>
      <c r="AE329" s="108">
        <v>8.5</v>
      </c>
      <c r="AF329" s="108">
        <v>0.6</v>
      </c>
      <c r="AG329" s="108">
        <v>10</v>
      </c>
      <c r="AH329" s="108">
        <v>3.4</v>
      </c>
      <c r="AI329" s="108">
        <v>0.2</v>
      </c>
      <c r="AJ329" s="108">
        <v>10</v>
      </c>
      <c r="AK329" s="108">
        <v>6.9</v>
      </c>
      <c r="AL329" s="108">
        <v>0.5</v>
      </c>
      <c r="AM329" s="108">
        <v>10</v>
      </c>
      <c r="AN329" s="7">
        <f t="shared" si="69"/>
        <v>1.3898122931161812</v>
      </c>
      <c r="AO329" s="7">
        <f t="shared" si="70"/>
        <v>1.2377689208176497</v>
      </c>
      <c r="AP329" s="7">
        <f t="shared" si="71"/>
        <v>0.23776892081764966</v>
      </c>
      <c r="AQ329" s="7">
        <f t="shared" si="72"/>
        <v>-0.62202220348825454</v>
      </c>
      <c r="AR329" s="7">
        <f t="shared" si="73"/>
        <v>0.62202220348825454</v>
      </c>
      <c r="AS329" s="7">
        <f t="shared" si="74"/>
        <v>10</v>
      </c>
      <c r="AT329" s="184">
        <f t="shared" si="65"/>
        <v>0.46666666666666662</v>
      </c>
      <c r="AU329" s="7"/>
      <c r="AV329" s="7"/>
      <c r="AW329" s="7"/>
      <c r="AX329" s="7" t="s">
        <v>2349</v>
      </c>
      <c r="AY329" s="7" t="s">
        <v>1509</v>
      </c>
    </row>
    <row r="330" spans="1:51">
      <c r="A330" s="7" t="s">
        <v>33</v>
      </c>
      <c r="B330" s="7" t="s">
        <v>34</v>
      </c>
      <c r="C330" s="7" t="s">
        <v>1601</v>
      </c>
      <c r="D330" s="7" t="s">
        <v>1602</v>
      </c>
      <c r="E330" s="7" t="s">
        <v>1603</v>
      </c>
      <c r="F330" s="7" t="s">
        <v>1604</v>
      </c>
      <c r="G330" s="7" t="s">
        <v>1605</v>
      </c>
      <c r="H330" s="7" t="s">
        <v>4180</v>
      </c>
      <c r="I330" s="100">
        <f>(AVERAGE(410, 465, 783, 788, 734, 725, 829, 807))/1000000</f>
        <v>6.9262499999999999E-4</v>
      </c>
      <c r="J330" s="100">
        <f t="shared" si="66"/>
        <v>0.69262499999999994</v>
      </c>
      <c r="K330" s="100">
        <f t="shared" si="67"/>
        <v>-0.15950183683203978</v>
      </c>
      <c r="L330" s="73" t="s">
        <v>1502</v>
      </c>
      <c r="M330" s="7" t="s">
        <v>1606</v>
      </c>
      <c r="N330" s="7" t="s">
        <v>1538</v>
      </c>
      <c r="O330" s="7" t="s">
        <v>1505</v>
      </c>
      <c r="P330" s="108" t="s">
        <v>1539</v>
      </c>
      <c r="Q330" s="7" t="s">
        <v>1607</v>
      </c>
      <c r="R330" s="7">
        <v>48</v>
      </c>
      <c r="S330" s="7">
        <f t="shared" si="64"/>
        <v>48</v>
      </c>
      <c r="T330" s="7">
        <v>69.349999999999994</v>
      </c>
      <c r="U330" s="7">
        <v>1</v>
      </c>
      <c r="V330" s="7">
        <v>77</v>
      </c>
      <c r="W330" s="7">
        <f t="shared" si="68"/>
        <v>1.8864907251724818</v>
      </c>
      <c r="X330" s="7" t="s">
        <v>2320</v>
      </c>
      <c r="Y330" s="7" t="s">
        <v>1723</v>
      </c>
      <c r="Z330" s="7">
        <v>8</v>
      </c>
      <c r="AA330" s="7">
        <v>23</v>
      </c>
      <c r="AB330" s="7">
        <v>3.87</v>
      </c>
      <c r="AC330" s="7">
        <v>0.38699999999999996</v>
      </c>
      <c r="AD330" s="7">
        <v>10</v>
      </c>
      <c r="AE330" s="7">
        <v>5.45</v>
      </c>
      <c r="AF330" s="7">
        <v>0.59450820011165528</v>
      </c>
      <c r="AG330" s="7">
        <v>10</v>
      </c>
      <c r="AH330" s="7">
        <v>4.59</v>
      </c>
      <c r="AI330" s="7">
        <v>0.47117937136508847</v>
      </c>
      <c r="AJ330" s="7">
        <v>10</v>
      </c>
      <c r="AK330" s="108">
        <v>6.79</v>
      </c>
      <c r="AL330" s="108">
        <v>0.62929325437350747</v>
      </c>
      <c r="AM330" s="7">
        <v>10</v>
      </c>
      <c r="AN330" s="7">
        <f t="shared" si="69"/>
        <v>1.2563877448074481</v>
      </c>
      <c r="AO330" s="7">
        <f t="shared" si="70"/>
        <v>1.4546969876423579</v>
      </c>
      <c r="AP330" s="7">
        <f t="shared" si="71"/>
        <v>0.45469698764235789</v>
      </c>
      <c r="AQ330" s="7">
        <f t="shared" si="72"/>
        <v>-0.34132384228572227</v>
      </c>
      <c r="AR330" s="7">
        <f t="shared" si="73"/>
        <v>0.34132384228572227</v>
      </c>
      <c r="AS330" s="7">
        <f t="shared" si="74"/>
        <v>10</v>
      </c>
      <c r="AT330" s="184">
        <f t="shared" si="65"/>
        <v>0.53693381816172092</v>
      </c>
      <c r="AU330" s="7"/>
      <c r="AV330" s="7" t="s">
        <v>1608</v>
      </c>
      <c r="AW330" s="7"/>
      <c r="AX330" s="7" t="s">
        <v>2350</v>
      </c>
      <c r="AY330" s="7" t="s">
        <v>1509</v>
      </c>
    </row>
    <row r="331" spans="1:51">
      <c r="A331" s="7" t="s">
        <v>33</v>
      </c>
      <c r="B331" s="7" t="s">
        <v>34</v>
      </c>
      <c r="C331" s="7" t="s">
        <v>1601</v>
      </c>
      <c r="D331" s="7" t="s">
        <v>1602</v>
      </c>
      <c r="E331" s="7" t="s">
        <v>1603</v>
      </c>
      <c r="F331" s="7" t="s">
        <v>1604</v>
      </c>
      <c r="G331" s="7" t="s">
        <v>1605</v>
      </c>
      <c r="H331" s="7" t="s">
        <v>4180</v>
      </c>
      <c r="I331" s="100">
        <f>(AVERAGE(410, 465, 783, 788, 734, 725, 829, 807))/1000000</f>
        <v>6.9262499999999999E-4</v>
      </c>
      <c r="J331" s="100">
        <f t="shared" si="66"/>
        <v>0.69262499999999994</v>
      </c>
      <c r="K331" s="100">
        <f t="shared" si="67"/>
        <v>-0.15950183683203978</v>
      </c>
      <c r="L331" s="73" t="s">
        <v>1502</v>
      </c>
      <c r="M331" s="7" t="s">
        <v>1606</v>
      </c>
      <c r="N331" s="7" t="s">
        <v>1538</v>
      </c>
      <c r="O331" s="7" t="s">
        <v>1505</v>
      </c>
      <c r="P331" s="108" t="s">
        <v>1539</v>
      </c>
      <c r="Q331" s="7" t="s">
        <v>1607</v>
      </c>
      <c r="R331" s="7">
        <v>48</v>
      </c>
      <c r="S331" s="7">
        <f t="shared" si="64"/>
        <v>48</v>
      </c>
      <c r="T331" s="7">
        <v>69.349999999999994</v>
      </c>
      <c r="U331" s="7">
        <v>1</v>
      </c>
      <c r="V331" s="7">
        <v>77</v>
      </c>
      <c r="W331" s="7">
        <f t="shared" si="68"/>
        <v>1.8864907251724818</v>
      </c>
      <c r="X331" s="7" t="s">
        <v>2351</v>
      </c>
      <c r="Y331" s="7" t="s">
        <v>1723</v>
      </c>
      <c r="Z331" s="7">
        <v>8</v>
      </c>
      <c r="AA331" s="7">
        <v>23</v>
      </c>
      <c r="AB331" s="7">
        <v>417</v>
      </c>
      <c r="AC331" s="7">
        <v>41.699999999999989</v>
      </c>
      <c r="AD331" s="7">
        <v>10</v>
      </c>
      <c r="AE331" s="7">
        <v>884</v>
      </c>
      <c r="AF331" s="7">
        <v>86.0455751331816</v>
      </c>
      <c r="AG331" s="7">
        <v>10</v>
      </c>
      <c r="AH331" s="7">
        <v>538.6</v>
      </c>
      <c r="AI331" s="7">
        <v>79.404792046827993</v>
      </c>
      <c r="AJ331" s="7">
        <v>10</v>
      </c>
      <c r="AK331" s="108">
        <v>1184</v>
      </c>
      <c r="AL331" s="108">
        <v>127.47141248138738</v>
      </c>
      <c r="AM331" s="7">
        <v>10</v>
      </c>
      <c r="AN331" s="7">
        <f t="shared" si="69"/>
        <v>1.650228715717436</v>
      </c>
      <c r="AO331" s="7">
        <f t="shared" si="70"/>
        <v>2.0051356796087139</v>
      </c>
      <c r="AP331" s="7">
        <f t="shared" si="71"/>
        <v>1.0051356796087139</v>
      </c>
      <c r="AQ331" s="7">
        <f t="shared" si="72"/>
        <v>2.6565502349344791E-3</v>
      </c>
      <c r="AR331" s="7">
        <f t="shared" si="73"/>
        <v>-2.6565502349344791E-3</v>
      </c>
      <c r="AS331" s="7">
        <f t="shared" si="74"/>
        <v>10</v>
      </c>
      <c r="AT331" s="184">
        <f t="shared" si="65"/>
        <v>85.072329204856317</v>
      </c>
      <c r="AU331" s="7"/>
      <c r="AV331" s="7" t="s">
        <v>1608</v>
      </c>
      <c r="AW331" s="7"/>
      <c r="AX331" s="7" t="s">
        <v>2352</v>
      </c>
      <c r="AY331" s="7" t="s">
        <v>1509</v>
      </c>
    </row>
    <row r="332" spans="1:51">
      <c r="A332" s="7" t="s">
        <v>33</v>
      </c>
      <c r="B332" s="7" t="s">
        <v>34</v>
      </c>
      <c r="C332" s="7" t="s">
        <v>66</v>
      </c>
      <c r="D332" s="7" t="s">
        <v>67</v>
      </c>
      <c r="E332" s="7" t="s">
        <v>1596</v>
      </c>
      <c r="F332" s="7" t="s">
        <v>1597</v>
      </c>
      <c r="G332" s="7" t="s">
        <v>1598</v>
      </c>
      <c r="H332" s="7" t="s">
        <v>4180</v>
      </c>
      <c r="I332" s="100">
        <f>735/1000</f>
        <v>0.73499999999999999</v>
      </c>
      <c r="J332" s="100">
        <f t="shared" si="66"/>
        <v>735</v>
      </c>
      <c r="K332" s="100">
        <f t="shared" si="67"/>
        <v>2.8662873390841948</v>
      </c>
      <c r="L332" s="73" t="s">
        <v>1502</v>
      </c>
      <c r="M332" s="7" t="s">
        <v>1725</v>
      </c>
      <c r="N332" s="7" t="s">
        <v>1538</v>
      </c>
      <c r="O332" s="7" t="s">
        <v>1494</v>
      </c>
      <c r="P332" s="108" t="s">
        <v>1492</v>
      </c>
      <c r="Q332" s="7" t="s">
        <v>2353</v>
      </c>
      <c r="R332" s="7">
        <v>54.325000000000003</v>
      </c>
      <c r="S332" s="7">
        <f t="shared" si="64"/>
        <v>54.325000000000003</v>
      </c>
      <c r="T332" s="7">
        <v>10.142556000000001</v>
      </c>
      <c r="U332" s="7">
        <v>1</v>
      </c>
      <c r="V332" s="7">
        <v>30</v>
      </c>
      <c r="W332" s="7">
        <f t="shared" si="68"/>
        <v>1.4771212547196624</v>
      </c>
      <c r="X332" s="7" t="s">
        <v>2354</v>
      </c>
      <c r="Y332" s="7" t="s">
        <v>2213</v>
      </c>
      <c r="Z332" s="7">
        <v>10</v>
      </c>
      <c r="AA332" s="7">
        <v>30</v>
      </c>
      <c r="AB332" s="7">
        <v>1412</v>
      </c>
      <c r="AC332" s="7">
        <v>115</v>
      </c>
      <c r="AD332" s="7">
        <v>5</v>
      </c>
      <c r="AE332" s="7">
        <v>3003</v>
      </c>
      <c r="AF332" s="7">
        <v>267</v>
      </c>
      <c r="AG332" s="7">
        <v>5</v>
      </c>
      <c r="AH332" s="7">
        <v>1096</v>
      </c>
      <c r="AI332" s="7">
        <v>60</v>
      </c>
      <c r="AJ332" s="7">
        <v>5</v>
      </c>
      <c r="AK332" s="7">
        <v>2230</v>
      </c>
      <c r="AL332" s="7">
        <v>142</v>
      </c>
      <c r="AM332" s="7">
        <v>5</v>
      </c>
      <c r="AN332" s="7">
        <f t="shared" si="69"/>
        <v>1.458345136873856</v>
      </c>
      <c r="AO332" s="7">
        <f t="shared" si="70"/>
        <v>1.2567100354952401</v>
      </c>
      <c r="AP332" s="7">
        <f t="shared" si="71"/>
        <v>0.25671003549524007</v>
      </c>
      <c r="AQ332" s="7">
        <f t="shared" si="72"/>
        <v>-0.58886866924364201</v>
      </c>
      <c r="AR332" s="7">
        <f t="shared" si="73"/>
        <v>0.58886866924364201</v>
      </c>
      <c r="AS332" s="7">
        <f t="shared" si="74"/>
        <v>5</v>
      </c>
      <c r="AT332" s="184">
        <f t="shared" si="65"/>
        <v>174.66666666666666</v>
      </c>
      <c r="AU332" s="7"/>
      <c r="AV332" s="7" t="s">
        <v>2355</v>
      </c>
      <c r="AW332" s="7"/>
      <c r="AX332" s="107" t="s">
        <v>2356</v>
      </c>
      <c r="AY332" s="7" t="s">
        <v>1509</v>
      </c>
    </row>
    <row r="333" spans="1:51">
      <c r="A333" s="7" t="s">
        <v>33</v>
      </c>
      <c r="B333" s="7" t="s">
        <v>34</v>
      </c>
      <c r="C333" s="7" t="s">
        <v>282</v>
      </c>
      <c r="D333" s="7" t="s">
        <v>1541</v>
      </c>
      <c r="E333" s="7" t="s">
        <v>1542</v>
      </c>
      <c r="F333" s="7" t="s">
        <v>1543</v>
      </c>
      <c r="G333" s="7" t="s">
        <v>1544</v>
      </c>
      <c r="H333" s="7" t="s">
        <v>4180</v>
      </c>
      <c r="I333" s="100">
        <f>90/1000</f>
        <v>0.09</v>
      </c>
      <c r="J333" s="100">
        <f t="shared" si="66"/>
        <v>90</v>
      </c>
      <c r="K333" s="100">
        <f t="shared" si="67"/>
        <v>1.954242509439325</v>
      </c>
      <c r="L333" s="73" t="s">
        <v>1517</v>
      </c>
      <c r="M333" s="7" t="s">
        <v>1548</v>
      </c>
      <c r="N333" s="7" t="s">
        <v>1504</v>
      </c>
      <c r="O333" s="7" t="s">
        <v>1505</v>
      </c>
      <c r="P333" s="108" t="s">
        <v>1492</v>
      </c>
      <c r="Q333" s="7" t="s">
        <v>2229</v>
      </c>
      <c r="R333" s="7">
        <v>77.849999999999994</v>
      </c>
      <c r="S333" s="7">
        <f t="shared" si="64"/>
        <v>77.849999999999994</v>
      </c>
      <c r="T333" s="7">
        <v>166.65</v>
      </c>
      <c r="U333" s="7">
        <v>1</v>
      </c>
      <c r="V333" s="7">
        <v>30</v>
      </c>
      <c r="W333" s="7">
        <f t="shared" si="68"/>
        <v>1.4771212547196624</v>
      </c>
      <c r="X333" s="7" t="s">
        <v>2357</v>
      </c>
      <c r="Y333" s="7" t="s">
        <v>1781</v>
      </c>
      <c r="Z333" s="7">
        <v>-1</v>
      </c>
      <c r="AA333" s="7">
        <v>4</v>
      </c>
      <c r="AB333" s="7">
        <v>22.5</v>
      </c>
      <c r="AC333" s="7">
        <v>3</v>
      </c>
      <c r="AD333" s="7">
        <v>8</v>
      </c>
      <c r="AE333" s="7">
        <v>37</v>
      </c>
      <c r="AF333" s="7">
        <v>6</v>
      </c>
      <c r="AG333" s="7">
        <v>8</v>
      </c>
      <c r="AH333" s="7">
        <v>31</v>
      </c>
      <c r="AI333" s="7">
        <v>3</v>
      </c>
      <c r="AJ333" s="7">
        <v>8</v>
      </c>
      <c r="AK333" s="108">
        <v>24.5</v>
      </c>
      <c r="AL333" s="108">
        <v>2</v>
      </c>
      <c r="AM333" s="7">
        <v>8</v>
      </c>
      <c r="AN333" s="7">
        <f t="shared" si="69"/>
        <v>2.7041975308641972</v>
      </c>
      <c r="AO333" s="7">
        <f t="shared" si="70"/>
        <v>1.1856790123456789</v>
      </c>
      <c r="AP333" s="7">
        <f t="shared" si="71"/>
        <v>0.18567901234567885</v>
      </c>
      <c r="AQ333" s="7">
        <f t="shared" si="72"/>
        <v>-0.72890450548324104</v>
      </c>
      <c r="AR333" s="7">
        <f t="shared" si="73"/>
        <v>0.72890450548324104</v>
      </c>
      <c r="AS333" s="7">
        <f t="shared" si="74"/>
        <v>8</v>
      </c>
      <c r="AT333" s="184">
        <f t="shared" si="65"/>
        <v>3.6666666666666665</v>
      </c>
      <c r="AU333" s="7"/>
      <c r="AV333" s="7" t="s">
        <v>2358</v>
      </c>
      <c r="AW333" s="7"/>
      <c r="AX333" s="7" t="s">
        <v>1548</v>
      </c>
      <c r="AY333" s="7" t="s">
        <v>1509</v>
      </c>
    </row>
    <row r="334" spans="1:51">
      <c r="A334" s="7" t="s">
        <v>33</v>
      </c>
      <c r="B334" s="7" t="s">
        <v>34</v>
      </c>
      <c r="C334" s="7" t="s">
        <v>282</v>
      </c>
      <c r="D334" s="7" t="s">
        <v>1541</v>
      </c>
      <c r="E334" s="7" t="s">
        <v>1542</v>
      </c>
      <c r="F334" s="7" t="s">
        <v>1543</v>
      </c>
      <c r="G334" s="7" t="s">
        <v>1544</v>
      </c>
      <c r="H334" s="7" t="s">
        <v>4180</v>
      </c>
      <c r="I334" s="100">
        <f>90/1000</f>
        <v>0.09</v>
      </c>
      <c r="J334" s="100">
        <f t="shared" si="66"/>
        <v>90</v>
      </c>
      <c r="K334" s="100">
        <f t="shared" si="67"/>
        <v>1.954242509439325</v>
      </c>
      <c r="L334" s="73" t="s">
        <v>1517</v>
      </c>
      <c r="M334" s="7" t="s">
        <v>1548</v>
      </c>
      <c r="N334" s="7" t="s">
        <v>1504</v>
      </c>
      <c r="O334" s="7" t="s">
        <v>1505</v>
      </c>
      <c r="P334" s="108" t="s">
        <v>1492</v>
      </c>
      <c r="Q334" s="7" t="s">
        <v>2229</v>
      </c>
      <c r="R334" s="7">
        <v>77.849999999999994</v>
      </c>
      <c r="S334" s="7">
        <f t="shared" si="64"/>
        <v>77.849999999999994</v>
      </c>
      <c r="T334" s="7">
        <v>166.65</v>
      </c>
      <c r="U334" s="7">
        <v>1</v>
      </c>
      <c r="V334" s="7">
        <v>30</v>
      </c>
      <c r="W334" s="7">
        <f t="shared" si="68"/>
        <v>1.4771212547196624</v>
      </c>
      <c r="X334" s="7" t="s">
        <v>2357</v>
      </c>
      <c r="Y334" s="7" t="s">
        <v>1778</v>
      </c>
      <c r="Z334" s="7">
        <v>-1</v>
      </c>
      <c r="AA334" s="7">
        <v>4</v>
      </c>
      <c r="AB334" s="7">
        <v>60</v>
      </c>
      <c r="AC334" s="7">
        <v>10</v>
      </c>
      <c r="AD334" s="7">
        <v>8</v>
      </c>
      <c r="AE334" s="7">
        <v>60.5</v>
      </c>
      <c r="AF334" s="7">
        <v>8</v>
      </c>
      <c r="AG334" s="7">
        <v>8</v>
      </c>
      <c r="AH334" s="7">
        <v>43</v>
      </c>
      <c r="AI334" s="7">
        <v>5</v>
      </c>
      <c r="AJ334" s="7">
        <v>8</v>
      </c>
      <c r="AK334" s="108">
        <v>53</v>
      </c>
      <c r="AL334" s="7">
        <v>7</v>
      </c>
      <c r="AM334" s="7">
        <v>8</v>
      </c>
      <c r="AN334" s="7">
        <f t="shared" si="69"/>
        <v>1.0167361111111111</v>
      </c>
      <c r="AO334" s="7">
        <f t="shared" si="70"/>
        <v>0.78027777777777774</v>
      </c>
      <c r="AP334" s="7">
        <f t="shared" si="71"/>
        <v>0.21972222222222226</v>
      </c>
      <c r="AQ334" s="7">
        <f t="shared" si="72"/>
        <v>-0.65615394004794314</v>
      </c>
      <c r="AR334" s="7">
        <f t="shared" si="73"/>
        <v>0.65615394004794314</v>
      </c>
      <c r="AS334" s="7">
        <f t="shared" si="74"/>
        <v>8</v>
      </c>
      <c r="AT334" s="184">
        <f t="shared" si="65"/>
        <v>8.3333333333333339</v>
      </c>
      <c r="AU334" s="7"/>
      <c r="AV334" s="7" t="s">
        <v>2358</v>
      </c>
      <c r="AW334" s="7"/>
      <c r="AX334" s="7" t="s">
        <v>1759</v>
      </c>
      <c r="AY334" s="7" t="s">
        <v>1509</v>
      </c>
    </row>
    <row r="335" spans="1:51">
      <c r="A335" s="7" t="s">
        <v>33</v>
      </c>
      <c r="B335" s="7" t="s">
        <v>34</v>
      </c>
      <c r="C335" s="7" t="s">
        <v>66</v>
      </c>
      <c r="D335" s="7" t="s">
        <v>67</v>
      </c>
      <c r="E335" s="7" t="s">
        <v>1596</v>
      </c>
      <c r="F335" s="7" t="s">
        <v>1597</v>
      </c>
      <c r="G335" s="7" t="s">
        <v>1598</v>
      </c>
      <c r="H335" s="7" t="s">
        <v>4180</v>
      </c>
      <c r="I335" s="100">
        <f>691/1000</f>
        <v>0.69099999999999995</v>
      </c>
      <c r="J335" s="100">
        <f t="shared" si="66"/>
        <v>691</v>
      </c>
      <c r="K335" s="100">
        <f t="shared" si="67"/>
        <v>2.8394780473741985</v>
      </c>
      <c r="L335" s="73" t="s">
        <v>1502</v>
      </c>
      <c r="M335" s="7" t="s">
        <v>2359</v>
      </c>
      <c r="N335" s="7" t="s">
        <v>1538</v>
      </c>
      <c r="O335" s="7" t="s">
        <v>1494</v>
      </c>
      <c r="P335" s="108" t="s">
        <v>1492</v>
      </c>
      <c r="Q335" s="7" t="s">
        <v>2360</v>
      </c>
      <c r="R335" s="7">
        <v>53.6</v>
      </c>
      <c r="S335" s="7">
        <f t="shared" si="64"/>
        <v>53.6</v>
      </c>
      <c r="T335" s="7">
        <v>-0.5</v>
      </c>
      <c r="U335" s="7">
        <v>1</v>
      </c>
      <c r="V335" s="7">
        <v>30</v>
      </c>
      <c r="W335" s="7">
        <f t="shared" si="68"/>
        <v>1.4771212547196624</v>
      </c>
      <c r="X335" s="7" t="s">
        <v>2361</v>
      </c>
      <c r="Y335" s="7" t="s">
        <v>2362</v>
      </c>
      <c r="Z335" s="7">
        <v>8</v>
      </c>
      <c r="AA335" s="7">
        <v>20</v>
      </c>
      <c r="AB335" s="7">
        <v>93</v>
      </c>
      <c r="AC335" s="7">
        <v>8</v>
      </c>
      <c r="AD335" s="7">
        <v>5</v>
      </c>
      <c r="AE335" s="7">
        <v>206</v>
      </c>
      <c r="AF335" s="7">
        <v>27</v>
      </c>
      <c r="AG335" s="7">
        <v>5</v>
      </c>
      <c r="AH335" s="7">
        <v>58</v>
      </c>
      <c r="AI335" s="7">
        <v>5</v>
      </c>
      <c r="AJ335" s="7">
        <v>5</v>
      </c>
      <c r="AK335" s="7">
        <v>161</v>
      </c>
      <c r="AL335" s="7">
        <v>11</v>
      </c>
      <c r="AM335" s="7">
        <v>5</v>
      </c>
      <c r="AN335" s="7">
        <f t="shared" si="69"/>
        <v>1.9400826262722783</v>
      </c>
      <c r="AO335" s="7">
        <f t="shared" si="70"/>
        <v>1.5798618289648818</v>
      </c>
      <c r="AP335" s="7">
        <f t="shared" si="71"/>
        <v>0.57986182896488181</v>
      </c>
      <c r="AQ335" s="7">
        <f t="shared" si="72"/>
        <v>-0.23592716202368239</v>
      </c>
      <c r="AR335" s="7">
        <f t="shared" si="73"/>
        <v>0.23592716202368239</v>
      </c>
      <c r="AS335" s="7">
        <f t="shared" si="74"/>
        <v>5</v>
      </c>
      <c r="AT335" s="184">
        <f t="shared" si="65"/>
        <v>15.333333333333334</v>
      </c>
      <c r="AU335" s="7"/>
      <c r="AV335" s="7" t="s">
        <v>2363</v>
      </c>
      <c r="AW335" s="7"/>
      <c r="AX335" s="7" t="s">
        <v>2359</v>
      </c>
      <c r="AY335" s="7" t="s">
        <v>1509</v>
      </c>
    </row>
    <row r="336" spans="1:51">
      <c r="A336" s="7" t="s">
        <v>23</v>
      </c>
      <c r="B336" s="7" t="s">
        <v>1713</v>
      </c>
      <c r="C336" s="7" t="s">
        <v>1698</v>
      </c>
      <c r="D336" s="7" t="s">
        <v>1699</v>
      </c>
      <c r="E336" s="7" t="s">
        <v>2364</v>
      </c>
      <c r="F336" s="7" t="s">
        <v>2365</v>
      </c>
      <c r="G336" s="7" t="s">
        <v>2366</v>
      </c>
      <c r="H336" s="7" t="s">
        <v>4185</v>
      </c>
      <c r="I336" s="100">
        <f>191/1000</f>
        <v>0.191</v>
      </c>
      <c r="J336" s="100">
        <f t="shared" si="66"/>
        <v>191</v>
      </c>
      <c r="K336" s="100">
        <f t="shared" si="67"/>
        <v>2.2810333672477277</v>
      </c>
      <c r="L336" s="73" t="s">
        <v>1517</v>
      </c>
      <c r="M336" s="7" t="s">
        <v>2367</v>
      </c>
      <c r="N336" s="7" t="s">
        <v>1538</v>
      </c>
      <c r="O336" s="7" t="s">
        <v>1505</v>
      </c>
      <c r="P336" s="108" t="s">
        <v>1492</v>
      </c>
      <c r="Q336" s="7" t="s">
        <v>2368</v>
      </c>
      <c r="R336" s="7">
        <v>28.15</v>
      </c>
      <c r="S336" s="7">
        <f t="shared" si="64"/>
        <v>28.15</v>
      </c>
      <c r="T336" s="7">
        <v>153.25</v>
      </c>
      <c r="U336" s="7">
        <v>1</v>
      </c>
      <c r="V336" s="7">
        <v>28</v>
      </c>
      <c r="W336" s="7">
        <f t="shared" si="68"/>
        <v>1.4471580313422192</v>
      </c>
      <c r="X336" s="7" t="s">
        <v>2369</v>
      </c>
      <c r="Y336" s="7" t="s">
        <v>2370</v>
      </c>
      <c r="Z336" s="7">
        <v>10</v>
      </c>
      <c r="AA336" s="7">
        <v>20</v>
      </c>
      <c r="AB336" s="108">
        <v>50</v>
      </c>
      <c r="AC336" s="7">
        <v>3</v>
      </c>
      <c r="AD336" s="108">
        <v>16</v>
      </c>
      <c r="AE336" s="108">
        <v>58</v>
      </c>
      <c r="AF336" s="108">
        <v>4</v>
      </c>
      <c r="AG336" s="108">
        <v>16</v>
      </c>
      <c r="AH336" s="108">
        <v>48</v>
      </c>
      <c r="AI336" s="108">
        <v>4</v>
      </c>
      <c r="AJ336" s="108">
        <v>15</v>
      </c>
      <c r="AK336" s="108">
        <v>58</v>
      </c>
      <c r="AL336" s="108">
        <v>5</v>
      </c>
      <c r="AM336" s="108">
        <v>15</v>
      </c>
      <c r="AN336" s="7">
        <f t="shared" si="69"/>
        <v>1.1599999999999999</v>
      </c>
      <c r="AO336" s="7">
        <f t="shared" si="70"/>
        <v>1.1599999999999999</v>
      </c>
      <c r="AP336" s="7">
        <f t="shared" si="71"/>
        <v>0.15999999999999992</v>
      </c>
      <c r="AQ336" s="7">
        <f t="shared" si="72"/>
        <v>-0.79317412396815046</v>
      </c>
      <c r="AR336" s="7">
        <f t="shared" si="73"/>
        <v>0.79317412396815046</v>
      </c>
      <c r="AS336" s="7">
        <f t="shared" si="74"/>
        <v>15.666666666666666</v>
      </c>
      <c r="AT336" s="184">
        <f t="shared" si="65"/>
        <v>4</v>
      </c>
      <c r="AU336" s="108"/>
      <c r="AV336" s="7" t="s">
        <v>1198</v>
      </c>
      <c r="AW336" s="7"/>
      <c r="AX336" s="7" t="s">
        <v>2367</v>
      </c>
      <c r="AY336" s="7" t="s">
        <v>1509</v>
      </c>
    </row>
    <row r="337" spans="1:51">
      <c r="A337" s="7" t="s">
        <v>33</v>
      </c>
      <c r="B337" s="7" t="s">
        <v>34</v>
      </c>
      <c r="C337" s="7" t="s">
        <v>66</v>
      </c>
      <c r="D337" s="7" t="s">
        <v>67</v>
      </c>
      <c r="E337" s="7" t="s">
        <v>1596</v>
      </c>
      <c r="F337" s="7" t="s">
        <v>1597</v>
      </c>
      <c r="G337" s="7" t="s">
        <v>1598</v>
      </c>
      <c r="H337" s="7" t="s">
        <v>4180</v>
      </c>
      <c r="I337" s="100">
        <f>735/1000</f>
        <v>0.73499999999999999</v>
      </c>
      <c r="J337" s="100">
        <f t="shared" si="66"/>
        <v>735</v>
      </c>
      <c r="K337" s="100">
        <f t="shared" si="67"/>
        <v>2.8662873390841948</v>
      </c>
      <c r="L337" s="73" t="s">
        <v>1502</v>
      </c>
      <c r="M337" s="7" t="s">
        <v>1725</v>
      </c>
      <c r="N337" s="7" t="s">
        <v>1538</v>
      </c>
      <c r="O337" s="7" t="s">
        <v>1494</v>
      </c>
      <c r="P337" s="108" t="s">
        <v>1492</v>
      </c>
      <c r="Q337" s="7" t="s">
        <v>2360</v>
      </c>
      <c r="R337" s="7">
        <v>53.6</v>
      </c>
      <c r="S337" s="7">
        <f>ABS(R337)</f>
        <v>53.6</v>
      </c>
      <c r="T337" s="7">
        <v>-0.5</v>
      </c>
      <c r="U337" s="7">
        <v>1</v>
      </c>
      <c r="V337" s="7">
        <v>96</v>
      </c>
      <c r="W337" s="7">
        <f t="shared" si="68"/>
        <v>1.9822712330395684</v>
      </c>
      <c r="X337" s="7" t="s">
        <v>1729</v>
      </c>
      <c r="Y337" s="7" t="s">
        <v>2371</v>
      </c>
      <c r="Z337" s="7">
        <v>8</v>
      </c>
      <c r="AA337" s="7">
        <v>20</v>
      </c>
      <c r="AB337" s="7">
        <v>5.1999999999999998E-2</v>
      </c>
      <c r="AC337" s="7">
        <v>1.2E-2</v>
      </c>
      <c r="AD337" s="7">
        <v>6</v>
      </c>
      <c r="AE337" s="7">
        <v>1.6E-2</v>
      </c>
      <c r="AF337" s="7">
        <v>0.01</v>
      </c>
      <c r="AG337" s="7">
        <v>6</v>
      </c>
      <c r="AH337" s="7">
        <v>3.2000000000000001E-2</v>
      </c>
      <c r="AI337" s="7">
        <v>4.0000000000000001E-3</v>
      </c>
      <c r="AJ337" s="7">
        <v>6</v>
      </c>
      <c r="AK337" s="7">
        <v>9.9000000000000005E-2</v>
      </c>
      <c r="AL337" s="7">
        <v>8.9999999999999993E-3</v>
      </c>
      <c r="AM337" s="7">
        <v>6</v>
      </c>
      <c r="AN337" s="7">
        <f t="shared" si="69"/>
        <v>0.3744816421129864</v>
      </c>
      <c r="AO337" s="7">
        <f t="shared" si="70"/>
        <v>1.710119828081619</v>
      </c>
      <c r="AP337" s="7">
        <f t="shared" si="71"/>
        <v>0.710119828081619</v>
      </c>
      <c r="AQ337" s="7">
        <f t="shared" si="72"/>
        <v>-0.14805721180217407</v>
      </c>
      <c r="AR337" s="7">
        <f t="shared" si="73"/>
        <v>0.14805721180217407</v>
      </c>
      <c r="AS337" s="7">
        <f t="shared" si="74"/>
        <v>6</v>
      </c>
      <c r="AT337" s="184">
        <f t="shared" si="65"/>
        <v>1.0333333333333333E-2</v>
      </c>
      <c r="AU337" s="7"/>
      <c r="AV337" s="7" t="s">
        <v>2372</v>
      </c>
      <c r="AW337" s="7" t="s">
        <v>2373</v>
      </c>
      <c r="AX337" s="7" t="s">
        <v>1725</v>
      </c>
      <c r="AY337" s="7" t="s">
        <v>1509</v>
      </c>
    </row>
    <row r="338" spans="1:51">
      <c r="A338" s="7" t="s">
        <v>33</v>
      </c>
      <c r="B338" s="7" t="s">
        <v>34</v>
      </c>
      <c r="C338" s="7" t="s">
        <v>66</v>
      </c>
      <c r="D338" s="7" t="s">
        <v>67</v>
      </c>
      <c r="E338" s="7" t="s">
        <v>1596</v>
      </c>
      <c r="F338" s="7" t="s">
        <v>1597</v>
      </c>
      <c r="G338" s="7" t="s">
        <v>1598</v>
      </c>
      <c r="H338" s="7" t="s">
        <v>4180</v>
      </c>
      <c r="I338" s="100">
        <f>735/1000</f>
        <v>0.73499999999999999</v>
      </c>
      <c r="J338" s="100">
        <f t="shared" si="66"/>
        <v>735</v>
      </c>
      <c r="K338" s="100">
        <f t="shared" si="67"/>
        <v>2.8662873390841948</v>
      </c>
      <c r="L338" s="73" t="s">
        <v>1502</v>
      </c>
      <c r="M338" s="7" t="s">
        <v>1725</v>
      </c>
      <c r="N338" s="7" t="s">
        <v>1538</v>
      </c>
      <c r="O338" s="7" t="s">
        <v>1494</v>
      </c>
      <c r="P338" s="108" t="s">
        <v>1492</v>
      </c>
      <c r="Q338" s="7" t="s">
        <v>2360</v>
      </c>
      <c r="R338" s="7">
        <v>53.6</v>
      </c>
      <c r="S338" s="7">
        <f>ABS(R338)</f>
        <v>53.6</v>
      </c>
      <c r="T338" s="7">
        <v>-0.5</v>
      </c>
      <c r="U338" s="7">
        <v>1</v>
      </c>
      <c r="V338" s="7">
        <v>96</v>
      </c>
      <c r="W338" s="7">
        <f t="shared" si="68"/>
        <v>1.9822712330395684</v>
      </c>
      <c r="X338" s="7" t="s">
        <v>1729</v>
      </c>
      <c r="Y338" s="7" t="s">
        <v>2371</v>
      </c>
      <c r="Z338" s="7">
        <v>8</v>
      </c>
      <c r="AA338" s="7">
        <v>20</v>
      </c>
      <c r="AB338" s="7">
        <v>0.36</v>
      </c>
      <c r="AC338" s="7">
        <v>0.02</v>
      </c>
      <c r="AD338" s="7">
        <v>6</v>
      </c>
      <c r="AE338" s="7">
        <v>0.86</v>
      </c>
      <c r="AF338" s="7">
        <v>0.05</v>
      </c>
      <c r="AG338" s="7">
        <v>6</v>
      </c>
      <c r="AH338" s="7">
        <v>0.18</v>
      </c>
      <c r="AI338" s="7">
        <v>0.01</v>
      </c>
      <c r="AJ338" s="7">
        <v>6</v>
      </c>
      <c r="AK338" s="7">
        <v>0.57999999999999996</v>
      </c>
      <c r="AL338" s="7">
        <v>0.05</v>
      </c>
      <c r="AM338" s="7">
        <v>6</v>
      </c>
      <c r="AN338" s="7">
        <f t="shared" si="69"/>
        <v>2.0661568721023036</v>
      </c>
      <c r="AO338" s="7">
        <f t="shared" si="70"/>
        <v>1.4880056400232531</v>
      </c>
      <c r="AP338" s="7">
        <f t="shared" si="71"/>
        <v>0.48800564002325308</v>
      </c>
      <c r="AQ338" s="7">
        <f t="shared" si="72"/>
        <v>-0.31068613184396437</v>
      </c>
      <c r="AR338" s="7">
        <f t="shared" si="73"/>
        <v>0.31068613184396437</v>
      </c>
      <c r="AS338" s="7">
        <f t="shared" si="74"/>
        <v>6</v>
      </c>
      <c r="AT338" s="184">
        <f t="shared" si="65"/>
        <v>0.04</v>
      </c>
      <c r="AU338" s="7"/>
      <c r="AV338" s="7" t="s">
        <v>2372</v>
      </c>
      <c r="AW338" s="7" t="s">
        <v>2374</v>
      </c>
      <c r="AX338" s="7" t="s">
        <v>1725</v>
      </c>
      <c r="AY338" s="7" t="s">
        <v>1509</v>
      </c>
    </row>
    <row r="339" spans="1:51">
      <c r="A339" s="7" t="s">
        <v>33</v>
      </c>
      <c r="B339" s="7" t="s">
        <v>34</v>
      </c>
      <c r="C339" s="7" t="s">
        <v>66</v>
      </c>
      <c r="D339" s="7" t="s">
        <v>67</v>
      </c>
      <c r="E339" s="7" t="s">
        <v>1596</v>
      </c>
      <c r="F339" s="7" t="s">
        <v>1597</v>
      </c>
      <c r="G339" s="7" t="s">
        <v>1598</v>
      </c>
      <c r="H339" s="7" t="s">
        <v>4180</v>
      </c>
      <c r="I339" s="100">
        <f>250/1000</f>
        <v>0.25</v>
      </c>
      <c r="J339" s="100">
        <f t="shared" si="66"/>
        <v>250</v>
      </c>
      <c r="K339" s="100">
        <f t="shared" si="67"/>
        <v>2.3979400086720375</v>
      </c>
      <c r="L339" s="73" t="s">
        <v>1502</v>
      </c>
      <c r="M339" s="7" t="s">
        <v>2375</v>
      </c>
      <c r="N339" s="7" t="s">
        <v>1538</v>
      </c>
      <c r="O339" s="7" t="s">
        <v>1494</v>
      </c>
      <c r="P339" s="108" t="s">
        <v>1492</v>
      </c>
      <c r="Q339" s="7" t="s">
        <v>2376</v>
      </c>
      <c r="R339" s="7">
        <v>53.77</v>
      </c>
      <c r="S339" s="7">
        <v>53.77</v>
      </c>
      <c r="T339" s="7"/>
      <c r="U339" s="7">
        <v>1</v>
      </c>
      <c r="V339" s="7">
        <v>21</v>
      </c>
      <c r="W339" s="7">
        <f t="shared" si="68"/>
        <v>1.3222192947339193</v>
      </c>
      <c r="X339" s="7" t="s">
        <v>1729</v>
      </c>
      <c r="Y339" s="7" t="s">
        <v>1507</v>
      </c>
      <c r="Z339" s="7">
        <v>8</v>
      </c>
      <c r="AA339" s="7">
        <v>28</v>
      </c>
      <c r="AB339" s="7">
        <v>0.52</v>
      </c>
      <c r="AC339" s="7">
        <v>0.05</v>
      </c>
      <c r="AD339" s="7">
        <v>6</v>
      </c>
      <c r="AE339" s="7">
        <v>1.55</v>
      </c>
      <c r="AF339" s="7">
        <v>0.2</v>
      </c>
      <c r="AG339" s="7">
        <v>6</v>
      </c>
      <c r="AH339" s="7">
        <v>0.37</v>
      </c>
      <c r="AI339" s="7">
        <v>0.03</v>
      </c>
      <c r="AJ339" s="7">
        <v>5</v>
      </c>
      <c r="AK339" s="7">
        <v>1.35</v>
      </c>
      <c r="AL339" s="7">
        <v>0.2</v>
      </c>
      <c r="AM339" s="7">
        <v>5</v>
      </c>
      <c r="AN339" s="7">
        <f t="shared" si="69"/>
        <v>1.7264904374971877</v>
      </c>
      <c r="AO339" s="7">
        <f t="shared" si="70"/>
        <v>1.611258466588724</v>
      </c>
      <c r="AP339" s="7">
        <f t="shared" si="71"/>
        <v>0.61125846658872396</v>
      </c>
      <c r="AQ339" s="7">
        <f t="shared" si="72"/>
        <v>-0.21306520053997399</v>
      </c>
      <c r="AR339" s="7">
        <f t="shared" si="73"/>
        <v>0.21306520053997399</v>
      </c>
      <c r="AS339" s="7">
        <f t="shared" si="74"/>
        <v>5.666666666666667</v>
      </c>
      <c r="AT339" s="184">
        <f t="shared" si="65"/>
        <v>0.15</v>
      </c>
      <c r="AU339" s="7"/>
      <c r="AV339" s="7" t="s">
        <v>2372</v>
      </c>
      <c r="AW339" s="7"/>
      <c r="AX339" s="7" t="s">
        <v>2375</v>
      </c>
      <c r="AY339" s="7" t="s">
        <v>1509</v>
      </c>
    </row>
    <row r="340" spans="1:51">
      <c r="A340" s="7" t="s">
        <v>33</v>
      </c>
      <c r="B340" s="7" t="s">
        <v>34</v>
      </c>
      <c r="C340" s="7" t="s">
        <v>1496</v>
      </c>
      <c r="D340" s="7" t="s">
        <v>1497</v>
      </c>
      <c r="E340" s="7" t="s">
        <v>1498</v>
      </c>
      <c r="F340" s="7" t="s">
        <v>1499</v>
      </c>
      <c r="G340" s="7" t="s">
        <v>1500</v>
      </c>
      <c r="H340" s="7" t="s">
        <v>4180</v>
      </c>
      <c r="I340" s="100">
        <f>(AVERAGE(180,164)/1000)</f>
        <v>0.17199999999999999</v>
      </c>
      <c r="J340" s="100">
        <f t="shared" si="66"/>
        <v>172</v>
      </c>
      <c r="K340" s="100">
        <f t="shared" si="67"/>
        <v>2.2355284469075487</v>
      </c>
      <c r="L340" s="73" t="s">
        <v>1502</v>
      </c>
      <c r="M340" s="7" t="s">
        <v>1503</v>
      </c>
      <c r="N340" s="7" t="s">
        <v>1504</v>
      </c>
      <c r="O340" s="7" t="s">
        <v>1505</v>
      </c>
      <c r="P340" s="108" t="s">
        <v>1492</v>
      </c>
      <c r="Q340" s="7" t="s">
        <v>1506</v>
      </c>
      <c r="R340" s="7">
        <v>56.340400000000002</v>
      </c>
      <c r="S340" s="7">
        <f>ABS(R340)</f>
        <v>56.340400000000002</v>
      </c>
      <c r="T340" s="7">
        <v>-2.7955000000000001</v>
      </c>
      <c r="U340" s="7">
        <v>1</v>
      </c>
      <c r="V340" s="7">
        <v>50</v>
      </c>
      <c r="W340" s="7">
        <f t="shared" si="68"/>
        <v>1.6989700043360187</v>
      </c>
      <c r="X340" s="7" t="s">
        <v>1729</v>
      </c>
      <c r="Y340" s="7" t="s">
        <v>2377</v>
      </c>
      <c r="Z340" s="7">
        <v>5</v>
      </c>
      <c r="AA340" s="7">
        <v>15</v>
      </c>
      <c r="AB340" s="7">
        <v>0.16</v>
      </c>
      <c r="AC340" s="7">
        <v>0.01</v>
      </c>
      <c r="AD340" s="7">
        <v>6</v>
      </c>
      <c r="AE340" s="7">
        <v>0.48</v>
      </c>
      <c r="AF340" s="7">
        <v>0.06</v>
      </c>
      <c r="AG340" s="7">
        <v>6</v>
      </c>
      <c r="AH340" s="7">
        <v>0.13</v>
      </c>
      <c r="AI340" s="7">
        <v>0.01</v>
      </c>
      <c r="AJ340" s="7">
        <v>6</v>
      </c>
      <c r="AK340" s="7">
        <v>0.44</v>
      </c>
      <c r="AL340" s="7">
        <v>0.06</v>
      </c>
      <c r="AM340" s="7">
        <v>6</v>
      </c>
      <c r="AN340" s="7">
        <f t="shared" si="69"/>
        <v>3</v>
      </c>
      <c r="AO340" s="7">
        <f t="shared" si="70"/>
        <v>2.75</v>
      </c>
      <c r="AP340" s="7">
        <f t="shared" si="71"/>
        <v>1.75</v>
      </c>
      <c r="AQ340" s="7">
        <f t="shared" si="72"/>
        <v>0.24328614608344612</v>
      </c>
      <c r="AR340" s="7">
        <f t="shared" si="73"/>
        <v>-0.24328614608344612</v>
      </c>
      <c r="AS340" s="7">
        <f t="shared" si="74"/>
        <v>6</v>
      </c>
      <c r="AT340" s="184">
        <f t="shared" si="65"/>
        <v>4.3333333333333335E-2</v>
      </c>
      <c r="AU340" s="7"/>
      <c r="AV340" s="7" t="s">
        <v>2378</v>
      </c>
      <c r="AW340" s="7"/>
      <c r="AX340" s="7" t="s">
        <v>1503</v>
      </c>
      <c r="AY340" s="7" t="s">
        <v>1509</v>
      </c>
    </row>
    <row r="341" spans="1:51">
      <c r="A341" s="7"/>
      <c r="B341" s="7"/>
      <c r="C341" s="7"/>
      <c r="D341" s="7"/>
      <c r="E341" s="7"/>
      <c r="F341" s="7"/>
      <c r="G341" s="7"/>
      <c r="H341" s="7"/>
      <c r="I341" s="100"/>
      <c r="J341" s="100"/>
      <c r="K341" s="100"/>
      <c r="M341" s="7"/>
      <c r="N341" s="7"/>
      <c r="O341" s="7"/>
      <c r="P341" s="108"/>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184"/>
      <c r="AU341" s="7"/>
      <c r="AV341" s="7"/>
      <c r="AW341" s="7"/>
      <c r="AX341" s="7"/>
      <c r="AY341" s="7"/>
    </row>
    <row r="342" spans="1:51" ht="15.75">
      <c r="I342" s="208"/>
      <c r="J342" s="208"/>
      <c r="K342" s="208"/>
      <c r="P342" s="99"/>
      <c r="S342" s="7"/>
      <c r="V342" s="7"/>
      <c r="AQ342" s="7"/>
      <c r="AR342" s="7"/>
    </row>
    <row r="343" spans="1:51" ht="15.75">
      <c r="P343" s="99"/>
      <c r="S343" s="7"/>
      <c r="V343" s="7"/>
    </row>
    <row r="344" spans="1:51" ht="15.75">
      <c r="P344" s="99"/>
    </row>
    <row r="345" spans="1:51" ht="15.75">
      <c r="P345" s="99"/>
    </row>
    <row r="346" spans="1:51" ht="15.75">
      <c r="P346" s="99"/>
    </row>
    <row r="347" spans="1:51" ht="15.75">
      <c r="A347" s="95" t="s">
        <v>2395</v>
      </c>
      <c r="P347" s="99"/>
    </row>
    <row r="348" spans="1:51">
      <c r="A348" s="7" t="s">
        <v>23</v>
      </c>
      <c r="B348" s="7" t="s">
        <v>1713</v>
      </c>
      <c r="C348" s="7" t="s">
        <v>1698</v>
      </c>
      <c r="D348" s="7" t="s">
        <v>1714</v>
      </c>
      <c r="E348" s="7" t="s">
        <v>1715</v>
      </c>
      <c r="F348" s="7" t="s">
        <v>2396</v>
      </c>
      <c r="G348" s="7" t="s">
        <v>2397</v>
      </c>
      <c r="H348" s="7" t="s">
        <v>4185</v>
      </c>
      <c r="I348" s="100">
        <f>20/1000</f>
        <v>0.02</v>
      </c>
      <c r="J348" s="100">
        <f t="shared" ref="J348:J408" si="75">I348*1000</f>
        <v>20</v>
      </c>
      <c r="K348" s="100">
        <f t="shared" ref="K348:K408" si="76">LOG(J348)</f>
        <v>1.3010299956639813</v>
      </c>
      <c r="L348" s="73" t="s">
        <v>1517</v>
      </c>
      <c r="M348" s="7" t="s">
        <v>1947</v>
      </c>
      <c r="N348" s="7" t="s">
        <v>1538</v>
      </c>
      <c r="O348" s="7" t="s">
        <v>1505</v>
      </c>
      <c r="P348" s="108" t="s">
        <v>1492</v>
      </c>
      <c r="Q348" s="7" t="s">
        <v>2398</v>
      </c>
      <c r="R348" s="7">
        <v>38.97</v>
      </c>
      <c r="S348" s="7">
        <f>ABS(R348)</f>
        <v>38.97</v>
      </c>
      <c r="T348" s="7">
        <v>-95.234999999999999</v>
      </c>
      <c r="U348" s="7">
        <v>1</v>
      </c>
      <c r="V348" s="7">
        <v>21</v>
      </c>
      <c r="W348" s="7">
        <f t="shared" ref="W348:W355" si="77">LOG(V348)</f>
        <v>1.3222192947339193</v>
      </c>
      <c r="X348" s="7" t="s">
        <v>1779</v>
      </c>
      <c r="Y348" s="7" t="s">
        <v>1781</v>
      </c>
      <c r="Z348" s="7">
        <v>10</v>
      </c>
      <c r="AA348" s="7">
        <v>20</v>
      </c>
      <c r="AB348" s="7">
        <v>740</v>
      </c>
      <c r="AC348" s="7"/>
      <c r="AD348" s="7"/>
      <c r="AE348" s="7">
        <v>1100</v>
      </c>
      <c r="AF348" s="7"/>
      <c r="AG348" s="7"/>
      <c r="AH348" s="7">
        <v>1100</v>
      </c>
      <c r="AI348" s="7"/>
      <c r="AJ348" s="7"/>
      <c r="AK348" s="7">
        <v>1800</v>
      </c>
      <c r="AL348" s="7"/>
      <c r="AM348" s="7"/>
      <c r="AN348" s="7">
        <f>(AE348/AB348)^(10/(AA348-Z348))</f>
        <v>1.4864864864864864</v>
      </c>
      <c r="AO348" s="7">
        <f>(AK348/AB348)^(10/(AA348-Z348))</f>
        <v>2.4324324324324325</v>
      </c>
      <c r="AP348" s="7"/>
      <c r="AQ348" s="7"/>
      <c r="AR348" s="7"/>
      <c r="AS348" s="7"/>
      <c r="AT348" s="184"/>
      <c r="AU348" s="7"/>
      <c r="AV348" s="7" t="s">
        <v>2399</v>
      </c>
      <c r="AW348" s="7"/>
      <c r="AX348" s="107" t="s">
        <v>2400</v>
      </c>
      <c r="AY348" s="7" t="s">
        <v>1198</v>
      </c>
    </row>
    <row r="349" spans="1:51">
      <c r="A349" s="7" t="s">
        <v>33</v>
      </c>
      <c r="B349" s="7" t="s">
        <v>34</v>
      </c>
      <c r="C349" s="7" t="s">
        <v>282</v>
      </c>
      <c r="D349" s="7" t="s">
        <v>283</v>
      </c>
      <c r="E349" s="7" t="s">
        <v>2401</v>
      </c>
      <c r="F349" s="7" t="s">
        <v>2402</v>
      </c>
      <c r="G349" s="7" t="s">
        <v>2403</v>
      </c>
      <c r="H349" s="7" t="s">
        <v>4180</v>
      </c>
      <c r="I349" s="100">
        <f>250/1000</f>
        <v>0.25</v>
      </c>
      <c r="J349" s="100">
        <f t="shared" si="75"/>
        <v>250</v>
      </c>
      <c r="K349" s="100">
        <f t="shared" si="76"/>
        <v>2.3979400086720375</v>
      </c>
      <c r="L349" s="73" t="s">
        <v>1502</v>
      </c>
      <c r="M349" s="7" t="s">
        <v>1745</v>
      </c>
      <c r="N349" s="7" t="s">
        <v>1538</v>
      </c>
      <c r="O349" s="7" t="s">
        <v>1505</v>
      </c>
      <c r="P349" s="108" t="s">
        <v>1492</v>
      </c>
      <c r="Q349" s="7" t="s">
        <v>2404</v>
      </c>
      <c r="R349" s="7">
        <v>60.45</v>
      </c>
      <c r="S349" s="7">
        <f>ABS(R349)</f>
        <v>60.45</v>
      </c>
      <c r="T349" s="7">
        <v>22.266667000000002</v>
      </c>
      <c r="U349" s="7">
        <v>1</v>
      </c>
      <c r="V349" s="7">
        <v>21</v>
      </c>
      <c r="W349" s="7">
        <f t="shared" si="77"/>
        <v>1.3222192947339193</v>
      </c>
      <c r="X349" s="7" t="s">
        <v>2261</v>
      </c>
      <c r="Y349" s="7"/>
      <c r="Z349" s="7">
        <v>5</v>
      </c>
      <c r="AA349" s="7">
        <v>18</v>
      </c>
      <c r="AB349" s="7">
        <v>19</v>
      </c>
      <c r="AC349" s="7"/>
      <c r="AD349" s="7"/>
      <c r="AE349" s="7">
        <v>75</v>
      </c>
      <c r="AF349" s="7"/>
      <c r="AG349" s="7"/>
      <c r="AH349" s="7">
        <v>12</v>
      </c>
      <c r="AI349" s="7"/>
      <c r="AJ349" s="7"/>
      <c r="AK349" s="7">
        <v>68</v>
      </c>
      <c r="AL349" s="7"/>
      <c r="AM349" s="7"/>
      <c r="AN349" s="7">
        <f>(AE349/AB349)^(10/(AA349-Z349))</f>
        <v>2.875399559536548</v>
      </c>
      <c r="AO349" s="7">
        <f>(AK349/AB349)^(10/(AA349-Z349))</f>
        <v>2.6666475838517094</v>
      </c>
      <c r="AP349" s="7"/>
      <c r="AQ349" s="7"/>
      <c r="AR349" s="7"/>
      <c r="AS349" s="7"/>
      <c r="AT349" s="184"/>
      <c r="AU349" s="7"/>
      <c r="AV349" s="7" t="s">
        <v>2262</v>
      </c>
      <c r="AW349" s="7" t="s">
        <v>2405</v>
      </c>
      <c r="AX349" s="7" t="s">
        <v>2406</v>
      </c>
      <c r="AY349" s="7" t="s">
        <v>1198</v>
      </c>
    </row>
    <row r="350" spans="1:51">
      <c r="A350" s="7" t="s">
        <v>33</v>
      </c>
      <c r="B350" s="7" t="s">
        <v>34</v>
      </c>
      <c r="C350" s="7" t="s">
        <v>61</v>
      </c>
      <c r="D350" s="7" t="s">
        <v>62</v>
      </c>
      <c r="E350" s="7" t="s">
        <v>1807</v>
      </c>
      <c r="F350" s="7" t="s">
        <v>1733</v>
      </c>
      <c r="G350" s="7" t="s">
        <v>1808</v>
      </c>
      <c r="H350" s="7" t="s">
        <v>4180</v>
      </c>
      <c r="I350" s="100">
        <f>AVERAGE(100,250)/1000</f>
        <v>0.17499999999999999</v>
      </c>
      <c r="J350" s="100">
        <f t="shared" si="75"/>
        <v>175</v>
      </c>
      <c r="K350" s="100">
        <f t="shared" si="76"/>
        <v>2.2430380486862944</v>
      </c>
      <c r="L350" s="73" t="s">
        <v>1517</v>
      </c>
      <c r="M350" s="7" t="s">
        <v>1809</v>
      </c>
      <c r="N350" s="7" t="s">
        <v>1538</v>
      </c>
      <c r="O350" s="7" t="s">
        <v>1494</v>
      </c>
      <c r="P350" s="108" t="s">
        <v>1492</v>
      </c>
      <c r="Q350" s="7" t="s">
        <v>2407</v>
      </c>
      <c r="R350" s="7">
        <v>49</v>
      </c>
      <c r="S350" s="7">
        <v>49</v>
      </c>
      <c r="T350" s="7"/>
      <c r="U350" s="7">
        <v>1</v>
      </c>
      <c r="V350" s="7">
        <v>21</v>
      </c>
      <c r="W350" s="7">
        <f t="shared" si="77"/>
        <v>1.3222192947339193</v>
      </c>
      <c r="X350" s="7" t="s">
        <v>2261</v>
      </c>
      <c r="Y350" s="7" t="s">
        <v>2408</v>
      </c>
      <c r="Z350" s="7">
        <v>8</v>
      </c>
      <c r="AA350" s="7">
        <v>18</v>
      </c>
      <c r="AB350" s="7">
        <v>51.9</v>
      </c>
      <c r="AC350" s="7">
        <v>1.4</v>
      </c>
      <c r="AD350" s="7">
        <v>14</v>
      </c>
      <c r="AE350" s="7"/>
      <c r="AF350" s="7"/>
      <c r="AG350" s="7"/>
      <c r="AH350" s="7"/>
      <c r="AI350" s="7"/>
      <c r="AJ350" s="7"/>
      <c r="AK350" s="7">
        <v>78.8</v>
      </c>
      <c r="AL350" s="7">
        <v>1</v>
      </c>
      <c r="AM350" s="7">
        <v>14</v>
      </c>
      <c r="AN350" s="7"/>
      <c r="AO350" s="7"/>
      <c r="AP350" s="7"/>
      <c r="AQ350" s="7"/>
      <c r="AR350" s="7"/>
      <c r="AS350" s="7"/>
      <c r="AT350" s="184"/>
      <c r="AU350" s="7"/>
      <c r="AV350" s="7" t="s">
        <v>2262</v>
      </c>
      <c r="AW350" s="7" t="s">
        <v>2409</v>
      </c>
      <c r="AX350" s="7" t="s">
        <v>2410</v>
      </c>
      <c r="AY350" s="7" t="s">
        <v>1488</v>
      </c>
    </row>
    <row r="351" spans="1:51">
      <c r="A351" s="7" t="s">
        <v>33</v>
      </c>
      <c r="B351" s="7" t="s">
        <v>34</v>
      </c>
      <c r="C351" s="7" t="s">
        <v>61</v>
      </c>
      <c r="D351" s="7" t="s">
        <v>62</v>
      </c>
      <c r="E351" s="7" t="s">
        <v>1807</v>
      </c>
      <c r="F351" s="7" t="s">
        <v>1733</v>
      </c>
      <c r="G351" s="7" t="s">
        <v>1808</v>
      </c>
      <c r="H351" s="7" t="s">
        <v>4180</v>
      </c>
      <c r="I351" s="100">
        <f>AVERAGE(100,250)/1000</f>
        <v>0.17499999999999999</v>
      </c>
      <c r="J351" s="100">
        <f t="shared" si="75"/>
        <v>175</v>
      </c>
      <c r="K351" s="100">
        <f t="shared" si="76"/>
        <v>2.2430380486862944</v>
      </c>
      <c r="L351" s="73" t="s">
        <v>1517</v>
      </c>
      <c r="M351" s="7" t="s">
        <v>1809</v>
      </c>
      <c r="N351" s="7" t="s">
        <v>1538</v>
      </c>
      <c r="O351" s="7" t="s">
        <v>1494</v>
      </c>
      <c r="P351" s="108" t="s">
        <v>1492</v>
      </c>
      <c r="Q351" s="7" t="s">
        <v>2407</v>
      </c>
      <c r="R351" s="7">
        <v>49</v>
      </c>
      <c r="S351" s="7">
        <v>49</v>
      </c>
      <c r="T351" s="7"/>
      <c r="U351" s="7">
        <v>1</v>
      </c>
      <c r="V351" s="7">
        <v>21</v>
      </c>
      <c r="W351" s="7">
        <f t="shared" si="77"/>
        <v>1.3222192947339193</v>
      </c>
      <c r="X351" s="7" t="s">
        <v>1527</v>
      </c>
      <c r="Y351" s="7" t="s">
        <v>2411</v>
      </c>
      <c r="Z351" s="7">
        <v>8</v>
      </c>
      <c r="AA351" s="7">
        <v>18</v>
      </c>
      <c r="AB351" s="7">
        <v>69.2</v>
      </c>
      <c r="AC351" s="7">
        <v>2.7</v>
      </c>
      <c r="AD351" s="7">
        <v>9</v>
      </c>
      <c r="AE351" s="7"/>
      <c r="AF351" s="7"/>
      <c r="AG351" s="7"/>
      <c r="AH351" s="7"/>
      <c r="AI351" s="7"/>
      <c r="AJ351" s="7"/>
      <c r="AK351" s="7">
        <v>96.2</v>
      </c>
      <c r="AL351" s="7">
        <v>2.4</v>
      </c>
      <c r="AM351" s="7">
        <v>9</v>
      </c>
      <c r="AN351" s="7"/>
      <c r="AO351" s="7"/>
      <c r="AP351" s="7"/>
      <c r="AQ351" s="7"/>
      <c r="AR351" s="7"/>
      <c r="AS351" s="7"/>
      <c r="AT351" s="184"/>
      <c r="AU351" s="7"/>
      <c r="AV351" s="7" t="s">
        <v>1633</v>
      </c>
      <c r="AW351" s="7"/>
      <c r="AX351" s="7" t="s">
        <v>2410</v>
      </c>
      <c r="AY351" s="7" t="s">
        <v>1488</v>
      </c>
    </row>
    <row r="352" spans="1:51">
      <c r="A352" s="7" t="s">
        <v>33</v>
      </c>
      <c r="B352" s="7" t="s">
        <v>34</v>
      </c>
      <c r="C352" s="7" t="s">
        <v>61</v>
      </c>
      <c r="D352" s="7" t="s">
        <v>62</v>
      </c>
      <c r="E352" s="7" t="s">
        <v>1807</v>
      </c>
      <c r="F352" s="7" t="s">
        <v>1733</v>
      </c>
      <c r="G352" s="7" t="s">
        <v>1808</v>
      </c>
      <c r="H352" s="7" t="s">
        <v>4180</v>
      </c>
      <c r="I352" s="100">
        <f>AVERAGE(100,250)/1000</f>
        <v>0.17499999999999999</v>
      </c>
      <c r="J352" s="100">
        <f t="shared" si="75"/>
        <v>175</v>
      </c>
      <c r="K352" s="100">
        <f t="shared" si="76"/>
        <v>2.2430380486862944</v>
      </c>
      <c r="L352" s="73" t="s">
        <v>1517</v>
      </c>
      <c r="M352" s="7" t="s">
        <v>1809</v>
      </c>
      <c r="N352" s="7" t="s">
        <v>1538</v>
      </c>
      <c r="O352" s="7" t="s">
        <v>1494</v>
      </c>
      <c r="P352" s="108" t="s">
        <v>1492</v>
      </c>
      <c r="Q352" s="7" t="s">
        <v>2407</v>
      </c>
      <c r="R352" s="7">
        <v>49</v>
      </c>
      <c r="S352" s="7">
        <v>49</v>
      </c>
      <c r="T352" s="7"/>
      <c r="U352" s="7">
        <v>1</v>
      </c>
      <c r="V352" s="7">
        <v>21</v>
      </c>
      <c r="W352" s="7">
        <f t="shared" si="77"/>
        <v>1.3222192947339193</v>
      </c>
      <c r="X352" s="7" t="s">
        <v>1527</v>
      </c>
      <c r="Y352" s="7" t="s">
        <v>2411</v>
      </c>
      <c r="Z352" s="7">
        <v>8</v>
      </c>
      <c r="AA352" s="7">
        <v>18</v>
      </c>
      <c r="AB352" s="7">
        <v>2.04</v>
      </c>
      <c r="AC352" s="7">
        <v>0.1</v>
      </c>
      <c r="AD352" s="7">
        <v>9</v>
      </c>
      <c r="AE352" s="7"/>
      <c r="AF352" s="7"/>
      <c r="AG352" s="7"/>
      <c r="AH352" s="7"/>
      <c r="AI352" s="7"/>
      <c r="AJ352" s="7"/>
      <c r="AK352" s="7">
        <v>2.76</v>
      </c>
      <c r="AL352" s="7">
        <v>0.08</v>
      </c>
      <c r="AM352" s="7">
        <v>9</v>
      </c>
      <c r="AN352" s="7"/>
      <c r="AO352" s="7"/>
      <c r="AP352" s="7"/>
      <c r="AQ352" s="7"/>
      <c r="AR352" s="7"/>
      <c r="AS352" s="7"/>
      <c r="AT352" s="184"/>
      <c r="AU352" s="7"/>
      <c r="AV352" s="7" t="s">
        <v>2412</v>
      </c>
      <c r="AW352" s="7"/>
      <c r="AX352" s="7" t="s">
        <v>2410</v>
      </c>
      <c r="AY352" s="7" t="s">
        <v>1488</v>
      </c>
    </row>
    <row r="353" spans="1:51">
      <c r="A353" s="7" t="s">
        <v>33</v>
      </c>
      <c r="B353" s="7" t="s">
        <v>34</v>
      </c>
      <c r="C353" s="7" t="s">
        <v>66</v>
      </c>
      <c r="D353" s="7" t="s">
        <v>67</v>
      </c>
      <c r="E353" s="7" t="s">
        <v>1743</v>
      </c>
      <c r="F353" s="7" t="s">
        <v>972</v>
      </c>
      <c r="G353" s="7" t="s">
        <v>1744</v>
      </c>
      <c r="H353" s="7" t="s">
        <v>4180</v>
      </c>
      <c r="I353" s="100">
        <f>1/1000</f>
        <v>1E-3</v>
      </c>
      <c r="J353" s="100">
        <f t="shared" si="75"/>
        <v>1</v>
      </c>
      <c r="K353" s="100">
        <f t="shared" si="76"/>
        <v>0</v>
      </c>
      <c r="L353" s="73" t="s">
        <v>1517</v>
      </c>
      <c r="M353" s="7" t="s">
        <v>1745</v>
      </c>
      <c r="N353" s="7" t="s">
        <v>1538</v>
      </c>
      <c r="O353" s="7" t="s">
        <v>1494</v>
      </c>
      <c r="P353" s="108" t="s">
        <v>1492</v>
      </c>
      <c r="Q353" s="7" t="s">
        <v>1746</v>
      </c>
      <c r="R353" s="7">
        <v>34</v>
      </c>
      <c r="S353" s="7">
        <v>34</v>
      </c>
      <c r="T353" s="7"/>
      <c r="U353" s="7">
        <v>1</v>
      </c>
      <c r="V353" s="7">
        <v>30</v>
      </c>
      <c r="W353" s="7">
        <f t="shared" si="77"/>
        <v>1.4771212547196624</v>
      </c>
      <c r="X353" s="7" t="s">
        <v>1520</v>
      </c>
      <c r="Y353" s="7" t="s">
        <v>1557</v>
      </c>
      <c r="Z353" s="7">
        <v>10</v>
      </c>
      <c r="AA353" s="7">
        <v>35</v>
      </c>
      <c r="AB353" s="7">
        <v>0.9</v>
      </c>
      <c r="AC353" s="7">
        <v>7.0000000000000007E-2</v>
      </c>
      <c r="AD353" s="7">
        <v>10</v>
      </c>
      <c r="AE353" s="7"/>
      <c r="AF353" s="7"/>
      <c r="AG353" s="7"/>
      <c r="AH353" s="7">
        <v>0.2</v>
      </c>
      <c r="AI353" s="7">
        <v>0.08</v>
      </c>
      <c r="AJ353" s="7">
        <v>10</v>
      </c>
      <c r="AK353" s="7">
        <v>1</v>
      </c>
      <c r="AL353" s="7">
        <v>0.02</v>
      </c>
      <c r="AM353" s="7">
        <v>10</v>
      </c>
      <c r="AN353" s="7"/>
      <c r="AO353" s="7"/>
      <c r="AP353" s="7"/>
      <c r="AQ353" s="7"/>
      <c r="AR353" s="7"/>
      <c r="AS353" s="7"/>
      <c r="AT353" s="184"/>
      <c r="AU353" s="7"/>
      <c r="AV353" s="7" t="s">
        <v>1528</v>
      </c>
      <c r="AW353" s="7"/>
      <c r="AX353" s="7" t="s">
        <v>1749</v>
      </c>
      <c r="AY353" s="7" t="s">
        <v>1488</v>
      </c>
    </row>
    <row r="354" spans="1:51">
      <c r="A354" s="7" t="s">
        <v>33</v>
      </c>
      <c r="B354" s="7" t="s">
        <v>34</v>
      </c>
      <c r="C354" s="7" t="s">
        <v>66</v>
      </c>
      <c r="D354" s="7" t="s">
        <v>1750</v>
      </c>
      <c r="E354" s="7" t="s">
        <v>1751</v>
      </c>
      <c r="F354" s="7" t="s">
        <v>1752</v>
      </c>
      <c r="G354" s="7" t="s">
        <v>1753</v>
      </c>
      <c r="H354" s="7" t="s">
        <v>4180</v>
      </c>
      <c r="I354" s="100">
        <f>1/1000</f>
        <v>1E-3</v>
      </c>
      <c r="J354" s="100">
        <f t="shared" si="75"/>
        <v>1</v>
      </c>
      <c r="K354" s="100">
        <f t="shared" si="76"/>
        <v>0</v>
      </c>
      <c r="L354" s="73" t="s">
        <v>1517</v>
      </c>
      <c r="M354" s="7" t="s">
        <v>1745</v>
      </c>
      <c r="N354" s="7" t="s">
        <v>1504</v>
      </c>
      <c r="O354" s="7" t="s">
        <v>1494</v>
      </c>
      <c r="P354" s="108" t="s">
        <v>1492</v>
      </c>
      <c r="Q354" s="7" t="s">
        <v>1754</v>
      </c>
      <c r="R354" s="7">
        <v>41.5</v>
      </c>
      <c r="S354" s="7">
        <v>41.5</v>
      </c>
      <c r="T354" s="7"/>
      <c r="U354" s="7">
        <v>1</v>
      </c>
      <c r="V354" s="7">
        <v>30</v>
      </c>
      <c r="W354" s="7">
        <f t="shared" si="77"/>
        <v>1.4771212547196624</v>
      </c>
      <c r="X354" s="7" t="s">
        <v>1527</v>
      </c>
      <c r="Y354" s="7" t="s">
        <v>1557</v>
      </c>
      <c r="Z354" s="7">
        <v>10</v>
      </c>
      <c r="AA354" s="7">
        <v>35</v>
      </c>
      <c r="AB354" s="7">
        <v>0.95</v>
      </c>
      <c r="AC354" s="7">
        <v>0.1</v>
      </c>
      <c r="AD354" s="7">
        <v>10</v>
      </c>
      <c r="AE354" s="7"/>
      <c r="AF354" s="7"/>
      <c r="AG354" s="7"/>
      <c r="AH354" s="7">
        <v>0.67</v>
      </c>
      <c r="AI354" s="7">
        <v>0.02</v>
      </c>
      <c r="AJ354" s="7">
        <v>10</v>
      </c>
      <c r="AK354" s="7">
        <v>0.98</v>
      </c>
      <c r="AL354" s="7">
        <v>0.1</v>
      </c>
      <c r="AM354" s="7">
        <v>10</v>
      </c>
      <c r="AN354" s="7"/>
      <c r="AO354" s="7"/>
      <c r="AP354" s="7"/>
      <c r="AQ354" s="7"/>
      <c r="AR354" s="7"/>
      <c r="AS354" s="7"/>
      <c r="AT354" s="184"/>
      <c r="AU354" s="7"/>
      <c r="AV354" s="7" t="s">
        <v>1528</v>
      </c>
      <c r="AW354" s="7"/>
      <c r="AX354" s="7" t="s">
        <v>1749</v>
      </c>
      <c r="AY354" s="7" t="s">
        <v>1488</v>
      </c>
    </row>
    <row r="355" spans="1:51">
      <c r="A355" s="7" t="s">
        <v>33</v>
      </c>
      <c r="B355" s="7" t="s">
        <v>34</v>
      </c>
      <c r="C355" s="7" t="s">
        <v>61</v>
      </c>
      <c r="D355" s="7" t="s">
        <v>62</v>
      </c>
      <c r="E355" s="7" t="s">
        <v>1807</v>
      </c>
      <c r="F355" s="7" t="s">
        <v>1733</v>
      </c>
      <c r="G355" s="7" t="s">
        <v>1808</v>
      </c>
      <c r="H355" s="7" t="s">
        <v>4180</v>
      </c>
      <c r="I355" s="100">
        <f>AVERAGE(100,250)/1000</f>
        <v>0.17499999999999999</v>
      </c>
      <c r="J355" s="100">
        <f t="shared" si="75"/>
        <v>175</v>
      </c>
      <c r="K355" s="100">
        <f t="shared" si="76"/>
        <v>2.2430380486862944</v>
      </c>
      <c r="L355" s="73" t="s">
        <v>1517</v>
      </c>
      <c r="M355" s="7" t="s">
        <v>1809</v>
      </c>
      <c r="N355" s="7" t="s">
        <v>1538</v>
      </c>
      <c r="O355" s="7" t="s">
        <v>1494</v>
      </c>
      <c r="P355" s="108" t="s">
        <v>1492</v>
      </c>
      <c r="Q355" s="7" t="s">
        <v>2407</v>
      </c>
      <c r="R355" s="7">
        <v>49</v>
      </c>
      <c r="S355" s="7">
        <v>49</v>
      </c>
      <c r="T355" s="7"/>
      <c r="U355" s="7">
        <v>1</v>
      </c>
      <c r="V355" s="7">
        <v>21</v>
      </c>
      <c r="W355" s="7">
        <f t="shared" si="77"/>
        <v>1.3222192947339193</v>
      </c>
      <c r="X355" s="7" t="s">
        <v>2413</v>
      </c>
      <c r="Y355" s="7" t="s">
        <v>2408</v>
      </c>
      <c r="Z355" s="7">
        <v>8</v>
      </c>
      <c r="AA355" s="7">
        <v>18</v>
      </c>
      <c r="AB355" s="7">
        <v>49.73</v>
      </c>
      <c r="AC355" s="7">
        <v>1.04</v>
      </c>
      <c r="AD355" s="7">
        <v>14</v>
      </c>
      <c r="AE355" s="7"/>
      <c r="AF355" s="7"/>
      <c r="AG355" s="7"/>
      <c r="AH355" s="7"/>
      <c r="AI355" s="7"/>
      <c r="AJ355" s="7"/>
      <c r="AK355" s="7">
        <v>62.87</v>
      </c>
      <c r="AL355" s="7">
        <v>1.57</v>
      </c>
      <c r="AM355" s="7">
        <v>14</v>
      </c>
      <c r="AN355" s="7"/>
      <c r="AO355" s="7"/>
      <c r="AP355" s="7"/>
      <c r="AQ355" s="7"/>
      <c r="AR355" s="7"/>
      <c r="AS355" s="7"/>
      <c r="AT355" s="184"/>
      <c r="AU355" s="7"/>
      <c r="AV355" s="7" t="s">
        <v>1788</v>
      </c>
      <c r="AW355" s="7"/>
      <c r="AX355" s="7" t="s">
        <v>2410</v>
      </c>
      <c r="AY355" s="7" t="s">
        <v>1488</v>
      </c>
    </row>
    <row r="356" spans="1:51">
      <c r="A356" s="7" t="s">
        <v>33</v>
      </c>
      <c r="B356" s="7" t="s">
        <v>34</v>
      </c>
      <c r="C356" s="7" t="s">
        <v>282</v>
      </c>
      <c r="D356" s="7" t="s">
        <v>2138</v>
      </c>
      <c r="E356" s="7" t="s">
        <v>2150</v>
      </c>
      <c r="F356" s="7" t="s">
        <v>2151</v>
      </c>
      <c r="G356" s="7" t="s">
        <v>2152</v>
      </c>
      <c r="H356" s="7" t="s">
        <v>4180</v>
      </c>
      <c r="I356" s="100">
        <f>AVERAGE(107,135)/1000</f>
        <v>0.121</v>
      </c>
      <c r="J356" s="100">
        <f t="shared" si="75"/>
        <v>121</v>
      </c>
      <c r="K356" s="100">
        <f t="shared" si="76"/>
        <v>2.0827853703164503</v>
      </c>
      <c r="L356" s="73" t="s">
        <v>1517</v>
      </c>
      <c r="M356" s="7" t="s">
        <v>2142</v>
      </c>
      <c r="N356" s="7" t="s">
        <v>1538</v>
      </c>
      <c r="O356" s="7" t="s">
        <v>1494</v>
      </c>
      <c r="P356" s="108" t="s">
        <v>1492</v>
      </c>
      <c r="Q356" s="7" t="s">
        <v>2414</v>
      </c>
      <c r="R356" s="7">
        <v>38.5</v>
      </c>
      <c r="S356" s="7">
        <v>38.5</v>
      </c>
      <c r="T356" s="7"/>
      <c r="U356" s="7">
        <v>2</v>
      </c>
      <c r="V356" s="7"/>
      <c r="W356" s="7"/>
      <c r="X356" s="7" t="s">
        <v>2415</v>
      </c>
      <c r="Y356" s="7"/>
      <c r="Z356" s="7">
        <v>5</v>
      </c>
      <c r="AA356" s="7">
        <v>20</v>
      </c>
      <c r="AB356" s="7">
        <v>20</v>
      </c>
      <c r="AC356" s="7">
        <v>0.3</v>
      </c>
      <c r="AD356" s="7">
        <v>42</v>
      </c>
      <c r="AE356" s="7"/>
      <c r="AF356" s="7"/>
      <c r="AG356" s="7"/>
      <c r="AH356" s="7"/>
      <c r="AI356" s="7"/>
      <c r="AJ356" s="7"/>
      <c r="AK356" s="7">
        <v>35.700000000000003</v>
      </c>
      <c r="AL356" s="7">
        <v>0.4</v>
      </c>
      <c r="AM356" s="7">
        <v>41</v>
      </c>
      <c r="AN356" s="7"/>
      <c r="AO356" s="7"/>
      <c r="AP356" s="7"/>
      <c r="AQ356" s="7"/>
      <c r="AR356" s="7"/>
      <c r="AS356" s="7"/>
      <c r="AT356" s="184"/>
      <c r="AU356" s="7"/>
      <c r="AV356" s="7" t="s">
        <v>1633</v>
      </c>
      <c r="AW356" s="7"/>
      <c r="AX356" s="7" t="s">
        <v>2416</v>
      </c>
      <c r="AY356" s="7" t="s">
        <v>1488</v>
      </c>
    </row>
    <row r="357" spans="1:51">
      <c r="A357" s="7" t="s">
        <v>33</v>
      </c>
      <c r="B357" s="7" t="s">
        <v>43</v>
      </c>
      <c r="C357" s="7" t="s">
        <v>44</v>
      </c>
      <c r="D357" s="7" t="s">
        <v>202</v>
      </c>
      <c r="E357" s="7" t="s">
        <v>2417</v>
      </c>
      <c r="F357" s="7" t="s">
        <v>2418</v>
      </c>
      <c r="G357" s="7" t="s">
        <v>2419</v>
      </c>
      <c r="H357" s="7" t="s">
        <v>4184</v>
      </c>
      <c r="I357" s="100">
        <f>4/1000</f>
        <v>4.0000000000000001E-3</v>
      </c>
      <c r="J357" s="100">
        <f t="shared" si="75"/>
        <v>4</v>
      </c>
      <c r="K357" s="100">
        <f t="shared" si="76"/>
        <v>0.6020599913279624</v>
      </c>
      <c r="L357" s="73" t="s">
        <v>1517</v>
      </c>
      <c r="M357" s="7" t="s">
        <v>2420</v>
      </c>
      <c r="N357" s="7" t="s">
        <v>1640</v>
      </c>
      <c r="O357" s="7" t="s">
        <v>1505</v>
      </c>
      <c r="P357" s="108" t="s">
        <v>1492</v>
      </c>
      <c r="Q357" s="7" t="s">
        <v>2421</v>
      </c>
      <c r="R357" s="7">
        <v>21.543333000000001</v>
      </c>
      <c r="S357" s="7">
        <f t="shared" ref="S357:S381" si="78">ABS(R357)</f>
        <v>21.543333000000001</v>
      </c>
      <c r="T357" s="7">
        <v>39.172778000000001</v>
      </c>
      <c r="U357" s="7">
        <v>2</v>
      </c>
      <c r="V357" s="7"/>
      <c r="W357" s="7"/>
      <c r="X357" s="7" t="s">
        <v>1779</v>
      </c>
      <c r="Y357" s="7" t="s">
        <v>1781</v>
      </c>
      <c r="Z357" s="7">
        <v>20</v>
      </c>
      <c r="AA357" s="7">
        <v>30</v>
      </c>
      <c r="AB357" s="7">
        <v>0.13109999999999999</v>
      </c>
      <c r="AC357" s="7">
        <v>1.7000000000000001E-2</v>
      </c>
      <c r="AD357" s="7">
        <v>15</v>
      </c>
      <c r="AE357" s="7">
        <v>0.20250000000000001</v>
      </c>
      <c r="AF357" s="7">
        <v>2.1899999999999999E-2</v>
      </c>
      <c r="AG357" s="7">
        <v>15</v>
      </c>
      <c r="AH357" s="7">
        <v>7.0499999999999993E-2</v>
      </c>
      <c r="AI357" s="7">
        <v>9.4000000000000004E-3</v>
      </c>
      <c r="AJ357" s="7">
        <v>22</v>
      </c>
      <c r="AK357" s="7">
        <v>0.16200000000000001</v>
      </c>
      <c r="AL357" s="7">
        <v>1.7399999999999999E-2</v>
      </c>
      <c r="AM357" s="7">
        <v>22</v>
      </c>
      <c r="AN357" s="7">
        <f t="shared" ref="AN357:AN365" si="79">(AE357/AB357)^(10/(AA357-Z357))</f>
        <v>1.5446224256292909</v>
      </c>
      <c r="AO357" s="7">
        <f t="shared" ref="AO357:AO365" si="80">(AK357/AB357)^(10/(AA357-Z357))</f>
        <v>1.2356979405034325</v>
      </c>
      <c r="AP357" s="7"/>
      <c r="AQ357" s="7"/>
      <c r="AR357" s="7"/>
      <c r="AS357" s="7">
        <f t="shared" ref="AS357:AS366" si="81">AVERAGE(AD357,AG357,AM357)</f>
        <v>17.333333333333332</v>
      </c>
      <c r="AT357" s="184">
        <f t="shared" ref="AT357:AT366" si="82">AVERAGE(AC357,AF357,AL357)</f>
        <v>1.8766666666666668E-2</v>
      </c>
      <c r="AU357" s="7"/>
      <c r="AV357" s="7" t="s">
        <v>2422</v>
      </c>
      <c r="AW357" s="7"/>
      <c r="AX357" s="7" t="s">
        <v>2420</v>
      </c>
      <c r="AY357" s="7" t="s">
        <v>2423</v>
      </c>
    </row>
    <row r="358" spans="1:51">
      <c r="A358" s="7" t="s">
        <v>33</v>
      </c>
      <c r="B358" s="7" t="s">
        <v>43</v>
      </c>
      <c r="C358" s="7" t="s">
        <v>44</v>
      </c>
      <c r="D358" s="7" t="s">
        <v>113</v>
      </c>
      <c r="E358" s="7" t="s">
        <v>2424</v>
      </c>
      <c r="F358" s="7" t="s">
        <v>2425</v>
      </c>
      <c r="G358" s="7" t="s">
        <v>2426</v>
      </c>
      <c r="H358" s="7" t="s">
        <v>4184</v>
      </c>
      <c r="I358" s="100">
        <f>4.4/1000</f>
        <v>4.4000000000000003E-3</v>
      </c>
      <c r="J358" s="100">
        <f t="shared" si="75"/>
        <v>4.4000000000000004</v>
      </c>
      <c r="K358" s="100">
        <f t="shared" si="76"/>
        <v>0.64345267648618742</v>
      </c>
      <c r="L358" s="73" t="s">
        <v>1517</v>
      </c>
      <c r="M358" s="7" t="s">
        <v>2427</v>
      </c>
      <c r="N358" s="7" t="s">
        <v>1538</v>
      </c>
      <c r="O358" s="7" t="s">
        <v>1505</v>
      </c>
      <c r="P358" s="108" t="s">
        <v>1492</v>
      </c>
      <c r="Q358" s="7" t="s">
        <v>2421</v>
      </c>
      <c r="R358" s="7">
        <v>21.55</v>
      </c>
      <c r="S358" s="7">
        <f t="shared" si="78"/>
        <v>21.55</v>
      </c>
      <c r="T358" s="7">
        <v>39.15</v>
      </c>
      <c r="U358" s="7">
        <v>2</v>
      </c>
      <c r="V358" s="7"/>
      <c r="W358" s="7"/>
      <c r="X358" s="7" t="s">
        <v>1779</v>
      </c>
      <c r="Y358" s="7" t="s">
        <v>1781</v>
      </c>
      <c r="Z358" s="7">
        <v>25</v>
      </c>
      <c r="AA358" s="7">
        <v>35</v>
      </c>
      <c r="AB358" s="108">
        <v>4.1964285714285712</v>
      </c>
      <c r="AC358" s="108">
        <v>1.3392857142857142</v>
      </c>
      <c r="AD358" s="110">
        <v>24</v>
      </c>
      <c r="AE358" s="108">
        <v>9.6428571428571423</v>
      </c>
      <c r="AF358" s="108">
        <v>3.0803571428571432</v>
      </c>
      <c r="AG358" s="110">
        <v>22</v>
      </c>
      <c r="AH358" s="108">
        <v>6.9642857142857144</v>
      </c>
      <c r="AI358" s="108">
        <v>2.276785714285714</v>
      </c>
      <c r="AJ358" s="110">
        <v>28</v>
      </c>
      <c r="AK358" s="108">
        <v>16.607142857142858</v>
      </c>
      <c r="AL358" s="108">
        <v>5.3571428571428568</v>
      </c>
      <c r="AM358" s="110">
        <v>28</v>
      </c>
      <c r="AN358" s="7">
        <f t="shared" si="79"/>
        <v>2.2978723404255321</v>
      </c>
      <c r="AO358" s="7">
        <f t="shared" si="80"/>
        <v>3.9574468085106385</v>
      </c>
      <c r="AP358" s="7"/>
      <c r="AQ358" s="7"/>
      <c r="AR358" s="7"/>
      <c r="AS358" s="7">
        <f t="shared" si="81"/>
        <v>24.666666666666668</v>
      </c>
      <c r="AT358" s="184">
        <f t="shared" si="82"/>
        <v>3.2589285714285716</v>
      </c>
      <c r="AU358" s="110"/>
      <c r="AV358" s="7"/>
      <c r="AW358" s="7"/>
      <c r="AX358" s="7" t="s">
        <v>2427</v>
      </c>
      <c r="AY358" s="7" t="s">
        <v>2423</v>
      </c>
    </row>
    <row r="359" spans="1:51">
      <c r="A359" s="7" t="s">
        <v>33</v>
      </c>
      <c r="B359" s="7" t="s">
        <v>43</v>
      </c>
      <c r="C359" s="7" t="s">
        <v>1532</v>
      </c>
      <c r="D359" s="7" t="s">
        <v>2157</v>
      </c>
      <c r="E359" s="7" t="s">
        <v>2158</v>
      </c>
      <c r="F359" s="7" t="s">
        <v>2159</v>
      </c>
      <c r="G359" s="7" t="s">
        <v>2160</v>
      </c>
      <c r="H359" s="7" t="s">
        <v>4184</v>
      </c>
      <c r="I359" s="100">
        <v>17</v>
      </c>
      <c r="J359" s="100">
        <f t="shared" si="75"/>
        <v>17000</v>
      </c>
      <c r="K359" s="100">
        <f t="shared" si="76"/>
        <v>4.2304489213782741</v>
      </c>
      <c r="L359" s="73" t="s">
        <v>1502</v>
      </c>
      <c r="M359" s="7" t="s">
        <v>2428</v>
      </c>
      <c r="N359" s="7" t="s">
        <v>1538</v>
      </c>
      <c r="O359" s="7" t="s">
        <v>1505</v>
      </c>
      <c r="P359" s="108" t="s">
        <v>1492</v>
      </c>
      <c r="Q359" s="7" t="s">
        <v>2429</v>
      </c>
      <c r="R359" s="7">
        <v>29.65</v>
      </c>
      <c r="S359" s="7">
        <f t="shared" si="78"/>
        <v>29.65</v>
      </c>
      <c r="T359" s="7">
        <v>92.85</v>
      </c>
      <c r="U359" s="7">
        <v>2</v>
      </c>
      <c r="V359" s="7"/>
      <c r="W359" s="7"/>
      <c r="X359" s="7" t="s">
        <v>2131</v>
      </c>
      <c r="Y359" s="7" t="s">
        <v>2134</v>
      </c>
      <c r="Z359" s="7">
        <v>15</v>
      </c>
      <c r="AA359" s="7">
        <v>30</v>
      </c>
      <c r="AB359" s="108">
        <v>390</v>
      </c>
      <c r="AC359" s="108">
        <v>10</v>
      </c>
      <c r="AD359" s="7">
        <v>31</v>
      </c>
      <c r="AE359" s="7">
        <v>780</v>
      </c>
      <c r="AF359" s="7">
        <v>30</v>
      </c>
      <c r="AG359" s="7">
        <v>31</v>
      </c>
      <c r="AH359" s="7">
        <v>205</v>
      </c>
      <c r="AI359" s="7">
        <v>10</v>
      </c>
      <c r="AJ359" s="7">
        <v>31</v>
      </c>
      <c r="AK359" s="108">
        <v>330</v>
      </c>
      <c r="AL359" s="108">
        <v>15</v>
      </c>
      <c r="AM359" s="108">
        <v>31</v>
      </c>
      <c r="AN359" s="7">
        <f t="shared" si="79"/>
        <v>1.5874010519681994</v>
      </c>
      <c r="AO359" s="7">
        <f t="shared" si="80"/>
        <v>0.89460822875467261</v>
      </c>
      <c r="AP359" s="7"/>
      <c r="AQ359" s="7"/>
      <c r="AR359" s="7"/>
      <c r="AS359" s="7">
        <f t="shared" si="81"/>
        <v>31</v>
      </c>
      <c r="AT359" s="184">
        <f t="shared" si="82"/>
        <v>18.333333333333332</v>
      </c>
      <c r="AU359" s="108"/>
      <c r="AV359" s="7"/>
      <c r="AW359" s="7"/>
      <c r="AX359" s="7" t="s">
        <v>2428</v>
      </c>
      <c r="AY359" s="7" t="s">
        <v>2423</v>
      </c>
    </row>
    <row r="360" spans="1:51">
      <c r="A360" s="7" t="s">
        <v>33</v>
      </c>
      <c r="B360" s="7" t="s">
        <v>43</v>
      </c>
      <c r="C360" s="7" t="s">
        <v>1532</v>
      </c>
      <c r="D360" s="7" t="s">
        <v>2157</v>
      </c>
      <c r="E360" s="7" t="s">
        <v>2158</v>
      </c>
      <c r="F360" s="7" t="s">
        <v>2159</v>
      </c>
      <c r="G360" s="7" t="s">
        <v>2160</v>
      </c>
      <c r="H360" s="7" t="s">
        <v>4184</v>
      </c>
      <c r="I360" s="100">
        <v>17</v>
      </c>
      <c r="J360" s="100">
        <f t="shared" si="75"/>
        <v>17000</v>
      </c>
      <c r="K360" s="100">
        <f t="shared" si="76"/>
        <v>4.2304489213782741</v>
      </c>
      <c r="L360" s="73" t="s">
        <v>1502</v>
      </c>
      <c r="M360" s="7" t="s">
        <v>2430</v>
      </c>
      <c r="N360" s="7" t="s">
        <v>1538</v>
      </c>
      <c r="O360" s="7" t="s">
        <v>1505</v>
      </c>
      <c r="P360" s="108" t="s">
        <v>1492</v>
      </c>
      <c r="Q360" s="7" t="s">
        <v>2429</v>
      </c>
      <c r="R360" s="7">
        <v>29.65</v>
      </c>
      <c r="S360" s="7">
        <f t="shared" si="78"/>
        <v>29.65</v>
      </c>
      <c r="T360" s="7">
        <v>92.85</v>
      </c>
      <c r="U360" s="7">
        <v>2</v>
      </c>
      <c r="V360" s="7"/>
      <c r="W360" s="7"/>
      <c r="X360" s="7" t="s">
        <v>2284</v>
      </c>
      <c r="Y360" s="7" t="s">
        <v>2134</v>
      </c>
      <c r="Z360" s="7">
        <v>15</v>
      </c>
      <c r="AA360" s="7">
        <v>30</v>
      </c>
      <c r="AB360" s="108">
        <v>2.42</v>
      </c>
      <c r="AC360" s="108">
        <v>0.2</v>
      </c>
      <c r="AD360" s="7">
        <v>31</v>
      </c>
      <c r="AE360" s="7">
        <v>4.0999999999999996</v>
      </c>
      <c r="AF360" s="7">
        <v>0.3</v>
      </c>
      <c r="AG360" s="7">
        <v>31</v>
      </c>
      <c r="AH360" s="7">
        <v>1.63</v>
      </c>
      <c r="AI360" s="7">
        <v>0.15</v>
      </c>
      <c r="AJ360" s="7">
        <v>31</v>
      </c>
      <c r="AK360" s="108">
        <v>4.3899999999999997</v>
      </c>
      <c r="AL360" s="108">
        <v>0.3</v>
      </c>
      <c r="AM360" s="108">
        <v>31</v>
      </c>
      <c r="AN360" s="7">
        <f t="shared" si="79"/>
        <v>1.4211687868062559</v>
      </c>
      <c r="AO360" s="7">
        <f t="shared" si="80"/>
        <v>1.4874170982450672</v>
      </c>
      <c r="AP360" s="7"/>
      <c r="AQ360" s="7"/>
      <c r="AR360" s="7"/>
      <c r="AS360" s="7">
        <f t="shared" si="81"/>
        <v>31</v>
      </c>
      <c r="AT360" s="184">
        <f t="shared" si="82"/>
        <v>0.26666666666666666</v>
      </c>
      <c r="AU360" s="108"/>
      <c r="AV360" s="7"/>
      <c r="AW360" s="7"/>
      <c r="AX360" s="7" t="s">
        <v>2430</v>
      </c>
      <c r="AY360" s="7" t="s">
        <v>2423</v>
      </c>
    </row>
    <row r="361" spans="1:51">
      <c r="A361" s="7" t="s">
        <v>33</v>
      </c>
      <c r="B361" s="7" t="s">
        <v>43</v>
      </c>
      <c r="C361" s="7" t="s">
        <v>1532</v>
      </c>
      <c r="D361" s="7" t="s">
        <v>2157</v>
      </c>
      <c r="E361" s="7" t="s">
        <v>2158</v>
      </c>
      <c r="F361" s="7" t="s">
        <v>2159</v>
      </c>
      <c r="G361" s="7" t="s">
        <v>2160</v>
      </c>
      <c r="H361" s="7" t="s">
        <v>4184</v>
      </c>
      <c r="I361" s="100">
        <v>17</v>
      </c>
      <c r="J361" s="100">
        <f t="shared" si="75"/>
        <v>17000</v>
      </c>
      <c r="K361" s="100">
        <f t="shared" si="76"/>
        <v>4.2304489213782741</v>
      </c>
      <c r="L361" s="73" t="s">
        <v>1502</v>
      </c>
      <c r="M361" s="7" t="s">
        <v>2431</v>
      </c>
      <c r="N361" s="7" t="s">
        <v>1538</v>
      </c>
      <c r="O361" s="7" t="s">
        <v>1505</v>
      </c>
      <c r="P361" s="108" t="s">
        <v>1492</v>
      </c>
      <c r="Q361" s="7" t="s">
        <v>2429</v>
      </c>
      <c r="R361" s="7">
        <v>29.65</v>
      </c>
      <c r="S361" s="7">
        <f t="shared" si="78"/>
        <v>29.65</v>
      </c>
      <c r="T361" s="7">
        <v>92.85</v>
      </c>
      <c r="U361" s="7">
        <v>2</v>
      </c>
      <c r="V361" s="7"/>
      <c r="W361" s="7"/>
      <c r="X361" s="7" t="s">
        <v>2320</v>
      </c>
      <c r="Y361" s="7" t="s">
        <v>2134</v>
      </c>
      <c r="Z361" s="7">
        <v>15</v>
      </c>
      <c r="AA361" s="7">
        <v>30</v>
      </c>
      <c r="AB361" s="108">
        <v>1.52</v>
      </c>
      <c r="AC361" s="108">
        <v>0.11</v>
      </c>
      <c r="AD361" s="7">
        <v>31</v>
      </c>
      <c r="AE361" s="7">
        <v>2.29</v>
      </c>
      <c r="AF361" s="7">
        <v>0.12</v>
      </c>
      <c r="AG361" s="7">
        <v>31</v>
      </c>
      <c r="AH361" s="7">
        <v>0.69</v>
      </c>
      <c r="AI361" s="7">
        <v>0.08</v>
      </c>
      <c r="AJ361" s="7">
        <v>31</v>
      </c>
      <c r="AK361" s="108">
        <v>1.35</v>
      </c>
      <c r="AL361" s="108">
        <v>0.12</v>
      </c>
      <c r="AM361" s="108">
        <v>31</v>
      </c>
      <c r="AN361" s="7">
        <f t="shared" si="79"/>
        <v>1.314199395017384</v>
      </c>
      <c r="AO361" s="7">
        <f t="shared" si="80"/>
        <v>0.92397478660335286</v>
      </c>
      <c r="AP361" s="7"/>
      <c r="AQ361" s="7"/>
      <c r="AR361" s="7"/>
      <c r="AS361" s="7">
        <f t="shared" si="81"/>
        <v>31</v>
      </c>
      <c r="AT361" s="184">
        <f t="shared" si="82"/>
        <v>0.11666666666666665</v>
      </c>
      <c r="AU361" s="108"/>
      <c r="AV361" s="7"/>
      <c r="AW361" s="7"/>
      <c r="AX361" s="7" t="s">
        <v>2431</v>
      </c>
      <c r="AY361" s="7" t="s">
        <v>2423</v>
      </c>
    </row>
    <row r="362" spans="1:51">
      <c r="A362" s="7" t="s">
        <v>33</v>
      </c>
      <c r="B362" s="7" t="s">
        <v>43</v>
      </c>
      <c r="C362" s="7" t="s">
        <v>1550</v>
      </c>
      <c r="D362" s="7" t="s">
        <v>1551</v>
      </c>
      <c r="E362" s="7" t="s">
        <v>2432</v>
      </c>
      <c r="F362" s="7" t="s">
        <v>2433</v>
      </c>
      <c r="G362" s="7" t="s">
        <v>2434</v>
      </c>
      <c r="H362" s="7" t="s">
        <v>4184</v>
      </c>
      <c r="I362" s="100">
        <f>AVERAGE(0.76, 0.39, 0.39)</f>
        <v>0.51333333333333331</v>
      </c>
      <c r="J362" s="100">
        <f t="shared" si="75"/>
        <v>513.33333333333326</v>
      </c>
      <c r="K362" s="100">
        <f t="shared" si="76"/>
        <v>2.7103994661168005</v>
      </c>
      <c r="L362" s="73" t="s">
        <v>1502</v>
      </c>
      <c r="M362" s="7" t="s">
        <v>2435</v>
      </c>
      <c r="N362" s="7" t="s">
        <v>1538</v>
      </c>
      <c r="O362" s="7" t="s">
        <v>1505</v>
      </c>
      <c r="P362" s="108" t="s">
        <v>1492</v>
      </c>
      <c r="Q362" s="7" t="s">
        <v>1572</v>
      </c>
      <c r="R362" s="7">
        <v>34</v>
      </c>
      <c r="S362" s="7">
        <f t="shared" si="78"/>
        <v>34</v>
      </c>
      <c r="T362" s="7">
        <v>150.69999999999999</v>
      </c>
      <c r="U362" s="7">
        <v>2</v>
      </c>
      <c r="V362" s="7"/>
      <c r="W362" s="7"/>
      <c r="X362" s="7" t="s">
        <v>2131</v>
      </c>
      <c r="Y362" s="7"/>
      <c r="Z362" s="7">
        <v>10</v>
      </c>
      <c r="AA362" s="7">
        <v>25</v>
      </c>
      <c r="AB362" s="108">
        <v>226.8</v>
      </c>
      <c r="AC362" s="108">
        <v>28.4</v>
      </c>
      <c r="AD362" s="7">
        <v>7</v>
      </c>
      <c r="AE362" s="7">
        <v>410</v>
      </c>
      <c r="AF362" s="7">
        <v>54.5</v>
      </c>
      <c r="AG362" s="7">
        <v>7</v>
      </c>
      <c r="AH362" s="7">
        <v>161.6</v>
      </c>
      <c r="AI362" s="7">
        <v>19.100000000000001</v>
      </c>
      <c r="AJ362" s="7">
        <v>10</v>
      </c>
      <c r="AK362" s="108">
        <v>231.4</v>
      </c>
      <c r="AL362" s="108">
        <v>30.6</v>
      </c>
      <c r="AM362" s="108">
        <v>10</v>
      </c>
      <c r="AN362" s="7">
        <f t="shared" si="79"/>
        <v>1.4839771176156371</v>
      </c>
      <c r="AO362" s="7">
        <f t="shared" si="80"/>
        <v>1.0134761577207174</v>
      </c>
      <c r="AP362" s="7"/>
      <c r="AQ362" s="7"/>
      <c r="AR362" s="7"/>
      <c r="AS362" s="7">
        <f t="shared" si="81"/>
        <v>8</v>
      </c>
      <c r="AT362" s="184">
        <f t="shared" si="82"/>
        <v>37.833333333333336</v>
      </c>
      <c r="AU362" s="108"/>
      <c r="AV362" s="7"/>
      <c r="AW362" s="7"/>
      <c r="AX362" s="7" t="s">
        <v>2435</v>
      </c>
      <c r="AY362" s="7" t="s">
        <v>2423</v>
      </c>
    </row>
    <row r="363" spans="1:51">
      <c r="A363" s="7" t="s">
        <v>33</v>
      </c>
      <c r="B363" s="7" t="s">
        <v>43</v>
      </c>
      <c r="C363" s="7" t="s">
        <v>1550</v>
      </c>
      <c r="D363" s="7" t="s">
        <v>1551</v>
      </c>
      <c r="E363" s="7" t="s">
        <v>2432</v>
      </c>
      <c r="F363" s="7" t="s">
        <v>2433</v>
      </c>
      <c r="G363" s="7" t="s">
        <v>2434</v>
      </c>
      <c r="H363" s="7" t="s">
        <v>4184</v>
      </c>
      <c r="I363" s="100">
        <f>AVERAGE(0.76, 0.39, 0.39)</f>
        <v>0.51333333333333331</v>
      </c>
      <c r="J363" s="100">
        <f t="shared" si="75"/>
        <v>513.33333333333326</v>
      </c>
      <c r="K363" s="100">
        <f t="shared" si="76"/>
        <v>2.7103994661168005</v>
      </c>
      <c r="L363" s="73" t="s">
        <v>1502</v>
      </c>
      <c r="M363" s="7" t="s">
        <v>2436</v>
      </c>
      <c r="N363" s="7" t="s">
        <v>1538</v>
      </c>
      <c r="O363" s="7" t="s">
        <v>1505</v>
      </c>
      <c r="P363" s="108" t="s">
        <v>1492</v>
      </c>
      <c r="Q363" s="7" t="s">
        <v>1572</v>
      </c>
      <c r="R363" s="7">
        <v>34</v>
      </c>
      <c r="S363" s="7">
        <f t="shared" si="78"/>
        <v>34</v>
      </c>
      <c r="T363" s="7">
        <v>150.69999999999999</v>
      </c>
      <c r="U363" s="7">
        <v>2</v>
      </c>
      <c r="V363" s="7"/>
      <c r="W363" s="7"/>
      <c r="X363" s="7" t="s">
        <v>2284</v>
      </c>
      <c r="Y363" s="7"/>
      <c r="Z363" s="7">
        <v>10</v>
      </c>
      <c r="AA363" s="7">
        <v>25</v>
      </c>
      <c r="AB363" s="108">
        <v>8</v>
      </c>
      <c r="AC363" s="108">
        <v>1.2</v>
      </c>
      <c r="AD363" s="7">
        <v>7</v>
      </c>
      <c r="AE363" s="7">
        <v>12.3</v>
      </c>
      <c r="AF363" s="7">
        <v>2</v>
      </c>
      <c r="AG363" s="7">
        <v>7</v>
      </c>
      <c r="AH363" s="7">
        <v>6.4</v>
      </c>
      <c r="AI363" s="7">
        <v>0.7</v>
      </c>
      <c r="AJ363" s="7">
        <v>10</v>
      </c>
      <c r="AK363" s="108">
        <v>12.3</v>
      </c>
      <c r="AL363" s="108">
        <v>0.7</v>
      </c>
      <c r="AM363" s="108">
        <v>10</v>
      </c>
      <c r="AN363" s="7">
        <f t="shared" si="79"/>
        <v>1.3321202073426357</v>
      </c>
      <c r="AO363" s="7">
        <f t="shared" si="80"/>
        <v>1.3321202073426357</v>
      </c>
      <c r="AP363" s="7"/>
      <c r="AQ363" s="7"/>
      <c r="AR363" s="7"/>
      <c r="AS363" s="7">
        <f t="shared" si="81"/>
        <v>8</v>
      </c>
      <c r="AT363" s="184">
        <f t="shared" si="82"/>
        <v>1.3</v>
      </c>
      <c r="AU363" s="108"/>
      <c r="AV363" s="7"/>
      <c r="AW363" s="7"/>
      <c r="AX363" s="7" t="s">
        <v>2436</v>
      </c>
      <c r="AY363" s="7" t="s">
        <v>2423</v>
      </c>
    </row>
    <row r="364" spans="1:51">
      <c r="A364" s="7" t="s">
        <v>33</v>
      </c>
      <c r="B364" s="7" t="s">
        <v>43</v>
      </c>
      <c r="C364" s="7" t="s">
        <v>1550</v>
      </c>
      <c r="D364" s="7" t="s">
        <v>1551</v>
      </c>
      <c r="E364" s="7" t="s">
        <v>2432</v>
      </c>
      <c r="F364" s="7" t="s">
        <v>2433</v>
      </c>
      <c r="G364" s="7" t="s">
        <v>2434</v>
      </c>
      <c r="H364" s="7" t="s">
        <v>4184</v>
      </c>
      <c r="I364" s="100">
        <f>AVERAGE(0.76, 0.39, 0.39)</f>
        <v>0.51333333333333331</v>
      </c>
      <c r="J364" s="100">
        <f t="shared" si="75"/>
        <v>513.33333333333326</v>
      </c>
      <c r="K364" s="100">
        <f t="shared" si="76"/>
        <v>2.7103994661168005</v>
      </c>
      <c r="L364" s="73" t="s">
        <v>1502</v>
      </c>
      <c r="M364" s="7" t="s">
        <v>2437</v>
      </c>
      <c r="N364" s="7" t="s">
        <v>1538</v>
      </c>
      <c r="O364" s="7" t="s">
        <v>1505</v>
      </c>
      <c r="P364" s="108" t="s">
        <v>1492</v>
      </c>
      <c r="Q364" s="7" t="s">
        <v>1572</v>
      </c>
      <c r="R364" s="7">
        <v>34</v>
      </c>
      <c r="S364" s="7">
        <f t="shared" si="78"/>
        <v>34</v>
      </c>
      <c r="T364" s="7">
        <v>150.69999999999999</v>
      </c>
      <c r="U364" s="7">
        <v>2</v>
      </c>
      <c r="V364" s="7"/>
      <c r="W364" s="7"/>
      <c r="X364" s="7" t="s">
        <v>2320</v>
      </c>
      <c r="Y364" s="7"/>
      <c r="Z364" s="7">
        <v>10</v>
      </c>
      <c r="AA364" s="7">
        <v>25</v>
      </c>
      <c r="AB364" s="108">
        <v>6</v>
      </c>
      <c r="AC364" s="108">
        <v>0.9</v>
      </c>
      <c r="AD364" s="7">
        <v>7</v>
      </c>
      <c r="AE364" s="7">
        <v>3.9</v>
      </c>
      <c r="AF364" s="7">
        <v>0.4</v>
      </c>
      <c r="AG364" s="7">
        <v>7</v>
      </c>
      <c r="AH364" s="7">
        <v>3.9</v>
      </c>
      <c r="AI364" s="7">
        <v>0.3</v>
      </c>
      <c r="AJ364" s="7">
        <v>10</v>
      </c>
      <c r="AK364" s="108">
        <v>5</v>
      </c>
      <c r="AL364" s="108">
        <v>0.4</v>
      </c>
      <c r="AM364" s="108">
        <v>10</v>
      </c>
      <c r="AN364" s="7">
        <f t="shared" si="79"/>
        <v>0.75037018762180763</v>
      </c>
      <c r="AO364" s="7">
        <f t="shared" si="80"/>
        <v>0.88554880765217592</v>
      </c>
      <c r="AP364" s="7"/>
      <c r="AQ364" s="7"/>
      <c r="AR364" s="7"/>
      <c r="AS364" s="7">
        <f t="shared" si="81"/>
        <v>8</v>
      </c>
      <c r="AT364" s="184">
        <f t="shared" si="82"/>
        <v>0.56666666666666676</v>
      </c>
      <c r="AU364" s="108"/>
      <c r="AV364" s="7"/>
      <c r="AW364" s="7"/>
      <c r="AX364" s="7" t="s">
        <v>2437</v>
      </c>
      <c r="AY364" s="7" t="s">
        <v>2423</v>
      </c>
    </row>
    <row r="365" spans="1:51">
      <c r="A365" s="7" t="s">
        <v>33</v>
      </c>
      <c r="B365" s="7" t="s">
        <v>43</v>
      </c>
      <c r="C365" s="7" t="s">
        <v>1550</v>
      </c>
      <c r="D365" s="7" t="s">
        <v>1551</v>
      </c>
      <c r="E365" s="7" t="s">
        <v>2432</v>
      </c>
      <c r="F365" s="7" t="s">
        <v>2433</v>
      </c>
      <c r="G365" s="7" t="s">
        <v>2434</v>
      </c>
      <c r="H365" s="7" t="s">
        <v>4184</v>
      </c>
      <c r="I365" s="100">
        <f>AVERAGE(0.76, 0.39, 0.39)</f>
        <v>0.51333333333333331</v>
      </c>
      <c r="J365" s="100">
        <f t="shared" si="75"/>
        <v>513.33333333333326</v>
      </c>
      <c r="K365" s="100">
        <f t="shared" si="76"/>
        <v>2.7103994661168005</v>
      </c>
      <c r="L365" s="73" t="s">
        <v>1502</v>
      </c>
      <c r="M365" s="7" t="s">
        <v>2438</v>
      </c>
      <c r="N365" s="7" t="s">
        <v>1538</v>
      </c>
      <c r="O365" s="7" t="s">
        <v>1505</v>
      </c>
      <c r="P365" s="108" t="s">
        <v>1492</v>
      </c>
      <c r="Q365" s="7" t="s">
        <v>1572</v>
      </c>
      <c r="R365" s="7">
        <v>34</v>
      </c>
      <c r="S365" s="7">
        <f t="shared" si="78"/>
        <v>34</v>
      </c>
      <c r="T365" s="7">
        <v>150.69999999999999</v>
      </c>
      <c r="U365" s="7">
        <v>2</v>
      </c>
      <c r="V365" s="7"/>
      <c r="W365" s="7"/>
      <c r="X365" s="7" t="s">
        <v>1710</v>
      </c>
      <c r="Y365" s="7"/>
      <c r="Z365" s="7">
        <v>10</v>
      </c>
      <c r="AA365" s="7">
        <v>25</v>
      </c>
      <c r="AB365" s="108">
        <v>41.69</v>
      </c>
      <c r="AC365" s="108">
        <v>5.6</v>
      </c>
      <c r="AD365" s="7">
        <v>7</v>
      </c>
      <c r="AE365" s="7">
        <v>50.31</v>
      </c>
      <c r="AF365" s="7">
        <v>7.2</v>
      </c>
      <c r="AG365" s="7">
        <v>7</v>
      </c>
      <c r="AH365" s="7">
        <v>38.46</v>
      </c>
      <c r="AI365" s="7">
        <v>5.0999999999999996</v>
      </c>
      <c r="AJ365" s="7">
        <v>10</v>
      </c>
      <c r="AK365" s="108">
        <v>64.81</v>
      </c>
      <c r="AL365" s="108">
        <v>9.1999999999999993</v>
      </c>
      <c r="AM365" s="108">
        <v>10</v>
      </c>
      <c r="AN365" s="7">
        <f t="shared" si="79"/>
        <v>1.1334828360399705</v>
      </c>
      <c r="AO365" s="7">
        <f t="shared" si="80"/>
        <v>1.3419615859990282</v>
      </c>
      <c r="AP365" s="7"/>
      <c r="AQ365" s="7"/>
      <c r="AR365" s="7"/>
      <c r="AS365" s="7">
        <f t="shared" si="81"/>
        <v>8</v>
      </c>
      <c r="AT365" s="184">
        <f t="shared" si="82"/>
        <v>7.333333333333333</v>
      </c>
      <c r="AU365" s="108"/>
      <c r="AV365" s="7"/>
      <c r="AW365" s="7"/>
      <c r="AX365" s="7" t="s">
        <v>2438</v>
      </c>
      <c r="AY365" s="7" t="s">
        <v>2423</v>
      </c>
    </row>
    <row r="366" spans="1:51">
      <c r="A366" s="7" t="s">
        <v>179</v>
      </c>
      <c r="B366" s="7" t="s">
        <v>180</v>
      </c>
      <c r="C366" s="7" t="s">
        <v>2439</v>
      </c>
      <c r="D366" s="7" t="s">
        <v>2440</v>
      </c>
      <c r="E366" s="7" t="s">
        <v>2441</v>
      </c>
      <c r="F366" s="7" t="s">
        <v>2442</v>
      </c>
      <c r="G366" s="7" t="s">
        <v>2443</v>
      </c>
      <c r="H366" s="7" t="s">
        <v>4186</v>
      </c>
      <c r="I366" s="111">
        <f>324.5/1000000</f>
        <v>3.2449999999999997E-4</v>
      </c>
      <c r="J366" s="100">
        <f t="shared" si="75"/>
        <v>0.32449999999999996</v>
      </c>
      <c r="K366" s="100">
        <f t="shared" si="76"/>
        <v>-0.48878529886361205</v>
      </c>
      <c r="L366" s="73" t="s">
        <v>1517</v>
      </c>
      <c r="M366" s="7" t="s">
        <v>2444</v>
      </c>
      <c r="N366" s="7" t="s">
        <v>1504</v>
      </c>
      <c r="O366" s="7" t="s">
        <v>1505</v>
      </c>
      <c r="P366" s="108" t="s">
        <v>1539</v>
      </c>
      <c r="Q366" s="7" t="s">
        <v>2445</v>
      </c>
      <c r="R366" s="7">
        <v>39.049999999999997</v>
      </c>
      <c r="S366" s="7">
        <f t="shared" si="78"/>
        <v>39.049999999999997</v>
      </c>
      <c r="T366" s="7">
        <v>76.2</v>
      </c>
      <c r="U366" s="7">
        <v>2</v>
      </c>
      <c r="V366" s="7"/>
      <c r="W366" s="7"/>
      <c r="X366" s="7" t="s">
        <v>1520</v>
      </c>
      <c r="Y366" s="7" t="s">
        <v>1557</v>
      </c>
      <c r="Z366" s="7">
        <v>5</v>
      </c>
      <c r="AA366" s="7">
        <v>25</v>
      </c>
      <c r="AB366" s="108">
        <v>5.4</v>
      </c>
      <c r="AC366" s="108">
        <v>0.25</v>
      </c>
      <c r="AD366" s="7">
        <v>6</v>
      </c>
      <c r="AE366" s="7"/>
      <c r="AF366" s="7"/>
      <c r="AG366" s="7"/>
      <c r="AH366" s="7"/>
      <c r="AI366" s="7"/>
      <c r="AJ366" s="7"/>
      <c r="AK366" s="108">
        <v>7.8</v>
      </c>
      <c r="AL366" s="108">
        <v>0.25</v>
      </c>
      <c r="AM366" s="7">
        <v>6</v>
      </c>
      <c r="AN366" s="7"/>
      <c r="AO366" s="7"/>
      <c r="AP366" s="7"/>
      <c r="AQ366" s="7"/>
      <c r="AR366" s="7"/>
      <c r="AS366" s="7">
        <f t="shared" si="81"/>
        <v>6</v>
      </c>
      <c r="AT366" s="184">
        <f t="shared" si="82"/>
        <v>0.25</v>
      </c>
      <c r="AU366" s="7"/>
      <c r="AV366" s="7"/>
      <c r="AW366" s="7"/>
      <c r="AX366" s="7" t="s">
        <v>2444</v>
      </c>
      <c r="AY366" s="7" t="s">
        <v>2423</v>
      </c>
    </row>
    <row r="367" spans="1:51">
      <c r="A367" s="7" t="s">
        <v>33</v>
      </c>
      <c r="B367" s="7" t="s">
        <v>34</v>
      </c>
      <c r="C367" s="7" t="s">
        <v>282</v>
      </c>
      <c r="D367" s="7" t="s">
        <v>2446</v>
      </c>
      <c r="E367" s="7" t="s">
        <v>2447</v>
      </c>
      <c r="F367" s="7" t="s">
        <v>2448</v>
      </c>
      <c r="G367" s="7" t="s">
        <v>2449</v>
      </c>
      <c r="H367" s="7" t="s">
        <v>4180</v>
      </c>
      <c r="I367" s="100">
        <f>7/1000</f>
        <v>7.0000000000000001E-3</v>
      </c>
      <c r="J367" s="100">
        <f t="shared" si="75"/>
        <v>7</v>
      </c>
      <c r="K367" s="100">
        <f t="shared" si="76"/>
        <v>0.84509804001425681</v>
      </c>
      <c r="L367" s="73" t="s">
        <v>1502</v>
      </c>
      <c r="M367" s="7" t="s">
        <v>2450</v>
      </c>
      <c r="N367" s="7" t="s">
        <v>1504</v>
      </c>
      <c r="O367" s="7" t="s">
        <v>1494</v>
      </c>
      <c r="P367" s="108" t="s">
        <v>1539</v>
      </c>
      <c r="Q367" s="7" t="s">
        <v>2451</v>
      </c>
      <c r="R367" s="7">
        <v>39.65</v>
      </c>
      <c r="S367" s="7">
        <f t="shared" si="78"/>
        <v>39.65</v>
      </c>
      <c r="T367" s="7">
        <v>20.9</v>
      </c>
      <c r="U367" s="7">
        <v>2</v>
      </c>
      <c r="V367" s="7"/>
      <c r="W367" s="7"/>
      <c r="X367" s="7" t="s">
        <v>2452</v>
      </c>
      <c r="Y367" s="7" t="s">
        <v>2213</v>
      </c>
      <c r="Z367" s="7">
        <v>12.3</v>
      </c>
      <c r="AA367" s="7">
        <v>19</v>
      </c>
      <c r="AB367" s="7"/>
      <c r="AC367" s="7"/>
      <c r="AD367" s="7"/>
      <c r="AE367" s="7">
        <v>8.8000000000000007</v>
      </c>
      <c r="AF367" s="7">
        <v>1.45</v>
      </c>
      <c r="AG367" s="7">
        <v>5</v>
      </c>
      <c r="AH367" s="7"/>
      <c r="AI367" s="7"/>
      <c r="AJ367" s="7"/>
      <c r="AK367" s="108">
        <v>6.4</v>
      </c>
      <c r="AL367" s="108">
        <v>0.98</v>
      </c>
      <c r="AM367" s="108">
        <v>5</v>
      </c>
      <c r="AN367" s="7"/>
      <c r="AO367" s="7"/>
      <c r="AP367" s="7"/>
      <c r="AQ367" s="7"/>
      <c r="AR367" s="7"/>
      <c r="AS367" s="7"/>
      <c r="AT367" s="184"/>
      <c r="AU367" s="108"/>
      <c r="AV367" s="7"/>
      <c r="AW367" s="7"/>
      <c r="AX367" s="7" t="s">
        <v>2453</v>
      </c>
      <c r="AY367" s="7" t="s">
        <v>2423</v>
      </c>
    </row>
    <row r="368" spans="1:51">
      <c r="A368" s="7" t="s">
        <v>33</v>
      </c>
      <c r="B368" s="7" t="s">
        <v>34</v>
      </c>
      <c r="C368" s="7" t="s">
        <v>282</v>
      </c>
      <c r="D368" s="7" t="s">
        <v>2446</v>
      </c>
      <c r="E368" s="7" t="s">
        <v>2447</v>
      </c>
      <c r="F368" s="7" t="s">
        <v>2448</v>
      </c>
      <c r="G368" s="7" t="s">
        <v>2449</v>
      </c>
      <c r="H368" s="7" t="s">
        <v>4180</v>
      </c>
      <c r="I368" s="100">
        <f>7/1000</f>
        <v>7.0000000000000001E-3</v>
      </c>
      <c r="J368" s="100">
        <f t="shared" si="75"/>
        <v>7</v>
      </c>
      <c r="K368" s="100">
        <f t="shared" si="76"/>
        <v>0.84509804001425681</v>
      </c>
      <c r="L368" s="73" t="s">
        <v>1502</v>
      </c>
      <c r="M368" s="7" t="s">
        <v>2450</v>
      </c>
      <c r="N368" s="7" t="s">
        <v>1504</v>
      </c>
      <c r="O368" s="7" t="s">
        <v>1494</v>
      </c>
      <c r="P368" s="108" t="s">
        <v>1539</v>
      </c>
      <c r="Q368" s="7" t="s">
        <v>2451</v>
      </c>
      <c r="R368" s="7">
        <v>39.65</v>
      </c>
      <c r="S368" s="7">
        <f t="shared" si="78"/>
        <v>39.65</v>
      </c>
      <c r="T368" s="7">
        <v>20.9</v>
      </c>
      <c r="U368" s="7">
        <v>2</v>
      </c>
      <c r="V368" s="7"/>
      <c r="W368" s="7"/>
      <c r="X368" s="7" t="s">
        <v>2320</v>
      </c>
      <c r="Y368" s="7" t="s">
        <v>2210</v>
      </c>
      <c r="Z368" s="7">
        <v>12.3</v>
      </c>
      <c r="AA368" s="7">
        <v>19</v>
      </c>
      <c r="AB368" s="7"/>
      <c r="AC368" s="7"/>
      <c r="AD368" s="7"/>
      <c r="AE368" s="7">
        <v>3.32</v>
      </c>
      <c r="AF368" s="7">
        <v>0.39</v>
      </c>
      <c r="AG368" s="7">
        <v>5</v>
      </c>
      <c r="AH368" s="7"/>
      <c r="AI368" s="7"/>
      <c r="AJ368" s="7"/>
      <c r="AK368" s="108">
        <v>3.52</v>
      </c>
      <c r="AL368" s="108">
        <v>0.16</v>
      </c>
      <c r="AM368" s="108">
        <v>5</v>
      </c>
      <c r="AN368" s="7"/>
      <c r="AO368" s="7"/>
      <c r="AP368" s="7"/>
      <c r="AQ368" s="7"/>
      <c r="AR368" s="7"/>
      <c r="AS368" s="7"/>
      <c r="AT368" s="184"/>
      <c r="AU368" s="108"/>
      <c r="AV368" s="7"/>
      <c r="AW368" s="7"/>
      <c r="AX368" s="7" t="s">
        <v>2454</v>
      </c>
      <c r="AY368" s="7" t="s">
        <v>2423</v>
      </c>
    </row>
    <row r="369" spans="1:51">
      <c r="A369" s="7" t="s">
        <v>33</v>
      </c>
      <c r="B369" s="7" t="s">
        <v>34</v>
      </c>
      <c r="C369" s="7" t="s">
        <v>282</v>
      </c>
      <c r="D369" s="7" t="s">
        <v>2446</v>
      </c>
      <c r="E369" s="7" t="s">
        <v>2447</v>
      </c>
      <c r="F369" s="7" t="s">
        <v>2448</v>
      </c>
      <c r="G369" s="7" t="s">
        <v>2449</v>
      </c>
      <c r="H369" s="7" t="s">
        <v>4180</v>
      </c>
      <c r="I369" s="100">
        <f>7/1000</f>
        <v>7.0000000000000001E-3</v>
      </c>
      <c r="J369" s="100">
        <f t="shared" si="75"/>
        <v>7</v>
      </c>
      <c r="K369" s="100">
        <f t="shared" si="76"/>
        <v>0.84509804001425681</v>
      </c>
      <c r="L369" s="73" t="s">
        <v>1502</v>
      </c>
      <c r="M369" s="7" t="s">
        <v>2450</v>
      </c>
      <c r="N369" s="7" t="s">
        <v>1504</v>
      </c>
      <c r="O369" s="7" t="s">
        <v>1494</v>
      </c>
      <c r="P369" s="108" t="s">
        <v>1539</v>
      </c>
      <c r="Q369" s="7" t="s">
        <v>2451</v>
      </c>
      <c r="R369" s="7">
        <v>39.65</v>
      </c>
      <c r="S369" s="7">
        <f t="shared" si="78"/>
        <v>39.65</v>
      </c>
      <c r="T369" s="7">
        <v>20.9</v>
      </c>
      <c r="U369" s="7">
        <v>2</v>
      </c>
      <c r="V369" s="7"/>
      <c r="W369" s="7"/>
      <c r="X369" s="7" t="s">
        <v>2131</v>
      </c>
      <c r="Y369" s="7" t="s">
        <v>2210</v>
      </c>
      <c r="Z369" s="7">
        <v>12.3</v>
      </c>
      <c r="AA369" s="7">
        <v>19</v>
      </c>
      <c r="AB369" s="7"/>
      <c r="AC369" s="7"/>
      <c r="AD369" s="7"/>
      <c r="AE369" s="7">
        <v>90.4</v>
      </c>
      <c r="AF369" s="7">
        <v>10.8</v>
      </c>
      <c r="AG369" s="7">
        <v>5</v>
      </c>
      <c r="AH369" s="7"/>
      <c r="AI369" s="7"/>
      <c r="AJ369" s="7"/>
      <c r="AK369" s="108">
        <v>121.3</v>
      </c>
      <c r="AL369" s="108">
        <v>18.600000000000001</v>
      </c>
      <c r="AM369" s="108">
        <v>5</v>
      </c>
      <c r="AN369" s="7"/>
      <c r="AO369" s="7"/>
      <c r="AP369" s="7"/>
      <c r="AQ369" s="7"/>
      <c r="AR369" s="7"/>
      <c r="AS369" s="7"/>
      <c r="AT369" s="184"/>
      <c r="AU369" s="108"/>
      <c r="AV369" s="7"/>
      <c r="AW369" s="7"/>
      <c r="AX369" s="7" t="s">
        <v>2450</v>
      </c>
      <c r="AY369" s="7" t="s">
        <v>2423</v>
      </c>
    </row>
    <row r="370" spans="1:51">
      <c r="A370" s="7" t="s">
        <v>33</v>
      </c>
      <c r="B370" s="7" t="s">
        <v>43</v>
      </c>
      <c r="C370" s="7" t="s">
        <v>1550</v>
      </c>
      <c r="D370" s="7" t="s">
        <v>1826</v>
      </c>
      <c r="E370" s="7" t="s">
        <v>2455</v>
      </c>
      <c r="F370" s="7" t="s">
        <v>2456</v>
      </c>
      <c r="G370" s="7" t="s">
        <v>2457</v>
      </c>
      <c r="H370" s="7" t="s">
        <v>4184</v>
      </c>
      <c r="I370" s="100">
        <f>450/1000</f>
        <v>0.45</v>
      </c>
      <c r="J370" s="100">
        <f t="shared" si="75"/>
        <v>450</v>
      </c>
      <c r="K370" s="100">
        <f t="shared" si="76"/>
        <v>2.6532125137753435</v>
      </c>
      <c r="L370" s="73" t="s">
        <v>1517</v>
      </c>
      <c r="M370" s="7" t="s">
        <v>2458</v>
      </c>
      <c r="N370" s="7" t="s">
        <v>1538</v>
      </c>
      <c r="O370" s="7" t="s">
        <v>1505</v>
      </c>
      <c r="P370" s="108" t="s">
        <v>1492</v>
      </c>
      <c r="Q370" s="7" t="s">
        <v>2459</v>
      </c>
      <c r="R370" s="7">
        <v>42.434722000000001</v>
      </c>
      <c r="S370" s="7">
        <f t="shared" si="78"/>
        <v>42.434722000000001</v>
      </c>
      <c r="T370" s="7">
        <v>-83.984999999999999</v>
      </c>
      <c r="U370" s="7">
        <v>2</v>
      </c>
      <c r="V370" s="7"/>
      <c r="W370" s="7"/>
      <c r="X370" s="7" t="s">
        <v>2460</v>
      </c>
      <c r="Y370" s="7" t="s">
        <v>1781</v>
      </c>
      <c r="Z370" s="7">
        <v>5</v>
      </c>
      <c r="AA370" s="7">
        <v>25</v>
      </c>
      <c r="AB370" s="7">
        <v>1.1000000000000001</v>
      </c>
      <c r="AC370" s="7">
        <v>1.4999999999999999E-2</v>
      </c>
      <c r="AD370" s="7">
        <v>15</v>
      </c>
      <c r="AE370" s="7">
        <v>11.5</v>
      </c>
      <c r="AF370" s="7">
        <v>0.03</v>
      </c>
      <c r="AG370" s="7">
        <v>15</v>
      </c>
      <c r="AH370" s="7">
        <v>0.9</v>
      </c>
      <c r="AI370" s="7">
        <v>1.4999999999999999E-2</v>
      </c>
      <c r="AJ370" s="7">
        <v>15</v>
      </c>
      <c r="AK370" s="7">
        <v>9.6999999999999993</v>
      </c>
      <c r="AL370" s="7">
        <v>0.2</v>
      </c>
      <c r="AM370" s="7">
        <v>15</v>
      </c>
      <c r="AN370" s="7">
        <f t="shared" ref="AN370:AN377" si="83">(AE370/AB370)^(10/(AA370-Z370))</f>
        <v>3.2333489534143163</v>
      </c>
      <c r="AO370" s="7">
        <f t="shared" ref="AO370:AO377" si="84">(AK370/AB370)^(10/(AA370-Z370))</f>
        <v>2.9695423583747407</v>
      </c>
      <c r="AP370" s="7"/>
      <c r="AQ370" s="7"/>
      <c r="AR370" s="7"/>
      <c r="AS370" s="7">
        <f t="shared" ref="AS370:AS377" si="85">AVERAGE(AD370,AG370,AM370)</f>
        <v>15</v>
      </c>
      <c r="AT370" s="184">
        <f t="shared" ref="AT370:AT377" si="86">AVERAGE(AC370,AF370,AL370)</f>
        <v>8.1666666666666665E-2</v>
      </c>
      <c r="AU370" s="7"/>
      <c r="AV370" s="7" t="s">
        <v>1800</v>
      </c>
      <c r="AW370" s="7"/>
      <c r="AX370" s="7" t="s">
        <v>2461</v>
      </c>
      <c r="AY370" s="7" t="s">
        <v>2423</v>
      </c>
    </row>
    <row r="371" spans="1:51">
      <c r="A371" s="7" t="s">
        <v>33</v>
      </c>
      <c r="B371" s="7" t="s">
        <v>43</v>
      </c>
      <c r="C371" s="7" t="s">
        <v>1550</v>
      </c>
      <c r="D371" s="7" t="s">
        <v>1826</v>
      </c>
      <c r="E371" s="7" t="s">
        <v>2455</v>
      </c>
      <c r="F371" s="7" t="s">
        <v>2456</v>
      </c>
      <c r="G371" s="7" t="s">
        <v>2457</v>
      </c>
      <c r="H371" s="7" t="s">
        <v>4184</v>
      </c>
      <c r="I371" s="100">
        <f>450/1000</f>
        <v>0.45</v>
      </c>
      <c r="J371" s="100">
        <f t="shared" si="75"/>
        <v>450</v>
      </c>
      <c r="K371" s="100">
        <f t="shared" si="76"/>
        <v>2.6532125137753435</v>
      </c>
      <c r="L371" s="73" t="s">
        <v>1517</v>
      </c>
      <c r="M371" s="7" t="s">
        <v>2458</v>
      </c>
      <c r="N371" s="7" t="s">
        <v>1538</v>
      </c>
      <c r="O371" s="7" t="s">
        <v>1505</v>
      </c>
      <c r="P371" s="108" t="s">
        <v>1492</v>
      </c>
      <c r="Q371" s="7" t="s">
        <v>2459</v>
      </c>
      <c r="R371" s="7">
        <v>42.434722000000001</v>
      </c>
      <c r="S371" s="7">
        <f t="shared" si="78"/>
        <v>42.434722000000001</v>
      </c>
      <c r="T371" s="7">
        <v>-83.984999999999999</v>
      </c>
      <c r="U371" s="7">
        <v>2</v>
      </c>
      <c r="V371" s="7"/>
      <c r="W371" s="7"/>
      <c r="X371" s="7" t="s">
        <v>2462</v>
      </c>
      <c r="Y371" s="7" t="s">
        <v>1781</v>
      </c>
      <c r="Z371" s="7">
        <v>5</v>
      </c>
      <c r="AA371" s="7">
        <v>25</v>
      </c>
      <c r="AB371" s="7">
        <v>0.75</v>
      </c>
      <c r="AC371" s="7">
        <v>0.01</v>
      </c>
      <c r="AD371" s="7">
        <v>15</v>
      </c>
      <c r="AE371" s="7">
        <v>5.3</v>
      </c>
      <c r="AF371" s="7">
        <v>0.3</v>
      </c>
      <c r="AG371" s="7">
        <v>15</v>
      </c>
      <c r="AH371" s="7">
        <v>0.5</v>
      </c>
      <c r="AI371" s="7">
        <v>0.01</v>
      </c>
      <c r="AJ371" s="7">
        <v>15</v>
      </c>
      <c r="AK371" s="7">
        <v>3.9</v>
      </c>
      <c r="AL371" s="7">
        <v>0.2</v>
      </c>
      <c r="AM371" s="7">
        <v>15</v>
      </c>
      <c r="AN371" s="7">
        <f t="shared" si="83"/>
        <v>2.6583202716502514</v>
      </c>
      <c r="AO371" s="7">
        <f t="shared" si="84"/>
        <v>2.2803508501982761</v>
      </c>
      <c r="AP371" s="7"/>
      <c r="AQ371" s="7"/>
      <c r="AR371" s="7"/>
      <c r="AS371" s="7">
        <f t="shared" si="85"/>
        <v>15</v>
      </c>
      <c r="AT371" s="184">
        <f t="shared" si="86"/>
        <v>0.17</v>
      </c>
      <c r="AU371" s="7"/>
      <c r="AV371" s="7" t="s">
        <v>1800</v>
      </c>
      <c r="AW371" s="7"/>
      <c r="AX371" s="7" t="s">
        <v>2461</v>
      </c>
      <c r="AY371" s="7" t="s">
        <v>2423</v>
      </c>
    </row>
    <row r="372" spans="1:51">
      <c r="A372" s="7" t="s">
        <v>33</v>
      </c>
      <c r="B372" s="7" t="s">
        <v>34</v>
      </c>
      <c r="C372" s="7" t="s">
        <v>282</v>
      </c>
      <c r="D372" s="7" t="s">
        <v>283</v>
      </c>
      <c r="E372" s="7" t="s">
        <v>2401</v>
      </c>
      <c r="F372" s="7" t="s">
        <v>2463</v>
      </c>
      <c r="G372" s="7" t="s">
        <v>280</v>
      </c>
      <c r="H372" s="7" t="s">
        <v>4180</v>
      </c>
      <c r="I372" s="100">
        <v>0.1</v>
      </c>
      <c r="J372" s="100">
        <f t="shared" si="75"/>
        <v>100</v>
      </c>
      <c r="K372" s="100">
        <f t="shared" si="76"/>
        <v>2</v>
      </c>
      <c r="L372" s="73" t="s">
        <v>1502</v>
      </c>
      <c r="M372" s="7" t="s">
        <v>1599</v>
      </c>
      <c r="N372" s="7" t="s">
        <v>1538</v>
      </c>
      <c r="O372" s="7" t="s">
        <v>1505</v>
      </c>
      <c r="P372" s="108" t="s">
        <v>1492</v>
      </c>
      <c r="Q372" s="7" t="s">
        <v>2464</v>
      </c>
      <c r="R372" s="7">
        <v>42.75</v>
      </c>
      <c r="S372" s="7">
        <f t="shared" si="78"/>
        <v>42.75</v>
      </c>
      <c r="T372" s="7">
        <v>82.65</v>
      </c>
      <c r="U372" s="7">
        <v>2</v>
      </c>
      <c r="V372" s="7"/>
      <c r="W372" s="7"/>
      <c r="X372" s="7" t="s">
        <v>1727</v>
      </c>
      <c r="Y372" s="7" t="s">
        <v>1728</v>
      </c>
      <c r="Z372" s="7">
        <v>8</v>
      </c>
      <c r="AA372" s="7">
        <v>17</v>
      </c>
      <c r="AB372" s="7">
        <v>0.48</v>
      </c>
      <c r="AC372" s="7">
        <v>7.0000000000000007E-2</v>
      </c>
      <c r="AD372" s="7">
        <v>6</v>
      </c>
      <c r="AE372" s="7">
        <v>1.88</v>
      </c>
      <c r="AF372" s="7">
        <v>0.16</v>
      </c>
      <c r="AG372" s="7">
        <v>6</v>
      </c>
      <c r="AH372" s="7">
        <v>0.46</v>
      </c>
      <c r="AI372" s="7">
        <v>0.08</v>
      </c>
      <c r="AJ372" s="7">
        <v>6</v>
      </c>
      <c r="AK372" s="7">
        <v>0.8</v>
      </c>
      <c r="AL372" s="7">
        <v>0.95</v>
      </c>
      <c r="AM372" s="108">
        <v>6</v>
      </c>
      <c r="AN372" s="7">
        <f t="shared" si="83"/>
        <v>4.5582300033991938</v>
      </c>
      <c r="AO372" s="7">
        <f t="shared" si="84"/>
        <v>1.7640001214021124</v>
      </c>
      <c r="AP372" s="7"/>
      <c r="AQ372" s="7"/>
      <c r="AR372" s="7"/>
      <c r="AS372" s="7">
        <f t="shared" si="85"/>
        <v>6</v>
      </c>
      <c r="AT372" s="184">
        <f t="shared" si="86"/>
        <v>0.39333333333333331</v>
      </c>
      <c r="AU372" s="108"/>
      <c r="AV372" s="7" t="s">
        <v>1730</v>
      </c>
      <c r="AW372" s="7"/>
      <c r="AX372" s="7" t="s">
        <v>2465</v>
      </c>
      <c r="AY372" s="7" t="s">
        <v>2423</v>
      </c>
    </row>
    <row r="373" spans="1:51">
      <c r="A373" s="7" t="s">
        <v>33</v>
      </c>
      <c r="B373" s="7" t="s">
        <v>34</v>
      </c>
      <c r="C373" s="7" t="s">
        <v>1621</v>
      </c>
      <c r="D373" s="7" t="s">
        <v>1622</v>
      </c>
      <c r="E373" s="7" t="s">
        <v>1623</v>
      </c>
      <c r="F373" s="7" t="s">
        <v>1624</v>
      </c>
      <c r="G373" s="7" t="s">
        <v>1625</v>
      </c>
      <c r="H373" s="7" t="s">
        <v>4180</v>
      </c>
      <c r="I373" s="100">
        <f>0.236/1000</f>
        <v>2.3599999999999999E-4</v>
      </c>
      <c r="J373" s="100">
        <f t="shared" si="75"/>
        <v>0.23599999999999999</v>
      </c>
      <c r="K373" s="100">
        <f t="shared" si="76"/>
        <v>-0.62708799702989348</v>
      </c>
      <c r="L373" s="73" t="s">
        <v>1517</v>
      </c>
      <c r="M373" s="7" t="s">
        <v>1585</v>
      </c>
      <c r="N373" s="7" t="s">
        <v>1538</v>
      </c>
      <c r="O373" s="7" t="s">
        <v>1505</v>
      </c>
      <c r="P373" s="108" t="s">
        <v>1492</v>
      </c>
      <c r="Q373" s="7" t="s">
        <v>2466</v>
      </c>
      <c r="R373" s="7">
        <v>43.61</v>
      </c>
      <c r="S373" s="7">
        <f t="shared" si="78"/>
        <v>43.61</v>
      </c>
      <c r="T373" s="7">
        <v>3.88</v>
      </c>
      <c r="U373" s="7">
        <v>1</v>
      </c>
      <c r="V373" s="7"/>
      <c r="W373" s="7"/>
      <c r="X373" s="7" t="s">
        <v>1520</v>
      </c>
      <c r="Y373" s="7" t="s">
        <v>1521</v>
      </c>
      <c r="Z373" s="7">
        <v>18</v>
      </c>
      <c r="AA373" s="7">
        <v>30</v>
      </c>
      <c r="AB373" s="108">
        <v>13.5</v>
      </c>
      <c r="AC373" s="108">
        <v>0.1</v>
      </c>
      <c r="AD373" s="7">
        <v>15</v>
      </c>
      <c r="AE373" s="108">
        <v>19.7</v>
      </c>
      <c r="AF373" s="108">
        <v>0.2</v>
      </c>
      <c r="AG373" s="108">
        <v>15</v>
      </c>
      <c r="AH373" s="108">
        <v>11</v>
      </c>
      <c r="AI373" s="108">
        <v>0.6</v>
      </c>
      <c r="AJ373" s="108">
        <v>15</v>
      </c>
      <c r="AK373" s="108">
        <v>22.5</v>
      </c>
      <c r="AL373" s="108">
        <v>1</v>
      </c>
      <c r="AM373" s="108">
        <v>15</v>
      </c>
      <c r="AN373" s="7">
        <f t="shared" si="83"/>
        <v>1.3701781829307629</v>
      </c>
      <c r="AO373" s="7">
        <f t="shared" si="84"/>
        <v>1.5306431702807424</v>
      </c>
      <c r="AP373" s="7"/>
      <c r="AQ373" s="7"/>
      <c r="AR373" s="7"/>
      <c r="AS373" s="7">
        <f t="shared" si="85"/>
        <v>15</v>
      </c>
      <c r="AT373" s="184">
        <f t="shared" si="86"/>
        <v>0.43333333333333335</v>
      </c>
      <c r="AU373" s="108"/>
      <c r="AV373" s="7"/>
      <c r="AW373" s="7"/>
      <c r="AX373" s="7" t="s">
        <v>2467</v>
      </c>
      <c r="AY373" s="7" t="s">
        <v>2423</v>
      </c>
    </row>
    <row r="374" spans="1:51">
      <c r="A374" s="7" t="s">
        <v>33</v>
      </c>
      <c r="B374" s="7" t="s">
        <v>34</v>
      </c>
      <c r="C374" s="7" t="s">
        <v>61</v>
      </c>
      <c r="D374" s="7" t="s">
        <v>62</v>
      </c>
      <c r="E374" s="7" t="s">
        <v>1732</v>
      </c>
      <c r="F374" s="7" t="s">
        <v>1733</v>
      </c>
      <c r="G374" s="7" t="s">
        <v>1734</v>
      </c>
      <c r="H374" s="7" t="s">
        <v>4180</v>
      </c>
      <c r="I374" s="100">
        <f>AVERAGE(243,543)/1000</f>
        <v>0.39300000000000002</v>
      </c>
      <c r="J374" s="100">
        <f t="shared" si="75"/>
        <v>393</v>
      </c>
      <c r="K374" s="100">
        <f t="shared" si="76"/>
        <v>2.5943925503754266</v>
      </c>
      <c r="L374" s="73" t="s">
        <v>1502</v>
      </c>
      <c r="M374" s="7" t="s">
        <v>2468</v>
      </c>
      <c r="N374" s="7" t="s">
        <v>1538</v>
      </c>
      <c r="O374" s="7" t="s">
        <v>1494</v>
      </c>
      <c r="P374" s="108" t="s">
        <v>1539</v>
      </c>
      <c r="Q374" s="7" t="s">
        <v>2283</v>
      </c>
      <c r="R374" s="7">
        <v>46.56</v>
      </c>
      <c r="S374" s="7">
        <f t="shared" si="78"/>
        <v>46.56</v>
      </c>
      <c r="T374" s="7">
        <v>70.58</v>
      </c>
      <c r="U374" s="7">
        <v>2</v>
      </c>
      <c r="V374" s="7"/>
      <c r="W374" s="7"/>
      <c r="X374" s="7" t="s">
        <v>2320</v>
      </c>
      <c r="Y374" s="7" t="s">
        <v>2285</v>
      </c>
      <c r="Z374" s="7">
        <v>1</v>
      </c>
      <c r="AA374" s="7">
        <v>16</v>
      </c>
      <c r="AB374" s="7">
        <v>37</v>
      </c>
      <c r="AC374" s="7">
        <v>3.5</v>
      </c>
      <c r="AD374" s="7">
        <v>9</v>
      </c>
      <c r="AE374" s="7">
        <v>86.6</v>
      </c>
      <c r="AF374" s="7">
        <v>7</v>
      </c>
      <c r="AG374" s="7">
        <v>9</v>
      </c>
      <c r="AH374" s="7"/>
      <c r="AI374" s="7"/>
      <c r="AJ374" s="7"/>
      <c r="AK374" s="7">
        <v>24.9</v>
      </c>
      <c r="AL374" s="7">
        <v>2.1</v>
      </c>
      <c r="AM374" s="7">
        <v>11</v>
      </c>
      <c r="AN374" s="7">
        <f t="shared" si="83"/>
        <v>1.7628314039102191</v>
      </c>
      <c r="AO374" s="7">
        <f t="shared" si="84"/>
        <v>0.76794788507229184</v>
      </c>
      <c r="AP374" s="7"/>
      <c r="AQ374" s="7"/>
      <c r="AR374" s="7"/>
      <c r="AS374" s="7">
        <f t="shared" si="85"/>
        <v>9.6666666666666661</v>
      </c>
      <c r="AT374" s="184">
        <f t="shared" si="86"/>
        <v>4.2</v>
      </c>
      <c r="AU374" s="7"/>
      <c r="AV374" s="7" t="s">
        <v>2469</v>
      </c>
      <c r="AW374" s="7" t="s">
        <v>2470</v>
      </c>
      <c r="AX374" s="7" t="s">
        <v>2468</v>
      </c>
      <c r="AY374" s="7" t="s">
        <v>2423</v>
      </c>
    </row>
    <row r="375" spans="1:51">
      <c r="A375" s="7" t="s">
        <v>33</v>
      </c>
      <c r="B375" s="7" t="s">
        <v>34</v>
      </c>
      <c r="C375" s="7" t="s">
        <v>61</v>
      </c>
      <c r="D375" s="7" t="s">
        <v>62</v>
      </c>
      <c r="E375" s="7" t="s">
        <v>1732</v>
      </c>
      <c r="F375" s="7" t="s">
        <v>1733</v>
      </c>
      <c r="G375" s="7" t="s">
        <v>1734</v>
      </c>
      <c r="H375" s="7" t="s">
        <v>4180</v>
      </c>
      <c r="I375" s="100">
        <f>AVERAGE(243,543)/1000</f>
        <v>0.39300000000000002</v>
      </c>
      <c r="J375" s="100">
        <f t="shared" si="75"/>
        <v>393</v>
      </c>
      <c r="K375" s="100">
        <f t="shared" si="76"/>
        <v>2.5943925503754266</v>
      </c>
      <c r="L375" s="73" t="s">
        <v>1502</v>
      </c>
      <c r="M375" s="7" t="s">
        <v>2468</v>
      </c>
      <c r="N375" s="7" t="s">
        <v>1538</v>
      </c>
      <c r="O375" s="7" t="s">
        <v>1494</v>
      </c>
      <c r="P375" s="108" t="s">
        <v>1539</v>
      </c>
      <c r="Q375" s="7" t="s">
        <v>2283</v>
      </c>
      <c r="R375" s="7">
        <v>46.56</v>
      </c>
      <c r="S375" s="7">
        <f t="shared" si="78"/>
        <v>46.56</v>
      </c>
      <c r="T375" s="7">
        <v>70.58</v>
      </c>
      <c r="U375" s="7">
        <v>2</v>
      </c>
      <c r="V375" s="7"/>
      <c r="W375" s="7"/>
      <c r="X375" s="7" t="s">
        <v>2284</v>
      </c>
      <c r="Y375" s="7" t="s">
        <v>2285</v>
      </c>
      <c r="Z375" s="7">
        <v>1</v>
      </c>
      <c r="AA375" s="7">
        <v>16</v>
      </c>
      <c r="AB375" s="7">
        <v>16</v>
      </c>
      <c r="AC375" s="7">
        <v>1.3</v>
      </c>
      <c r="AD375" s="7">
        <v>9</v>
      </c>
      <c r="AE375" s="7">
        <v>29.1</v>
      </c>
      <c r="AF375" s="7">
        <v>1.9</v>
      </c>
      <c r="AG375" s="7">
        <v>9</v>
      </c>
      <c r="AH375" s="7"/>
      <c r="AI375" s="7"/>
      <c r="AJ375" s="7"/>
      <c r="AK375" s="7">
        <v>21</v>
      </c>
      <c r="AL375" s="7">
        <v>0.9</v>
      </c>
      <c r="AM375" s="7">
        <v>11</v>
      </c>
      <c r="AN375" s="7">
        <f t="shared" si="83"/>
        <v>1.4899853702600923</v>
      </c>
      <c r="AO375" s="7">
        <f t="shared" si="84"/>
        <v>1.1987617435402722</v>
      </c>
      <c r="AP375" s="7"/>
      <c r="AQ375" s="7"/>
      <c r="AR375" s="7"/>
      <c r="AS375" s="7">
        <f t="shared" si="85"/>
        <v>9.6666666666666661</v>
      </c>
      <c r="AT375" s="184">
        <f t="shared" si="86"/>
        <v>1.3666666666666669</v>
      </c>
      <c r="AU375" s="7"/>
      <c r="AV375" s="7" t="s">
        <v>2469</v>
      </c>
      <c r="AW375" s="7" t="s">
        <v>2470</v>
      </c>
      <c r="AX375" s="7" t="s">
        <v>2468</v>
      </c>
      <c r="AY375" s="7" t="s">
        <v>2423</v>
      </c>
    </row>
    <row r="376" spans="1:51">
      <c r="A376" s="7" t="s">
        <v>33</v>
      </c>
      <c r="B376" s="7" t="s">
        <v>34</v>
      </c>
      <c r="C376" s="7" t="s">
        <v>61</v>
      </c>
      <c r="D376" s="7" t="s">
        <v>62</v>
      </c>
      <c r="E376" s="7" t="s">
        <v>1732</v>
      </c>
      <c r="F376" s="7" t="s">
        <v>1733</v>
      </c>
      <c r="G376" s="7" t="s">
        <v>1734</v>
      </c>
      <c r="H376" s="7" t="s">
        <v>4180</v>
      </c>
      <c r="I376" s="100">
        <f>AVERAGE(243,543)/1000</f>
        <v>0.39300000000000002</v>
      </c>
      <c r="J376" s="100">
        <f t="shared" si="75"/>
        <v>393</v>
      </c>
      <c r="K376" s="100">
        <f t="shared" si="76"/>
        <v>2.5943925503754266</v>
      </c>
      <c r="L376" s="73" t="s">
        <v>1502</v>
      </c>
      <c r="M376" s="7" t="s">
        <v>2468</v>
      </c>
      <c r="N376" s="7" t="s">
        <v>1538</v>
      </c>
      <c r="O376" s="7" t="s">
        <v>1494</v>
      </c>
      <c r="P376" s="108" t="s">
        <v>1539</v>
      </c>
      <c r="Q376" s="7" t="s">
        <v>2283</v>
      </c>
      <c r="R376" s="7">
        <v>46.56</v>
      </c>
      <c r="S376" s="7">
        <f t="shared" si="78"/>
        <v>46.56</v>
      </c>
      <c r="T376" s="7">
        <v>70.58</v>
      </c>
      <c r="U376" s="7">
        <v>2</v>
      </c>
      <c r="V376" s="7"/>
      <c r="W376" s="7"/>
      <c r="X376" s="7" t="s">
        <v>2471</v>
      </c>
      <c r="Y376" s="7" t="s">
        <v>2285</v>
      </c>
      <c r="Z376" s="7">
        <v>1</v>
      </c>
      <c r="AA376" s="7">
        <v>16</v>
      </c>
      <c r="AB376" s="7">
        <v>0.24</v>
      </c>
      <c r="AC376" s="7">
        <v>0.02</v>
      </c>
      <c r="AD376" s="7">
        <v>9</v>
      </c>
      <c r="AE376" s="7">
        <v>0.55000000000000004</v>
      </c>
      <c r="AF376" s="7">
        <v>0.04</v>
      </c>
      <c r="AG376" s="7">
        <v>9</v>
      </c>
      <c r="AH376" s="7"/>
      <c r="AI376" s="7"/>
      <c r="AJ376" s="7"/>
      <c r="AK376" s="7">
        <v>0.27</v>
      </c>
      <c r="AL376" s="7">
        <v>0.03</v>
      </c>
      <c r="AM376" s="7">
        <v>11</v>
      </c>
      <c r="AN376" s="7">
        <f t="shared" si="83"/>
        <v>1.7382048812811528</v>
      </c>
      <c r="AO376" s="7">
        <f t="shared" si="84"/>
        <v>1.0816871777305563</v>
      </c>
      <c r="AP376" s="7"/>
      <c r="AQ376" s="7"/>
      <c r="AR376" s="7"/>
      <c r="AS376" s="7">
        <f t="shared" si="85"/>
        <v>9.6666666666666661</v>
      </c>
      <c r="AT376" s="184">
        <f t="shared" si="86"/>
        <v>0.03</v>
      </c>
      <c r="AU376" s="7"/>
      <c r="AV376" s="7" t="s">
        <v>2469</v>
      </c>
      <c r="AW376" s="7" t="s">
        <v>2470</v>
      </c>
      <c r="AX376" s="7" t="s">
        <v>2468</v>
      </c>
      <c r="AY376" s="7" t="s">
        <v>2423</v>
      </c>
    </row>
    <row r="377" spans="1:51">
      <c r="A377" s="7" t="s">
        <v>33</v>
      </c>
      <c r="B377" s="7" t="s">
        <v>34</v>
      </c>
      <c r="C377" s="7" t="s">
        <v>61</v>
      </c>
      <c r="D377" s="7" t="s">
        <v>62</v>
      </c>
      <c r="E377" s="7" t="s">
        <v>1732</v>
      </c>
      <c r="F377" s="7" t="s">
        <v>1733</v>
      </c>
      <c r="G377" s="7" t="s">
        <v>1734</v>
      </c>
      <c r="H377" s="7" t="s">
        <v>4180</v>
      </c>
      <c r="I377" s="100">
        <f>AVERAGE(243,543)/1000</f>
        <v>0.39300000000000002</v>
      </c>
      <c r="J377" s="100">
        <f t="shared" si="75"/>
        <v>393</v>
      </c>
      <c r="K377" s="100">
        <f t="shared" si="76"/>
        <v>2.5943925503754266</v>
      </c>
      <c r="L377" s="73" t="s">
        <v>1502</v>
      </c>
      <c r="M377" s="7" t="s">
        <v>2468</v>
      </c>
      <c r="N377" s="7" t="s">
        <v>1538</v>
      </c>
      <c r="O377" s="7" t="s">
        <v>1494</v>
      </c>
      <c r="P377" s="108" t="s">
        <v>1539</v>
      </c>
      <c r="Q377" s="7" t="s">
        <v>2283</v>
      </c>
      <c r="R377" s="7">
        <v>46.56</v>
      </c>
      <c r="S377" s="7">
        <f t="shared" si="78"/>
        <v>46.56</v>
      </c>
      <c r="T377" s="7">
        <v>70.58</v>
      </c>
      <c r="U377" s="7">
        <v>2</v>
      </c>
      <c r="V377" s="7"/>
      <c r="W377" s="7"/>
      <c r="X377" s="7" t="s">
        <v>1710</v>
      </c>
      <c r="Y377" s="7" t="s">
        <v>2285</v>
      </c>
      <c r="Z377" s="7">
        <v>1</v>
      </c>
      <c r="AA377" s="7">
        <v>16</v>
      </c>
      <c r="AB377" s="7">
        <v>0.43</v>
      </c>
      <c r="AC377" s="7">
        <v>0.03</v>
      </c>
      <c r="AD377" s="7">
        <v>7</v>
      </c>
      <c r="AE377" s="7">
        <v>3.75</v>
      </c>
      <c r="AF377" s="7">
        <v>0.33</v>
      </c>
      <c r="AG377" s="7">
        <v>9</v>
      </c>
      <c r="AH377" s="7"/>
      <c r="AI377" s="7"/>
      <c r="AJ377" s="7"/>
      <c r="AK377" s="7">
        <v>3.91</v>
      </c>
      <c r="AL377" s="7">
        <v>0.43</v>
      </c>
      <c r="AM377" s="7">
        <v>11</v>
      </c>
      <c r="AN377" s="7">
        <f t="shared" si="83"/>
        <v>4.2368381576289771</v>
      </c>
      <c r="AO377" s="7">
        <f t="shared" si="84"/>
        <v>4.3565115309679019</v>
      </c>
      <c r="AP377" s="7"/>
      <c r="AQ377" s="7"/>
      <c r="AR377" s="7"/>
      <c r="AS377" s="7">
        <f t="shared" si="85"/>
        <v>9</v>
      </c>
      <c r="AT377" s="184">
        <f t="shared" si="86"/>
        <v>0.26333333333333336</v>
      </c>
      <c r="AU377" s="7"/>
      <c r="AV377" s="7" t="s">
        <v>2469</v>
      </c>
      <c r="AW377" s="7" t="s">
        <v>2470</v>
      </c>
      <c r="AX377" s="7" t="s">
        <v>2468</v>
      </c>
      <c r="AY377" s="7" t="s">
        <v>2423</v>
      </c>
    </row>
    <row r="378" spans="1:51">
      <c r="A378" s="7" t="s">
        <v>33</v>
      </c>
      <c r="B378" s="7" t="s">
        <v>43</v>
      </c>
      <c r="C378" s="7" t="s">
        <v>1550</v>
      </c>
      <c r="D378" s="7" t="s">
        <v>2472</v>
      </c>
      <c r="E378" s="7" t="s">
        <v>2473</v>
      </c>
      <c r="F378" s="7" t="s">
        <v>2474</v>
      </c>
      <c r="G378" s="7" t="s">
        <v>2475</v>
      </c>
      <c r="H378" s="7" t="s">
        <v>4184</v>
      </c>
      <c r="I378" s="100">
        <f>AVERAGE(2, 57)</f>
        <v>29.5</v>
      </c>
      <c r="J378" s="100">
        <f t="shared" si="75"/>
        <v>29500</v>
      </c>
      <c r="K378" s="100">
        <f t="shared" si="76"/>
        <v>4.4698220159781634</v>
      </c>
      <c r="L378" s="73" t="s">
        <v>1517</v>
      </c>
      <c r="M378" s="7" t="s">
        <v>2476</v>
      </c>
      <c r="N378" s="7" t="s">
        <v>1504</v>
      </c>
      <c r="O378" s="7" t="s">
        <v>1505</v>
      </c>
      <c r="P378" s="108" t="s">
        <v>1492</v>
      </c>
      <c r="Q378" s="7" t="s">
        <v>2477</v>
      </c>
      <c r="R378" s="7">
        <v>50.85</v>
      </c>
      <c r="S378" s="7">
        <f t="shared" si="78"/>
        <v>50.85</v>
      </c>
      <c r="T378" s="7">
        <v>14.8</v>
      </c>
      <c r="U378" s="7">
        <v>2</v>
      </c>
      <c r="V378" s="7"/>
      <c r="W378" s="7"/>
      <c r="X378" s="7" t="s">
        <v>1779</v>
      </c>
      <c r="Y378" s="7" t="s">
        <v>1781</v>
      </c>
      <c r="Z378" s="7">
        <v>15.7</v>
      </c>
      <c r="AA378" s="7">
        <v>25.4</v>
      </c>
      <c r="AB378" s="7">
        <v>0.8242105263157895</v>
      </c>
      <c r="AC378" s="7">
        <v>0.26016194331983805</v>
      </c>
      <c r="AD378" s="7">
        <v>9</v>
      </c>
      <c r="AE378" s="7"/>
      <c r="AF378" s="7"/>
      <c r="AG378" s="7"/>
      <c r="AH378" s="7"/>
      <c r="AI378" s="7"/>
      <c r="AJ378" s="7"/>
      <c r="AK378" s="7">
        <v>4.3051821862348172</v>
      </c>
      <c r="AL378" s="7">
        <v>1.6158704453441295</v>
      </c>
      <c r="AM378" s="7">
        <v>9</v>
      </c>
      <c r="AN378" s="7"/>
      <c r="AO378" s="7"/>
      <c r="AP378" s="7"/>
      <c r="AQ378" s="7"/>
      <c r="AR378" s="7"/>
      <c r="AS378" s="7"/>
      <c r="AT378" s="184"/>
      <c r="AU378" s="7"/>
      <c r="AV378" s="7"/>
      <c r="AW378" s="7"/>
      <c r="AX378" s="7" t="s">
        <v>2476</v>
      </c>
      <c r="AY378" s="7" t="s">
        <v>2423</v>
      </c>
    </row>
    <row r="379" spans="1:51">
      <c r="A379" s="7" t="s">
        <v>23</v>
      </c>
      <c r="B379" s="7" t="s">
        <v>1713</v>
      </c>
      <c r="C379" s="7" t="s">
        <v>1653</v>
      </c>
      <c r="D379" s="7" t="s">
        <v>2478</v>
      </c>
      <c r="E379" s="7" t="s">
        <v>2479</v>
      </c>
      <c r="F379" s="7" t="s">
        <v>2480</v>
      </c>
      <c r="G379" s="7" t="s">
        <v>2481</v>
      </c>
      <c r="H379" s="7" t="s">
        <v>4185</v>
      </c>
      <c r="I379" s="100">
        <f>250/1000000</f>
        <v>2.5000000000000001E-4</v>
      </c>
      <c r="J379" s="100">
        <f t="shared" si="75"/>
        <v>0.25</v>
      </c>
      <c r="K379" s="100">
        <f t="shared" si="76"/>
        <v>-0.6020599913279624</v>
      </c>
      <c r="L379" s="73" t="s">
        <v>1517</v>
      </c>
      <c r="M379" s="7" t="s">
        <v>2482</v>
      </c>
      <c r="N379" s="110" t="s">
        <v>1504</v>
      </c>
      <c r="O379" s="110" t="s">
        <v>1505</v>
      </c>
      <c r="P379" s="108" t="s">
        <v>1492</v>
      </c>
      <c r="Q379" s="110" t="s">
        <v>2483</v>
      </c>
      <c r="R379" s="110">
        <v>53.23</v>
      </c>
      <c r="S379" s="7">
        <f t="shared" si="78"/>
        <v>53.23</v>
      </c>
      <c r="T379" s="110">
        <v>4.5199999999999996</v>
      </c>
      <c r="U379" s="7">
        <v>2</v>
      </c>
      <c r="V379" s="7"/>
      <c r="W379" s="7"/>
      <c r="X379" s="7" t="s">
        <v>1779</v>
      </c>
      <c r="Y379" s="7" t="s">
        <v>1781</v>
      </c>
      <c r="Z379" s="7">
        <v>5</v>
      </c>
      <c r="AA379" s="7">
        <v>20</v>
      </c>
      <c r="AB379" s="108">
        <f>33/25</f>
        <v>1.32</v>
      </c>
      <c r="AC379" s="108">
        <f>3/24</f>
        <v>0.125</v>
      </c>
      <c r="AD379" s="110">
        <v>6</v>
      </c>
      <c r="AE379" s="7">
        <f>120/24</f>
        <v>5</v>
      </c>
      <c r="AF379" s="7">
        <f>20/24</f>
        <v>0.83333333333333337</v>
      </c>
      <c r="AG379" s="110">
        <v>6</v>
      </c>
      <c r="AH379" s="7">
        <f>33/24</f>
        <v>1.375</v>
      </c>
      <c r="AI379" s="7">
        <f>3/24</f>
        <v>0.125</v>
      </c>
      <c r="AJ379" s="110">
        <v>6</v>
      </c>
      <c r="AK379" s="7">
        <f>115/24</f>
        <v>4.791666666666667</v>
      </c>
      <c r="AL379" s="7">
        <f>10/24</f>
        <v>0.41666666666666669</v>
      </c>
      <c r="AM379" s="110">
        <v>6</v>
      </c>
      <c r="AN379" s="7">
        <f>(AE379/AB379)^(10/(AA379-Z379))</f>
        <v>2.4299502499968382</v>
      </c>
      <c r="AO379" s="7">
        <f>(AK379/AB379)^(10/(AA379-Z379))</f>
        <v>2.3619739941362203</v>
      </c>
      <c r="AP379" s="7"/>
      <c r="AQ379" s="7"/>
      <c r="AR379" s="7"/>
      <c r="AS379" s="7">
        <f>AVERAGE(AD379,AG379,AM379)</f>
        <v>6</v>
      </c>
      <c r="AT379" s="184">
        <f>AVERAGE(AC379,AF379,AL379)</f>
        <v>0.45833333333333331</v>
      </c>
      <c r="AU379" s="110"/>
      <c r="AV379" s="7" t="s">
        <v>2484</v>
      </c>
      <c r="AW379" s="7"/>
      <c r="AX379" s="7" t="s">
        <v>2482</v>
      </c>
      <c r="AY379" s="7" t="s">
        <v>2423</v>
      </c>
    </row>
    <row r="380" spans="1:51">
      <c r="A380" s="7" t="s">
        <v>33</v>
      </c>
      <c r="B380" s="7" t="s">
        <v>34</v>
      </c>
      <c r="C380" s="7" t="s">
        <v>66</v>
      </c>
      <c r="D380" s="7" t="s">
        <v>67</v>
      </c>
      <c r="E380" s="7" t="s">
        <v>1743</v>
      </c>
      <c r="F380" s="7" t="s">
        <v>2485</v>
      </c>
      <c r="G380" s="7" t="s">
        <v>2486</v>
      </c>
      <c r="H380" s="7" t="s">
        <v>4180</v>
      </c>
      <c r="I380" s="100">
        <f>350/1000</f>
        <v>0.35</v>
      </c>
      <c r="J380" s="100">
        <f t="shared" si="75"/>
        <v>350</v>
      </c>
      <c r="K380" s="100">
        <f t="shared" si="76"/>
        <v>2.5440680443502757</v>
      </c>
      <c r="L380" s="73" t="s">
        <v>1502</v>
      </c>
      <c r="M380" s="7" t="s">
        <v>2487</v>
      </c>
      <c r="N380" s="110" t="s">
        <v>1538</v>
      </c>
      <c r="O380" s="110" t="s">
        <v>1505</v>
      </c>
      <c r="P380" s="108" t="s">
        <v>1492</v>
      </c>
      <c r="Q380" s="110" t="s">
        <v>1736</v>
      </c>
      <c r="R380" s="110">
        <v>62.6</v>
      </c>
      <c r="S380" s="7">
        <f t="shared" si="78"/>
        <v>62.6</v>
      </c>
      <c r="T380" s="110">
        <v>29.75</v>
      </c>
      <c r="U380" s="7">
        <v>2</v>
      </c>
      <c r="V380" s="7"/>
      <c r="W380" s="7"/>
      <c r="X380" s="7" t="s">
        <v>2488</v>
      </c>
      <c r="Y380" s="7" t="s">
        <v>2147</v>
      </c>
      <c r="Z380" s="7">
        <v>2</v>
      </c>
      <c r="AA380" s="7">
        <v>22</v>
      </c>
      <c r="AB380" s="108">
        <v>0.2</v>
      </c>
      <c r="AC380" s="108">
        <v>0.01</v>
      </c>
      <c r="AD380" s="110">
        <v>10</v>
      </c>
      <c r="AE380" s="7">
        <v>4.2</v>
      </c>
      <c r="AF380" s="7">
        <v>0.5</v>
      </c>
      <c r="AG380" s="110">
        <v>10</v>
      </c>
      <c r="AH380" s="7">
        <v>0.2</v>
      </c>
      <c r="AI380" s="7">
        <v>0.01</v>
      </c>
      <c r="AJ380" s="110">
        <v>10</v>
      </c>
      <c r="AK380" s="108">
        <v>3.5</v>
      </c>
      <c r="AL380" s="108">
        <v>0.5</v>
      </c>
      <c r="AM380" s="110">
        <v>10</v>
      </c>
      <c r="AN380" s="7">
        <f>(AE380/AB380)^(10/(AA380-Z380))</f>
        <v>4.5825756949558398</v>
      </c>
      <c r="AO380" s="7">
        <f>(AK380/AB380)^(10/(AA380-Z380))</f>
        <v>4.1833001326703778</v>
      </c>
      <c r="AP380" s="7"/>
      <c r="AQ380" s="7"/>
      <c r="AR380" s="7"/>
      <c r="AS380" s="7">
        <f>AVERAGE(AD380,AG380,AM380)</f>
        <v>10</v>
      </c>
      <c r="AT380" s="184">
        <f>AVERAGE(AC380,AF380,AL380)</f>
        <v>0.33666666666666667</v>
      </c>
      <c r="AU380" s="110"/>
      <c r="AV380" s="7" t="s">
        <v>2489</v>
      </c>
      <c r="AW380" s="7"/>
      <c r="AX380" s="7" t="s">
        <v>2490</v>
      </c>
      <c r="AY380" s="7" t="s">
        <v>2423</v>
      </c>
    </row>
    <row r="381" spans="1:51">
      <c r="A381" s="7" t="s">
        <v>1876</v>
      </c>
      <c r="B381" s="7" t="s">
        <v>1877</v>
      </c>
      <c r="C381" s="7" t="s">
        <v>1878</v>
      </c>
      <c r="D381" s="7" t="s">
        <v>1879</v>
      </c>
      <c r="E381" s="7" t="s">
        <v>1880</v>
      </c>
      <c r="F381" s="7" t="s">
        <v>1881</v>
      </c>
      <c r="G381" s="7" t="s">
        <v>1882</v>
      </c>
      <c r="H381" s="7" t="s">
        <v>1877</v>
      </c>
      <c r="I381" s="100">
        <f>45/1000</f>
        <v>4.4999999999999998E-2</v>
      </c>
      <c r="J381" s="100">
        <f t="shared" si="75"/>
        <v>45</v>
      </c>
      <c r="K381" s="100">
        <f t="shared" si="76"/>
        <v>1.6532125137753437</v>
      </c>
      <c r="L381" s="73" t="s">
        <v>1517</v>
      </c>
      <c r="M381" s="7" t="s">
        <v>1883</v>
      </c>
      <c r="N381" s="7" t="s">
        <v>1504</v>
      </c>
      <c r="O381" s="7" t="s">
        <v>1505</v>
      </c>
      <c r="P381" s="108" t="s">
        <v>1492</v>
      </c>
      <c r="Q381" s="7" t="s">
        <v>2491</v>
      </c>
      <c r="R381" s="7">
        <v>67.5</v>
      </c>
      <c r="S381" s="7">
        <f t="shared" si="78"/>
        <v>67.5</v>
      </c>
      <c r="T381" s="7">
        <v>68.099999999999994</v>
      </c>
      <c r="U381" s="7">
        <v>2</v>
      </c>
      <c r="V381" s="7"/>
      <c r="W381" s="7"/>
      <c r="X381" s="7" t="s">
        <v>1779</v>
      </c>
      <c r="Y381" s="7" t="s">
        <v>1781</v>
      </c>
      <c r="Z381" s="7">
        <v>-1.7</v>
      </c>
      <c r="AA381" s="7">
        <v>0.6</v>
      </c>
      <c r="AB381" s="108">
        <v>1.05</v>
      </c>
      <c r="AC381" s="108">
        <v>0.2</v>
      </c>
      <c r="AD381" s="7"/>
      <c r="AE381" s="7"/>
      <c r="AF381" s="7"/>
      <c r="AG381" s="7"/>
      <c r="AH381" s="7"/>
      <c r="AI381" s="7"/>
      <c r="AJ381" s="7"/>
      <c r="AK381" s="108">
        <v>2.5</v>
      </c>
      <c r="AL381" s="108">
        <v>0.25</v>
      </c>
      <c r="AM381" s="7"/>
      <c r="AN381" s="7"/>
      <c r="AO381" s="7"/>
      <c r="AP381" s="7"/>
      <c r="AQ381" s="7"/>
      <c r="AR381" s="7"/>
      <c r="AS381" s="7"/>
      <c r="AT381" s="184"/>
      <c r="AU381" s="7"/>
      <c r="AV381" s="7" t="s">
        <v>2492</v>
      </c>
      <c r="AW381" s="7"/>
      <c r="AX381" s="7" t="s">
        <v>2493</v>
      </c>
      <c r="AY381" s="7" t="s">
        <v>2423</v>
      </c>
    </row>
    <row r="382" spans="1:51">
      <c r="A382" s="7" t="s">
        <v>23</v>
      </c>
      <c r="B382" s="7" t="s">
        <v>24</v>
      </c>
      <c r="C382" s="7" t="s">
        <v>2494</v>
      </c>
      <c r="D382" s="7" t="s">
        <v>2495</v>
      </c>
      <c r="E382" s="7" t="s">
        <v>2496</v>
      </c>
      <c r="F382" s="7" t="s">
        <v>2497</v>
      </c>
      <c r="G382" s="7" t="s">
        <v>2498</v>
      </c>
      <c r="H382" s="7" t="s">
        <v>4185</v>
      </c>
      <c r="I382" s="100">
        <v>5.9799999999999997E-5</v>
      </c>
      <c r="J382" s="100">
        <f t="shared" si="75"/>
        <v>5.9799999999999999E-2</v>
      </c>
      <c r="K382" s="100">
        <f t="shared" si="76"/>
        <v>-1.2232988160115892</v>
      </c>
      <c r="L382" s="73" t="s">
        <v>1502</v>
      </c>
      <c r="M382" s="7" t="s">
        <v>1632</v>
      </c>
      <c r="N382" s="7" t="s">
        <v>1640</v>
      </c>
      <c r="O382" s="7" t="s">
        <v>1494</v>
      </c>
      <c r="P382" s="108" t="s">
        <v>1492</v>
      </c>
      <c r="Q382" s="7" t="s">
        <v>2499</v>
      </c>
      <c r="R382" s="7" t="s">
        <v>2499</v>
      </c>
      <c r="S382" s="7"/>
      <c r="T382" s="7" t="s">
        <v>2499</v>
      </c>
      <c r="U382" s="7">
        <v>1</v>
      </c>
      <c r="V382" s="7">
        <v>30</v>
      </c>
      <c r="W382" s="7">
        <f t="shared" ref="W382:W431" si="87">LOG(V382)</f>
        <v>1.4771212547196624</v>
      </c>
      <c r="X382" s="7" t="s">
        <v>1729</v>
      </c>
      <c r="Y382" s="7" t="s">
        <v>2500</v>
      </c>
      <c r="Z382" s="7">
        <v>15</v>
      </c>
      <c r="AA382" s="7">
        <v>30</v>
      </c>
      <c r="AB382" s="7">
        <v>0.41099999999999998</v>
      </c>
      <c r="AC382" s="7"/>
      <c r="AD382" s="7"/>
      <c r="AE382" s="7">
        <v>2.7040000000000002</v>
      </c>
      <c r="AF382" s="7"/>
      <c r="AG382" s="7"/>
      <c r="AH382" s="7">
        <v>0.35099999999999998</v>
      </c>
      <c r="AI382" s="7"/>
      <c r="AJ382" s="7"/>
      <c r="AK382" s="7">
        <v>1.1830000000000001</v>
      </c>
      <c r="AL382" s="7"/>
      <c r="AM382" s="7"/>
      <c r="AN382" s="7">
        <f>(AE382/AB382)^(10/(AA382-Z382))</f>
        <v>3.5111003619349819</v>
      </c>
      <c r="AO382" s="7">
        <f>(AK382/AB382)^(10/(AA382-Z382))</f>
        <v>2.0234630667155735</v>
      </c>
      <c r="AP382" s="7"/>
      <c r="AQ382" s="7"/>
      <c r="AR382" s="7"/>
      <c r="AS382" s="7"/>
      <c r="AT382" s="184"/>
      <c r="AU382" s="7"/>
      <c r="AV382" s="7" t="s">
        <v>2501</v>
      </c>
      <c r="AW382" s="7" t="s">
        <v>2502</v>
      </c>
      <c r="AX382" s="7" t="s">
        <v>2503</v>
      </c>
      <c r="AY382" s="7" t="s">
        <v>1</v>
      </c>
    </row>
    <row r="383" spans="1:51">
      <c r="A383" s="7" t="s">
        <v>33</v>
      </c>
      <c r="B383" s="7" t="s">
        <v>43</v>
      </c>
      <c r="C383" s="7" t="s">
        <v>44</v>
      </c>
      <c r="D383" s="7" t="s">
        <v>2504</v>
      </c>
      <c r="E383" s="7" t="s">
        <v>2505</v>
      </c>
      <c r="F383" s="7" t="s">
        <v>2506</v>
      </c>
      <c r="G383" s="7" t="s">
        <v>2507</v>
      </c>
      <c r="H383" s="7" t="s">
        <v>4184</v>
      </c>
      <c r="I383" s="100">
        <f>14/1000</f>
        <v>1.4E-2</v>
      </c>
      <c r="J383" s="100">
        <f t="shared" si="75"/>
        <v>14</v>
      </c>
      <c r="K383" s="100">
        <f t="shared" si="76"/>
        <v>1.146128035678238</v>
      </c>
      <c r="L383" s="73" t="s">
        <v>1517</v>
      </c>
      <c r="M383" s="7" t="s">
        <v>2508</v>
      </c>
      <c r="N383" s="7" t="s">
        <v>1640</v>
      </c>
      <c r="O383" s="7" t="s">
        <v>1494</v>
      </c>
      <c r="P383" s="108" t="s">
        <v>1492</v>
      </c>
      <c r="Q383" s="7" t="s">
        <v>2499</v>
      </c>
      <c r="R383" s="7" t="s">
        <v>2499</v>
      </c>
      <c r="S383" s="7"/>
      <c r="T383" s="7"/>
      <c r="U383" s="7">
        <v>1</v>
      </c>
      <c r="V383" s="7">
        <v>42</v>
      </c>
      <c r="W383" s="7">
        <f t="shared" si="87"/>
        <v>1.6232492903979006</v>
      </c>
      <c r="X383" s="7" t="s">
        <v>1779</v>
      </c>
      <c r="Y383" s="7" t="s">
        <v>1781</v>
      </c>
      <c r="Z383" s="7">
        <v>20</v>
      </c>
      <c r="AA383" s="7">
        <v>30</v>
      </c>
      <c r="AB383" s="7">
        <v>3.2000000000000001E-2</v>
      </c>
      <c r="AC383" s="7">
        <v>3.0000000000000001E-3</v>
      </c>
      <c r="AD383" s="7">
        <v>8</v>
      </c>
      <c r="AE383" s="7">
        <v>9.4E-2</v>
      </c>
      <c r="AF383" s="7">
        <v>4.0000000000000001E-3</v>
      </c>
      <c r="AG383" s="7">
        <v>8</v>
      </c>
      <c r="AH383" s="7">
        <v>2.3E-2</v>
      </c>
      <c r="AI383" s="7">
        <v>1E-3</v>
      </c>
      <c r="AJ383" s="7">
        <v>8</v>
      </c>
      <c r="AK383" s="7">
        <v>6.6000000000000003E-2</v>
      </c>
      <c r="AL383" s="7">
        <v>2E-3</v>
      </c>
      <c r="AM383" s="7">
        <v>8</v>
      </c>
      <c r="AN383" s="7">
        <f>(AE383/AB383)^(10/(AA383-Z383))</f>
        <v>2.9375</v>
      </c>
      <c r="AO383" s="7">
        <f>(AK383/AB383)^(10/(AA383-Z383))</f>
        <v>2.0625</v>
      </c>
      <c r="AP383" s="7"/>
      <c r="AQ383" s="7"/>
      <c r="AR383" s="7"/>
      <c r="AS383" s="7">
        <f>AVERAGE(AD383,AG383,AM383)</f>
        <v>8</v>
      </c>
      <c r="AT383" s="184">
        <f>AVERAGE(AC383,AF383,AL383)</f>
        <v>3.0000000000000005E-3</v>
      </c>
      <c r="AU383" s="7"/>
      <c r="AV383" s="7" t="s">
        <v>1907</v>
      </c>
      <c r="AW383" s="7"/>
      <c r="AX383" s="7" t="s">
        <v>2509</v>
      </c>
      <c r="AY383" s="7" t="s">
        <v>1</v>
      </c>
    </row>
    <row r="384" spans="1:51">
      <c r="A384" s="7" t="s">
        <v>33</v>
      </c>
      <c r="B384" s="7" t="s">
        <v>75</v>
      </c>
      <c r="C384" s="7" t="s">
        <v>76</v>
      </c>
      <c r="D384" s="7" t="s">
        <v>369</v>
      </c>
      <c r="E384" s="7" t="s">
        <v>370</v>
      </c>
      <c r="F384" s="7" t="s">
        <v>2510</v>
      </c>
      <c r="G384" s="7" t="s">
        <v>2511</v>
      </c>
      <c r="H384" s="7" t="s">
        <v>4181</v>
      </c>
      <c r="I384" s="100">
        <f>AVERAGE(250, 850)/1000</f>
        <v>0.55000000000000004</v>
      </c>
      <c r="J384" s="100">
        <f t="shared" si="75"/>
        <v>550</v>
      </c>
      <c r="K384" s="100">
        <f t="shared" si="76"/>
        <v>2.7403626894942437</v>
      </c>
      <c r="L384" s="73" t="s">
        <v>1517</v>
      </c>
      <c r="M384" s="7" t="s">
        <v>2512</v>
      </c>
      <c r="N384" s="7" t="s">
        <v>1538</v>
      </c>
      <c r="O384" s="7" t="s">
        <v>1494</v>
      </c>
      <c r="P384" s="108" t="s">
        <v>1492</v>
      </c>
      <c r="Q384" s="7" t="s">
        <v>2513</v>
      </c>
      <c r="R384" s="7" t="s">
        <v>2499</v>
      </c>
      <c r="S384" s="7"/>
      <c r="T384" s="7" t="s">
        <v>2499</v>
      </c>
      <c r="U384" s="7">
        <v>1</v>
      </c>
      <c r="V384" s="7">
        <v>7</v>
      </c>
      <c r="W384" s="7">
        <f t="shared" si="87"/>
        <v>0.84509804001425681</v>
      </c>
      <c r="X384" s="7" t="s">
        <v>1779</v>
      </c>
      <c r="Y384" s="7" t="s">
        <v>1860</v>
      </c>
      <c r="Z384" s="7">
        <v>15</v>
      </c>
      <c r="AA384" s="7">
        <v>25</v>
      </c>
      <c r="AB384" s="7">
        <v>0.129</v>
      </c>
      <c r="AC384" s="7">
        <v>7.0000000000000001E-3</v>
      </c>
      <c r="AD384" s="7">
        <v>6</v>
      </c>
      <c r="AE384" s="7"/>
      <c r="AF384" s="7"/>
      <c r="AG384" s="7"/>
      <c r="AH384" s="7"/>
      <c r="AI384" s="7"/>
      <c r="AJ384" s="7"/>
      <c r="AK384" s="7">
        <v>0.253</v>
      </c>
      <c r="AL384" s="7">
        <v>0.01</v>
      </c>
      <c r="AM384" s="7">
        <v>6</v>
      </c>
      <c r="AN384" s="7"/>
      <c r="AO384" s="7"/>
      <c r="AP384" s="7"/>
      <c r="AQ384" s="7"/>
      <c r="AR384" s="7"/>
      <c r="AS384" s="7"/>
      <c r="AT384" s="184"/>
      <c r="AU384" s="7"/>
      <c r="AV384" s="7" t="s">
        <v>1770</v>
      </c>
      <c r="AW384" s="7"/>
      <c r="AX384" s="7" t="s">
        <v>2514</v>
      </c>
      <c r="AY384" s="7" t="s">
        <v>1</v>
      </c>
    </row>
    <row r="385" spans="1:51">
      <c r="A385" s="7" t="s">
        <v>2515</v>
      </c>
      <c r="B385" s="7" t="s">
        <v>2516</v>
      </c>
      <c r="C385" s="7" t="s">
        <v>2517</v>
      </c>
      <c r="D385" s="7" t="s">
        <v>2518</v>
      </c>
      <c r="E385" s="7" t="s">
        <v>2519</v>
      </c>
      <c r="F385" s="7" t="s">
        <v>2520</v>
      </c>
      <c r="G385" s="7" t="s">
        <v>2521</v>
      </c>
      <c r="H385" s="7" t="s">
        <v>2516</v>
      </c>
      <c r="I385" s="100">
        <f>1/1000000000</f>
        <v>1.0000000000000001E-9</v>
      </c>
      <c r="J385" s="100">
        <f t="shared" si="75"/>
        <v>1.0000000000000002E-6</v>
      </c>
      <c r="K385" s="100">
        <f t="shared" si="76"/>
        <v>-6</v>
      </c>
      <c r="L385" s="73" t="s">
        <v>1517</v>
      </c>
      <c r="M385" s="7" t="s">
        <v>2522</v>
      </c>
      <c r="N385" s="7" t="s">
        <v>1538</v>
      </c>
      <c r="O385" s="7" t="s">
        <v>1494</v>
      </c>
      <c r="P385" s="108" t="s">
        <v>1492</v>
      </c>
      <c r="Q385" s="7"/>
      <c r="R385" s="7"/>
      <c r="S385" s="7"/>
      <c r="T385" s="7"/>
      <c r="U385" s="7">
        <v>1</v>
      </c>
      <c r="V385" s="7">
        <v>30</v>
      </c>
      <c r="W385" s="7">
        <f t="shared" si="87"/>
        <v>1.4771212547196624</v>
      </c>
      <c r="X385" s="7" t="s">
        <v>1779</v>
      </c>
      <c r="Y385" s="7" t="s">
        <v>1781</v>
      </c>
      <c r="Z385" s="7">
        <v>15</v>
      </c>
      <c r="AA385" s="7">
        <v>20</v>
      </c>
      <c r="AB385" s="7">
        <v>8.5</v>
      </c>
      <c r="AC385" s="7">
        <v>1</v>
      </c>
      <c r="AD385" s="7">
        <v>4</v>
      </c>
      <c r="AE385" s="7">
        <v>12</v>
      </c>
      <c r="AF385" s="7">
        <v>1.5</v>
      </c>
      <c r="AG385" s="7">
        <v>4</v>
      </c>
      <c r="AH385" s="7">
        <v>8.5</v>
      </c>
      <c r="AI385" s="7">
        <v>1</v>
      </c>
      <c r="AJ385" s="7">
        <v>4</v>
      </c>
      <c r="AK385" s="7">
        <v>14.5</v>
      </c>
      <c r="AL385" s="7">
        <v>2</v>
      </c>
      <c r="AM385" s="7">
        <v>4</v>
      </c>
      <c r="AN385" s="7">
        <f t="shared" ref="AN385:AN416" si="88">(AE385/AB385)^(10/(AA385-Z385))</f>
        <v>1.9930795847750868</v>
      </c>
      <c r="AO385" s="7">
        <f t="shared" ref="AO385:AO416" si="89">(AK385/AB385)^(10/(AA385-Z385))</f>
        <v>2.9100346020761245</v>
      </c>
      <c r="AP385" s="7"/>
      <c r="AQ385" s="7"/>
      <c r="AR385" s="7"/>
      <c r="AS385" s="7">
        <f>AVERAGE(AD385,AG385,AM385)</f>
        <v>4</v>
      </c>
      <c r="AT385" s="184">
        <f>AVERAGE(AC385,AF385,AL385)</f>
        <v>1.5</v>
      </c>
      <c r="AU385" s="7"/>
      <c r="AV385" s="7" t="s">
        <v>2523</v>
      </c>
      <c r="AW385" s="7"/>
      <c r="AX385" s="7" t="s">
        <v>2524</v>
      </c>
      <c r="AY385" s="7" t="s">
        <v>1</v>
      </c>
    </row>
    <row r="386" spans="1:51">
      <c r="A386" s="7" t="s">
        <v>2515</v>
      </c>
      <c r="B386" s="7" t="s">
        <v>2516</v>
      </c>
      <c r="C386" s="7" t="s">
        <v>2517</v>
      </c>
      <c r="D386" s="7" t="s">
        <v>2518</v>
      </c>
      <c r="E386" s="7" t="s">
        <v>2519</v>
      </c>
      <c r="F386" s="7" t="s">
        <v>2520</v>
      </c>
      <c r="G386" s="7" t="s">
        <v>2521</v>
      </c>
      <c r="H386" s="7" t="s">
        <v>2516</v>
      </c>
      <c r="I386" s="100">
        <f>1/1000000000</f>
        <v>1.0000000000000001E-9</v>
      </c>
      <c r="J386" s="100">
        <f t="shared" si="75"/>
        <v>1.0000000000000002E-6</v>
      </c>
      <c r="K386" s="100">
        <f t="shared" si="76"/>
        <v>-6</v>
      </c>
      <c r="L386" s="73" t="s">
        <v>1517</v>
      </c>
      <c r="M386" s="7" t="s">
        <v>2522</v>
      </c>
      <c r="N386" s="7" t="s">
        <v>1538</v>
      </c>
      <c r="O386" s="7" t="s">
        <v>1494</v>
      </c>
      <c r="P386" s="108" t="s">
        <v>1492</v>
      </c>
      <c r="Q386" s="7"/>
      <c r="R386" s="7"/>
      <c r="S386" s="7"/>
      <c r="T386" s="7"/>
      <c r="U386" s="7">
        <v>1</v>
      </c>
      <c r="V386" s="7">
        <v>30</v>
      </c>
      <c r="W386" s="7">
        <f t="shared" si="87"/>
        <v>1.4771212547196624</v>
      </c>
      <c r="X386" s="7" t="s">
        <v>1779</v>
      </c>
      <c r="Y386" s="7" t="s">
        <v>1781</v>
      </c>
      <c r="Z386" s="7">
        <v>15</v>
      </c>
      <c r="AA386" s="7">
        <v>25</v>
      </c>
      <c r="AB386" s="7">
        <v>8.5</v>
      </c>
      <c r="AC386" s="7">
        <v>1</v>
      </c>
      <c r="AD386" s="7">
        <v>4</v>
      </c>
      <c r="AE386" s="7">
        <v>17</v>
      </c>
      <c r="AF386" s="7">
        <v>2</v>
      </c>
      <c r="AG386" s="7">
        <v>4</v>
      </c>
      <c r="AH386" s="7">
        <v>7.5</v>
      </c>
      <c r="AI386" s="7">
        <v>0.08</v>
      </c>
      <c r="AJ386" s="7">
        <v>4</v>
      </c>
      <c r="AK386" s="7">
        <v>22</v>
      </c>
      <c r="AL386" s="7">
        <v>1</v>
      </c>
      <c r="AM386" s="7">
        <v>4</v>
      </c>
      <c r="AN386" s="7">
        <f t="shared" si="88"/>
        <v>2</v>
      </c>
      <c r="AO386" s="7">
        <f t="shared" si="89"/>
        <v>2.5882352941176472</v>
      </c>
      <c r="AP386" s="7"/>
      <c r="AQ386" s="7"/>
      <c r="AR386" s="7"/>
      <c r="AS386" s="7">
        <f>AVERAGE(AD386,AG386,AM386)</f>
        <v>4</v>
      </c>
      <c r="AT386" s="184">
        <f>AVERAGE(AC386,AF386,AL386)</f>
        <v>1.3333333333333333</v>
      </c>
      <c r="AU386" s="7"/>
      <c r="AV386" s="7" t="s">
        <v>2523</v>
      </c>
      <c r="AW386" s="7"/>
      <c r="AX386" s="7" t="s">
        <v>2524</v>
      </c>
      <c r="AY386" s="7" t="s">
        <v>1</v>
      </c>
    </row>
    <row r="387" spans="1:51">
      <c r="A387" s="7" t="s">
        <v>2515</v>
      </c>
      <c r="B387" s="7" t="s">
        <v>2516</v>
      </c>
      <c r="C387" s="7" t="s">
        <v>2517</v>
      </c>
      <c r="D387" s="7" t="s">
        <v>2518</v>
      </c>
      <c r="E387" s="7" t="s">
        <v>2519</v>
      </c>
      <c r="F387" s="7" t="s">
        <v>2520</v>
      </c>
      <c r="G387" s="7" t="s">
        <v>2521</v>
      </c>
      <c r="H387" s="7" t="s">
        <v>2516</v>
      </c>
      <c r="I387" s="100">
        <f>1/1000000000</f>
        <v>1.0000000000000001E-9</v>
      </c>
      <c r="J387" s="100">
        <f t="shared" si="75"/>
        <v>1.0000000000000002E-6</v>
      </c>
      <c r="K387" s="100">
        <f t="shared" si="76"/>
        <v>-6</v>
      </c>
      <c r="L387" s="73" t="s">
        <v>1517</v>
      </c>
      <c r="M387" s="7" t="s">
        <v>2522</v>
      </c>
      <c r="N387" s="7" t="s">
        <v>1538</v>
      </c>
      <c r="O387" s="7" t="s">
        <v>1494</v>
      </c>
      <c r="P387" s="108" t="s">
        <v>1492</v>
      </c>
      <c r="Q387" s="7"/>
      <c r="R387" s="7"/>
      <c r="S387" s="7"/>
      <c r="T387" s="7"/>
      <c r="U387" s="7">
        <v>1</v>
      </c>
      <c r="V387" s="7">
        <v>30</v>
      </c>
      <c r="W387" s="7">
        <f t="shared" si="87"/>
        <v>1.4771212547196624</v>
      </c>
      <c r="X387" s="7" t="s">
        <v>1779</v>
      </c>
      <c r="Y387" s="7" t="s">
        <v>1781</v>
      </c>
      <c r="Z387" s="7">
        <v>20</v>
      </c>
      <c r="AA387" s="7">
        <v>25</v>
      </c>
      <c r="AB387" s="7">
        <v>14.5</v>
      </c>
      <c r="AC387" s="7">
        <v>2</v>
      </c>
      <c r="AD387" s="7">
        <v>4</v>
      </c>
      <c r="AE387" s="7">
        <v>20.5</v>
      </c>
      <c r="AF387" s="7">
        <v>1.5</v>
      </c>
      <c r="AG387" s="7">
        <v>4</v>
      </c>
      <c r="AH387" s="7">
        <v>13</v>
      </c>
      <c r="AI387" s="7">
        <v>2</v>
      </c>
      <c r="AJ387" s="7">
        <v>4</v>
      </c>
      <c r="AK387" s="7">
        <v>22</v>
      </c>
      <c r="AL387" s="7">
        <v>1</v>
      </c>
      <c r="AM387" s="7">
        <v>4</v>
      </c>
      <c r="AN387" s="7">
        <f t="shared" si="88"/>
        <v>1.998810939357907</v>
      </c>
      <c r="AO387" s="7">
        <f t="shared" si="89"/>
        <v>2.3020214030915573</v>
      </c>
      <c r="AP387" s="7"/>
      <c r="AQ387" s="7"/>
      <c r="AR387" s="7"/>
      <c r="AS387" s="7">
        <f>AVERAGE(AD387,AG387,AM387)</f>
        <v>4</v>
      </c>
      <c r="AT387" s="184">
        <f>AVERAGE(AC387,AF387,AL387)</f>
        <v>1.5</v>
      </c>
      <c r="AU387" s="7"/>
      <c r="AV387" s="7" t="s">
        <v>2523</v>
      </c>
      <c r="AW387" s="7"/>
      <c r="AX387" s="7" t="s">
        <v>2524</v>
      </c>
      <c r="AY387" s="7" t="s">
        <v>1</v>
      </c>
    </row>
    <row r="388" spans="1:51">
      <c r="A388" s="7" t="s">
        <v>23</v>
      </c>
      <c r="B388" s="7" t="s">
        <v>2272</v>
      </c>
      <c r="C388" s="7" t="s">
        <v>2273</v>
      </c>
      <c r="D388" s="7" t="s">
        <v>2274</v>
      </c>
      <c r="E388" s="7" t="s">
        <v>2275</v>
      </c>
      <c r="F388" s="7" t="s">
        <v>2525</v>
      </c>
      <c r="G388" s="7" t="s">
        <v>2526</v>
      </c>
      <c r="H388" s="7" t="s">
        <v>4185</v>
      </c>
      <c r="I388" s="100">
        <f>50/1000000000</f>
        <v>4.9999999999999998E-8</v>
      </c>
      <c r="J388" s="100">
        <f t="shared" si="75"/>
        <v>4.9999999999999996E-5</v>
      </c>
      <c r="K388" s="100">
        <f t="shared" si="76"/>
        <v>-4.3010299956639813</v>
      </c>
      <c r="L388" s="73" t="s">
        <v>1517</v>
      </c>
      <c r="M388" s="7" t="s">
        <v>1632</v>
      </c>
      <c r="N388" s="7" t="s">
        <v>1538</v>
      </c>
      <c r="O388" s="7" t="s">
        <v>1494</v>
      </c>
      <c r="P388" s="108" t="s">
        <v>1492</v>
      </c>
      <c r="Q388" s="7"/>
      <c r="R388" s="7"/>
      <c r="S388" s="7"/>
      <c r="T388" s="7"/>
      <c r="U388" s="7">
        <v>1</v>
      </c>
      <c r="V388" s="7">
        <v>7</v>
      </c>
      <c r="W388" s="7">
        <f t="shared" si="87"/>
        <v>0.84509804001425681</v>
      </c>
      <c r="X388" s="7" t="s">
        <v>1779</v>
      </c>
      <c r="Y388" s="7" t="s">
        <v>1781</v>
      </c>
      <c r="Z388" s="7">
        <v>10</v>
      </c>
      <c r="AA388" s="7">
        <v>20</v>
      </c>
      <c r="AB388" s="7">
        <v>7.4</v>
      </c>
      <c r="AC388" s="7"/>
      <c r="AD388" s="7"/>
      <c r="AE388" s="7">
        <v>12</v>
      </c>
      <c r="AF388" s="7"/>
      <c r="AG388" s="7"/>
      <c r="AH388" s="7">
        <v>3.5</v>
      </c>
      <c r="AI388" s="7"/>
      <c r="AJ388" s="7"/>
      <c r="AK388" s="7">
        <v>8</v>
      </c>
      <c r="AL388" s="7"/>
      <c r="AM388" s="7"/>
      <c r="AN388" s="7">
        <f t="shared" si="88"/>
        <v>1.6216216216216215</v>
      </c>
      <c r="AO388" s="7">
        <f t="shared" si="89"/>
        <v>1.0810810810810809</v>
      </c>
      <c r="AP388" s="7"/>
      <c r="AQ388" s="7"/>
      <c r="AR388" s="7"/>
      <c r="AS388" s="7"/>
      <c r="AT388" s="184"/>
      <c r="AU388" s="7"/>
      <c r="AV388" s="7" t="s">
        <v>2527</v>
      </c>
      <c r="AW388" s="7"/>
      <c r="AX388" s="7" t="s">
        <v>2528</v>
      </c>
      <c r="AY388" s="7" t="s">
        <v>1</v>
      </c>
    </row>
    <row r="389" spans="1:51">
      <c r="A389" s="7" t="s">
        <v>23</v>
      </c>
      <c r="B389" s="7" t="s">
        <v>24</v>
      </c>
      <c r="C389" s="7" t="s">
        <v>2494</v>
      </c>
      <c r="D389" s="7" t="s">
        <v>2529</v>
      </c>
      <c r="E389" s="7" t="s">
        <v>2530</v>
      </c>
      <c r="F389" s="7" t="s">
        <v>2531</v>
      </c>
      <c r="G389" s="7" t="s">
        <v>2532</v>
      </c>
      <c r="H389" s="7" t="s">
        <v>4185</v>
      </c>
      <c r="I389" s="100">
        <f>3.425/1000000</f>
        <v>3.4249999999999998E-6</v>
      </c>
      <c r="J389" s="100">
        <f t="shared" si="75"/>
        <v>3.4249999999999997E-3</v>
      </c>
      <c r="K389" s="100">
        <f t="shared" si="76"/>
        <v>-2.4653394241715558</v>
      </c>
      <c r="L389" s="73" t="s">
        <v>1517</v>
      </c>
      <c r="M389" s="7" t="s">
        <v>2533</v>
      </c>
      <c r="N389" s="7" t="s">
        <v>1640</v>
      </c>
      <c r="O389" s="7" t="s">
        <v>1494</v>
      </c>
      <c r="P389" s="108" t="s">
        <v>1492</v>
      </c>
      <c r="Q389" s="7"/>
      <c r="R389" s="7"/>
      <c r="S389" s="7"/>
      <c r="T389" s="7"/>
      <c r="U389" s="7">
        <v>1</v>
      </c>
      <c r="V389" s="7">
        <v>28</v>
      </c>
      <c r="W389" s="7">
        <f t="shared" si="87"/>
        <v>1.4471580313422192</v>
      </c>
      <c r="X389" s="7" t="s">
        <v>1779</v>
      </c>
      <c r="Y389" s="7" t="s">
        <v>1781</v>
      </c>
      <c r="Z389" s="7">
        <v>15</v>
      </c>
      <c r="AA389" s="7">
        <v>27</v>
      </c>
      <c r="AB389" s="7">
        <v>1.03</v>
      </c>
      <c r="AC389" s="7">
        <v>3.3000000000000002E-2</v>
      </c>
      <c r="AD389" s="7">
        <v>36</v>
      </c>
      <c r="AE389" s="7">
        <v>3.01</v>
      </c>
      <c r="AF389" s="7">
        <v>5.5E-2</v>
      </c>
      <c r="AG389" s="7">
        <v>36</v>
      </c>
      <c r="AH389" s="7">
        <v>2.25</v>
      </c>
      <c r="AI389" s="7">
        <v>6.9000000000000006E-2</v>
      </c>
      <c r="AJ389" s="7">
        <v>36</v>
      </c>
      <c r="AK389" s="7">
        <v>7.18</v>
      </c>
      <c r="AL389" s="7">
        <v>2.12</v>
      </c>
      <c r="AM389" s="7">
        <v>36</v>
      </c>
      <c r="AN389" s="7">
        <f t="shared" si="88"/>
        <v>2.4440367151599118</v>
      </c>
      <c r="AO389" s="7">
        <f t="shared" si="89"/>
        <v>5.0435850601991641</v>
      </c>
      <c r="AP389" s="7"/>
      <c r="AQ389" s="7"/>
      <c r="AR389" s="7"/>
      <c r="AS389" s="7">
        <f>AVERAGE(AD389,AG389,AM389)</f>
        <v>36</v>
      </c>
      <c r="AT389" s="184">
        <f>AVERAGE(AC389,AF389,AL389)</f>
        <v>0.7360000000000001</v>
      </c>
      <c r="AU389" s="7"/>
      <c r="AV389" s="7" t="s">
        <v>1770</v>
      </c>
      <c r="AW389" s="7"/>
      <c r="AX389" s="7" t="s">
        <v>2534</v>
      </c>
      <c r="AY389" s="7" t="s">
        <v>1</v>
      </c>
    </row>
    <row r="390" spans="1:51">
      <c r="A390" s="7" t="s">
        <v>23</v>
      </c>
      <c r="B390" s="7" t="s">
        <v>24</v>
      </c>
      <c r="C390" s="7" t="s">
        <v>2494</v>
      </c>
      <c r="D390" s="7" t="s">
        <v>2529</v>
      </c>
      <c r="E390" s="7" t="s">
        <v>2530</v>
      </c>
      <c r="F390" s="7" t="s">
        <v>2535</v>
      </c>
      <c r="G390" s="7" t="s">
        <v>2536</v>
      </c>
      <c r="H390" s="7" t="s">
        <v>4185</v>
      </c>
      <c r="I390" s="100">
        <f>3.425/1000000</f>
        <v>3.4249999999999998E-6</v>
      </c>
      <c r="J390" s="100">
        <f t="shared" si="75"/>
        <v>3.4249999999999997E-3</v>
      </c>
      <c r="K390" s="100">
        <f t="shared" si="76"/>
        <v>-2.4653394241715558</v>
      </c>
      <c r="L390" s="73" t="s">
        <v>1517</v>
      </c>
      <c r="M390" s="7" t="s">
        <v>2533</v>
      </c>
      <c r="N390" s="7" t="s">
        <v>1640</v>
      </c>
      <c r="O390" s="7" t="s">
        <v>1494</v>
      </c>
      <c r="P390" s="108" t="s">
        <v>1492</v>
      </c>
      <c r="Q390" s="7"/>
      <c r="R390" s="7"/>
      <c r="S390" s="7"/>
      <c r="T390" s="7"/>
      <c r="U390" s="7">
        <v>1</v>
      </c>
      <c r="V390" s="7">
        <v>28</v>
      </c>
      <c r="W390" s="7">
        <f t="shared" si="87"/>
        <v>1.4471580313422192</v>
      </c>
      <c r="X390" s="7" t="s">
        <v>1779</v>
      </c>
      <c r="Y390" s="7" t="s">
        <v>1781</v>
      </c>
      <c r="Z390" s="7">
        <v>15</v>
      </c>
      <c r="AA390" s="7">
        <v>27</v>
      </c>
      <c r="AB390" s="7">
        <v>0.81</v>
      </c>
      <c r="AC390" s="7">
        <v>4.1000000000000002E-2</v>
      </c>
      <c r="AD390" s="7">
        <v>18</v>
      </c>
      <c r="AE390" s="7">
        <v>4.4000000000000004</v>
      </c>
      <c r="AF390" s="7">
        <v>0.192</v>
      </c>
      <c r="AG390" s="7">
        <v>18</v>
      </c>
      <c r="AH390" s="7">
        <v>1.17</v>
      </c>
      <c r="AI390" s="7">
        <v>5.8999999999999997E-2</v>
      </c>
      <c r="AJ390" s="7">
        <v>18</v>
      </c>
      <c r="AK390" s="7">
        <v>5.91</v>
      </c>
      <c r="AL390" s="7">
        <v>0.27100000000000002</v>
      </c>
      <c r="AM390" s="7">
        <v>18</v>
      </c>
      <c r="AN390" s="7">
        <f t="shared" si="88"/>
        <v>4.0970668293142802</v>
      </c>
      <c r="AO390" s="7">
        <f t="shared" si="89"/>
        <v>5.2390440698778082</v>
      </c>
      <c r="AP390" s="7"/>
      <c r="AQ390" s="7"/>
      <c r="AR390" s="7"/>
      <c r="AS390" s="7">
        <f>AVERAGE(AD390,AG390,AM390)</f>
        <v>18</v>
      </c>
      <c r="AT390" s="184">
        <f>AVERAGE(AC390,AF390,AL390)</f>
        <v>0.16800000000000001</v>
      </c>
      <c r="AU390" s="7"/>
      <c r="AV390" s="7" t="s">
        <v>1770</v>
      </c>
      <c r="AW390" s="7"/>
      <c r="AX390" s="7" t="s">
        <v>2534</v>
      </c>
      <c r="AY390" s="7" t="s">
        <v>1</v>
      </c>
    </row>
    <row r="391" spans="1:51">
      <c r="A391" s="7" t="s">
        <v>23</v>
      </c>
      <c r="B391" s="7" t="s">
        <v>24</v>
      </c>
      <c r="C391" s="7" t="s">
        <v>2494</v>
      </c>
      <c r="D391" s="7" t="s">
        <v>2529</v>
      </c>
      <c r="E391" s="7" t="s">
        <v>2530</v>
      </c>
      <c r="F391" s="7" t="s">
        <v>2531</v>
      </c>
      <c r="G391" s="7" t="s">
        <v>2532</v>
      </c>
      <c r="H391" s="7" t="s">
        <v>4185</v>
      </c>
      <c r="I391" s="100">
        <f>3.425/1000000</f>
        <v>3.4249999999999998E-6</v>
      </c>
      <c r="J391" s="100">
        <f t="shared" si="75"/>
        <v>3.4249999999999997E-3</v>
      </c>
      <c r="K391" s="100">
        <f t="shared" si="76"/>
        <v>-2.4653394241715558</v>
      </c>
      <c r="L391" s="73" t="s">
        <v>1517</v>
      </c>
      <c r="M391" s="7" t="s">
        <v>2533</v>
      </c>
      <c r="N391" s="7" t="s">
        <v>1640</v>
      </c>
      <c r="O391" s="7" t="s">
        <v>1494</v>
      </c>
      <c r="P391" s="108" t="s">
        <v>1492</v>
      </c>
      <c r="Q391" s="7"/>
      <c r="R391" s="7"/>
      <c r="S391" s="7"/>
      <c r="T391" s="7"/>
      <c r="U391" s="7">
        <v>1</v>
      </c>
      <c r="V391" s="7">
        <v>28</v>
      </c>
      <c r="W391" s="7">
        <f t="shared" si="87"/>
        <v>1.4471580313422192</v>
      </c>
      <c r="X391" s="7" t="s">
        <v>1779</v>
      </c>
      <c r="Y391" s="7" t="s">
        <v>1781</v>
      </c>
      <c r="Z391" s="7">
        <v>15</v>
      </c>
      <c r="AA391" s="7">
        <v>27</v>
      </c>
      <c r="AB391" s="7">
        <v>0.55000000000000004</v>
      </c>
      <c r="AC391" s="7">
        <v>0.05</v>
      </c>
      <c r="AD391" s="7">
        <v>20</v>
      </c>
      <c r="AE391" s="7">
        <v>1.8</v>
      </c>
      <c r="AF391" s="7">
        <v>0.05</v>
      </c>
      <c r="AG391" s="7">
        <v>20</v>
      </c>
      <c r="AH391" s="7">
        <v>0.7</v>
      </c>
      <c r="AI391" s="7">
        <v>0.05</v>
      </c>
      <c r="AJ391" s="7">
        <v>20</v>
      </c>
      <c r="AK391" s="7">
        <v>1.75</v>
      </c>
      <c r="AL391" s="7">
        <v>0.05</v>
      </c>
      <c r="AM391" s="7">
        <v>20</v>
      </c>
      <c r="AN391" s="7">
        <f t="shared" si="88"/>
        <v>2.6859103516272569</v>
      </c>
      <c r="AO391" s="7">
        <f t="shared" si="89"/>
        <v>2.6235910014306061</v>
      </c>
      <c r="AP391" s="7"/>
      <c r="AQ391" s="7"/>
      <c r="AR391" s="7"/>
      <c r="AS391" s="7">
        <f>AVERAGE(AD391,AG391,AM391)</f>
        <v>20</v>
      </c>
      <c r="AT391" s="184">
        <f>AVERAGE(AC391,AF391,AL391)</f>
        <v>5.000000000000001E-2</v>
      </c>
      <c r="AU391" s="7"/>
      <c r="AV391" s="7" t="s">
        <v>1770</v>
      </c>
      <c r="AW391" s="7"/>
      <c r="AX391" s="7" t="s">
        <v>2537</v>
      </c>
      <c r="AY391" s="7" t="s">
        <v>1</v>
      </c>
    </row>
    <row r="392" spans="1:51">
      <c r="A392" s="7" t="s">
        <v>23</v>
      </c>
      <c r="B392" s="7" t="s">
        <v>24</v>
      </c>
      <c r="C392" s="7" t="s">
        <v>2494</v>
      </c>
      <c r="D392" s="7" t="s">
        <v>2529</v>
      </c>
      <c r="E392" s="7" t="s">
        <v>2530</v>
      </c>
      <c r="F392" s="7" t="s">
        <v>2535</v>
      </c>
      <c r="G392" s="7" t="s">
        <v>2536</v>
      </c>
      <c r="H392" s="7" t="s">
        <v>4185</v>
      </c>
      <c r="I392" s="100">
        <f>3.425/1000000</f>
        <v>3.4249999999999998E-6</v>
      </c>
      <c r="J392" s="100">
        <f t="shared" si="75"/>
        <v>3.4249999999999997E-3</v>
      </c>
      <c r="K392" s="100">
        <f t="shared" si="76"/>
        <v>-2.4653394241715558</v>
      </c>
      <c r="L392" s="73" t="s">
        <v>1517</v>
      </c>
      <c r="M392" s="7" t="s">
        <v>2533</v>
      </c>
      <c r="N392" s="7" t="s">
        <v>1640</v>
      </c>
      <c r="O392" s="7" t="s">
        <v>1494</v>
      </c>
      <c r="P392" s="108" t="s">
        <v>1492</v>
      </c>
      <c r="Q392" s="7"/>
      <c r="R392" s="7"/>
      <c r="S392" s="7"/>
      <c r="T392" s="7"/>
      <c r="U392" s="7">
        <v>1</v>
      </c>
      <c r="V392" s="7">
        <v>28</v>
      </c>
      <c r="W392" s="7">
        <f t="shared" si="87"/>
        <v>1.4471580313422192</v>
      </c>
      <c r="X392" s="7" t="s">
        <v>1779</v>
      </c>
      <c r="Y392" s="7" t="s">
        <v>1781</v>
      </c>
      <c r="Z392" s="7">
        <v>15</v>
      </c>
      <c r="AA392" s="7">
        <v>27</v>
      </c>
      <c r="AB392" s="7">
        <v>0.6</v>
      </c>
      <c r="AC392" s="7">
        <v>0.05</v>
      </c>
      <c r="AD392" s="7">
        <v>20</v>
      </c>
      <c r="AE392" s="7">
        <v>1.5</v>
      </c>
      <c r="AF392" s="7">
        <v>0.05</v>
      </c>
      <c r="AG392" s="7">
        <v>20</v>
      </c>
      <c r="AH392" s="7">
        <v>0.67</v>
      </c>
      <c r="AI392" s="7">
        <v>0.05</v>
      </c>
      <c r="AJ392" s="7">
        <v>20</v>
      </c>
      <c r="AK392" s="7">
        <v>1.55</v>
      </c>
      <c r="AL392" s="7">
        <v>0.05</v>
      </c>
      <c r="AM392" s="7">
        <v>20</v>
      </c>
      <c r="AN392" s="7">
        <f t="shared" si="88"/>
        <v>2.1459355473313928</v>
      </c>
      <c r="AO392" s="7">
        <f t="shared" si="89"/>
        <v>2.2053813951149617</v>
      </c>
      <c r="AP392" s="7"/>
      <c r="AQ392" s="7"/>
      <c r="AR392" s="7"/>
      <c r="AS392" s="7">
        <f>AVERAGE(AD392,AG392,AM392)</f>
        <v>20</v>
      </c>
      <c r="AT392" s="184">
        <f>AVERAGE(AC392,AF392,AL392)</f>
        <v>5.000000000000001E-2</v>
      </c>
      <c r="AU392" s="7"/>
      <c r="AV392" s="7" t="s">
        <v>1770</v>
      </c>
      <c r="AW392" s="7"/>
      <c r="AX392" s="7" t="s">
        <v>2537</v>
      </c>
      <c r="AY392" s="7" t="s">
        <v>1</v>
      </c>
    </row>
    <row r="393" spans="1:51">
      <c r="A393" s="7" t="s">
        <v>23</v>
      </c>
      <c r="B393" s="7" t="s">
        <v>24</v>
      </c>
      <c r="C393" s="7" t="s">
        <v>2494</v>
      </c>
      <c r="D393" s="7" t="s">
        <v>2495</v>
      </c>
      <c r="E393" s="7" t="s">
        <v>2496</v>
      </c>
      <c r="F393" s="7" t="s">
        <v>2538</v>
      </c>
      <c r="G393" s="7" t="s">
        <v>2539</v>
      </c>
      <c r="H393" s="7" t="s">
        <v>4185</v>
      </c>
      <c r="I393" s="100">
        <v>5.9799999999999997E-5</v>
      </c>
      <c r="J393" s="100">
        <f t="shared" si="75"/>
        <v>5.9799999999999999E-2</v>
      </c>
      <c r="K393" s="100">
        <f t="shared" si="76"/>
        <v>-1.2232988160115892</v>
      </c>
      <c r="L393" s="73" t="s">
        <v>1502</v>
      </c>
      <c r="M393" s="7" t="s">
        <v>1632</v>
      </c>
      <c r="N393" s="7" t="s">
        <v>1640</v>
      </c>
      <c r="O393" s="7" t="s">
        <v>1494</v>
      </c>
      <c r="P393" s="108" t="s">
        <v>1492</v>
      </c>
      <c r="Q393" s="7"/>
      <c r="R393" s="7"/>
      <c r="S393" s="7"/>
      <c r="T393" s="7"/>
      <c r="U393" s="7">
        <v>1</v>
      </c>
      <c r="V393" s="7">
        <v>30</v>
      </c>
      <c r="W393" s="7">
        <f t="shared" si="87"/>
        <v>1.4771212547196624</v>
      </c>
      <c r="X393" s="7" t="s">
        <v>1729</v>
      </c>
      <c r="Y393" s="7" t="s">
        <v>2500</v>
      </c>
      <c r="Z393" s="7">
        <v>15</v>
      </c>
      <c r="AA393" s="7">
        <v>30</v>
      </c>
      <c r="AB393" s="7">
        <v>0.39600000000000002</v>
      </c>
      <c r="AC393" s="7"/>
      <c r="AD393" s="7"/>
      <c r="AE393" s="7">
        <v>2.6120000000000001</v>
      </c>
      <c r="AF393" s="7"/>
      <c r="AG393" s="7"/>
      <c r="AH393" s="7">
        <v>9.3239999999999998</v>
      </c>
      <c r="AI393" s="7"/>
      <c r="AJ393" s="7"/>
      <c r="AK393" s="7">
        <v>1.5009999999999999</v>
      </c>
      <c r="AL393" s="7"/>
      <c r="AM393" s="7"/>
      <c r="AN393" s="7">
        <f t="shared" si="88"/>
        <v>3.5171049228288025</v>
      </c>
      <c r="AO393" s="7">
        <f t="shared" si="89"/>
        <v>2.4310301079237231</v>
      </c>
      <c r="AP393" s="7"/>
      <c r="AQ393" s="7"/>
      <c r="AR393" s="7"/>
      <c r="AS393" s="7"/>
      <c r="AT393" s="184"/>
      <c r="AU393" s="7"/>
      <c r="AV393" s="7" t="s">
        <v>2501</v>
      </c>
      <c r="AW393" s="7"/>
      <c r="AX393" s="7" t="s">
        <v>2503</v>
      </c>
      <c r="AY393" s="7" t="s">
        <v>1</v>
      </c>
    </row>
    <row r="394" spans="1:51">
      <c r="A394" s="7" t="s">
        <v>33</v>
      </c>
      <c r="B394" s="7" t="s">
        <v>34</v>
      </c>
      <c r="C394" s="7" t="s">
        <v>66</v>
      </c>
      <c r="D394" s="7" t="s">
        <v>67</v>
      </c>
      <c r="E394" s="7" t="s">
        <v>1743</v>
      </c>
      <c r="F394" s="7" t="s">
        <v>972</v>
      </c>
      <c r="G394" s="7" t="s">
        <v>1744</v>
      </c>
      <c r="H394" s="7" t="s">
        <v>4180</v>
      </c>
      <c r="I394" s="100">
        <v>1E-3</v>
      </c>
      <c r="J394" s="100">
        <f t="shared" si="75"/>
        <v>1</v>
      </c>
      <c r="K394" s="100">
        <f t="shared" si="76"/>
        <v>0</v>
      </c>
      <c r="L394" s="73" t="s">
        <v>1517</v>
      </c>
      <c r="M394" s="7" t="s">
        <v>1745</v>
      </c>
      <c r="N394" s="7" t="s">
        <v>1538</v>
      </c>
      <c r="O394" s="7" t="s">
        <v>1494</v>
      </c>
      <c r="P394" s="108" t="s">
        <v>1492</v>
      </c>
      <c r="Q394" s="7"/>
      <c r="R394" s="7"/>
      <c r="S394" s="7"/>
      <c r="T394" s="7"/>
      <c r="U394" s="7">
        <v>1</v>
      </c>
      <c r="V394" s="7">
        <v>60</v>
      </c>
      <c r="W394" s="7">
        <f>LOG(V394)</f>
        <v>1.7781512503836436</v>
      </c>
      <c r="X394" s="7" t="s">
        <v>2261</v>
      </c>
      <c r="Y394" s="7" t="s">
        <v>2262</v>
      </c>
      <c r="Z394" s="7">
        <v>10</v>
      </c>
      <c r="AA394" s="7">
        <v>25</v>
      </c>
      <c r="AB394" s="7">
        <v>25</v>
      </c>
      <c r="AC394" s="7">
        <v>3</v>
      </c>
      <c r="AD394" s="7"/>
      <c r="AE394" s="7">
        <v>97</v>
      </c>
      <c r="AF394" s="7">
        <v>5</v>
      </c>
      <c r="AG394" s="7"/>
      <c r="AH394" s="7">
        <v>15</v>
      </c>
      <c r="AI394" s="7">
        <v>3</v>
      </c>
      <c r="AJ394" s="7"/>
      <c r="AK394" s="7">
        <v>80</v>
      </c>
      <c r="AL394" s="7">
        <v>7</v>
      </c>
      <c r="AM394" s="7"/>
      <c r="AN394" s="7">
        <f t="shared" si="88"/>
        <v>2.4691898537961889</v>
      </c>
      <c r="AO394" s="7">
        <f t="shared" si="89"/>
        <v>2.1715340932759251</v>
      </c>
      <c r="AP394" s="7"/>
      <c r="AQ394" s="7"/>
      <c r="AR394" s="7"/>
      <c r="AS394" s="7"/>
      <c r="AT394" s="184">
        <f t="shared" ref="AT394:AT416" si="90">AVERAGE(AC394,AF394,AL394)</f>
        <v>5</v>
      </c>
      <c r="AU394" s="7"/>
      <c r="AV394" s="7" t="s">
        <v>2262</v>
      </c>
      <c r="AW394" s="7"/>
      <c r="AX394" s="7" t="s">
        <v>2540</v>
      </c>
      <c r="AY394" s="7" t="s">
        <v>1</v>
      </c>
    </row>
    <row r="395" spans="1:51">
      <c r="A395" s="7" t="s">
        <v>33</v>
      </c>
      <c r="B395" s="7" t="s">
        <v>34</v>
      </c>
      <c r="C395" s="7" t="s">
        <v>66</v>
      </c>
      <c r="D395" s="7" t="s">
        <v>67</v>
      </c>
      <c r="E395" s="7" t="s">
        <v>1743</v>
      </c>
      <c r="F395" s="7" t="s">
        <v>972</v>
      </c>
      <c r="G395" s="7" t="s">
        <v>1744</v>
      </c>
      <c r="H395" s="7" t="s">
        <v>4180</v>
      </c>
      <c r="I395" s="100">
        <f t="shared" ref="I395:I403" si="91">1/1000</f>
        <v>1E-3</v>
      </c>
      <c r="J395" s="100">
        <f t="shared" si="75"/>
        <v>1</v>
      </c>
      <c r="K395" s="100">
        <f t="shared" si="76"/>
        <v>0</v>
      </c>
      <c r="L395" s="73" t="s">
        <v>1502</v>
      </c>
      <c r="M395" s="7" t="s">
        <v>1745</v>
      </c>
      <c r="N395" s="7" t="s">
        <v>1538</v>
      </c>
      <c r="O395" s="7" t="s">
        <v>1494</v>
      </c>
      <c r="P395" s="108" t="s">
        <v>1492</v>
      </c>
      <c r="Q395" s="7"/>
      <c r="R395" s="7"/>
      <c r="S395" s="7"/>
      <c r="T395" s="7"/>
      <c r="U395" s="7">
        <v>1</v>
      </c>
      <c r="V395" s="7">
        <v>35</v>
      </c>
      <c r="W395" s="7">
        <f t="shared" si="87"/>
        <v>1.5440680443502757</v>
      </c>
      <c r="X395" s="7" t="s">
        <v>2541</v>
      </c>
      <c r="Y395" s="7" t="s">
        <v>2144</v>
      </c>
      <c r="Z395" s="7">
        <v>5</v>
      </c>
      <c r="AA395" s="7">
        <v>20</v>
      </c>
      <c r="AB395" s="7">
        <v>3.62</v>
      </c>
      <c r="AC395" s="7">
        <v>0.38</v>
      </c>
      <c r="AD395" s="7">
        <v>8</v>
      </c>
      <c r="AE395" s="7">
        <v>4.8499999999999996</v>
      </c>
      <c r="AF395" s="7">
        <v>0.42</v>
      </c>
      <c r="AG395" s="7">
        <v>8</v>
      </c>
      <c r="AH395" s="7">
        <v>2.46</v>
      </c>
      <c r="AI395" s="7">
        <v>0.46</v>
      </c>
      <c r="AJ395" s="7">
        <v>5</v>
      </c>
      <c r="AK395" s="7">
        <v>4.49</v>
      </c>
      <c r="AL395" s="7">
        <v>0.42</v>
      </c>
      <c r="AM395" s="7">
        <v>5</v>
      </c>
      <c r="AN395" s="7">
        <f t="shared" si="88"/>
        <v>1.2153147775462241</v>
      </c>
      <c r="AO395" s="7">
        <f t="shared" si="89"/>
        <v>1.1544058360456237</v>
      </c>
      <c r="AP395" s="7"/>
      <c r="AQ395" s="7"/>
      <c r="AR395" s="7"/>
      <c r="AS395" s="7">
        <f t="shared" ref="AS395:AS416" si="92">AVERAGE(AD395,AG395,AM395)</f>
        <v>7</v>
      </c>
      <c r="AT395" s="184">
        <f t="shared" si="90"/>
        <v>0.40666666666666668</v>
      </c>
      <c r="AU395" s="7"/>
      <c r="AV395" s="7" t="s">
        <v>1770</v>
      </c>
      <c r="AW395" s="7"/>
      <c r="AX395" s="7" t="s">
        <v>2542</v>
      </c>
      <c r="AY395" s="7" t="s">
        <v>1</v>
      </c>
    </row>
    <row r="396" spans="1:51">
      <c r="A396" s="7" t="s">
        <v>33</v>
      </c>
      <c r="B396" s="7" t="s">
        <v>34</v>
      </c>
      <c r="C396" s="7" t="s">
        <v>66</v>
      </c>
      <c r="D396" s="7" t="s">
        <v>67</v>
      </c>
      <c r="E396" s="7" t="s">
        <v>1743</v>
      </c>
      <c r="F396" s="7" t="s">
        <v>972</v>
      </c>
      <c r="G396" s="7" t="s">
        <v>1744</v>
      </c>
      <c r="H396" s="7" t="s">
        <v>4180</v>
      </c>
      <c r="I396" s="100">
        <f t="shared" si="91"/>
        <v>1E-3</v>
      </c>
      <c r="J396" s="100">
        <f t="shared" si="75"/>
        <v>1</v>
      </c>
      <c r="K396" s="100">
        <f t="shared" si="76"/>
        <v>0</v>
      </c>
      <c r="L396" s="73" t="s">
        <v>1502</v>
      </c>
      <c r="M396" s="7" t="s">
        <v>1745</v>
      </c>
      <c r="N396" s="7" t="s">
        <v>1538</v>
      </c>
      <c r="O396" s="7" t="s">
        <v>1494</v>
      </c>
      <c r="P396" s="108" t="s">
        <v>1492</v>
      </c>
      <c r="Q396" s="7"/>
      <c r="R396" s="7"/>
      <c r="S396" s="7"/>
      <c r="T396" s="7"/>
      <c r="U396" s="7">
        <v>1</v>
      </c>
      <c r="V396" s="7">
        <v>35</v>
      </c>
      <c r="W396" s="7">
        <f t="shared" si="87"/>
        <v>1.5440680443502757</v>
      </c>
      <c r="X396" s="7" t="s">
        <v>2541</v>
      </c>
      <c r="Y396" s="7" t="s">
        <v>2144</v>
      </c>
      <c r="Z396" s="7">
        <v>5</v>
      </c>
      <c r="AA396" s="7">
        <v>30</v>
      </c>
      <c r="AB396" s="7">
        <v>3.62</v>
      </c>
      <c r="AC396" s="7">
        <v>0.38</v>
      </c>
      <c r="AD396" s="7">
        <v>8</v>
      </c>
      <c r="AE396" s="7">
        <v>5.23</v>
      </c>
      <c r="AF396" s="7">
        <v>0.42</v>
      </c>
      <c r="AG396" s="7">
        <v>8</v>
      </c>
      <c r="AH396" s="7">
        <v>2.5</v>
      </c>
      <c r="AI396" s="7">
        <v>0.53</v>
      </c>
      <c r="AJ396" s="7">
        <v>6</v>
      </c>
      <c r="AK396" s="7">
        <v>5.16</v>
      </c>
      <c r="AL396" s="7">
        <v>0.49</v>
      </c>
      <c r="AM396" s="7">
        <v>6</v>
      </c>
      <c r="AN396" s="7">
        <f t="shared" si="88"/>
        <v>1.1585565778937255</v>
      </c>
      <c r="AO396" s="7">
        <f t="shared" si="89"/>
        <v>1.1523288959262357</v>
      </c>
      <c r="AP396" s="7"/>
      <c r="AQ396" s="7"/>
      <c r="AR396" s="7"/>
      <c r="AS396" s="7">
        <f t="shared" si="92"/>
        <v>7.333333333333333</v>
      </c>
      <c r="AT396" s="184">
        <f t="shared" si="90"/>
        <v>0.43</v>
      </c>
      <c r="AU396" s="7"/>
      <c r="AV396" s="7" t="s">
        <v>1770</v>
      </c>
      <c r="AW396" s="7"/>
      <c r="AX396" s="7" t="s">
        <v>2542</v>
      </c>
      <c r="AY396" s="7" t="s">
        <v>1</v>
      </c>
    </row>
    <row r="397" spans="1:51">
      <c r="A397" s="7" t="s">
        <v>33</v>
      </c>
      <c r="B397" s="7" t="s">
        <v>34</v>
      </c>
      <c r="C397" s="7" t="s">
        <v>66</v>
      </c>
      <c r="D397" s="7" t="s">
        <v>67</v>
      </c>
      <c r="E397" s="7" t="s">
        <v>1743</v>
      </c>
      <c r="F397" s="7" t="s">
        <v>972</v>
      </c>
      <c r="G397" s="7" t="s">
        <v>1744</v>
      </c>
      <c r="H397" s="7" t="s">
        <v>4180</v>
      </c>
      <c r="I397" s="100">
        <f t="shared" si="91"/>
        <v>1E-3</v>
      </c>
      <c r="J397" s="100">
        <f t="shared" si="75"/>
        <v>1</v>
      </c>
      <c r="K397" s="100">
        <f t="shared" si="76"/>
        <v>0</v>
      </c>
      <c r="L397" s="73" t="s">
        <v>1502</v>
      </c>
      <c r="M397" s="7" t="s">
        <v>1745</v>
      </c>
      <c r="N397" s="7" t="s">
        <v>1538</v>
      </c>
      <c r="O397" s="7" t="s">
        <v>1494</v>
      </c>
      <c r="P397" s="108" t="s">
        <v>1492</v>
      </c>
      <c r="Q397" s="7"/>
      <c r="R397" s="7"/>
      <c r="S397" s="7"/>
      <c r="T397" s="7"/>
      <c r="U397" s="7">
        <v>1</v>
      </c>
      <c r="V397" s="7">
        <v>35</v>
      </c>
      <c r="W397" s="7">
        <f t="shared" si="87"/>
        <v>1.5440680443502757</v>
      </c>
      <c r="X397" s="7" t="s">
        <v>2541</v>
      </c>
      <c r="Y397" s="7" t="s">
        <v>2144</v>
      </c>
      <c r="Z397" s="7">
        <v>20</v>
      </c>
      <c r="AA397" s="7">
        <v>30</v>
      </c>
      <c r="AB397" s="7">
        <v>4.49</v>
      </c>
      <c r="AC397" s="7">
        <v>0.42</v>
      </c>
      <c r="AD397" s="7">
        <v>5</v>
      </c>
      <c r="AE397" s="7">
        <v>4.8499999999999996</v>
      </c>
      <c r="AF397" s="7">
        <v>0.43</v>
      </c>
      <c r="AG397" s="7">
        <v>5</v>
      </c>
      <c r="AH397" s="7">
        <v>4.63</v>
      </c>
      <c r="AI397" s="7">
        <v>0.52</v>
      </c>
      <c r="AJ397" s="7">
        <v>6</v>
      </c>
      <c r="AK397" s="7">
        <v>5.16</v>
      </c>
      <c r="AL397" s="7">
        <v>0.49</v>
      </c>
      <c r="AM397" s="7">
        <v>6</v>
      </c>
      <c r="AN397" s="7">
        <f t="shared" si="88"/>
        <v>1.0801781737193763</v>
      </c>
      <c r="AO397" s="7">
        <f t="shared" si="89"/>
        <v>1.1492204899777283</v>
      </c>
      <c r="AP397" s="7"/>
      <c r="AQ397" s="7"/>
      <c r="AR397" s="7"/>
      <c r="AS397" s="7">
        <f t="shared" si="92"/>
        <v>5.333333333333333</v>
      </c>
      <c r="AT397" s="184">
        <f t="shared" si="90"/>
        <v>0.4466666666666666</v>
      </c>
      <c r="AU397" s="7"/>
      <c r="AV397" s="7" t="s">
        <v>1770</v>
      </c>
      <c r="AW397" s="7"/>
      <c r="AX397" s="7" t="s">
        <v>2542</v>
      </c>
      <c r="AY397" s="7" t="s">
        <v>1</v>
      </c>
    </row>
    <row r="398" spans="1:51">
      <c r="A398" s="7" t="s">
        <v>33</v>
      </c>
      <c r="B398" s="7" t="s">
        <v>34</v>
      </c>
      <c r="C398" s="7" t="s">
        <v>66</v>
      </c>
      <c r="D398" s="7" t="s">
        <v>67</v>
      </c>
      <c r="E398" s="7" t="s">
        <v>1743</v>
      </c>
      <c r="F398" s="7" t="s">
        <v>972</v>
      </c>
      <c r="G398" s="7" t="s">
        <v>1744</v>
      </c>
      <c r="H398" s="7" t="s">
        <v>4180</v>
      </c>
      <c r="I398" s="100">
        <f t="shared" si="91"/>
        <v>1E-3</v>
      </c>
      <c r="J398" s="100">
        <f t="shared" si="75"/>
        <v>1</v>
      </c>
      <c r="K398" s="100">
        <f t="shared" si="76"/>
        <v>0</v>
      </c>
      <c r="L398" s="73" t="s">
        <v>1502</v>
      </c>
      <c r="M398" s="7" t="s">
        <v>1745</v>
      </c>
      <c r="N398" s="7" t="s">
        <v>1538</v>
      </c>
      <c r="O398" s="7" t="s">
        <v>1494</v>
      </c>
      <c r="P398" s="108" t="s">
        <v>1492</v>
      </c>
      <c r="Q398" s="7"/>
      <c r="R398" s="7"/>
      <c r="S398" s="7"/>
      <c r="T398" s="7"/>
      <c r="U398" s="7">
        <v>1</v>
      </c>
      <c r="V398" s="7">
        <v>35</v>
      </c>
      <c r="W398" s="7">
        <f t="shared" si="87"/>
        <v>1.5440680443502757</v>
      </c>
      <c r="X398" s="7" t="s">
        <v>2541</v>
      </c>
      <c r="Y398" s="7" t="s">
        <v>2213</v>
      </c>
      <c r="Z398" s="7">
        <v>5</v>
      </c>
      <c r="AA398" s="7">
        <v>20</v>
      </c>
      <c r="AB398" s="7">
        <v>5.52</v>
      </c>
      <c r="AC398" s="7">
        <v>0.55000000000000004</v>
      </c>
      <c r="AD398" s="7">
        <v>8</v>
      </c>
      <c r="AE398" s="7">
        <v>6.72</v>
      </c>
      <c r="AF398" s="7">
        <v>0.54</v>
      </c>
      <c r="AG398" s="7">
        <v>8</v>
      </c>
      <c r="AH398" s="7">
        <v>4.8099999999999996</v>
      </c>
      <c r="AI398" s="7">
        <v>0.73</v>
      </c>
      <c r="AJ398" s="7">
        <v>6</v>
      </c>
      <c r="AK398" s="7">
        <v>6.38</v>
      </c>
      <c r="AL398" s="7">
        <v>0.71</v>
      </c>
      <c r="AM398" s="7">
        <v>6</v>
      </c>
      <c r="AN398" s="7">
        <f t="shared" si="88"/>
        <v>1.1401276116255918</v>
      </c>
      <c r="AO398" s="7">
        <f t="shared" si="89"/>
        <v>1.1013391238521426</v>
      </c>
      <c r="AP398" s="7"/>
      <c r="AQ398" s="7"/>
      <c r="AR398" s="7"/>
      <c r="AS398" s="7">
        <f t="shared" si="92"/>
        <v>7.333333333333333</v>
      </c>
      <c r="AT398" s="184">
        <f t="shared" si="90"/>
        <v>0.6</v>
      </c>
      <c r="AU398" s="7"/>
      <c r="AV398" s="7" t="s">
        <v>1770</v>
      </c>
      <c r="AW398" s="7"/>
      <c r="AX398" s="7" t="s">
        <v>2542</v>
      </c>
      <c r="AY398" s="7" t="s">
        <v>1</v>
      </c>
    </row>
    <row r="399" spans="1:51">
      <c r="A399" s="7" t="s">
        <v>33</v>
      </c>
      <c r="B399" s="7" t="s">
        <v>34</v>
      </c>
      <c r="C399" s="7" t="s">
        <v>66</v>
      </c>
      <c r="D399" s="7" t="s">
        <v>67</v>
      </c>
      <c r="E399" s="7" t="s">
        <v>1743</v>
      </c>
      <c r="F399" s="7" t="s">
        <v>972</v>
      </c>
      <c r="G399" s="7" t="s">
        <v>1744</v>
      </c>
      <c r="H399" s="7" t="s">
        <v>4180</v>
      </c>
      <c r="I399" s="100">
        <f t="shared" si="91"/>
        <v>1E-3</v>
      </c>
      <c r="J399" s="100">
        <f t="shared" si="75"/>
        <v>1</v>
      </c>
      <c r="K399" s="100">
        <f t="shared" si="76"/>
        <v>0</v>
      </c>
      <c r="L399" s="73" t="s">
        <v>1502</v>
      </c>
      <c r="M399" s="7" t="s">
        <v>1745</v>
      </c>
      <c r="N399" s="7" t="s">
        <v>1538</v>
      </c>
      <c r="O399" s="7" t="s">
        <v>1494</v>
      </c>
      <c r="P399" s="108" t="s">
        <v>1492</v>
      </c>
      <c r="Q399" s="7"/>
      <c r="R399" s="7"/>
      <c r="S399" s="7"/>
      <c r="T399" s="7"/>
      <c r="U399" s="7">
        <v>1</v>
      </c>
      <c r="V399" s="7">
        <v>35</v>
      </c>
      <c r="W399" s="7">
        <f t="shared" si="87"/>
        <v>1.5440680443502757</v>
      </c>
      <c r="X399" s="7" t="s">
        <v>2541</v>
      </c>
      <c r="Y399" s="7" t="s">
        <v>2213</v>
      </c>
      <c r="Z399" s="7">
        <v>5</v>
      </c>
      <c r="AA399" s="7">
        <v>30</v>
      </c>
      <c r="AB399" s="7">
        <v>5.52</v>
      </c>
      <c r="AC399" s="7">
        <v>0.55000000000000004</v>
      </c>
      <c r="AD399" s="7">
        <v>8</v>
      </c>
      <c r="AE399" s="7">
        <v>7.28</v>
      </c>
      <c r="AF399" s="7">
        <v>0.59</v>
      </c>
      <c r="AG399" s="7">
        <v>8</v>
      </c>
      <c r="AH399" s="7">
        <v>4.7699999999999996</v>
      </c>
      <c r="AI399" s="7">
        <v>0.81</v>
      </c>
      <c r="AJ399" s="7">
        <v>6</v>
      </c>
      <c r="AK399" s="7">
        <v>6.87</v>
      </c>
      <c r="AL399" s="7">
        <v>0.81</v>
      </c>
      <c r="AM399" s="7">
        <v>6</v>
      </c>
      <c r="AN399" s="7">
        <f t="shared" si="88"/>
        <v>1.1170610799903555</v>
      </c>
      <c r="AO399" s="7">
        <f t="shared" si="89"/>
        <v>1.0914580887002905</v>
      </c>
      <c r="AP399" s="7"/>
      <c r="AQ399" s="7"/>
      <c r="AR399" s="7"/>
      <c r="AS399" s="7">
        <f t="shared" si="92"/>
        <v>7.333333333333333</v>
      </c>
      <c r="AT399" s="184">
        <f t="shared" si="90"/>
        <v>0.65</v>
      </c>
      <c r="AU399" s="7"/>
      <c r="AV399" s="7" t="s">
        <v>1770</v>
      </c>
      <c r="AW399" s="7"/>
      <c r="AX399" s="7" t="s">
        <v>2542</v>
      </c>
      <c r="AY399" s="7" t="s">
        <v>1</v>
      </c>
    </row>
    <row r="400" spans="1:51">
      <c r="A400" s="7" t="s">
        <v>33</v>
      </c>
      <c r="B400" s="7" t="s">
        <v>34</v>
      </c>
      <c r="C400" s="7" t="s">
        <v>66</v>
      </c>
      <c r="D400" s="7" t="s">
        <v>67</v>
      </c>
      <c r="E400" s="7" t="s">
        <v>1743</v>
      </c>
      <c r="F400" s="7" t="s">
        <v>972</v>
      </c>
      <c r="G400" s="7" t="s">
        <v>1744</v>
      </c>
      <c r="H400" s="7" t="s">
        <v>4180</v>
      </c>
      <c r="I400" s="100">
        <f t="shared" si="91"/>
        <v>1E-3</v>
      </c>
      <c r="J400" s="100">
        <f t="shared" si="75"/>
        <v>1</v>
      </c>
      <c r="K400" s="100">
        <f t="shared" si="76"/>
        <v>0</v>
      </c>
      <c r="L400" s="73" t="s">
        <v>1502</v>
      </c>
      <c r="M400" s="7" t="s">
        <v>1745</v>
      </c>
      <c r="N400" s="7" t="s">
        <v>1538</v>
      </c>
      <c r="O400" s="7" t="s">
        <v>1494</v>
      </c>
      <c r="P400" s="108" t="s">
        <v>1492</v>
      </c>
      <c r="Q400" s="7"/>
      <c r="R400" s="7"/>
      <c r="S400" s="7"/>
      <c r="T400" s="7"/>
      <c r="U400" s="7">
        <v>1</v>
      </c>
      <c r="V400" s="7">
        <v>35</v>
      </c>
      <c r="W400" s="7">
        <f t="shared" si="87"/>
        <v>1.5440680443502757</v>
      </c>
      <c r="X400" s="7" t="s">
        <v>2541</v>
      </c>
      <c r="Y400" s="7" t="s">
        <v>2213</v>
      </c>
      <c r="Z400" s="7">
        <v>20</v>
      </c>
      <c r="AA400" s="7">
        <v>30</v>
      </c>
      <c r="AB400" s="7">
        <v>6.38</v>
      </c>
      <c r="AC400" s="7">
        <v>0.71</v>
      </c>
      <c r="AD400" s="7">
        <v>6</v>
      </c>
      <c r="AE400" s="7">
        <v>6.68</v>
      </c>
      <c r="AF400" s="7">
        <v>0.71</v>
      </c>
      <c r="AG400" s="7">
        <v>6</v>
      </c>
      <c r="AH400" s="7">
        <v>6.42</v>
      </c>
      <c r="AI400" s="7">
        <v>0.81</v>
      </c>
      <c r="AJ400" s="7">
        <v>6</v>
      </c>
      <c r="AK400" s="7">
        <v>6.87</v>
      </c>
      <c r="AL400" s="7">
        <v>0.81</v>
      </c>
      <c r="AM400" s="7">
        <v>6</v>
      </c>
      <c r="AN400" s="7">
        <f t="shared" si="88"/>
        <v>1.0470219435736676</v>
      </c>
      <c r="AO400" s="7">
        <f t="shared" si="89"/>
        <v>1.0768025078369907</v>
      </c>
      <c r="AP400" s="7"/>
      <c r="AQ400" s="7"/>
      <c r="AR400" s="7"/>
      <c r="AS400" s="7">
        <f t="shared" si="92"/>
        <v>6</v>
      </c>
      <c r="AT400" s="184">
        <f t="shared" si="90"/>
        <v>0.74333333333333329</v>
      </c>
      <c r="AU400" s="7"/>
      <c r="AV400" s="7" t="s">
        <v>1770</v>
      </c>
      <c r="AW400" s="7"/>
      <c r="AX400" s="7" t="s">
        <v>2542</v>
      </c>
      <c r="AY400" s="7" t="s">
        <v>1</v>
      </c>
    </row>
    <row r="401" spans="1:51">
      <c r="A401" s="7" t="s">
        <v>33</v>
      </c>
      <c r="B401" s="7" t="s">
        <v>34</v>
      </c>
      <c r="C401" s="7" t="s">
        <v>66</v>
      </c>
      <c r="D401" s="7" t="s">
        <v>67</v>
      </c>
      <c r="E401" s="7" t="s">
        <v>1743</v>
      </c>
      <c r="F401" s="7" t="s">
        <v>972</v>
      </c>
      <c r="G401" s="7" t="s">
        <v>1744</v>
      </c>
      <c r="H401" s="7" t="s">
        <v>4180</v>
      </c>
      <c r="I401" s="100">
        <f t="shared" si="91"/>
        <v>1E-3</v>
      </c>
      <c r="J401" s="100">
        <f t="shared" si="75"/>
        <v>1</v>
      </c>
      <c r="K401" s="100">
        <f t="shared" si="76"/>
        <v>0</v>
      </c>
      <c r="L401" s="73" t="s">
        <v>1502</v>
      </c>
      <c r="M401" s="7" t="s">
        <v>1745</v>
      </c>
      <c r="N401" s="7" t="s">
        <v>1538</v>
      </c>
      <c r="O401" s="7" t="s">
        <v>1494</v>
      </c>
      <c r="P401" s="108" t="s">
        <v>1492</v>
      </c>
      <c r="Q401" s="7"/>
      <c r="R401" s="7"/>
      <c r="S401" s="7"/>
      <c r="T401" s="7"/>
      <c r="U401" s="7">
        <v>1</v>
      </c>
      <c r="V401" s="7">
        <v>35</v>
      </c>
      <c r="W401" s="7">
        <f t="shared" si="87"/>
        <v>1.5440680443502757</v>
      </c>
      <c r="X401" s="7" t="s">
        <v>2541</v>
      </c>
      <c r="Y401" s="7" t="s">
        <v>2210</v>
      </c>
      <c r="Z401" s="7">
        <v>5</v>
      </c>
      <c r="AA401" s="7">
        <v>20</v>
      </c>
      <c r="AB401" s="7">
        <v>4.33</v>
      </c>
      <c r="AC401" s="7">
        <v>0.54</v>
      </c>
      <c r="AD401" s="7">
        <v>7</v>
      </c>
      <c r="AE401" s="7">
        <v>5.56</v>
      </c>
      <c r="AF401" s="7">
        <v>0.55000000000000004</v>
      </c>
      <c r="AG401" s="7">
        <v>7</v>
      </c>
      <c r="AH401" s="7">
        <v>4.26</v>
      </c>
      <c r="AI401" s="7">
        <v>0.31</v>
      </c>
      <c r="AJ401" s="7">
        <v>6</v>
      </c>
      <c r="AK401" s="7">
        <v>5.57</v>
      </c>
      <c r="AL401" s="7">
        <v>0.27</v>
      </c>
      <c r="AM401" s="7">
        <v>6</v>
      </c>
      <c r="AN401" s="7">
        <f t="shared" si="88"/>
        <v>1.1813844862812339</v>
      </c>
      <c r="AO401" s="7">
        <f t="shared" si="89"/>
        <v>1.1828005901625571</v>
      </c>
      <c r="AP401" s="7"/>
      <c r="AQ401" s="7"/>
      <c r="AR401" s="7"/>
      <c r="AS401" s="7">
        <f t="shared" si="92"/>
        <v>6.666666666666667</v>
      </c>
      <c r="AT401" s="184">
        <f t="shared" si="90"/>
        <v>0.45333333333333337</v>
      </c>
      <c r="AU401" s="7"/>
      <c r="AV401" s="7" t="s">
        <v>1770</v>
      </c>
      <c r="AW401" s="7"/>
      <c r="AX401" s="7" t="s">
        <v>2542</v>
      </c>
      <c r="AY401" s="7" t="s">
        <v>1</v>
      </c>
    </row>
    <row r="402" spans="1:51">
      <c r="A402" s="7" t="s">
        <v>33</v>
      </c>
      <c r="B402" s="7" t="s">
        <v>34</v>
      </c>
      <c r="C402" s="7" t="s">
        <v>66</v>
      </c>
      <c r="D402" s="7" t="s">
        <v>67</v>
      </c>
      <c r="E402" s="7" t="s">
        <v>1743</v>
      </c>
      <c r="F402" s="7" t="s">
        <v>972</v>
      </c>
      <c r="G402" s="7" t="s">
        <v>1744</v>
      </c>
      <c r="H402" s="7" t="s">
        <v>4180</v>
      </c>
      <c r="I402" s="100">
        <f t="shared" si="91"/>
        <v>1E-3</v>
      </c>
      <c r="J402" s="100">
        <f t="shared" si="75"/>
        <v>1</v>
      </c>
      <c r="K402" s="100">
        <f t="shared" si="76"/>
        <v>0</v>
      </c>
      <c r="L402" s="73" t="s">
        <v>1502</v>
      </c>
      <c r="M402" s="7" t="s">
        <v>1745</v>
      </c>
      <c r="N402" s="7" t="s">
        <v>1538</v>
      </c>
      <c r="O402" s="7" t="s">
        <v>1494</v>
      </c>
      <c r="P402" s="108" t="s">
        <v>1492</v>
      </c>
      <c r="Q402" s="7"/>
      <c r="R402" s="7"/>
      <c r="S402" s="7"/>
      <c r="T402" s="7"/>
      <c r="U402" s="7">
        <v>1</v>
      </c>
      <c r="V402" s="7">
        <v>35</v>
      </c>
      <c r="W402" s="7">
        <f t="shared" si="87"/>
        <v>1.5440680443502757</v>
      </c>
      <c r="X402" s="7" t="s">
        <v>2541</v>
      </c>
      <c r="Y402" s="7" t="s">
        <v>2210</v>
      </c>
      <c r="Z402" s="7">
        <v>5</v>
      </c>
      <c r="AA402" s="7">
        <v>30</v>
      </c>
      <c r="AB402" s="7">
        <v>4.33</v>
      </c>
      <c r="AC402" s="7">
        <v>0.54</v>
      </c>
      <c r="AD402" s="7">
        <v>7</v>
      </c>
      <c r="AE402" s="7">
        <v>6.01</v>
      </c>
      <c r="AF402" s="7">
        <v>0.55000000000000004</v>
      </c>
      <c r="AG402" s="7">
        <v>7</v>
      </c>
      <c r="AH402" s="7">
        <v>3.9</v>
      </c>
      <c r="AI402" s="7">
        <v>0.33</v>
      </c>
      <c r="AJ402" s="7">
        <v>7</v>
      </c>
      <c r="AK402" s="7">
        <v>5.73</v>
      </c>
      <c r="AL402" s="7">
        <v>0.32</v>
      </c>
      <c r="AM402" s="7">
        <v>7</v>
      </c>
      <c r="AN402" s="7">
        <f t="shared" si="88"/>
        <v>1.1401306745244459</v>
      </c>
      <c r="AO402" s="7">
        <f t="shared" si="89"/>
        <v>1.11857907351593</v>
      </c>
      <c r="AP402" s="7"/>
      <c r="AQ402" s="7"/>
      <c r="AR402" s="7"/>
      <c r="AS402" s="7">
        <f t="shared" si="92"/>
        <v>7</v>
      </c>
      <c r="AT402" s="184">
        <f t="shared" si="90"/>
        <v>0.47000000000000003</v>
      </c>
      <c r="AU402" s="7"/>
      <c r="AV402" s="7" t="s">
        <v>1770</v>
      </c>
      <c r="AW402" s="7"/>
      <c r="AX402" s="7" t="s">
        <v>2542</v>
      </c>
      <c r="AY402" s="7" t="s">
        <v>1</v>
      </c>
    </row>
    <row r="403" spans="1:51">
      <c r="A403" s="7" t="s">
        <v>33</v>
      </c>
      <c r="B403" s="7" t="s">
        <v>34</v>
      </c>
      <c r="C403" s="7" t="s">
        <v>66</v>
      </c>
      <c r="D403" s="7" t="s">
        <v>67</v>
      </c>
      <c r="E403" s="7" t="s">
        <v>1743</v>
      </c>
      <c r="F403" s="7" t="s">
        <v>972</v>
      </c>
      <c r="G403" s="7" t="s">
        <v>1744</v>
      </c>
      <c r="H403" s="7" t="s">
        <v>4180</v>
      </c>
      <c r="I403" s="100">
        <f t="shared" si="91"/>
        <v>1E-3</v>
      </c>
      <c r="J403" s="100">
        <f t="shared" si="75"/>
        <v>1</v>
      </c>
      <c r="K403" s="100">
        <f t="shared" si="76"/>
        <v>0</v>
      </c>
      <c r="L403" s="73" t="s">
        <v>1502</v>
      </c>
      <c r="M403" s="7" t="s">
        <v>1745</v>
      </c>
      <c r="N403" s="7" t="s">
        <v>1538</v>
      </c>
      <c r="O403" s="7" t="s">
        <v>1494</v>
      </c>
      <c r="P403" s="108" t="s">
        <v>1492</v>
      </c>
      <c r="Q403" s="7"/>
      <c r="R403" s="7"/>
      <c r="S403" s="7"/>
      <c r="T403" s="7"/>
      <c r="U403" s="7">
        <v>1</v>
      </c>
      <c r="V403" s="7">
        <v>35</v>
      </c>
      <c r="W403" s="7">
        <f t="shared" si="87"/>
        <v>1.5440680443502757</v>
      </c>
      <c r="X403" s="7" t="s">
        <v>2541</v>
      </c>
      <c r="Y403" s="7" t="s">
        <v>2210</v>
      </c>
      <c r="Z403" s="7">
        <v>20</v>
      </c>
      <c r="AA403" s="7">
        <v>30</v>
      </c>
      <c r="AB403" s="7">
        <v>5.57</v>
      </c>
      <c r="AC403" s="7">
        <v>0.27</v>
      </c>
      <c r="AD403" s="7">
        <v>6</v>
      </c>
      <c r="AE403" s="7">
        <v>5.97</v>
      </c>
      <c r="AF403" s="7">
        <v>0.28000000000000003</v>
      </c>
      <c r="AG403" s="7">
        <v>6</v>
      </c>
      <c r="AH403" s="7">
        <v>5.27</v>
      </c>
      <c r="AI403" s="7">
        <v>0.33</v>
      </c>
      <c r="AJ403" s="7">
        <v>7</v>
      </c>
      <c r="AK403" s="7">
        <v>5.73</v>
      </c>
      <c r="AL403" s="7">
        <v>0.32</v>
      </c>
      <c r="AM403" s="7">
        <v>7</v>
      </c>
      <c r="AN403" s="7">
        <f t="shared" si="88"/>
        <v>1.0718132854578095</v>
      </c>
      <c r="AO403" s="7">
        <f t="shared" si="89"/>
        <v>1.0287253141831239</v>
      </c>
      <c r="AP403" s="7"/>
      <c r="AQ403" s="7"/>
      <c r="AR403" s="7"/>
      <c r="AS403" s="7">
        <f t="shared" si="92"/>
        <v>6.333333333333333</v>
      </c>
      <c r="AT403" s="184">
        <f t="shared" si="90"/>
        <v>0.29000000000000004</v>
      </c>
      <c r="AU403" s="7"/>
      <c r="AV403" s="7" t="s">
        <v>1770</v>
      </c>
      <c r="AW403" s="7"/>
      <c r="AX403" s="7" t="s">
        <v>2542</v>
      </c>
      <c r="AY403" s="7" t="s">
        <v>1</v>
      </c>
    </row>
    <row r="404" spans="1:51">
      <c r="A404" s="7" t="s">
        <v>33</v>
      </c>
      <c r="B404" s="7" t="s">
        <v>43</v>
      </c>
      <c r="C404" s="7" t="s">
        <v>44</v>
      </c>
      <c r="D404" s="7" t="s">
        <v>202</v>
      </c>
      <c r="E404" s="7" t="s">
        <v>2015</v>
      </c>
      <c r="F404" s="7" t="s">
        <v>2543</v>
      </c>
      <c r="G404" s="7" t="s">
        <v>2544</v>
      </c>
      <c r="H404" s="7" t="s">
        <v>4184</v>
      </c>
      <c r="I404" s="100">
        <f>AVERAGE(5.13,9.56)/1000</f>
        <v>7.3450000000000008E-3</v>
      </c>
      <c r="J404" s="100">
        <f t="shared" si="75"/>
        <v>7.3450000000000006</v>
      </c>
      <c r="K404" s="100">
        <f t="shared" si="76"/>
        <v>0.8659918001262753</v>
      </c>
      <c r="L404" s="73" t="s">
        <v>1517</v>
      </c>
      <c r="M404" s="7" t="s">
        <v>2545</v>
      </c>
      <c r="N404" s="7" t="s">
        <v>1640</v>
      </c>
      <c r="O404" s="7" t="s">
        <v>1494</v>
      </c>
      <c r="P404" s="108" t="s">
        <v>1492</v>
      </c>
      <c r="Q404" s="7"/>
      <c r="R404" s="7"/>
      <c r="S404" s="7"/>
      <c r="T404" s="7"/>
      <c r="U404" s="7">
        <v>1</v>
      </c>
      <c r="V404" s="7">
        <v>42</v>
      </c>
      <c r="W404" s="7">
        <f t="shared" si="87"/>
        <v>1.6232492903979006</v>
      </c>
      <c r="X404" s="7" t="s">
        <v>1779</v>
      </c>
      <c r="Y404" s="7" t="s">
        <v>1781</v>
      </c>
      <c r="Z404" s="7">
        <v>20</v>
      </c>
      <c r="AA404" s="7">
        <v>30</v>
      </c>
      <c r="AB404" s="7">
        <v>5.7000000000000002E-2</v>
      </c>
      <c r="AC404" s="7">
        <v>2E-3</v>
      </c>
      <c r="AD404" s="7">
        <v>6</v>
      </c>
      <c r="AE404" s="7">
        <v>1.23E-2</v>
      </c>
      <c r="AF404" s="7">
        <v>7.0000000000000001E-3</v>
      </c>
      <c r="AG404" s="7">
        <v>6</v>
      </c>
      <c r="AH404" s="7">
        <v>5.0999999999999997E-2</v>
      </c>
      <c r="AI404" s="7">
        <v>2E-3</v>
      </c>
      <c r="AJ404" s="7">
        <v>6</v>
      </c>
      <c r="AK404" s="7">
        <v>0.108</v>
      </c>
      <c r="AL404" s="7">
        <v>5.0000000000000001E-3</v>
      </c>
      <c r="AM404" s="7">
        <v>6</v>
      </c>
      <c r="AN404" s="7">
        <f t="shared" si="88"/>
        <v>0.21578947368421053</v>
      </c>
      <c r="AO404" s="7">
        <f t="shared" si="89"/>
        <v>1.8947368421052631</v>
      </c>
      <c r="AP404" s="7"/>
      <c r="AQ404" s="7"/>
      <c r="AR404" s="7"/>
      <c r="AS404" s="7">
        <f t="shared" si="92"/>
        <v>6</v>
      </c>
      <c r="AT404" s="184">
        <f t="shared" si="90"/>
        <v>4.6666666666666671E-3</v>
      </c>
      <c r="AU404" s="7"/>
      <c r="AV404" s="7" t="s">
        <v>1907</v>
      </c>
      <c r="AW404" s="7"/>
      <c r="AX404" s="7" t="s">
        <v>2509</v>
      </c>
      <c r="AY404" s="7" t="s">
        <v>1</v>
      </c>
    </row>
    <row r="405" spans="1:51">
      <c r="A405" s="7" t="s">
        <v>33</v>
      </c>
      <c r="B405" s="7" t="s">
        <v>43</v>
      </c>
      <c r="C405" s="7" t="s">
        <v>44</v>
      </c>
      <c r="D405" s="7" t="s">
        <v>2546</v>
      </c>
      <c r="E405" s="7" t="s">
        <v>2547</v>
      </c>
      <c r="F405" s="7" t="s">
        <v>2548</v>
      </c>
      <c r="G405" s="7" t="s">
        <v>2549</v>
      </c>
      <c r="H405" s="7" t="s">
        <v>4184</v>
      </c>
      <c r="I405" s="100">
        <f>AVERAGE(40,130)/1000</f>
        <v>8.5000000000000006E-2</v>
      </c>
      <c r="J405" s="100">
        <f t="shared" si="75"/>
        <v>85</v>
      </c>
      <c r="K405" s="100">
        <f t="shared" si="76"/>
        <v>1.9294189257142926</v>
      </c>
      <c r="L405" s="73" t="s">
        <v>1517</v>
      </c>
      <c r="M405" s="7" t="s">
        <v>2550</v>
      </c>
      <c r="N405" s="7" t="s">
        <v>1538</v>
      </c>
      <c r="O405" s="7" t="s">
        <v>1494</v>
      </c>
      <c r="P405" s="108" t="s">
        <v>1492</v>
      </c>
      <c r="Q405" s="7" t="s">
        <v>2551</v>
      </c>
      <c r="R405" s="7"/>
      <c r="S405" s="7"/>
      <c r="T405" s="7"/>
      <c r="U405" s="7">
        <v>1</v>
      </c>
      <c r="V405" s="7">
        <v>91</v>
      </c>
      <c r="W405" s="7">
        <f t="shared" si="87"/>
        <v>1.9590413923210936</v>
      </c>
      <c r="X405" s="7" t="s">
        <v>1779</v>
      </c>
      <c r="Y405" s="7" t="s">
        <v>2029</v>
      </c>
      <c r="Z405" s="7">
        <v>24</v>
      </c>
      <c r="AA405" s="7">
        <v>32</v>
      </c>
      <c r="AB405" s="7">
        <v>0.88400000000000001</v>
      </c>
      <c r="AC405" s="7">
        <v>0.13</v>
      </c>
      <c r="AD405" s="7">
        <v>8</v>
      </c>
      <c r="AE405" s="7">
        <v>1.86</v>
      </c>
      <c r="AF405" s="7">
        <v>0.14000000000000001</v>
      </c>
      <c r="AG405" s="7">
        <v>8</v>
      </c>
      <c r="AH405" s="7">
        <v>0.74</v>
      </c>
      <c r="AI405" s="7">
        <v>0.08</v>
      </c>
      <c r="AJ405" s="7">
        <v>9</v>
      </c>
      <c r="AK405" s="7">
        <v>1.3</v>
      </c>
      <c r="AL405" s="7">
        <v>0.12</v>
      </c>
      <c r="AM405" s="7">
        <v>9</v>
      </c>
      <c r="AN405" s="7">
        <f t="shared" si="88"/>
        <v>2.5341122540948446</v>
      </c>
      <c r="AO405" s="7">
        <f t="shared" si="89"/>
        <v>1.6194362599785639</v>
      </c>
      <c r="AP405" s="7"/>
      <c r="AQ405" s="7"/>
      <c r="AR405" s="7"/>
      <c r="AS405" s="7">
        <f t="shared" si="92"/>
        <v>8.3333333333333339</v>
      </c>
      <c r="AT405" s="184">
        <f t="shared" si="90"/>
        <v>0.13</v>
      </c>
      <c r="AU405" s="7"/>
      <c r="AV405" s="7"/>
      <c r="AW405" s="7"/>
      <c r="AX405" s="7" t="s">
        <v>2550</v>
      </c>
      <c r="AY405" s="7" t="s">
        <v>1</v>
      </c>
    </row>
    <row r="406" spans="1:51">
      <c r="A406" s="7" t="s">
        <v>33</v>
      </c>
      <c r="B406" s="7" t="s">
        <v>34</v>
      </c>
      <c r="C406" s="7" t="s">
        <v>66</v>
      </c>
      <c r="D406" s="7" t="s">
        <v>1750</v>
      </c>
      <c r="E406" s="7" t="s">
        <v>1596</v>
      </c>
      <c r="F406" s="7" t="s">
        <v>1597</v>
      </c>
      <c r="G406" s="7" t="s">
        <v>1598</v>
      </c>
      <c r="H406" s="7" t="s">
        <v>4180</v>
      </c>
      <c r="I406" s="100">
        <v>1</v>
      </c>
      <c r="J406" s="100">
        <f t="shared" si="75"/>
        <v>1000</v>
      </c>
      <c r="K406" s="100">
        <f t="shared" si="76"/>
        <v>3</v>
      </c>
      <c r="L406" s="73" t="s">
        <v>1502</v>
      </c>
      <c r="M406" s="7" t="s">
        <v>2552</v>
      </c>
      <c r="N406" s="7" t="s">
        <v>1538</v>
      </c>
      <c r="O406" s="7" t="s">
        <v>1494</v>
      </c>
      <c r="P406" s="108" t="s">
        <v>1492</v>
      </c>
      <c r="Q406" s="7"/>
      <c r="R406" s="7"/>
      <c r="S406" s="7"/>
      <c r="T406" s="7"/>
      <c r="U406" s="7">
        <v>1</v>
      </c>
      <c r="V406" s="7">
        <v>35</v>
      </c>
      <c r="W406" s="7">
        <f t="shared" si="87"/>
        <v>1.5440680443502757</v>
      </c>
      <c r="X406" s="7" t="s">
        <v>2553</v>
      </c>
      <c r="Y406" s="7"/>
      <c r="Z406" s="7">
        <v>10</v>
      </c>
      <c r="AA406" s="7">
        <v>30</v>
      </c>
      <c r="AB406" s="7">
        <v>0.21</v>
      </c>
      <c r="AC406" s="7">
        <v>0.02</v>
      </c>
      <c r="AD406" s="7">
        <v>4</v>
      </c>
      <c r="AE406" s="7">
        <v>1.1200000000000001</v>
      </c>
      <c r="AF406" s="7">
        <v>0.1</v>
      </c>
      <c r="AG406" s="7">
        <v>4</v>
      </c>
      <c r="AH406" s="7">
        <v>0.1</v>
      </c>
      <c r="AI406" s="7">
        <v>0.01</v>
      </c>
      <c r="AJ406" s="7">
        <v>4</v>
      </c>
      <c r="AK406" s="7">
        <v>0.57999999999999996</v>
      </c>
      <c r="AL406" s="7">
        <v>7.0000000000000007E-2</v>
      </c>
      <c r="AM406" s="7">
        <v>4</v>
      </c>
      <c r="AN406" s="7">
        <f t="shared" si="88"/>
        <v>2.3094010767585034</v>
      </c>
      <c r="AO406" s="7">
        <f t="shared" si="89"/>
        <v>1.6618979396776332</v>
      </c>
      <c r="AP406" s="7"/>
      <c r="AQ406" s="7"/>
      <c r="AR406" s="7"/>
      <c r="AS406" s="7">
        <f t="shared" si="92"/>
        <v>4</v>
      </c>
      <c r="AT406" s="184">
        <f t="shared" si="90"/>
        <v>6.3333333333333339E-2</v>
      </c>
      <c r="AU406" s="7"/>
      <c r="AV406" s="7" t="s">
        <v>1748</v>
      </c>
      <c r="AW406" s="7"/>
      <c r="AX406" s="7" t="s">
        <v>2552</v>
      </c>
      <c r="AY406" s="7" t="s">
        <v>1</v>
      </c>
    </row>
    <row r="407" spans="1:51">
      <c r="A407" s="7" t="s">
        <v>33</v>
      </c>
      <c r="B407" s="7" t="s">
        <v>34</v>
      </c>
      <c r="C407" s="7" t="s">
        <v>66</v>
      </c>
      <c r="D407" s="7" t="s">
        <v>1750</v>
      </c>
      <c r="E407" s="7" t="s">
        <v>1596</v>
      </c>
      <c r="F407" s="7" t="s">
        <v>1597</v>
      </c>
      <c r="G407" s="7" t="s">
        <v>1598</v>
      </c>
      <c r="H407" s="7" t="s">
        <v>4180</v>
      </c>
      <c r="I407" s="100">
        <v>1</v>
      </c>
      <c r="J407" s="100">
        <f t="shared" si="75"/>
        <v>1000</v>
      </c>
      <c r="K407" s="100">
        <f t="shared" si="76"/>
        <v>3</v>
      </c>
      <c r="L407" s="73" t="s">
        <v>1502</v>
      </c>
      <c r="M407" s="7" t="s">
        <v>2552</v>
      </c>
      <c r="N407" s="7" t="s">
        <v>1538</v>
      </c>
      <c r="O407" s="7" t="s">
        <v>1494</v>
      </c>
      <c r="P407" s="108" t="s">
        <v>1492</v>
      </c>
      <c r="Q407" s="7"/>
      <c r="R407" s="7"/>
      <c r="S407" s="7"/>
      <c r="T407" s="7"/>
      <c r="U407" s="7">
        <v>1</v>
      </c>
      <c r="V407" s="7">
        <v>35</v>
      </c>
      <c r="W407" s="7">
        <f t="shared" si="87"/>
        <v>1.5440680443502757</v>
      </c>
      <c r="X407" s="7" t="s">
        <v>2554</v>
      </c>
      <c r="Y407" s="7"/>
      <c r="Z407" s="7">
        <v>10</v>
      </c>
      <c r="AA407" s="7">
        <v>30</v>
      </c>
      <c r="AB407" s="7">
        <v>0.61</v>
      </c>
      <c r="AC407" s="7">
        <v>0.3</v>
      </c>
      <c r="AD407" s="7">
        <v>4</v>
      </c>
      <c r="AE407" s="7">
        <v>1.24</v>
      </c>
      <c r="AF407" s="7">
        <v>0.22</v>
      </c>
      <c r="AG407" s="7">
        <v>4</v>
      </c>
      <c r="AH407" s="7">
        <v>0.2</v>
      </c>
      <c r="AI407" s="7">
        <v>0.03</v>
      </c>
      <c r="AJ407" s="7">
        <v>4</v>
      </c>
      <c r="AK407" s="7">
        <v>0.77</v>
      </c>
      <c r="AL407" s="7">
        <v>0.1</v>
      </c>
      <c r="AM407" s="7">
        <v>4</v>
      </c>
      <c r="AN407" s="7">
        <f t="shared" si="88"/>
        <v>1.4257583544366492</v>
      </c>
      <c r="AO407" s="7">
        <f t="shared" si="89"/>
        <v>1.1235190616839632</v>
      </c>
      <c r="AP407" s="7"/>
      <c r="AQ407" s="7"/>
      <c r="AR407" s="7"/>
      <c r="AS407" s="7">
        <f t="shared" si="92"/>
        <v>4</v>
      </c>
      <c r="AT407" s="184">
        <f t="shared" si="90"/>
        <v>0.20666666666666667</v>
      </c>
      <c r="AU407" s="7"/>
      <c r="AV407" s="7" t="s">
        <v>2555</v>
      </c>
      <c r="AW407" s="7"/>
      <c r="AX407" s="7" t="s">
        <v>2552</v>
      </c>
      <c r="AY407" s="7" t="s">
        <v>1</v>
      </c>
    </row>
    <row r="408" spans="1:51">
      <c r="A408" s="7" t="s">
        <v>33</v>
      </c>
      <c r="B408" s="7" t="s">
        <v>34</v>
      </c>
      <c r="C408" s="7" t="s">
        <v>66</v>
      </c>
      <c r="D408" s="7" t="s">
        <v>1750</v>
      </c>
      <c r="E408" s="7" t="s">
        <v>1596</v>
      </c>
      <c r="F408" s="7" t="s">
        <v>1597</v>
      </c>
      <c r="G408" s="7" t="s">
        <v>1598</v>
      </c>
      <c r="H408" s="7" t="s">
        <v>4180</v>
      </c>
      <c r="I408" s="100">
        <v>1</v>
      </c>
      <c r="J408" s="100">
        <f t="shared" si="75"/>
        <v>1000</v>
      </c>
      <c r="K408" s="100">
        <f t="shared" si="76"/>
        <v>3</v>
      </c>
      <c r="L408" s="73" t="s">
        <v>1502</v>
      </c>
      <c r="M408" s="7" t="s">
        <v>2552</v>
      </c>
      <c r="N408" s="7" t="s">
        <v>1538</v>
      </c>
      <c r="O408" s="7" t="s">
        <v>1494</v>
      </c>
      <c r="P408" s="108" t="s">
        <v>1492</v>
      </c>
      <c r="Q408" s="7"/>
      <c r="R408" s="7"/>
      <c r="S408" s="7"/>
      <c r="T408" s="7"/>
      <c r="U408" s="7">
        <v>1</v>
      </c>
      <c r="V408" s="7">
        <v>35</v>
      </c>
      <c r="W408" s="7">
        <f t="shared" si="87"/>
        <v>1.5440680443502757</v>
      </c>
      <c r="X408" s="7" t="s">
        <v>2554</v>
      </c>
      <c r="Y408" s="7"/>
      <c r="Z408" s="7">
        <v>10</v>
      </c>
      <c r="AA408" s="7">
        <v>30</v>
      </c>
      <c r="AB408" s="7">
        <v>1.1299999999999999</v>
      </c>
      <c r="AC408" s="7">
        <v>0.82</v>
      </c>
      <c r="AD408" s="7">
        <v>4</v>
      </c>
      <c r="AE408" s="7">
        <v>2.0699999999999998</v>
      </c>
      <c r="AF408" s="7">
        <v>0.36</v>
      </c>
      <c r="AG408" s="7">
        <v>4</v>
      </c>
      <c r="AH408" s="7">
        <v>0.38</v>
      </c>
      <c r="AI408" s="7">
        <v>0.27</v>
      </c>
      <c r="AJ408" s="7">
        <v>4</v>
      </c>
      <c r="AK408" s="7">
        <v>1.54</v>
      </c>
      <c r="AL408" s="7">
        <v>0.19</v>
      </c>
      <c r="AM408" s="7">
        <v>4</v>
      </c>
      <c r="AN408" s="7">
        <f t="shared" si="88"/>
        <v>1.3534616385696514</v>
      </c>
      <c r="AO408" s="7">
        <f t="shared" si="89"/>
        <v>1.167403896861356</v>
      </c>
      <c r="AP408" s="7"/>
      <c r="AQ408" s="7"/>
      <c r="AR408" s="7"/>
      <c r="AS408" s="7">
        <f t="shared" si="92"/>
        <v>4</v>
      </c>
      <c r="AT408" s="184">
        <f t="shared" si="90"/>
        <v>0.45666666666666661</v>
      </c>
      <c r="AU408" s="7"/>
      <c r="AV408" s="7" t="s">
        <v>2555</v>
      </c>
      <c r="AW408" s="7" t="s">
        <v>2556</v>
      </c>
      <c r="AX408" s="7" t="s">
        <v>2552</v>
      </c>
      <c r="AY408" s="7" t="s">
        <v>1</v>
      </c>
    </row>
    <row r="409" spans="1:51">
      <c r="A409" s="7" t="s">
        <v>33</v>
      </c>
      <c r="B409" s="7" t="s">
        <v>34</v>
      </c>
      <c r="C409" s="7" t="s">
        <v>1621</v>
      </c>
      <c r="D409" s="7" t="s">
        <v>1622</v>
      </c>
      <c r="E409" s="7" t="s">
        <v>1623</v>
      </c>
      <c r="F409" s="7" t="s">
        <v>1624</v>
      </c>
      <c r="G409" s="7" t="s">
        <v>1625</v>
      </c>
      <c r="H409" s="7" t="s">
        <v>4180</v>
      </c>
      <c r="I409" s="100"/>
      <c r="J409" s="100"/>
      <c r="K409" s="100"/>
      <c r="M409" s="7"/>
      <c r="N409" s="7" t="s">
        <v>1538</v>
      </c>
      <c r="O409" s="7" t="s">
        <v>1505</v>
      </c>
      <c r="P409" s="108" t="s">
        <v>1492</v>
      </c>
      <c r="Q409" s="7" t="s">
        <v>2557</v>
      </c>
      <c r="R409" s="7">
        <v>43</v>
      </c>
      <c r="S409" s="7">
        <f>ABS(R409)</f>
        <v>43</v>
      </c>
      <c r="T409" s="7">
        <v>4</v>
      </c>
      <c r="U409" s="7">
        <v>1</v>
      </c>
      <c r="V409" s="7">
        <v>35</v>
      </c>
      <c r="W409" s="7">
        <f t="shared" si="87"/>
        <v>1.5440680443502757</v>
      </c>
      <c r="X409" s="7" t="s">
        <v>1520</v>
      </c>
      <c r="Y409" s="7" t="s">
        <v>2558</v>
      </c>
      <c r="Z409" s="7">
        <v>18</v>
      </c>
      <c r="AA409" s="7">
        <v>30</v>
      </c>
      <c r="AB409" s="7">
        <f>45/55.5</f>
        <v>0.81081081081081086</v>
      </c>
      <c r="AC409" s="7">
        <f>1/55.5</f>
        <v>1.8018018018018018E-2</v>
      </c>
      <c r="AD409" s="7">
        <v>10</v>
      </c>
      <c r="AE409" s="7">
        <f>68/55.5</f>
        <v>1.2252252252252251</v>
      </c>
      <c r="AF409" s="7">
        <v>0.02</v>
      </c>
      <c r="AG409" s="7">
        <v>10</v>
      </c>
      <c r="AH409" s="7">
        <f>56/54.1</f>
        <v>1.0351201478743068</v>
      </c>
      <c r="AI409" s="7">
        <f>1/54.1</f>
        <v>1.8484288354898334E-2</v>
      </c>
      <c r="AJ409" s="7">
        <v>10</v>
      </c>
      <c r="AK409" s="7">
        <f>92/54.1</f>
        <v>1.7005545286506469</v>
      </c>
      <c r="AL409" s="7">
        <f>2/54.1</f>
        <v>3.6968576709796669E-2</v>
      </c>
      <c r="AM409" s="7">
        <v>10</v>
      </c>
      <c r="AN409" s="7">
        <f t="shared" si="88"/>
        <v>1.4106317864135209</v>
      </c>
      <c r="AO409" s="7">
        <f t="shared" si="89"/>
        <v>1.8537842712336163</v>
      </c>
      <c r="AP409" s="7"/>
      <c r="AQ409" s="7"/>
      <c r="AR409" s="7"/>
      <c r="AS409" s="7">
        <f t="shared" si="92"/>
        <v>10</v>
      </c>
      <c r="AT409" s="184">
        <f t="shared" si="90"/>
        <v>2.4995531575938229E-2</v>
      </c>
      <c r="AU409" s="7"/>
      <c r="AV409" s="7"/>
      <c r="AW409" s="7"/>
      <c r="AX409" s="7" t="s">
        <v>2559</v>
      </c>
      <c r="AY409" s="7" t="s">
        <v>2560</v>
      </c>
    </row>
    <row r="410" spans="1:51">
      <c r="A410" s="7" t="s">
        <v>33</v>
      </c>
      <c r="B410" s="7" t="s">
        <v>34</v>
      </c>
      <c r="C410" s="7" t="s">
        <v>2561</v>
      </c>
      <c r="D410" s="7" t="s">
        <v>2562</v>
      </c>
      <c r="E410" s="7" t="s">
        <v>2563</v>
      </c>
      <c r="F410" s="7" t="s">
        <v>435</v>
      </c>
      <c r="G410" s="7" t="s">
        <v>2564</v>
      </c>
      <c r="H410" s="7" t="s">
        <v>4180</v>
      </c>
      <c r="I410" s="100"/>
      <c r="J410" s="100"/>
      <c r="K410" s="100"/>
      <c r="L410" s="73" t="s">
        <v>1502</v>
      </c>
      <c r="M410" s="7"/>
      <c r="N410" s="7" t="s">
        <v>1504</v>
      </c>
      <c r="O410" s="7" t="s">
        <v>1505</v>
      </c>
      <c r="P410" s="108" t="s">
        <v>1539</v>
      </c>
      <c r="Q410" s="7" t="s">
        <v>1925</v>
      </c>
      <c r="R410" s="7">
        <v>47.75</v>
      </c>
      <c r="S410" s="7">
        <f>ABS(R410)</f>
        <v>47.75</v>
      </c>
      <c r="T410" s="7">
        <v>-53</v>
      </c>
      <c r="U410" s="7">
        <v>1</v>
      </c>
      <c r="V410" s="7">
        <v>21</v>
      </c>
      <c r="W410" s="7">
        <f t="shared" si="87"/>
        <v>1.3222192947339193</v>
      </c>
      <c r="X410" s="7" t="s">
        <v>1710</v>
      </c>
      <c r="Y410" s="7" t="s">
        <v>1507</v>
      </c>
      <c r="Z410" s="7">
        <v>0</v>
      </c>
      <c r="AA410" s="7">
        <v>15</v>
      </c>
      <c r="AB410" s="7">
        <v>7.4999999999999997E-2</v>
      </c>
      <c r="AC410" s="7">
        <v>5.0000000000000001E-3</v>
      </c>
      <c r="AD410" s="7">
        <v>6</v>
      </c>
      <c r="AE410" s="7">
        <v>0.13500000000000001</v>
      </c>
      <c r="AF410" s="7">
        <v>1</v>
      </c>
      <c r="AG410" s="7">
        <v>6</v>
      </c>
      <c r="AH410" s="7">
        <v>2.5000000000000001E-2</v>
      </c>
      <c r="AI410" s="7">
        <v>5.0000000000000001E-3</v>
      </c>
      <c r="AJ410" s="7">
        <v>6</v>
      </c>
      <c r="AK410" s="7">
        <v>0.08</v>
      </c>
      <c r="AL410" s="7">
        <v>1</v>
      </c>
      <c r="AM410" s="7">
        <v>6</v>
      </c>
      <c r="AN410" s="7">
        <f t="shared" si="88"/>
        <v>1.4797272445982821</v>
      </c>
      <c r="AO410" s="7">
        <f t="shared" si="89"/>
        <v>1.0439647043116969</v>
      </c>
      <c r="AP410" s="7"/>
      <c r="AQ410" s="7"/>
      <c r="AR410" s="7"/>
      <c r="AS410" s="7">
        <f t="shared" si="92"/>
        <v>6</v>
      </c>
      <c r="AT410" s="184">
        <f t="shared" si="90"/>
        <v>0.66833333333333333</v>
      </c>
      <c r="AU410" s="7"/>
      <c r="AV410" s="7" t="s">
        <v>1719</v>
      </c>
      <c r="AW410" s="7"/>
      <c r="AX410" s="7" t="s">
        <v>2565</v>
      </c>
      <c r="AY410" s="7" t="s">
        <v>2560</v>
      </c>
    </row>
    <row r="411" spans="1:51">
      <c r="A411" s="7" t="s">
        <v>33</v>
      </c>
      <c r="B411" s="7" t="s">
        <v>34</v>
      </c>
      <c r="C411" s="7" t="s">
        <v>66</v>
      </c>
      <c r="D411" s="7" t="s">
        <v>67</v>
      </c>
      <c r="E411" s="7" t="s">
        <v>2566</v>
      </c>
      <c r="F411" s="7" t="s">
        <v>2567</v>
      </c>
      <c r="G411" s="7" t="s">
        <v>2568</v>
      </c>
      <c r="H411" s="7" t="s">
        <v>4180</v>
      </c>
      <c r="I411" s="100"/>
      <c r="J411" s="100"/>
      <c r="K411" s="100"/>
      <c r="L411" s="73" t="s">
        <v>1517</v>
      </c>
      <c r="M411" s="7"/>
      <c r="N411" s="7" t="s">
        <v>1538</v>
      </c>
      <c r="O411" s="7" t="s">
        <v>1494</v>
      </c>
      <c r="P411" s="108" t="s">
        <v>1539</v>
      </c>
      <c r="Q411" s="7"/>
      <c r="R411" s="7"/>
      <c r="S411" s="7"/>
      <c r="T411" s="7"/>
      <c r="U411" s="7">
        <v>1</v>
      </c>
      <c r="V411" s="7">
        <v>42</v>
      </c>
      <c r="W411" s="7">
        <f t="shared" si="87"/>
        <v>1.6232492903979006</v>
      </c>
      <c r="X411" s="7" t="s">
        <v>1520</v>
      </c>
      <c r="Y411" s="7" t="s">
        <v>1557</v>
      </c>
      <c r="Z411" s="7">
        <v>20</v>
      </c>
      <c r="AA411" s="7">
        <v>30</v>
      </c>
      <c r="AB411" s="7">
        <f>163/5.5</f>
        <v>29.636363636363637</v>
      </c>
      <c r="AC411" s="7">
        <f>40/5.5</f>
        <v>7.2727272727272725</v>
      </c>
      <c r="AD411" s="7">
        <v>11</v>
      </c>
      <c r="AE411" s="7">
        <f>168/5.5</f>
        <v>30.545454545454547</v>
      </c>
      <c r="AF411" s="7">
        <f>30/5.5</f>
        <v>5.4545454545454541</v>
      </c>
      <c r="AG411" s="7">
        <v>11</v>
      </c>
      <c r="AH411" s="7">
        <f>130/5.5</f>
        <v>23.636363636363637</v>
      </c>
      <c r="AI411" s="7">
        <f>20/5.5</f>
        <v>3.6363636363636362</v>
      </c>
      <c r="AJ411" s="7">
        <v>10</v>
      </c>
      <c r="AK411" s="7">
        <f>172/5.5</f>
        <v>31.272727272727273</v>
      </c>
      <c r="AL411" s="7">
        <f>30/5.5</f>
        <v>5.4545454545454541</v>
      </c>
      <c r="AM411" s="108">
        <v>10</v>
      </c>
      <c r="AN411" s="7">
        <f t="shared" si="88"/>
        <v>1.0306748466257669</v>
      </c>
      <c r="AO411" s="7">
        <f t="shared" si="89"/>
        <v>1.0552147239263803</v>
      </c>
      <c r="AP411" s="7"/>
      <c r="AQ411" s="7"/>
      <c r="AR411" s="7"/>
      <c r="AS411" s="7">
        <f t="shared" si="92"/>
        <v>10.666666666666666</v>
      </c>
      <c r="AT411" s="184">
        <f t="shared" si="90"/>
        <v>6.0606060606060597</v>
      </c>
      <c r="AU411" s="108"/>
      <c r="AV411" s="7"/>
      <c r="AW411" s="7"/>
      <c r="AX411" s="7" t="s">
        <v>2569</v>
      </c>
      <c r="AY411" s="7" t="s">
        <v>2560</v>
      </c>
    </row>
    <row r="412" spans="1:51">
      <c r="A412" s="7" t="s">
        <v>33</v>
      </c>
      <c r="B412" s="7" t="s">
        <v>34</v>
      </c>
      <c r="C412" s="7" t="s">
        <v>66</v>
      </c>
      <c r="D412" s="7" t="s">
        <v>67</v>
      </c>
      <c r="E412" s="7" t="s">
        <v>2566</v>
      </c>
      <c r="F412" s="7" t="s">
        <v>2567</v>
      </c>
      <c r="G412" s="7" t="s">
        <v>2568</v>
      </c>
      <c r="H412" s="7" t="s">
        <v>4180</v>
      </c>
      <c r="I412" s="100"/>
      <c r="J412" s="100"/>
      <c r="K412" s="100"/>
      <c r="L412" s="73" t="s">
        <v>1517</v>
      </c>
      <c r="M412" s="7"/>
      <c r="N412" s="7" t="s">
        <v>1538</v>
      </c>
      <c r="O412" s="7" t="s">
        <v>1494</v>
      </c>
      <c r="P412" s="108" t="s">
        <v>1539</v>
      </c>
      <c r="Q412" s="7"/>
      <c r="R412" s="7"/>
      <c r="S412" s="7"/>
      <c r="T412" s="7"/>
      <c r="U412" s="7">
        <v>1</v>
      </c>
      <c r="V412" s="7">
        <v>42</v>
      </c>
      <c r="W412" s="7">
        <f t="shared" si="87"/>
        <v>1.6232492903979006</v>
      </c>
      <c r="X412" s="7" t="s">
        <v>1520</v>
      </c>
      <c r="Y412" s="7" t="s">
        <v>1521</v>
      </c>
      <c r="Z412" s="7">
        <v>20</v>
      </c>
      <c r="AA412" s="7">
        <v>30</v>
      </c>
      <c r="AB412" s="7">
        <f>41/5.5</f>
        <v>7.4545454545454541</v>
      </c>
      <c r="AC412" s="7">
        <f>5/5.5</f>
        <v>0.90909090909090906</v>
      </c>
      <c r="AD412" s="7">
        <v>8</v>
      </c>
      <c r="AE412" s="7">
        <v>7.4545000000000003</v>
      </c>
      <c r="AF412" s="7">
        <f>12/5.5</f>
        <v>2.1818181818181817</v>
      </c>
      <c r="AG412" s="7">
        <v>6</v>
      </c>
      <c r="AH412" s="7">
        <f>40/5.5</f>
        <v>7.2727272727272725</v>
      </c>
      <c r="AI412" s="7">
        <f>7/5.5</f>
        <v>1.2727272727272727</v>
      </c>
      <c r="AJ412" s="7">
        <v>8</v>
      </c>
      <c r="AK412" s="7">
        <f>72/5.5</f>
        <v>13.090909090909092</v>
      </c>
      <c r="AL412" s="7">
        <f>13/5.5</f>
        <v>2.3636363636363638</v>
      </c>
      <c r="AM412" s="108">
        <v>6</v>
      </c>
      <c r="AN412" s="7">
        <f t="shared" si="88"/>
        <v>0.99999390243902453</v>
      </c>
      <c r="AO412" s="7">
        <f t="shared" si="89"/>
        <v>1.75609756097561</v>
      </c>
      <c r="AP412" s="7"/>
      <c r="AQ412" s="7"/>
      <c r="AR412" s="7"/>
      <c r="AS412" s="7">
        <f t="shared" si="92"/>
        <v>6.666666666666667</v>
      </c>
      <c r="AT412" s="184">
        <f t="shared" si="90"/>
        <v>1.8181818181818183</v>
      </c>
      <c r="AU412" s="108"/>
      <c r="AV412" s="7"/>
      <c r="AW412" s="7"/>
      <c r="AX412" s="7" t="s">
        <v>2570</v>
      </c>
      <c r="AY412" s="7" t="s">
        <v>2560</v>
      </c>
    </row>
    <row r="413" spans="1:51">
      <c r="A413" s="7" t="s">
        <v>33</v>
      </c>
      <c r="B413" s="7" t="s">
        <v>34</v>
      </c>
      <c r="C413" s="7" t="s">
        <v>66</v>
      </c>
      <c r="D413" s="7" t="s">
        <v>67</v>
      </c>
      <c r="E413" s="7" t="s">
        <v>2571</v>
      </c>
      <c r="F413" s="7" t="s">
        <v>2572</v>
      </c>
      <c r="G413" s="7" t="s">
        <v>2573</v>
      </c>
      <c r="H413" s="7" t="s">
        <v>4180</v>
      </c>
      <c r="I413" s="100"/>
      <c r="J413" s="100"/>
      <c r="K413" s="100"/>
      <c r="L413" s="73" t="s">
        <v>1517</v>
      </c>
      <c r="M413" s="7"/>
      <c r="N413" s="7" t="s">
        <v>1538</v>
      </c>
      <c r="O413" s="7" t="s">
        <v>1494</v>
      </c>
      <c r="P413" s="108" t="s">
        <v>1539</v>
      </c>
      <c r="Q413" s="7" t="s">
        <v>2574</v>
      </c>
      <c r="R413" s="7"/>
      <c r="S413" s="7"/>
      <c r="T413" s="7"/>
      <c r="U413" s="7">
        <v>1</v>
      </c>
      <c r="V413" s="7">
        <v>42</v>
      </c>
      <c r="W413" s="7">
        <f t="shared" si="87"/>
        <v>1.6232492903979006</v>
      </c>
      <c r="X413" s="7" t="s">
        <v>1520</v>
      </c>
      <c r="Y413" s="7" t="s">
        <v>1557</v>
      </c>
      <c r="Z413" s="7">
        <v>7</v>
      </c>
      <c r="AA413" s="7">
        <v>25</v>
      </c>
      <c r="AB413" s="7">
        <f>110/5.5</f>
        <v>20</v>
      </c>
      <c r="AC413" s="7">
        <f>20/5.5</f>
        <v>3.6363636363636362</v>
      </c>
      <c r="AD413" s="7">
        <v>8</v>
      </c>
      <c r="AE413" s="7">
        <f>170/5.5</f>
        <v>30.90909090909091</v>
      </c>
      <c r="AF413" s="7">
        <f>50/5.5</f>
        <v>9.0909090909090917</v>
      </c>
      <c r="AG413" s="7">
        <v>8</v>
      </c>
      <c r="AH413" s="7">
        <f>80/5.5</f>
        <v>14.545454545454545</v>
      </c>
      <c r="AI413" s="7">
        <f>10/5.5</f>
        <v>1.8181818181818181</v>
      </c>
      <c r="AJ413" s="7">
        <v>8</v>
      </c>
      <c r="AK413" s="7">
        <f>145/5.5</f>
        <v>26.363636363636363</v>
      </c>
      <c r="AL413" s="7">
        <f>20/5.5</f>
        <v>3.6363636363636362</v>
      </c>
      <c r="AM413" s="108">
        <v>8</v>
      </c>
      <c r="AN413" s="7">
        <f t="shared" si="88"/>
        <v>1.2735946977761297</v>
      </c>
      <c r="AO413" s="7">
        <f t="shared" si="89"/>
        <v>1.1658775883174988</v>
      </c>
      <c r="AP413" s="7"/>
      <c r="AQ413" s="7"/>
      <c r="AR413" s="7"/>
      <c r="AS413" s="7">
        <f t="shared" si="92"/>
        <v>8</v>
      </c>
      <c r="AT413" s="184">
        <f t="shared" si="90"/>
        <v>5.4545454545454541</v>
      </c>
      <c r="AU413" s="108"/>
      <c r="AV413" s="7"/>
      <c r="AW413" s="7"/>
      <c r="AX413" s="7" t="s">
        <v>2575</v>
      </c>
      <c r="AY413" s="7" t="s">
        <v>2560</v>
      </c>
    </row>
    <row r="414" spans="1:51">
      <c r="A414" s="7" t="s">
        <v>33</v>
      </c>
      <c r="B414" s="7" t="s">
        <v>34</v>
      </c>
      <c r="C414" s="7" t="s">
        <v>66</v>
      </c>
      <c r="D414" s="7" t="s">
        <v>67</v>
      </c>
      <c r="E414" s="7" t="s">
        <v>2571</v>
      </c>
      <c r="F414" s="7" t="s">
        <v>2572</v>
      </c>
      <c r="G414" s="7" t="s">
        <v>2573</v>
      </c>
      <c r="H414" s="7" t="s">
        <v>4180</v>
      </c>
      <c r="I414" s="100"/>
      <c r="J414" s="100"/>
      <c r="K414" s="100"/>
      <c r="L414" s="73" t="s">
        <v>1517</v>
      </c>
      <c r="M414" s="7"/>
      <c r="N414" s="7" t="s">
        <v>1538</v>
      </c>
      <c r="O414" s="7" t="s">
        <v>1494</v>
      </c>
      <c r="P414" s="108" t="s">
        <v>1539</v>
      </c>
      <c r="Q414" s="7" t="s">
        <v>2574</v>
      </c>
      <c r="R414" s="7"/>
      <c r="S414" s="7"/>
      <c r="T414" s="7"/>
      <c r="U414" s="7">
        <v>1</v>
      </c>
      <c r="V414" s="7">
        <v>42</v>
      </c>
      <c r="W414" s="7">
        <f t="shared" si="87"/>
        <v>1.6232492903979006</v>
      </c>
      <c r="X414" s="7" t="s">
        <v>1520</v>
      </c>
      <c r="Y414" s="7" t="s">
        <v>1521</v>
      </c>
      <c r="Z414" s="7">
        <v>7</v>
      </c>
      <c r="AA414" s="7">
        <v>25</v>
      </c>
      <c r="AB414" s="7">
        <f>34/5.5</f>
        <v>6.1818181818181817</v>
      </c>
      <c r="AC414" s="7">
        <f>16/5.5</f>
        <v>2.9090909090909092</v>
      </c>
      <c r="AD414" s="7">
        <v>8</v>
      </c>
      <c r="AE414" s="7">
        <f>41/5.5</f>
        <v>7.4545454545454541</v>
      </c>
      <c r="AF414" s="7">
        <f>5/5.5</f>
        <v>0.90909090909090906</v>
      </c>
      <c r="AG414" s="7">
        <v>7</v>
      </c>
      <c r="AH414" s="7">
        <f>1/5.5</f>
        <v>0.18181818181818182</v>
      </c>
      <c r="AI414" s="7">
        <f>0.01/5.5</f>
        <v>1.8181818181818182E-3</v>
      </c>
      <c r="AJ414" s="7">
        <v>6</v>
      </c>
      <c r="AK414" s="7">
        <f>72/5.5</f>
        <v>13.090909090909092</v>
      </c>
      <c r="AL414" s="7">
        <f>16/5.5</f>
        <v>2.9090909090909092</v>
      </c>
      <c r="AM414" s="108">
        <v>7</v>
      </c>
      <c r="AN414" s="7">
        <f t="shared" si="88"/>
        <v>1.1096075699974266</v>
      </c>
      <c r="AO414" s="7">
        <f t="shared" si="89"/>
        <v>1.5171543488984258</v>
      </c>
      <c r="AP414" s="7"/>
      <c r="AQ414" s="7"/>
      <c r="AR414" s="7"/>
      <c r="AS414" s="7">
        <f t="shared" si="92"/>
        <v>7.333333333333333</v>
      </c>
      <c r="AT414" s="184">
        <f t="shared" si="90"/>
        <v>2.2424242424242427</v>
      </c>
      <c r="AU414" s="108"/>
      <c r="AV414" s="7"/>
      <c r="AW414" s="7"/>
      <c r="AX414" s="7" t="s">
        <v>2576</v>
      </c>
      <c r="AY414" s="7" t="s">
        <v>2560</v>
      </c>
    </row>
    <row r="415" spans="1:51">
      <c r="A415" s="7" t="s">
        <v>33</v>
      </c>
      <c r="B415" s="7" t="s">
        <v>34</v>
      </c>
      <c r="C415" s="7" t="s">
        <v>66</v>
      </c>
      <c r="D415" s="7" t="s">
        <v>67</v>
      </c>
      <c r="E415" s="7" t="s">
        <v>2577</v>
      </c>
      <c r="F415" s="7" t="s">
        <v>2578</v>
      </c>
      <c r="G415" s="7" t="s">
        <v>2579</v>
      </c>
      <c r="H415" s="7" t="s">
        <v>4180</v>
      </c>
      <c r="I415" s="100"/>
      <c r="J415" s="100"/>
      <c r="K415" s="100"/>
      <c r="L415" s="73" t="s">
        <v>1502</v>
      </c>
      <c r="M415" s="7"/>
      <c r="N415" s="7" t="s">
        <v>1538</v>
      </c>
      <c r="O415" s="7" t="s">
        <v>1494</v>
      </c>
      <c r="P415" s="108" t="s">
        <v>1492</v>
      </c>
      <c r="Q415" s="7" t="s">
        <v>2580</v>
      </c>
      <c r="R415" s="7">
        <v>48.2</v>
      </c>
      <c r="S415" s="7">
        <f t="shared" ref="S415:S446" si="93">ABS(R415)</f>
        <v>48.2</v>
      </c>
      <c r="T415" s="7">
        <v>16.350000000000001</v>
      </c>
      <c r="U415" s="7">
        <v>1</v>
      </c>
      <c r="V415" s="7">
        <v>21</v>
      </c>
      <c r="W415" s="7">
        <f t="shared" si="87"/>
        <v>1.3222192947339193</v>
      </c>
      <c r="X415" s="7" t="s">
        <v>2581</v>
      </c>
      <c r="Y415" s="7" t="s">
        <v>2582</v>
      </c>
      <c r="Z415" s="7">
        <v>5</v>
      </c>
      <c r="AA415" s="7">
        <v>25</v>
      </c>
      <c r="AB415" s="7">
        <v>5.27</v>
      </c>
      <c r="AC415" s="7">
        <v>0.11</v>
      </c>
      <c r="AD415" s="7">
        <v>3</v>
      </c>
      <c r="AE415" s="7">
        <v>33.28</v>
      </c>
      <c r="AF415" s="7">
        <v>1.61</v>
      </c>
      <c r="AG415" s="7">
        <v>3</v>
      </c>
      <c r="AH415" s="7">
        <v>2.0299999999999998</v>
      </c>
      <c r="AI415" s="7">
        <v>0.12</v>
      </c>
      <c r="AJ415" s="7">
        <v>3</v>
      </c>
      <c r="AK415" s="7">
        <v>5.07</v>
      </c>
      <c r="AL415" s="7">
        <v>0.6</v>
      </c>
      <c r="AM415" s="7">
        <v>4</v>
      </c>
      <c r="AN415" s="7">
        <f t="shared" si="88"/>
        <v>2.5129644868827667</v>
      </c>
      <c r="AO415" s="7">
        <f t="shared" si="89"/>
        <v>0.98084113691432095</v>
      </c>
      <c r="AP415" s="7"/>
      <c r="AQ415" s="7"/>
      <c r="AR415" s="7"/>
      <c r="AS415" s="7">
        <f t="shared" si="92"/>
        <v>3.3333333333333335</v>
      </c>
      <c r="AT415" s="184">
        <f t="shared" si="90"/>
        <v>0.77333333333333343</v>
      </c>
      <c r="AU415" s="7"/>
      <c r="AV415" s="7" t="s">
        <v>2583</v>
      </c>
      <c r="AW415" s="7"/>
      <c r="AX415" s="7" t="s">
        <v>2584</v>
      </c>
      <c r="AY415" s="7" t="s">
        <v>2560</v>
      </c>
    </row>
    <row r="416" spans="1:51">
      <c r="A416" s="7" t="s">
        <v>33</v>
      </c>
      <c r="B416" s="7" t="s">
        <v>34</v>
      </c>
      <c r="C416" s="7" t="s">
        <v>66</v>
      </c>
      <c r="D416" s="7" t="s">
        <v>67</v>
      </c>
      <c r="E416" s="7" t="s">
        <v>2577</v>
      </c>
      <c r="F416" s="7" t="s">
        <v>2578</v>
      </c>
      <c r="G416" s="7" t="s">
        <v>2579</v>
      </c>
      <c r="H416" s="7" t="s">
        <v>4180</v>
      </c>
      <c r="I416" s="100"/>
      <c r="J416" s="100"/>
      <c r="K416" s="100"/>
      <c r="L416" s="73" t="s">
        <v>1502</v>
      </c>
      <c r="M416" s="7"/>
      <c r="N416" s="7" t="s">
        <v>1538</v>
      </c>
      <c r="O416" s="7" t="s">
        <v>1494</v>
      </c>
      <c r="P416" s="108" t="s">
        <v>1492</v>
      </c>
      <c r="Q416" s="7" t="s">
        <v>2580</v>
      </c>
      <c r="R416" s="7">
        <v>48.2</v>
      </c>
      <c r="S416" s="7">
        <f t="shared" si="93"/>
        <v>48.2</v>
      </c>
      <c r="T416" s="7">
        <v>16.350000000000001</v>
      </c>
      <c r="U416" s="7">
        <v>1</v>
      </c>
      <c r="V416" s="7">
        <v>21</v>
      </c>
      <c r="W416" s="7">
        <f t="shared" si="87"/>
        <v>1.3222192947339193</v>
      </c>
      <c r="X416" s="7" t="s">
        <v>2581</v>
      </c>
      <c r="Y416" s="7" t="s">
        <v>1728</v>
      </c>
      <c r="Z416" s="7">
        <v>5</v>
      </c>
      <c r="AA416" s="7">
        <v>25</v>
      </c>
      <c r="AB416" s="7">
        <v>3.27</v>
      </c>
      <c r="AC416" s="7">
        <v>0.11</v>
      </c>
      <c r="AD416" s="7">
        <v>3</v>
      </c>
      <c r="AE416" s="7">
        <v>13.18</v>
      </c>
      <c r="AF416" s="7">
        <v>1.2</v>
      </c>
      <c r="AG416" s="7">
        <v>3</v>
      </c>
      <c r="AH416" s="7">
        <v>2.09</v>
      </c>
      <c r="AI416" s="7">
        <v>0.14000000000000001</v>
      </c>
      <c r="AJ416" s="7">
        <v>3</v>
      </c>
      <c r="AK416" s="7">
        <v>5.96</v>
      </c>
      <c r="AL416" s="7">
        <v>1.5</v>
      </c>
      <c r="AM416" s="7">
        <v>3</v>
      </c>
      <c r="AN416" s="7">
        <f t="shared" si="88"/>
        <v>2.0076307030316487</v>
      </c>
      <c r="AO416" s="7">
        <f t="shared" si="89"/>
        <v>1.3500481359636627</v>
      </c>
      <c r="AP416" s="7"/>
      <c r="AQ416" s="7"/>
      <c r="AR416" s="7"/>
      <c r="AS416" s="7">
        <f t="shared" si="92"/>
        <v>3</v>
      </c>
      <c r="AT416" s="184">
        <f t="shared" si="90"/>
        <v>0.93666666666666665</v>
      </c>
      <c r="AU416" s="7"/>
      <c r="AV416" s="7" t="s">
        <v>2583</v>
      </c>
      <c r="AW416" s="7"/>
      <c r="AX416" s="7" t="s">
        <v>2584</v>
      </c>
      <c r="AY416" s="7" t="s">
        <v>2560</v>
      </c>
    </row>
    <row r="417" spans="1:51">
      <c r="A417" s="7" t="s">
        <v>33</v>
      </c>
      <c r="B417" s="7" t="s">
        <v>34</v>
      </c>
      <c r="C417" s="7" t="s">
        <v>282</v>
      </c>
      <c r="D417" s="7" t="s">
        <v>2138</v>
      </c>
      <c r="E417" s="7" t="s">
        <v>2150</v>
      </c>
      <c r="F417" s="7" t="s">
        <v>2585</v>
      </c>
      <c r="G417" s="7" t="s">
        <v>2586</v>
      </c>
      <c r="H417" s="7" t="s">
        <v>4180</v>
      </c>
      <c r="I417" s="100"/>
      <c r="J417" s="100"/>
      <c r="K417" s="100"/>
      <c r="L417" s="73" t="s">
        <v>1502</v>
      </c>
      <c r="M417" s="7"/>
      <c r="N417" s="7" t="s">
        <v>1538</v>
      </c>
      <c r="O417" s="7" t="s">
        <v>1505</v>
      </c>
      <c r="P417" s="108" t="s">
        <v>1492</v>
      </c>
      <c r="Q417" s="7" t="s">
        <v>2587</v>
      </c>
      <c r="R417" s="7">
        <v>46.7</v>
      </c>
      <c r="S417" s="7">
        <f t="shared" si="93"/>
        <v>46.7</v>
      </c>
      <c r="T417" s="7">
        <v>-66.116667000000007</v>
      </c>
      <c r="U417" s="7">
        <v>1</v>
      </c>
      <c r="V417" s="7">
        <v>28</v>
      </c>
      <c r="W417" s="7">
        <f t="shared" si="87"/>
        <v>1.4471580313422192</v>
      </c>
      <c r="X417" s="7" t="s">
        <v>1729</v>
      </c>
      <c r="Y417" s="7" t="s">
        <v>2136</v>
      </c>
      <c r="Z417" s="7">
        <v>5</v>
      </c>
      <c r="AA417" s="7">
        <v>20</v>
      </c>
      <c r="AB417" s="7">
        <v>5.72</v>
      </c>
      <c r="AC417" s="7">
        <v>0.28999999999999998</v>
      </c>
      <c r="AD417" s="7">
        <v>6</v>
      </c>
      <c r="AE417" s="7"/>
      <c r="AF417" s="7"/>
      <c r="AG417" s="7"/>
      <c r="AH417" s="7">
        <v>4.57</v>
      </c>
      <c r="AI417" s="7">
        <v>0.46</v>
      </c>
      <c r="AJ417" s="7">
        <v>6</v>
      </c>
      <c r="AK417" s="7">
        <v>12.68</v>
      </c>
      <c r="AL417" s="7">
        <v>0.95</v>
      </c>
      <c r="AM417" s="7">
        <v>6</v>
      </c>
      <c r="AN417" s="7"/>
      <c r="AO417" s="7"/>
      <c r="AP417" s="7"/>
      <c r="AQ417" s="7"/>
      <c r="AR417" s="7"/>
      <c r="AS417" s="7"/>
      <c r="AT417" s="184"/>
      <c r="AU417" s="7"/>
      <c r="AV417" s="7" t="s">
        <v>2588</v>
      </c>
      <c r="AW417" s="7" t="s">
        <v>2589</v>
      </c>
      <c r="AX417" s="7" t="s">
        <v>2590</v>
      </c>
      <c r="AY417" s="7" t="s">
        <v>2560</v>
      </c>
    </row>
    <row r="418" spans="1:51">
      <c r="A418" s="7" t="s">
        <v>33</v>
      </c>
      <c r="B418" s="7" t="s">
        <v>34</v>
      </c>
      <c r="C418" s="7" t="s">
        <v>282</v>
      </c>
      <c r="D418" s="7" t="s">
        <v>2138</v>
      </c>
      <c r="E418" s="7" t="s">
        <v>2150</v>
      </c>
      <c r="F418" s="7" t="s">
        <v>2585</v>
      </c>
      <c r="G418" s="7" t="s">
        <v>2586</v>
      </c>
      <c r="H418" s="7" t="s">
        <v>4180</v>
      </c>
      <c r="I418" s="100"/>
      <c r="J418" s="100"/>
      <c r="K418" s="100"/>
      <c r="L418" s="73" t="s">
        <v>1502</v>
      </c>
      <c r="M418" s="7"/>
      <c r="N418" s="7" t="s">
        <v>1538</v>
      </c>
      <c r="O418" s="7" t="s">
        <v>1505</v>
      </c>
      <c r="P418" s="108" t="s">
        <v>1492</v>
      </c>
      <c r="Q418" s="7" t="s">
        <v>2587</v>
      </c>
      <c r="R418" s="7">
        <v>46.7</v>
      </c>
      <c r="S418" s="7">
        <f t="shared" si="93"/>
        <v>46.7</v>
      </c>
      <c r="T418" s="7">
        <v>-66.116667000000007</v>
      </c>
      <c r="U418" s="7">
        <v>1</v>
      </c>
      <c r="V418" s="7">
        <v>28</v>
      </c>
      <c r="W418" s="7">
        <f t="shared" si="87"/>
        <v>1.4471580313422192</v>
      </c>
      <c r="X418" s="7" t="s">
        <v>2255</v>
      </c>
      <c r="Y418" s="7" t="s">
        <v>2136</v>
      </c>
      <c r="Z418" s="7">
        <v>5</v>
      </c>
      <c r="AA418" s="7">
        <v>20</v>
      </c>
      <c r="AB418" s="7">
        <v>1.18</v>
      </c>
      <c r="AC418" s="7">
        <v>0.43</v>
      </c>
      <c r="AD418" s="7">
        <v>6</v>
      </c>
      <c r="AE418" s="7"/>
      <c r="AF418" s="7"/>
      <c r="AG418" s="7"/>
      <c r="AH418" s="7">
        <v>1.97</v>
      </c>
      <c r="AI418" s="7">
        <v>0.04</v>
      </c>
      <c r="AJ418" s="7">
        <v>6</v>
      </c>
      <c r="AK418" s="7">
        <v>6.97</v>
      </c>
      <c r="AL418" s="7">
        <v>0.46</v>
      </c>
      <c r="AM418" s="7">
        <v>6</v>
      </c>
      <c r="AN418" s="7"/>
      <c r="AO418" s="7"/>
      <c r="AP418" s="7"/>
      <c r="AQ418" s="7"/>
      <c r="AR418" s="7"/>
      <c r="AS418" s="7"/>
      <c r="AT418" s="184"/>
      <c r="AU418" s="7"/>
      <c r="AV418" s="7" t="s">
        <v>2588</v>
      </c>
      <c r="AW418" s="7" t="s">
        <v>2589</v>
      </c>
      <c r="AX418" s="7" t="s">
        <v>2590</v>
      </c>
      <c r="AY418" s="7" t="s">
        <v>2560</v>
      </c>
    </row>
    <row r="419" spans="1:51">
      <c r="A419" s="7" t="s">
        <v>33</v>
      </c>
      <c r="B419" s="7" t="s">
        <v>34</v>
      </c>
      <c r="C419" s="7" t="s">
        <v>282</v>
      </c>
      <c r="D419" s="7" t="s">
        <v>2138</v>
      </c>
      <c r="E419" s="7" t="s">
        <v>2150</v>
      </c>
      <c r="F419" s="7" t="s">
        <v>2585</v>
      </c>
      <c r="G419" s="7" t="s">
        <v>2586</v>
      </c>
      <c r="H419" s="7" t="s">
        <v>4180</v>
      </c>
      <c r="I419" s="100"/>
      <c r="J419" s="100"/>
      <c r="K419" s="100"/>
      <c r="L419" s="73" t="s">
        <v>1502</v>
      </c>
      <c r="M419" s="7"/>
      <c r="N419" s="7" t="s">
        <v>1538</v>
      </c>
      <c r="O419" s="7" t="s">
        <v>1505</v>
      </c>
      <c r="P419" s="108" t="s">
        <v>1492</v>
      </c>
      <c r="Q419" s="7" t="s">
        <v>2587</v>
      </c>
      <c r="R419" s="7">
        <v>46.7</v>
      </c>
      <c r="S419" s="7">
        <f t="shared" si="93"/>
        <v>46.7</v>
      </c>
      <c r="T419" s="7">
        <v>-66.116667000000007</v>
      </c>
      <c r="U419" s="7">
        <v>1</v>
      </c>
      <c r="V419" s="7">
        <v>28</v>
      </c>
      <c r="W419" s="7">
        <f t="shared" si="87"/>
        <v>1.4471580313422192</v>
      </c>
      <c r="X419" s="7" t="s">
        <v>2284</v>
      </c>
      <c r="Y419" s="7" t="s">
        <v>2136</v>
      </c>
      <c r="Z419" s="7">
        <v>5</v>
      </c>
      <c r="AA419" s="7">
        <v>20</v>
      </c>
      <c r="AB419" s="7">
        <v>12.27</v>
      </c>
      <c r="AC419" s="7">
        <v>2.56</v>
      </c>
      <c r="AD419" s="7">
        <v>6</v>
      </c>
      <c r="AE419" s="7"/>
      <c r="AF419" s="7"/>
      <c r="AG419" s="7"/>
      <c r="AH419" s="7">
        <v>14.65</v>
      </c>
      <c r="AI419" s="7">
        <v>1.29</v>
      </c>
      <c r="AJ419" s="7">
        <v>6</v>
      </c>
      <c r="AK419" s="7">
        <v>26.24</v>
      </c>
      <c r="AL419" s="7">
        <v>2.72</v>
      </c>
      <c r="AM419" s="7">
        <v>6</v>
      </c>
      <c r="AN419" s="7"/>
      <c r="AO419" s="7"/>
      <c r="AP419" s="7"/>
      <c r="AQ419" s="7"/>
      <c r="AR419" s="7"/>
      <c r="AS419" s="7"/>
      <c r="AT419" s="184"/>
      <c r="AU419" s="7"/>
      <c r="AV419" s="7" t="s">
        <v>2588</v>
      </c>
      <c r="AW419" s="7" t="s">
        <v>2589</v>
      </c>
      <c r="AX419" s="7" t="s">
        <v>2590</v>
      </c>
      <c r="AY419" s="7" t="s">
        <v>2560</v>
      </c>
    </row>
    <row r="420" spans="1:51">
      <c r="A420" s="7" t="s">
        <v>33</v>
      </c>
      <c r="B420" s="7" t="s">
        <v>34</v>
      </c>
      <c r="C420" s="7" t="s">
        <v>282</v>
      </c>
      <c r="D420" s="7" t="s">
        <v>2446</v>
      </c>
      <c r="E420" s="7" t="s">
        <v>2591</v>
      </c>
      <c r="F420" s="7" t="s">
        <v>2592</v>
      </c>
      <c r="G420" s="7" t="s">
        <v>2593</v>
      </c>
      <c r="H420" s="7" t="s">
        <v>4180</v>
      </c>
      <c r="I420" s="100"/>
      <c r="J420" s="100"/>
      <c r="K420" s="100"/>
      <c r="L420" s="73" t="s">
        <v>1502</v>
      </c>
      <c r="M420" s="7"/>
      <c r="N420" s="7" t="s">
        <v>1504</v>
      </c>
      <c r="O420" s="7" t="s">
        <v>1505</v>
      </c>
      <c r="P420" s="108" t="s">
        <v>1492</v>
      </c>
      <c r="Q420" s="7" t="s">
        <v>2587</v>
      </c>
      <c r="R420" s="7">
        <v>46.7</v>
      </c>
      <c r="S420" s="7">
        <f t="shared" si="93"/>
        <v>46.7</v>
      </c>
      <c r="T420" s="7">
        <v>-66.116667000000007</v>
      </c>
      <c r="U420" s="7">
        <v>1</v>
      </c>
      <c r="V420" s="7">
        <v>28</v>
      </c>
      <c r="W420" s="7">
        <f t="shared" si="87"/>
        <v>1.4471580313422192</v>
      </c>
      <c r="X420" s="7" t="s">
        <v>1729</v>
      </c>
      <c r="Y420" s="7" t="s">
        <v>2136</v>
      </c>
      <c r="Z420" s="7">
        <v>5</v>
      </c>
      <c r="AA420" s="7">
        <v>20</v>
      </c>
      <c r="AB420" s="7">
        <v>3.26</v>
      </c>
      <c r="AC420" s="7">
        <v>0.57999999999999996</v>
      </c>
      <c r="AD420" s="7">
        <v>6</v>
      </c>
      <c r="AE420" s="7"/>
      <c r="AF420" s="7"/>
      <c r="AG420" s="7"/>
      <c r="AH420" s="7">
        <v>4.09</v>
      </c>
      <c r="AI420" s="7">
        <v>0.46</v>
      </c>
      <c r="AJ420" s="7">
        <v>6</v>
      </c>
      <c r="AK420" s="7">
        <v>8.08</v>
      </c>
      <c r="AL420" s="7">
        <v>0.75</v>
      </c>
      <c r="AM420" s="7">
        <v>6</v>
      </c>
      <c r="AN420" s="7"/>
      <c r="AO420" s="7"/>
      <c r="AP420" s="7"/>
      <c r="AQ420" s="7"/>
      <c r="AR420" s="7"/>
      <c r="AS420" s="7"/>
      <c r="AT420" s="184"/>
      <c r="AU420" s="7"/>
      <c r="AV420" s="7" t="s">
        <v>2588</v>
      </c>
      <c r="AW420" s="7" t="s">
        <v>2589</v>
      </c>
      <c r="AX420" s="7" t="s">
        <v>2590</v>
      </c>
      <c r="AY420" s="7" t="s">
        <v>2560</v>
      </c>
    </row>
    <row r="421" spans="1:51">
      <c r="A421" s="7" t="s">
        <v>33</v>
      </c>
      <c r="B421" s="7" t="s">
        <v>34</v>
      </c>
      <c r="C421" s="7" t="s">
        <v>282</v>
      </c>
      <c r="D421" s="7" t="s">
        <v>2446</v>
      </c>
      <c r="E421" s="7" t="s">
        <v>2591</v>
      </c>
      <c r="F421" s="7" t="s">
        <v>2592</v>
      </c>
      <c r="G421" s="7" t="s">
        <v>2593</v>
      </c>
      <c r="H421" s="7" t="s">
        <v>4180</v>
      </c>
      <c r="I421" s="100"/>
      <c r="J421" s="100"/>
      <c r="K421" s="100"/>
      <c r="L421" s="73" t="s">
        <v>1502</v>
      </c>
      <c r="M421" s="7"/>
      <c r="N421" s="7" t="s">
        <v>1504</v>
      </c>
      <c r="O421" s="7" t="s">
        <v>1505</v>
      </c>
      <c r="P421" s="108" t="s">
        <v>1492</v>
      </c>
      <c r="Q421" s="7" t="s">
        <v>2587</v>
      </c>
      <c r="R421" s="7">
        <v>46.7</v>
      </c>
      <c r="S421" s="7">
        <f t="shared" si="93"/>
        <v>46.7</v>
      </c>
      <c r="T421" s="7">
        <v>-66.116667000000007</v>
      </c>
      <c r="U421" s="7">
        <v>1</v>
      </c>
      <c r="V421" s="7">
        <v>28</v>
      </c>
      <c r="W421" s="7">
        <f t="shared" si="87"/>
        <v>1.4471580313422192</v>
      </c>
      <c r="X421" s="7" t="s">
        <v>2255</v>
      </c>
      <c r="Y421" s="7" t="s">
        <v>2136</v>
      </c>
      <c r="Z421" s="7">
        <v>5</v>
      </c>
      <c r="AA421" s="7">
        <v>20</v>
      </c>
      <c r="AB421" s="7">
        <v>1.03</v>
      </c>
      <c r="AC421" s="7">
        <v>0.2</v>
      </c>
      <c r="AD421" s="7">
        <v>6</v>
      </c>
      <c r="AE421" s="7"/>
      <c r="AF421" s="7"/>
      <c r="AG421" s="7"/>
      <c r="AH421" s="7">
        <v>1.06</v>
      </c>
      <c r="AI421" s="7">
        <v>0.23</v>
      </c>
      <c r="AJ421" s="7">
        <v>6</v>
      </c>
      <c r="AK421" s="7">
        <v>3.91</v>
      </c>
      <c r="AL421" s="7">
        <v>0.64</v>
      </c>
      <c r="AM421" s="7">
        <v>6</v>
      </c>
      <c r="AN421" s="7"/>
      <c r="AO421" s="7"/>
      <c r="AP421" s="7"/>
      <c r="AQ421" s="7"/>
      <c r="AR421" s="7"/>
      <c r="AS421" s="7"/>
      <c r="AT421" s="184"/>
      <c r="AU421" s="7"/>
      <c r="AV421" s="7" t="s">
        <v>2588</v>
      </c>
      <c r="AW421" s="7" t="s">
        <v>2589</v>
      </c>
      <c r="AX421" s="7" t="s">
        <v>2590</v>
      </c>
      <c r="AY421" s="7" t="s">
        <v>2560</v>
      </c>
    </row>
    <row r="422" spans="1:51">
      <c r="A422" s="7" t="s">
        <v>33</v>
      </c>
      <c r="B422" s="7" t="s">
        <v>34</v>
      </c>
      <c r="C422" s="7" t="s">
        <v>282</v>
      </c>
      <c r="D422" s="7" t="s">
        <v>2446</v>
      </c>
      <c r="E422" s="7" t="s">
        <v>2591</v>
      </c>
      <c r="F422" s="7" t="s">
        <v>2592</v>
      </c>
      <c r="G422" s="7" t="s">
        <v>2593</v>
      </c>
      <c r="H422" s="7" t="s">
        <v>4180</v>
      </c>
      <c r="I422" s="100"/>
      <c r="J422" s="100"/>
      <c r="K422" s="100"/>
      <c r="L422" s="73" t="s">
        <v>1502</v>
      </c>
      <c r="M422" s="7"/>
      <c r="N422" s="7" t="s">
        <v>1504</v>
      </c>
      <c r="O422" s="7" t="s">
        <v>1505</v>
      </c>
      <c r="P422" s="108" t="s">
        <v>1492</v>
      </c>
      <c r="Q422" s="7" t="s">
        <v>2587</v>
      </c>
      <c r="R422" s="7">
        <v>46.7</v>
      </c>
      <c r="S422" s="7">
        <f t="shared" si="93"/>
        <v>46.7</v>
      </c>
      <c r="T422" s="7">
        <v>-66.116667000000007</v>
      </c>
      <c r="U422" s="7">
        <v>1</v>
      </c>
      <c r="V422" s="7">
        <v>28</v>
      </c>
      <c r="W422" s="7">
        <f t="shared" si="87"/>
        <v>1.4471580313422192</v>
      </c>
      <c r="X422" s="7" t="s">
        <v>2284</v>
      </c>
      <c r="Y422" s="7" t="s">
        <v>2136</v>
      </c>
      <c r="Z422" s="7">
        <v>5</v>
      </c>
      <c r="AA422" s="7">
        <v>20</v>
      </c>
      <c r="AB422" s="7">
        <v>2.98</v>
      </c>
      <c r="AC422" s="7">
        <v>0.56000000000000005</v>
      </c>
      <c r="AD422" s="7">
        <v>6</v>
      </c>
      <c r="AE422" s="7"/>
      <c r="AF422" s="7"/>
      <c r="AG422" s="7"/>
      <c r="AH422" s="7">
        <v>3.16</v>
      </c>
      <c r="AI422" s="7">
        <v>0.88</v>
      </c>
      <c r="AJ422" s="7">
        <v>6</v>
      </c>
      <c r="AK422" s="7">
        <v>5.16</v>
      </c>
      <c r="AL422" s="7">
        <v>2.1800000000000002</v>
      </c>
      <c r="AM422" s="7">
        <v>6</v>
      </c>
      <c r="AN422" s="7"/>
      <c r="AO422" s="7"/>
      <c r="AP422" s="7"/>
      <c r="AQ422" s="7"/>
      <c r="AR422" s="7"/>
      <c r="AS422" s="7"/>
      <c r="AT422" s="184"/>
      <c r="AU422" s="7"/>
      <c r="AV422" s="7" t="s">
        <v>2588</v>
      </c>
      <c r="AW422" s="7" t="s">
        <v>2589</v>
      </c>
      <c r="AX422" s="7" t="s">
        <v>2590</v>
      </c>
      <c r="AY422" s="7" t="s">
        <v>2560</v>
      </c>
    </row>
    <row r="423" spans="1:51">
      <c r="A423" s="7" t="s">
        <v>33</v>
      </c>
      <c r="B423" s="7" t="s">
        <v>34</v>
      </c>
      <c r="C423" s="7" t="s">
        <v>282</v>
      </c>
      <c r="D423" s="7" t="s">
        <v>283</v>
      </c>
      <c r="E423" s="7" t="s">
        <v>2401</v>
      </c>
      <c r="F423" s="7" t="s">
        <v>2463</v>
      </c>
      <c r="G423" s="7" t="s">
        <v>280</v>
      </c>
      <c r="H423" s="7" t="s">
        <v>4180</v>
      </c>
      <c r="I423" s="100"/>
      <c r="J423" s="100"/>
      <c r="K423" s="100"/>
      <c r="L423" s="73" t="s">
        <v>1502</v>
      </c>
      <c r="M423" s="7"/>
      <c r="N423" s="7" t="s">
        <v>1538</v>
      </c>
      <c r="O423" s="7" t="s">
        <v>1505</v>
      </c>
      <c r="P423" s="108" t="s">
        <v>1492</v>
      </c>
      <c r="Q423" s="7" t="s">
        <v>2587</v>
      </c>
      <c r="R423" s="7">
        <v>46.7</v>
      </c>
      <c r="S423" s="7">
        <f t="shared" si="93"/>
        <v>46.7</v>
      </c>
      <c r="T423" s="7">
        <v>-66.116667000000007</v>
      </c>
      <c r="U423" s="7">
        <v>1</v>
      </c>
      <c r="V423" s="7">
        <v>28</v>
      </c>
      <c r="W423" s="7">
        <f t="shared" si="87"/>
        <v>1.4471580313422192</v>
      </c>
      <c r="X423" s="7" t="s">
        <v>1729</v>
      </c>
      <c r="Y423" s="7" t="s">
        <v>2136</v>
      </c>
      <c r="Z423" s="7">
        <v>5</v>
      </c>
      <c r="AA423" s="7">
        <v>20</v>
      </c>
      <c r="AB423" s="7">
        <v>1.62</v>
      </c>
      <c r="AC423" s="7">
        <v>0.3</v>
      </c>
      <c r="AD423" s="7">
        <v>6</v>
      </c>
      <c r="AE423" s="7"/>
      <c r="AF423" s="7"/>
      <c r="AG423" s="7"/>
      <c r="AH423" s="7">
        <v>3.04</v>
      </c>
      <c r="AI423" s="7">
        <v>0.84</v>
      </c>
      <c r="AJ423" s="7">
        <v>6</v>
      </c>
      <c r="AK423" s="7">
        <v>7.94</v>
      </c>
      <c r="AL423" s="7">
        <v>1.65</v>
      </c>
      <c r="AM423" s="7">
        <v>6</v>
      </c>
      <c r="AN423" s="7"/>
      <c r="AO423" s="7"/>
      <c r="AP423" s="7"/>
      <c r="AQ423" s="7"/>
      <c r="AR423" s="7"/>
      <c r="AS423" s="7"/>
      <c r="AT423" s="184"/>
      <c r="AU423" s="7"/>
      <c r="AV423" s="7" t="s">
        <v>2588</v>
      </c>
      <c r="AW423" s="7" t="s">
        <v>2589</v>
      </c>
      <c r="AX423" s="7" t="s">
        <v>2590</v>
      </c>
      <c r="AY423" s="7" t="s">
        <v>2560</v>
      </c>
    </row>
    <row r="424" spans="1:51">
      <c r="A424" s="7" t="s">
        <v>33</v>
      </c>
      <c r="B424" s="7" t="s">
        <v>34</v>
      </c>
      <c r="C424" s="7" t="s">
        <v>282</v>
      </c>
      <c r="D424" s="7" t="s">
        <v>283</v>
      </c>
      <c r="E424" s="7" t="s">
        <v>2401</v>
      </c>
      <c r="F424" s="7" t="s">
        <v>2463</v>
      </c>
      <c r="G424" s="7" t="s">
        <v>280</v>
      </c>
      <c r="H424" s="7" t="s">
        <v>4180</v>
      </c>
      <c r="I424" s="100"/>
      <c r="J424" s="100"/>
      <c r="K424" s="100"/>
      <c r="L424" s="73" t="s">
        <v>1502</v>
      </c>
      <c r="M424" s="7"/>
      <c r="N424" s="7" t="s">
        <v>1538</v>
      </c>
      <c r="O424" s="7" t="s">
        <v>1505</v>
      </c>
      <c r="P424" s="108" t="s">
        <v>1492</v>
      </c>
      <c r="Q424" s="7" t="s">
        <v>2587</v>
      </c>
      <c r="R424" s="7">
        <v>46.7</v>
      </c>
      <c r="S424" s="7">
        <f t="shared" si="93"/>
        <v>46.7</v>
      </c>
      <c r="T424" s="7">
        <v>-66.116667000000007</v>
      </c>
      <c r="U424" s="7">
        <v>1</v>
      </c>
      <c r="V424" s="7">
        <v>28</v>
      </c>
      <c r="W424" s="7">
        <f t="shared" si="87"/>
        <v>1.4471580313422192</v>
      </c>
      <c r="X424" s="7" t="s">
        <v>2255</v>
      </c>
      <c r="Y424" s="7" t="s">
        <v>2136</v>
      </c>
      <c r="Z424" s="7">
        <v>5</v>
      </c>
      <c r="AA424" s="7">
        <v>20</v>
      </c>
      <c r="AB424" s="7">
        <v>1.99</v>
      </c>
      <c r="AC424" s="7">
        <v>0.3</v>
      </c>
      <c r="AD424" s="7">
        <v>6</v>
      </c>
      <c r="AE424" s="7"/>
      <c r="AF424" s="7"/>
      <c r="AG424" s="7"/>
      <c r="AH424" s="7">
        <v>3.56</v>
      </c>
      <c r="AI424" s="7">
        <v>0.69</v>
      </c>
      <c r="AJ424" s="7">
        <v>6</v>
      </c>
      <c r="AK424" s="7">
        <v>8.77</v>
      </c>
      <c r="AL424" s="7">
        <v>0.86</v>
      </c>
      <c r="AM424" s="7">
        <v>6</v>
      </c>
      <c r="AN424" s="7"/>
      <c r="AO424" s="7"/>
      <c r="AP424" s="7"/>
      <c r="AQ424" s="7"/>
      <c r="AR424" s="7"/>
      <c r="AS424" s="7"/>
      <c r="AT424" s="184"/>
      <c r="AU424" s="7"/>
      <c r="AV424" s="7" t="s">
        <v>2588</v>
      </c>
      <c r="AW424" s="7" t="s">
        <v>2589</v>
      </c>
      <c r="AX424" s="7" t="s">
        <v>2590</v>
      </c>
      <c r="AY424" s="7" t="s">
        <v>2560</v>
      </c>
    </row>
    <row r="425" spans="1:51">
      <c r="A425" s="7" t="s">
        <v>33</v>
      </c>
      <c r="B425" s="7" t="s">
        <v>34</v>
      </c>
      <c r="C425" s="7" t="s">
        <v>282</v>
      </c>
      <c r="D425" s="7" t="s">
        <v>283</v>
      </c>
      <c r="E425" s="7" t="s">
        <v>2401</v>
      </c>
      <c r="F425" s="7" t="s">
        <v>2463</v>
      </c>
      <c r="G425" s="7" t="s">
        <v>280</v>
      </c>
      <c r="H425" s="7" t="s">
        <v>4180</v>
      </c>
      <c r="I425" s="100"/>
      <c r="J425" s="100"/>
      <c r="K425" s="100"/>
      <c r="L425" s="73" t="s">
        <v>1502</v>
      </c>
      <c r="M425" s="7"/>
      <c r="N425" s="7" t="s">
        <v>1538</v>
      </c>
      <c r="O425" s="7" t="s">
        <v>1505</v>
      </c>
      <c r="P425" s="108" t="s">
        <v>1492</v>
      </c>
      <c r="Q425" s="7" t="s">
        <v>2587</v>
      </c>
      <c r="R425" s="7">
        <v>46.7</v>
      </c>
      <c r="S425" s="7">
        <f t="shared" si="93"/>
        <v>46.7</v>
      </c>
      <c r="T425" s="7">
        <v>-66.116667000000007</v>
      </c>
      <c r="U425" s="7">
        <v>1</v>
      </c>
      <c r="V425" s="7">
        <v>28</v>
      </c>
      <c r="W425" s="7">
        <f t="shared" si="87"/>
        <v>1.4471580313422192</v>
      </c>
      <c r="X425" s="7" t="s">
        <v>2284</v>
      </c>
      <c r="Y425" s="7" t="s">
        <v>2136</v>
      </c>
      <c r="Z425" s="7">
        <v>5</v>
      </c>
      <c r="AA425" s="7">
        <v>20</v>
      </c>
      <c r="AB425" s="7">
        <v>9.39</v>
      </c>
      <c r="AC425" s="7">
        <v>1.69</v>
      </c>
      <c r="AD425" s="7">
        <v>6</v>
      </c>
      <c r="AE425" s="7"/>
      <c r="AF425" s="7"/>
      <c r="AG425" s="7"/>
      <c r="AH425" s="7">
        <v>11.8</v>
      </c>
      <c r="AI425" s="7">
        <v>0.71</v>
      </c>
      <c r="AJ425" s="7">
        <v>6</v>
      </c>
      <c r="AK425" s="7">
        <v>23.22</v>
      </c>
      <c r="AL425" s="7">
        <v>2.65</v>
      </c>
      <c r="AM425" s="7">
        <v>6</v>
      </c>
      <c r="AN425" s="7"/>
      <c r="AO425" s="7"/>
      <c r="AP425" s="7"/>
      <c r="AQ425" s="7"/>
      <c r="AR425" s="7"/>
      <c r="AS425" s="7"/>
      <c r="AT425" s="184"/>
      <c r="AU425" s="7"/>
      <c r="AV425" s="7" t="s">
        <v>2588</v>
      </c>
      <c r="AW425" s="7" t="s">
        <v>2589</v>
      </c>
      <c r="AX425" s="7" t="s">
        <v>2590</v>
      </c>
      <c r="AY425" s="7" t="s">
        <v>2560</v>
      </c>
    </row>
    <row r="426" spans="1:51">
      <c r="A426" s="7" t="s">
        <v>33</v>
      </c>
      <c r="B426" s="7" t="s">
        <v>34</v>
      </c>
      <c r="C426" s="7" t="s">
        <v>282</v>
      </c>
      <c r="D426" s="7" t="s">
        <v>2446</v>
      </c>
      <c r="E426" s="7" t="s">
        <v>2591</v>
      </c>
      <c r="F426" s="7" t="s">
        <v>2594</v>
      </c>
      <c r="G426" s="7" t="s">
        <v>2595</v>
      </c>
      <c r="H426" s="7" t="s">
        <v>4180</v>
      </c>
      <c r="I426" s="100"/>
      <c r="J426" s="100"/>
      <c r="K426" s="100"/>
      <c r="L426" s="73" t="s">
        <v>1502</v>
      </c>
      <c r="M426" s="7" t="s">
        <v>2596</v>
      </c>
      <c r="N426" s="7" t="s">
        <v>1504</v>
      </c>
      <c r="O426" s="7" t="s">
        <v>1505</v>
      </c>
      <c r="P426" s="108" t="s">
        <v>1539</v>
      </c>
      <c r="Q426" s="7" t="s">
        <v>2597</v>
      </c>
      <c r="R426" s="7">
        <v>41.204166999999998</v>
      </c>
      <c r="S426" s="7">
        <f t="shared" si="93"/>
        <v>41.204166999999998</v>
      </c>
      <c r="T426" s="7">
        <v>-73.886111</v>
      </c>
      <c r="U426" s="7">
        <v>1</v>
      </c>
      <c r="V426" s="7">
        <v>28</v>
      </c>
      <c r="W426" s="7">
        <f t="shared" si="87"/>
        <v>1.4471580313422192</v>
      </c>
      <c r="X426" s="7" t="s">
        <v>1779</v>
      </c>
      <c r="Y426" s="7" t="s">
        <v>1860</v>
      </c>
      <c r="Z426" s="7">
        <v>15</v>
      </c>
      <c r="AA426" s="7">
        <v>25</v>
      </c>
      <c r="AB426" s="7">
        <v>1.9</v>
      </c>
      <c r="AC426" s="7">
        <v>0.1</v>
      </c>
      <c r="AD426" s="7">
        <v>8</v>
      </c>
      <c r="AE426" s="7"/>
      <c r="AF426" s="7"/>
      <c r="AG426" s="7"/>
      <c r="AH426" s="7"/>
      <c r="AI426" s="7"/>
      <c r="AJ426" s="7"/>
      <c r="AK426" s="7">
        <v>1.95</v>
      </c>
      <c r="AL426" s="7">
        <v>0.2</v>
      </c>
      <c r="AM426" s="7">
        <v>8</v>
      </c>
      <c r="AN426" s="7"/>
      <c r="AO426" s="7"/>
      <c r="AP426" s="7"/>
      <c r="AQ426" s="7"/>
      <c r="AR426" s="7"/>
      <c r="AS426" s="7"/>
      <c r="AT426" s="184"/>
      <c r="AU426" s="7"/>
      <c r="AV426" s="100" t="s">
        <v>2598</v>
      </c>
      <c r="AW426" s="7"/>
      <c r="AX426" s="7" t="s">
        <v>2599</v>
      </c>
      <c r="AY426" s="7" t="s">
        <v>2560</v>
      </c>
    </row>
    <row r="427" spans="1:51">
      <c r="A427" s="7" t="s">
        <v>33</v>
      </c>
      <c r="B427" s="7" t="s">
        <v>34</v>
      </c>
      <c r="C427" s="7" t="s">
        <v>2561</v>
      </c>
      <c r="D427" s="7" t="s">
        <v>2600</v>
      </c>
      <c r="E427" s="7" t="s">
        <v>2601</v>
      </c>
      <c r="F427" s="7" t="s">
        <v>2602</v>
      </c>
      <c r="G427" s="7" t="s">
        <v>2603</v>
      </c>
      <c r="H427" s="7" t="s">
        <v>4180</v>
      </c>
      <c r="I427" s="100"/>
      <c r="J427" s="100"/>
      <c r="K427" s="100"/>
      <c r="L427" s="73" t="s">
        <v>1517</v>
      </c>
      <c r="M427" s="7"/>
      <c r="N427" s="7" t="s">
        <v>1504</v>
      </c>
      <c r="O427" s="7" t="s">
        <v>1505</v>
      </c>
      <c r="P427" s="108" t="s">
        <v>1539</v>
      </c>
      <c r="Q427" s="7" t="s">
        <v>2604</v>
      </c>
      <c r="R427" s="7">
        <v>46.207500000000003</v>
      </c>
      <c r="S427" s="7">
        <f t="shared" si="93"/>
        <v>46.207500000000003</v>
      </c>
      <c r="T427" s="7">
        <v>-1.1625000000000001</v>
      </c>
      <c r="U427" s="7">
        <v>1</v>
      </c>
      <c r="V427" s="7">
        <v>42</v>
      </c>
      <c r="W427" s="7">
        <f t="shared" si="87"/>
        <v>1.6232492903979006</v>
      </c>
      <c r="X427" s="7" t="s">
        <v>2261</v>
      </c>
      <c r="Y427" s="7"/>
      <c r="Z427" s="7">
        <v>10</v>
      </c>
      <c r="AA427" s="7">
        <v>24</v>
      </c>
      <c r="AB427" s="7">
        <v>34</v>
      </c>
      <c r="AC427" s="7">
        <v>3</v>
      </c>
      <c r="AD427" s="7">
        <v>5</v>
      </c>
      <c r="AE427" s="7">
        <v>105</v>
      </c>
      <c r="AF427" s="7">
        <v>5</v>
      </c>
      <c r="AG427" s="7">
        <v>5</v>
      </c>
      <c r="AH427" s="7">
        <v>23</v>
      </c>
      <c r="AI427" s="7">
        <v>3</v>
      </c>
      <c r="AJ427" s="7">
        <v>5</v>
      </c>
      <c r="AK427" s="7">
        <v>58</v>
      </c>
      <c r="AL427" s="7">
        <v>5</v>
      </c>
      <c r="AM427" s="7">
        <v>5</v>
      </c>
      <c r="AN427" s="7">
        <f>(AE427/AB427)^(10/(AA427-Z427))</f>
        <v>2.2376550096323964</v>
      </c>
      <c r="AO427" s="7">
        <f>(AK427/AB427)^(10/(AA427-Z427))</f>
        <v>1.4644613416124501</v>
      </c>
      <c r="AP427" s="7"/>
      <c r="AQ427" s="7"/>
      <c r="AR427" s="7"/>
      <c r="AS427" s="7">
        <f>AVERAGE(AD427,AG427,AM427)</f>
        <v>5</v>
      </c>
      <c r="AT427" s="184">
        <f>AVERAGE(AC427,AF427,AL427)</f>
        <v>4.333333333333333</v>
      </c>
      <c r="AU427" s="7"/>
      <c r="AV427" s="7" t="s">
        <v>2262</v>
      </c>
      <c r="AW427" s="7"/>
      <c r="AX427" s="7" t="s">
        <v>2605</v>
      </c>
      <c r="AY427" s="7" t="s">
        <v>2560</v>
      </c>
    </row>
    <row r="428" spans="1:51">
      <c r="A428" s="7" t="s">
        <v>33</v>
      </c>
      <c r="B428" s="7" t="s">
        <v>34</v>
      </c>
      <c r="C428" s="7" t="s">
        <v>2561</v>
      </c>
      <c r="D428" s="7" t="s">
        <v>2600</v>
      </c>
      <c r="E428" s="7" t="s">
        <v>2601</v>
      </c>
      <c r="F428" s="7" t="s">
        <v>2602</v>
      </c>
      <c r="G428" s="7" t="s">
        <v>2603</v>
      </c>
      <c r="H428" s="7" t="s">
        <v>4180</v>
      </c>
      <c r="I428" s="100"/>
      <c r="J428" s="100"/>
      <c r="K428" s="100"/>
      <c r="L428" s="73" t="s">
        <v>1517</v>
      </c>
      <c r="M428" s="7"/>
      <c r="N428" s="7" t="s">
        <v>1504</v>
      </c>
      <c r="O428" s="7" t="s">
        <v>1505</v>
      </c>
      <c r="P428" s="108" t="s">
        <v>1539</v>
      </c>
      <c r="Q428" s="7" t="s">
        <v>2604</v>
      </c>
      <c r="R428" s="7">
        <v>46.207500000000003</v>
      </c>
      <c r="S428" s="7">
        <f t="shared" si="93"/>
        <v>46.207500000000003</v>
      </c>
      <c r="T428" s="7">
        <v>-1.1625000000000001</v>
      </c>
      <c r="U428" s="7">
        <v>1</v>
      </c>
      <c r="V428" s="7">
        <v>42</v>
      </c>
      <c r="W428" s="7">
        <f t="shared" si="87"/>
        <v>1.6232492903979006</v>
      </c>
      <c r="X428" s="7" t="s">
        <v>2261</v>
      </c>
      <c r="Y428" s="7" t="s">
        <v>2606</v>
      </c>
      <c r="Z428" s="7">
        <v>10</v>
      </c>
      <c r="AA428" s="7">
        <v>24</v>
      </c>
      <c r="AB428" s="7">
        <v>38</v>
      </c>
      <c r="AC428" s="7">
        <v>3</v>
      </c>
      <c r="AD428" s="7">
        <v>5</v>
      </c>
      <c r="AE428" s="7">
        <v>113</v>
      </c>
      <c r="AF428" s="7">
        <v>5</v>
      </c>
      <c r="AG428" s="7">
        <v>5</v>
      </c>
      <c r="AH428" s="7">
        <v>32</v>
      </c>
      <c r="AI428" s="7">
        <v>3</v>
      </c>
      <c r="AJ428" s="7">
        <v>5</v>
      </c>
      <c r="AK428" s="7">
        <v>104</v>
      </c>
      <c r="AL428" s="7">
        <v>5</v>
      </c>
      <c r="AM428" s="7">
        <v>5</v>
      </c>
      <c r="AN428" s="7">
        <f>(AE428/AB428)^(10/(AA428-Z428))</f>
        <v>2.1780495106578579</v>
      </c>
      <c r="AO428" s="7">
        <f>(AK428/AB428)^(10/(AA428-Z428))</f>
        <v>2.0526799712844732</v>
      </c>
      <c r="AP428" s="7"/>
      <c r="AQ428" s="7"/>
      <c r="AR428" s="7"/>
      <c r="AS428" s="7">
        <f>AVERAGE(AD428,AG428,AM428)</f>
        <v>5</v>
      </c>
      <c r="AT428" s="184">
        <f>AVERAGE(AC428,AF428,AL428)</f>
        <v>4.333333333333333</v>
      </c>
      <c r="AU428" s="7"/>
      <c r="AV428" s="7" t="s">
        <v>2262</v>
      </c>
      <c r="AW428" s="7" t="s">
        <v>2606</v>
      </c>
      <c r="AX428" s="7" t="s">
        <v>2605</v>
      </c>
      <c r="AY428" s="7" t="s">
        <v>2560</v>
      </c>
    </row>
    <row r="429" spans="1:51">
      <c r="A429" s="7" t="s">
        <v>33</v>
      </c>
      <c r="B429" s="7" t="s">
        <v>75</v>
      </c>
      <c r="C429" s="7" t="s">
        <v>76</v>
      </c>
      <c r="D429" s="7" t="s">
        <v>542</v>
      </c>
      <c r="E429" s="7" t="s">
        <v>540</v>
      </c>
      <c r="F429" s="7" t="s">
        <v>811</v>
      </c>
      <c r="G429" s="7" t="s">
        <v>2607</v>
      </c>
      <c r="H429" s="7" t="s">
        <v>4181</v>
      </c>
      <c r="I429" s="100"/>
      <c r="J429" s="100"/>
      <c r="K429" s="100"/>
      <c r="L429" s="73" t="s">
        <v>1517</v>
      </c>
      <c r="M429" s="7"/>
      <c r="N429" s="7" t="s">
        <v>1538</v>
      </c>
      <c r="O429" s="7" t="s">
        <v>1505</v>
      </c>
      <c r="P429" s="108" t="s">
        <v>1635</v>
      </c>
      <c r="Q429" s="7" t="s">
        <v>2608</v>
      </c>
      <c r="R429" s="7">
        <v>40.4</v>
      </c>
      <c r="S429" s="7">
        <f t="shared" si="93"/>
        <v>40.4</v>
      </c>
      <c r="T429" s="7">
        <v>-3.6833330000000002</v>
      </c>
      <c r="U429" s="7">
        <v>1</v>
      </c>
      <c r="V429" s="7">
        <v>30</v>
      </c>
      <c r="W429" s="7">
        <f t="shared" si="87"/>
        <v>1.4771212547196624</v>
      </c>
      <c r="X429" s="7" t="s">
        <v>1779</v>
      </c>
      <c r="Y429" s="7" t="s">
        <v>1781</v>
      </c>
      <c r="Z429" s="7">
        <v>10</v>
      </c>
      <c r="AA429" s="7">
        <v>29</v>
      </c>
      <c r="AB429" s="7">
        <v>9.5000000000000001E-2</v>
      </c>
      <c r="AC429" s="7">
        <v>7.0000000000000001E-3</v>
      </c>
      <c r="AD429" s="7">
        <v>5</v>
      </c>
      <c r="AE429" s="7">
        <v>0.23</v>
      </c>
      <c r="AF429" s="7">
        <v>0.02</v>
      </c>
      <c r="AG429" s="7">
        <v>5</v>
      </c>
      <c r="AH429" s="7">
        <v>8.5000000000000006E-2</v>
      </c>
      <c r="AI429" s="7">
        <v>7.0000000000000001E-3</v>
      </c>
      <c r="AJ429" s="7">
        <v>4</v>
      </c>
      <c r="AK429" s="7">
        <v>0.22500000000000001</v>
      </c>
      <c r="AL429" s="7">
        <v>0.02</v>
      </c>
      <c r="AM429" s="7">
        <v>4</v>
      </c>
      <c r="AN429" s="7">
        <f>(AE429/AB429)^(10/(AA429-Z429))</f>
        <v>1.5926028547165669</v>
      </c>
      <c r="AO429" s="7">
        <f>(AK429/AB429)^(10/(AA429-Z429))</f>
        <v>1.5742860181493299</v>
      </c>
      <c r="AP429" s="7"/>
      <c r="AQ429" s="7"/>
      <c r="AR429" s="7"/>
      <c r="AS429" s="7">
        <f>AVERAGE(AD429,AG429,AM429)</f>
        <v>4.666666666666667</v>
      </c>
      <c r="AT429" s="184">
        <f>AVERAGE(AC429,AF429,AL429)</f>
        <v>1.5666666666666666E-2</v>
      </c>
      <c r="AU429" s="7"/>
      <c r="AV429" s="7" t="s">
        <v>2609</v>
      </c>
      <c r="AW429" s="7"/>
      <c r="AX429" s="7" t="s">
        <v>2610</v>
      </c>
      <c r="AY429" s="7" t="s">
        <v>2560</v>
      </c>
    </row>
    <row r="430" spans="1:51">
      <c r="A430" s="7" t="s">
        <v>23</v>
      </c>
      <c r="B430" s="7" t="s">
        <v>1668</v>
      </c>
      <c r="C430" s="7" t="s">
        <v>2611</v>
      </c>
      <c r="D430" s="7" t="s">
        <v>2612</v>
      </c>
      <c r="E430" s="7" t="s">
        <v>2613</v>
      </c>
      <c r="F430" s="7" t="s">
        <v>2614</v>
      </c>
      <c r="G430" s="7" t="s">
        <v>2615</v>
      </c>
      <c r="H430" s="7" t="s">
        <v>4185</v>
      </c>
      <c r="I430" s="100"/>
      <c r="J430" s="100"/>
      <c r="K430" s="100"/>
      <c r="L430" s="73" t="s">
        <v>1502</v>
      </c>
      <c r="M430" s="7"/>
      <c r="N430" s="7" t="s">
        <v>1640</v>
      </c>
      <c r="O430" s="7" t="s">
        <v>1505</v>
      </c>
      <c r="P430" s="108" t="s">
        <v>1492</v>
      </c>
      <c r="Q430" s="7" t="s">
        <v>2616</v>
      </c>
      <c r="R430" s="7">
        <v>13.65</v>
      </c>
      <c r="S430" s="7">
        <f t="shared" si="93"/>
        <v>13.65</v>
      </c>
      <c r="T430" s="7">
        <v>79.42</v>
      </c>
      <c r="U430" s="7">
        <v>1</v>
      </c>
      <c r="V430" s="7">
        <v>21</v>
      </c>
      <c r="W430" s="7">
        <f t="shared" si="87"/>
        <v>1.3222192947339193</v>
      </c>
      <c r="X430" s="7" t="s">
        <v>2131</v>
      </c>
      <c r="Y430" s="7" t="s">
        <v>1507</v>
      </c>
      <c r="Z430" s="7">
        <v>18</v>
      </c>
      <c r="AA430" s="7">
        <v>38</v>
      </c>
      <c r="AB430" s="7">
        <v>2.95</v>
      </c>
      <c r="AC430" s="7">
        <v>0.11</v>
      </c>
      <c r="AD430" s="7">
        <v>9</v>
      </c>
      <c r="AE430" s="7"/>
      <c r="AF430" s="7"/>
      <c r="AG430" s="7"/>
      <c r="AH430" s="7"/>
      <c r="AI430" s="7"/>
      <c r="AJ430" s="7"/>
      <c r="AK430" s="7">
        <v>2.16</v>
      </c>
      <c r="AL430" s="7">
        <v>0.1</v>
      </c>
      <c r="AM430" s="7">
        <v>9</v>
      </c>
      <c r="AN430" s="7"/>
      <c r="AO430" s="7"/>
      <c r="AP430" s="7"/>
      <c r="AQ430" s="7"/>
      <c r="AR430" s="7"/>
      <c r="AS430" s="7"/>
      <c r="AT430" s="184"/>
      <c r="AU430" s="7"/>
      <c r="AV430" s="7" t="s">
        <v>2617</v>
      </c>
      <c r="AW430" s="7"/>
      <c r="AX430" s="7" t="s">
        <v>2618</v>
      </c>
      <c r="AY430" s="7" t="s">
        <v>2560</v>
      </c>
    </row>
    <row r="431" spans="1:51">
      <c r="A431" s="7" t="s">
        <v>23</v>
      </c>
      <c r="B431" s="7" t="s">
        <v>1668</v>
      </c>
      <c r="C431" s="7" t="s">
        <v>2611</v>
      </c>
      <c r="D431" s="7" t="s">
        <v>2612</v>
      </c>
      <c r="E431" s="7" t="s">
        <v>2613</v>
      </c>
      <c r="F431" s="7" t="s">
        <v>2614</v>
      </c>
      <c r="G431" s="7" t="s">
        <v>2615</v>
      </c>
      <c r="H431" s="7" t="s">
        <v>4185</v>
      </c>
      <c r="I431" s="100"/>
      <c r="J431" s="100"/>
      <c r="K431" s="100"/>
      <c r="L431" s="73" t="s">
        <v>1502</v>
      </c>
      <c r="M431" s="7"/>
      <c r="N431" s="7" t="s">
        <v>1640</v>
      </c>
      <c r="O431" s="7" t="s">
        <v>1505</v>
      </c>
      <c r="P431" s="108" t="s">
        <v>1492</v>
      </c>
      <c r="Q431" s="7" t="s">
        <v>2616</v>
      </c>
      <c r="R431" s="7">
        <v>13.65</v>
      </c>
      <c r="S431" s="7">
        <f t="shared" si="93"/>
        <v>13.65</v>
      </c>
      <c r="T431" s="7">
        <v>79.42</v>
      </c>
      <c r="U431" s="7">
        <v>1</v>
      </c>
      <c r="V431" s="7">
        <v>21</v>
      </c>
      <c r="W431" s="7">
        <f t="shared" si="87"/>
        <v>1.3222192947339193</v>
      </c>
      <c r="X431" s="7" t="s">
        <v>2131</v>
      </c>
      <c r="Y431" s="7" t="s">
        <v>2136</v>
      </c>
      <c r="Z431" s="7">
        <v>18</v>
      </c>
      <c r="AA431" s="7">
        <v>38</v>
      </c>
      <c r="AB431" s="7">
        <v>3.43</v>
      </c>
      <c r="AC431" s="7">
        <v>0.18</v>
      </c>
      <c r="AD431" s="7">
        <v>9</v>
      </c>
      <c r="AE431" s="7"/>
      <c r="AF431" s="7"/>
      <c r="AG431" s="7"/>
      <c r="AH431" s="7"/>
      <c r="AI431" s="7"/>
      <c r="AJ431" s="7"/>
      <c r="AK431" s="7">
        <v>3.14</v>
      </c>
      <c r="AL431" s="7">
        <v>0.21</v>
      </c>
      <c r="AM431" s="7">
        <v>9</v>
      </c>
      <c r="AN431" s="7"/>
      <c r="AO431" s="7"/>
      <c r="AP431" s="7"/>
      <c r="AQ431" s="7"/>
      <c r="AR431" s="7"/>
      <c r="AS431" s="7"/>
      <c r="AT431" s="184"/>
      <c r="AU431" s="7"/>
      <c r="AV431" s="7" t="s">
        <v>2617</v>
      </c>
      <c r="AW431" s="7"/>
      <c r="AX431" s="7" t="s">
        <v>2618</v>
      </c>
      <c r="AY431" s="7" t="s">
        <v>2560</v>
      </c>
    </row>
    <row r="432" spans="1:51">
      <c r="A432" s="7" t="s">
        <v>23</v>
      </c>
      <c r="B432" s="7" t="s">
        <v>1668</v>
      </c>
      <c r="C432" s="7" t="s">
        <v>2611</v>
      </c>
      <c r="D432" s="7" t="s">
        <v>2612</v>
      </c>
      <c r="E432" s="7" t="s">
        <v>2613</v>
      </c>
      <c r="F432" s="7" t="s">
        <v>2614</v>
      </c>
      <c r="G432" s="7" t="s">
        <v>2615</v>
      </c>
      <c r="H432" s="7" t="s">
        <v>4185</v>
      </c>
      <c r="I432" s="100"/>
      <c r="J432" s="100"/>
      <c r="K432" s="100"/>
      <c r="L432" s="73" t="s">
        <v>1502</v>
      </c>
      <c r="M432" s="7"/>
      <c r="N432" s="7" t="s">
        <v>1640</v>
      </c>
      <c r="O432" s="7" t="s">
        <v>1505</v>
      </c>
      <c r="P432" s="108" t="s">
        <v>1492</v>
      </c>
      <c r="Q432" s="7" t="s">
        <v>2616</v>
      </c>
      <c r="R432" s="7">
        <v>13.65</v>
      </c>
      <c r="S432" s="7">
        <f t="shared" si="93"/>
        <v>13.65</v>
      </c>
      <c r="T432" s="7">
        <v>79.42</v>
      </c>
      <c r="U432" s="7">
        <v>1</v>
      </c>
      <c r="V432" s="7">
        <v>21</v>
      </c>
      <c r="W432" s="7">
        <f>LOG(V432)</f>
        <v>1.3222192947339193</v>
      </c>
      <c r="X432" s="7" t="s">
        <v>2619</v>
      </c>
      <c r="Y432" s="7" t="s">
        <v>1507</v>
      </c>
      <c r="Z432" s="7">
        <v>18</v>
      </c>
      <c r="AA432" s="7">
        <v>38</v>
      </c>
      <c r="AB432" s="7">
        <v>2.78</v>
      </c>
      <c r="AC432" s="7">
        <v>0.18</v>
      </c>
      <c r="AD432" s="7">
        <v>9</v>
      </c>
      <c r="AE432" s="7"/>
      <c r="AF432" s="7"/>
      <c r="AG432" s="7"/>
      <c r="AH432" s="7"/>
      <c r="AI432" s="7"/>
      <c r="AJ432" s="7"/>
      <c r="AK432" s="7">
        <v>3.85</v>
      </c>
      <c r="AL432" s="7">
        <v>0.28000000000000003</v>
      </c>
      <c r="AM432" s="7">
        <v>9</v>
      </c>
      <c r="AN432" s="7"/>
      <c r="AO432" s="7"/>
      <c r="AP432" s="7"/>
      <c r="AQ432" s="7"/>
      <c r="AR432" s="7"/>
      <c r="AS432" s="7"/>
      <c r="AT432" s="184"/>
      <c r="AU432" s="7"/>
      <c r="AV432" s="7" t="s">
        <v>2617</v>
      </c>
      <c r="AW432" s="7"/>
      <c r="AX432" s="7" t="s">
        <v>2618</v>
      </c>
      <c r="AY432" s="7" t="s">
        <v>2560</v>
      </c>
    </row>
    <row r="433" spans="1:51">
      <c r="A433" s="7" t="s">
        <v>23</v>
      </c>
      <c r="B433" s="7" t="s">
        <v>1668</v>
      </c>
      <c r="C433" s="7" t="s">
        <v>2611</v>
      </c>
      <c r="D433" s="7" t="s">
        <v>2612</v>
      </c>
      <c r="E433" s="7" t="s">
        <v>2613</v>
      </c>
      <c r="F433" s="7" t="s">
        <v>2614</v>
      </c>
      <c r="G433" s="7" t="s">
        <v>2615</v>
      </c>
      <c r="H433" s="7" t="s">
        <v>4185</v>
      </c>
      <c r="I433" s="100"/>
      <c r="J433" s="100"/>
      <c r="K433" s="100"/>
      <c r="L433" s="73" t="s">
        <v>1502</v>
      </c>
      <c r="M433" s="7"/>
      <c r="N433" s="7" t="s">
        <v>1640</v>
      </c>
      <c r="O433" s="7" t="s">
        <v>1505</v>
      </c>
      <c r="P433" s="108" t="s">
        <v>1492</v>
      </c>
      <c r="Q433" s="7" t="s">
        <v>2616</v>
      </c>
      <c r="R433" s="7">
        <v>13.65</v>
      </c>
      <c r="S433" s="7">
        <f t="shared" si="93"/>
        <v>13.65</v>
      </c>
      <c r="T433" s="7">
        <v>79.42</v>
      </c>
      <c r="U433" s="7">
        <v>1</v>
      </c>
      <c r="V433" s="7">
        <v>21</v>
      </c>
      <c r="W433" s="7">
        <f t="shared" ref="W433:W483" si="94">LOG(V433)</f>
        <v>1.3222192947339193</v>
      </c>
      <c r="X433" s="7" t="s">
        <v>2619</v>
      </c>
      <c r="Y433" s="7" t="s">
        <v>2136</v>
      </c>
      <c r="Z433" s="7">
        <v>18</v>
      </c>
      <c r="AA433" s="7">
        <v>38</v>
      </c>
      <c r="AB433" s="7">
        <v>2.95</v>
      </c>
      <c r="AC433" s="7">
        <v>0.19</v>
      </c>
      <c r="AD433" s="7">
        <v>9</v>
      </c>
      <c r="AE433" s="7"/>
      <c r="AF433" s="7"/>
      <c r="AG433" s="7"/>
      <c r="AH433" s="7"/>
      <c r="AI433" s="7"/>
      <c r="AJ433" s="7"/>
      <c r="AK433" s="7">
        <v>4.96</v>
      </c>
      <c r="AL433" s="7">
        <v>0.35</v>
      </c>
      <c r="AM433" s="7">
        <v>9</v>
      </c>
      <c r="AN433" s="7"/>
      <c r="AO433" s="7"/>
      <c r="AP433" s="7"/>
      <c r="AQ433" s="7"/>
      <c r="AR433" s="7"/>
      <c r="AS433" s="7"/>
      <c r="AT433" s="184"/>
      <c r="AU433" s="7"/>
      <c r="AV433" s="7" t="s">
        <v>2617</v>
      </c>
      <c r="AW433" s="7"/>
      <c r="AX433" s="7" t="s">
        <v>2618</v>
      </c>
      <c r="AY433" s="7" t="s">
        <v>2560</v>
      </c>
    </row>
    <row r="434" spans="1:51">
      <c r="A434" s="7" t="s">
        <v>23</v>
      </c>
      <c r="B434" s="7" t="s">
        <v>1668</v>
      </c>
      <c r="C434" s="7" t="s">
        <v>2611</v>
      </c>
      <c r="D434" s="7" t="s">
        <v>2612</v>
      </c>
      <c r="E434" s="7" t="s">
        <v>2613</v>
      </c>
      <c r="F434" s="7" t="s">
        <v>2614</v>
      </c>
      <c r="G434" s="7" t="s">
        <v>2615</v>
      </c>
      <c r="H434" s="7" t="s">
        <v>4185</v>
      </c>
      <c r="I434" s="100"/>
      <c r="J434" s="100"/>
      <c r="K434" s="100"/>
      <c r="L434" s="73" t="s">
        <v>1502</v>
      </c>
      <c r="M434" s="7"/>
      <c r="N434" s="7" t="s">
        <v>1640</v>
      </c>
      <c r="O434" s="7" t="s">
        <v>1505</v>
      </c>
      <c r="P434" s="108" t="s">
        <v>1492</v>
      </c>
      <c r="Q434" s="7" t="s">
        <v>2616</v>
      </c>
      <c r="R434" s="7">
        <v>13.65</v>
      </c>
      <c r="S434" s="7">
        <f t="shared" si="93"/>
        <v>13.65</v>
      </c>
      <c r="T434" s="7">
        <v>79.42</v>
      </c>
      <c r="U434" s="7">
        <v>1</v>
      </c>
      <c r="V434" s="7">
        <v>21</v>
      </c>
      <c r="W434" s="7">
        <f t="shared" si="94"/>
        <v>1.3222192947339193</v>
      </c>
      <c r="X434" s="7" t="s">
        <v>2620</v>
      </c>
      <c r="Y434" s="7" t="s">
        <v>1507</v>
      </c>
      <c r="Z434" s="7">
        <v>18</v>
      </c>
      <c r="AA434" s="7">
        <v>38</v>
      </c>
      <c r="AB434" s="7">
        <v>8.5299999999999994</v>
      </c>
      <c r="AC434" s="7">
        <v>0.66</v>
      </c>
      <c r="AD434" s="7">
        <v>9</v>
      </c>
      <c r="AE434" s="7"/>
      <c r="AF434" s="7"/>
      <c r="AG434" s="7"/>
      <c r="AH434" s="7"/>
      <c r="AI434" s="7"/>
      <c r="AJ434" s="7"/>
      <c r="AK434" s="7">
        <v>14.77</v>
      </c>
      <c r="AL434" s="7">
        <v>0.98</v>
      </c>
      <c r="AM434" s="7">
        <v>9</v>
      </c>
      <c r="AN434" s="7"/>
      <c r="AO434" s="7"/>
      <c r="AP434" s="7"/>
      <c r="AQ434" s="7"/>
      <c r="AR434" s="7"/>
      <c r="AS434" s="7"/>
      <c r="AT434" s="184"/>
      <c r="AU434" s="7"/>
      <c r="AV434" s="7" t="s">
        <v>2617</v>
      </c>
      <c r="AW434" s="7"/>
      <c r="AX434" s="7" t="s">
        <v>2618</v>
      </c>
      <c r="AY434" s="7" t="s">
        <v>2560</v>
      </c>
    </row>
    <row r="435" spans="1:51">
      <c r="A435" s="7" t="s">
        <v>23</v>
      </c>
      <c r="B435" s="7" t="s">
        <v>1668</v>
      </c>
      <c r="C435" s="7" t="s">
        <v>2611</v>
      </c>
      <c r="D435" s="7" t="s">
        <v>2612</v>
      </c>
      <c r="E435" s="7" t="s">
        <v>2613</v>
      </c>
      <c r="F435" s="7" t="s">
        <v>2614</v>
      </c>
      <c r="G435" s="7" t="s">
        <v>2615</v>
      </c>
      <c r="H435" s="7" t="s">
        <v>4185</v>
      </c>
      <c r="I435" s="100"/>
      <c r="J435" s="100"/>
      <c r="K435" s="100"/>
      <c r="L435" s="73" t="s">
        <v>1502</v>
      </c>
      <c r="M435" s="7"/>
      <c r="N435" s="7" t="s">
        <v>1640</v>
      </c>
      <c r="O435" s="7" t="s">
        <v>1505</v>
      </c>
      <c r="P435" s="108" t="s">
        <v>1492</v>
      </c>
      <c r="Q435" s="7" t="s">
        <v>2616</v>
      </c>
      <c r="R435" s="7">
        <v>13.65</v>
      </c>
      <c r="S435" s="7">
        <f t="shared" si="93"/>
        <v>13.65</v>
      </c>
      <c r="T435" s="7">
        <v>79.42</v>
      </c>
      <c r="U435" s="7">
        <v>1</v>
      </c>
      <c r="V435" s="7">
        <v>21</v>
      </c>
      <c r="W435" s="7">
        <f t="shared" si="94"/>
        <v>1.3222192947339193</v>
      </c>
      <c r="X435" s="7" t="s">
        <v>2620</v>
      </c>
      <c r="Y435" s="7" t="s">
        <v>2136</v>
      </c>
      <c r="Z435" s="7">
        <v>18</v>
      </c>
      <c r="AA435" s="7">
        <v>38</v>
      </c>
      <c r="AB435" s="7">
        <v>10.56</v>
      </c>
      <c r="AC435" s="7">
        <v>0.79</v>
      </c>
      <c r="AD435" s="7">
        <v>9</v>
      </c>
      <c r="AE435" s="7"/>
      <c r="AF435" s="7"/>
      <c r="AG435" s="7"/>
      <c r="AH435" s="7"/>
      <c r="AI435" s="7"/>
      <c r="AJ435" s="7"/>
      <c r="AK435" s="7">
        <v>16.809999999999999</v>
      </c>
      <c r="AL435" s="7">
        <v>1.25</v>
      </c>
      <c r="AM435" s="7">
        <v>9</v>
      </c>
      <c r="AN435" s="7"/>
      <c r="AO435" s="7"/>
      <c r="AP435" s="7"/>
      <c r="AQ435" s="7"/>
      <c r="AR435" s="7"/>
      <c r="AS435" s="7"/>
      <c r="AT435" s="184"/>
      <c r="AU435" s="7"/>
      <c r="AV435" s="7" t="s">
        <v>2617</v>
      </c>
      <c r="AW435" s="7"/>
      <c r="AX435" s="7" t="s">
        <v>2618</v>
      </c>
      <c r="AY435" s="7" t="s">
        <v>2560</v>
      </c>
    </row>
    <row r="436" spans="1:51">
      <c r="A436" s="7" t="s">
        <v>23</v>
      </c>
      <c r="B436" s="7" t="s">
        <v>1668</v>
      </c>
      <c r="C436" s="7" t="s">
        <v>2611</v>
      </c>
      <c r="D436" s="7" t="s">
        <v>2612</v>
      </c>
      <c r="E436" s="7" t="s">
        <v>2613</v>
      </c>
      <c r="F436" s="7" t="s">
        <v>2614</v>
      </c>
      <c r="G436" s="7" t="s">
        <v>2615</v>
      </c>
      <c r="H436" s="7" t="s">
        <v>4185</v>
      </c>
      <c r="I436" s="100"/>
      <c r="J436" s="100"/>
      <c r="K436" s="100"/>
      <c r="L436" s="73" t="s">
        <v>1502</v>
      </c>
      <c r="M436" s="7"/>
      <c r="N436" s="7" t="s">
        <v>1640</v>
      </c>
      <c r="O436" s="7" t="s">
        <v>1505</v>
      </c>
      <c r="P436" s="108" t="s">
        <v>1492</v>
      </c>
      <c r="Q436" s="7" t="s">
        <v>2616</v>
      </c>
      <c r="R436" s="7">
        <v>13.65</v>
      </c>
      <c r="S436" s="7">
        <f t="shared" si="93"/>
        <v>13.65</v>
      </c>
      <c r="T436" s="7">
        <v>79.42</v>
      </c>
      <c r="U436" s="7">
        <v>1</v>
      </c>
      <c r="V436" s="7">
        <v>21</v>
      </c>
      <c r="W436" s="7">
        <f t="shared" si="94"/>
        <v>1.3222192947339193</v>
      </c>
      <c r="X436" s="7" t="s">
        <v>2131</v>
      </c>
      <c r="Y436" s="7" t="s">
        <v>1507</v>
      </c>
      <c r="Z436" s="7">
        <v>18</v>
      </c>
      <c r="AA436" s="7">
        <v>28</v>
      </c>
      <c r="AB436" s="7">
        <v>2.95</v>
      </c>
      <c r="AC436" s="7">
        <v>0.11</v>
      </c>
      <c r="AD436" s="7">
        <v>9</v>
      </c>
      <c r="AE436" s="7"/>
      <c r="AF436" s="7"/>
      <c r="AG436" s="7"/>
      <c r="AH436" s="7"/>
      <c r="AI436" s="7"/>
      <c r="AJ436" s="7"/>
      <c r="AK436" s="7">
        <v>1.93</v>
      </c>
      <c r="AL436" s="7">
        <v>0.1</v>
      </c>
      <c r="AM436" s="7">
        <v>9</v>
      </c>
      <c r="AN436" s="7"/>
      <c r="AO436" s="7"/>
      <c r="AP436" s="7"/>
      <c r="AQ436" s="7"/>
      <c r="AR436" s="7"/>
      <c r="AS436" s="7"/>
      <c r="AT436" s="184"/>
      <c r="AU436" s="7"/>
      <c r="AV436" s="7" t="s">
        <v>2617</v>
      </c>
      <c r="AW436" s="7"/>
      <c r="AX436" s="7" t="s">
        <v>2618</v>
      </c>
      <c r="AY436" s="7" t="s">
        <v>2560</v>
      </c>
    </row>
    <row r="437" spans="1:51">
      <c r="A437" s="7" t="s">
        <v>23</v>
      </c>
      <c r="B437" s="7" t="s">
        <v>1668</v>
      </c>
      <c r="C437" s="7" t="s">
        <v>2611</v>
      </c>
      <c r="D437" s="7" t="s">
        <v>2612</v>
      </c>
      <c r="E437" s="7" t="s">
        <v>2613</v>
      </c>
      <c r="F437" s="7" t="s">
        <v>2614</v>
      </c>
      <c r="G437" s="7" t="s">
        <v>2615</v>
      </c>
      <c r="H437" s="7" t="s">
        <v>4185</v>
      </c>
      <c r="I437" s="100"/>
      <c r="J437" s="100"/>
      <c r="K437" s="100"/>
      <c r="L437" s="73" t="s">
        <v>1502</v>
      </c>
      <c r="M437" s="7"/>
      <c r="N437" s="7" t="s">
        <v>1640</v>
      </c>
      <c r="O437" s="7" t="s">
        <v>1505</v>
      </c>
      <c r="P437" s="108" t="s">
        <v>1492</v>
      </c>
      <c r="Q437" s="7" t="s">
        <v>2616</v>
      </c>
      <c r="R437" s="7">
        <v>13.65</v>
      </c>
      <c r="S437" s="7">
        <f t="shared" si="93"/>
        <v>13.65</v>
      </c>
      <c r="T437" s="7">
        <v>79.42</v>
      </c>
      <c r="U437" s="7">
        <v>1</v>
      </c>
      <c r="V437" s="7">
        <v>21</v>
      </c>
      <c r="W437" s="7">
        <f t="shared" si="94"/>
        <v>1.3222192947339193</v>
      </c>
      <c r="X437" s="7" t="s">
        <v>2131</v>
      </c>
      <c r="Y437" s="7" t="s">
        <v>2136</v>
      </c>
      <c r="Z437" s="7">
        <v>18</v>
      </c>
      <c r="AA437" s="7">
        <v>28</v>
      </c>
      <c r="AB437" s="7">
        <v>3.43</v>
      </c>
      <c r="AC437" s="7">
        <v>0.18</v>
      </c>
      <c r="AD437" s="7">
        <v>9</v>
      </c>
      <c r="AE437" s="7"/>
      <c r="AF437" s="7"/>
      <c r="AG437" s="7"/>
      <c r="AH437" s="7"/>
      <c r="AI437" s="7"/>
      <c r="AJ437" s="7"/>
      <c r="AK437" s="7">
        <v>2.87</v>
      </c>
      <c r="AL437" s="7">
        <v>0.13</v>
      </c>
      <c r="AM437" s="7">
        <v>9</v>
      </c>
      <c r="AN437" s="7"/>
      <c r="AO437" s="7"/>
      <c r="AP437" s="7"/>
      <c r="AQ437" s="7"/>
      <c r="AR437" s="7"/>
      <c r="AS437" s="7"/>
      <c r="AT437" s="184"/>
      <c r="AU437" s="7"/>
      <c r="AV437" s="7" t="s">
        <v>2617</v>
      </c>
      <c r="AW437" s="7"/>
      <c r="AX437" s="7" t="s">
        <v>2618</v>
      </c>
      <c r="AY437" s="7" t="s">
        <v>2560</v>
      </c>
    </row>
    <row r="438" spans="1:51">
      <c r="A438" s="7" t="s">
        <v>23</v>
      </c>
      <c r="B438" s="7" t="s">
        <v>1668</v>
      </c>
      <c r="C438" s="7" t="s">
        <v>2611</v>
      </c>
      <c r="D438" s="7" t="s">
        <v>2612</v>
      </c>
      <c r="E438" s="7" t="s">
        <v>2613</v>
      </c>
      <c r="F438" s="7" t="s">
        <v>2614</v>
      </c>
      <c r="G438" s="7" t="s">
        <v>2615</v>
      </c>
      <c r="H438" s="7" t="s">
        <v>4185</v>
      </c>
      <c r="I438" s="100"/>
      <c r="J438" s="100"/>
      <c r="K438" s="100"/>
      <c r="L438" s="73" t="s">
        <v>1502</v>
      </c>
      <c r="M438" s="7"/>
      <c r="N438" s="7" t="s">
        <v>1640</v>
      </c>
      <c r="O438" s="7" t="s">
        <v>1505</v>
      </c>
      <c r="P438" s="108" t="s">
        <v>1492</v>
      </c>
      <c r="Q438" s="7" t="s">
        <v>2616</v>
      </c>
      <c r="R438" s="7">
        <v>13.65</v>
      </c>
      <c r="S438" s="7">
        <f t="shared" si="93"/>
        <v>13.65</v>
      </c>
      <c r="T438" s="7">
        <v>79.42</v>
      </c>
      <c r="U438" s="7">
        <v>1</v>
      </c>
      <c r="V438" s="7">
        <v>21</v>
      </c>
      <c r="W438" s="7">
        <f t="shared" si="94"/>
        <v>1.3222192947339193</v>
      </c>
      <c r="X438" s="7" t="s">
        <v>2619</v>
      </c>
      <c r="Y438" s="7" t="s">
        <v>1507</v>
      </c>
      <c r="Z438" s="7">
        <v>18</v>
      </c>
      <c r="AA438" s="7">
        <v>28</v>
      </c>
      <c r="AB438" s="7">
        <v>2.78</v>
      </c>
      <c r="AC438" s="7">
        <v>0.18</v>
      </c>
      <c r="AD438" s="7">
        <v>9</v>
      </c>
      <c r="AE438" s="7"/>
      <c r="AF438" s="7"/>
      <c r="AG438" s="7"/>
      <c r="AH438" s="7"/>
      <c r="AI438" s="7"/>
      <c r="AJ438" s="7"/>
      <c r="AK438" s="7">
        <v>3.43</v>
      </c>
      <c r="AL438" s="7">
        <v>0.25</v>
      </c>
      <c r="AM438" s="7">
        <v>9</v>
      </c>
      <c r="AN438" s="7"/>
      <c r="AO438" s="7"/>
      <c r="AP438" s="7"/>
      <c r="AQ438" s="7"/>
      <c r="AR438" s="7"/>
      <c r="AS438" s="7"/>
      <c r="AT438" s="184"/>
      <c r="AU438" s="7"/>
      <c r="AV438" s="7" t="s">
        <v>2617</v>
      </c>
      <c r="AW438" s="7"/>
      <c r="AX438" s="7" t="s">
        <v>2618</v>
      </c>
      <c r="AY438" s="7" t="s">
        <v>2560</v>
      </c>
    </row>
    <row r="439" spans="1:51">
      <c r="A439" s="7" t="s">
        <v>23</v>
      </c>
      <c r="B439" s="7" t="s">
        <v>1668</v>
      </c>
      <c r="C439" s="7" t="s">
        <v>2611</v>
      </c>
      <c r="D439" s="7" t="s">
        <v>2612</v>
      </c>
      <c r="E439" s="7" t="s">
        <v>2613</v>
      </c>
      <c r="F439" s="7" t="s">
        <v>2614</v>
      </c>
      <c r="G439" s="7" t="s">
        <v>2615</v>
      </c>
      <c r="H439" s="7" t="s">
        <v>4185</v>
      </c>
      <c r="I439" s="100"/>
      <c r="J439" s="100"/>
      <c r="K439" s="100"/>
      <c r="L439" s="73" t="s">
        <v>1502</v>
      </c>
      <c r="M439" s="7"/>
      <c r="N439" s="7" t="s">
        <v>1640</v>
      </c>
      <c r="O439" s="7" t="s">
        <v>1505</v>
      </c>
      <c r="P439" s="108" t="s">
        <v>1492</v>
      </c>
      <c r="Q439" s="7" t="s">
        <v>2616</v>
      </c>
      <c r="R439" s="7">
        <v>13.65</v>
      </c>
      <c r="S439" s="7">
        <f t="shared" si="93"/>
        <v>13.65</v>
      </c>
      <c r="T439" s="7">
        <v>79.42</v>
      </c>
      <c r="U439" s="7">
        <v>1</v>
      </c>
      <c r="V439" s="7">
        <v>21</v>
      </c>
      <c r="W439" s="7">
        <f t="shared" si="94"/>
        <v>1.3222192947339193</v>
      </c>
      <c r="X439" s="7" t="s">
        <v>2619</v>
      </c>
      <c r="Y439" s="7" t="s">
        <v>2136</v>
      </c>
      <c r="Z439" s="7">
        <v>18</v>
      </c>
      <c r="AA439" s="7">
        <v>28</v>
      </c>
      <c r="AB439" s="7">
        <v>2.95</v>
      </c>
      <c r="AC439" s="7">
        <v>0.19</v>
      </c>
      <c r="AD439" s="7">
        <v>9</v>
      </c>
      <c r="AE439" s="7"/>
      <c r="AF439" s="7"/>
      <c r="AG439" s="7"/>
      <c r="AH439" s="7"/>
      <c r="AI439" s="7"/>
      <c r="AJ439" s="7"/>
      <c r="AK439" s="7">
        <v>3.82</v>
      </c>
      <c r="AL439" s="7">
        <v>0.26</v>
      </c>
      <c r="AM439" s="7">
        <v>9</v>
      </c>
      <c r="AN439" s="7"/>
      <c r="AO439" s="7"/>
      <c r="AP439" s="7"/>
      <c r="AQ439" s="7"/>
      <c r="AR439" s="7"/>
      <c r="AS439" s="7"/>
      <c r="AT439" s="184"/>
      <c r="AU439" s="7"/>
      <c r="AV439" s="7" t="s">
        <v>2617</v>
      </c>
      <c r="AW439" s="7"/>
      <c r="AX439" s="7" t="s">
        <v>2618</v>
      </c>
      <c r="AY439" s="7" t="s">
        <v>2560</v>
      </c>
    </row>
    <row r="440" spans="1:51">
      <c r="A440" s="7" t="s">
        <v>23</v>
      </c>
      <c r="B440" s="7" t="s">
        <v>1668</v>
      </c>
      <c r="C440" s="7" t="s">
        <v>2611</v>
      </c>
      <c r="D440" s="7" t="s">
        <v>2612</v>
      </c>
      <c r="E440" s="7" t="s">
        <v>2613</v>
      </c>
      <c r="F440" s="7" t="s">
        <v>2614</v>
      </c>
      <c r="G440" s="7" t="s">
        <v>2615</v>
      </c>
      <c r="H440" s="7" t="s">
        <v>4185</v>
      </c>
      <c r="I440" s="100"/>
      <c r="J440" s="100"/>
      <c r="K440" s="100"/>
      <c r="L440" s="73" t="s">
        <v>1502</v>
      </c>
      <c r="M440" s="7"/>
      <c r="N440" s="7" t="s">
        <v>1640</v>
      </c>
      <c r="O440" s="7" t="s">
        <v>1505</v>
      </c>
      <c r="P440" s="108" t="s">
        <v>1492</v>
      </c>
      <c r="Q440" s="7" t="s">
        <v>2616</v>
      </c>
      <c r="R440" s="7">
        <v>13.65</v>
      </c>
      <c r="S440" s="7">
        <f t="shared" si="93"/>
        <v>13.65</v>
      </c>
      <c r="T440" s="7">
        <v>79.42</v>
      </c>
      <c r="U440" s="7">
        <v>1</v>
      </c>
      <c r="V440" s="7">
        <v>21</v>
      </c>
      <c r="W440" s="7">
        <f t="shared" si="94"/>
        <v>1.3222192947339193</v>
      </c>
      <c r="X440" s="7" t="s">
        <v>2620</v>
      </c>
      <c r="Y440" s="7" t="s">
        <v>1507</v>
      </c>
      <c r="Z440" s="7">
        <v>18</v>
      </c>
      <c r="AA440" s="7">
        <v>28</v>
      </c>
      <c r="AB440" s="7">
        <v>8.5299999999999994</v>
      </c>
      <c r="AC440" s="7">
        <v>0.66</v>
      </c>
      <c r="AD440" s="7">
        <v>9</v>
      </c>
      <c r="AE440" s="7"/>
      <c r="AF440" s="7"/>
      <c r="AG440" s="7"/>
      <c r="AH440" s="7"/>
      <c r="AI440" s="7"/>
      <c r="AJ440" s="7"/>
      <c r="AK440" s="7">
        <v>11.57</v>
      </c>
      <c r="AL440" s="7">
        <v>1.03</v>
      </c>
      <c r="AM440" s="7">
        <v>9</v>
      </c>
      <c r="AN440" s="7"/>
      <c r="AO440" s="7"/>
      <c r="AP440" s="7"/>
      <c r="AQ440" s="7"/>
      <c r="AR440" s="7"/>
      <c r="AS440" s="7"/>
      <c r="AT440" s="184"/>
      <c r="AU440" s="7"/>
      <c r="AV440" s="7" t="s">
        <v>2617</v>
      </c>
      <c r="AW440" s="7"/>
      <c r="AX440" s="7" t="s">
        <v>2618</v>
      </c>
      <c r="AY440" s="7" t="s">
        <v>2560</v>
      </c>
    </row>
    <row r="441" spans="1:51">
      <c r="A441" s="7" t="s">
        <v>23</v>
      </c>
      <c r="B441" s="7" t="s">
        <v>1668</v>
      </c>
      <c r="C441" s="7" t="s">
        <v>2611</v>
      </c>
      <c r="D441" s="7" t="s">
        <v>2612</v>
      </c>
      <c r="E441" s="7" t="s">
        <v>2613</v>
      </c>
      <c r="F441" s="7" t="s">
        <v>2614</v>
      </c>
      <c r="G441" s="7" t="s">
        <v>2615</v>
      </c>
      <c r="H441" s="7" t="s">
        <v>4185</v>
      </c>
      <c r="I441" s="100"/>
      <c r="J441" s="100"/>
      <c r="K441" s="100"/>
      <c r="L441" s="73" t="s">
        <v>1502</v>
      </c>
      <c r="M441" s="7"/>
      <c r="N441" s="7" t="s">
        <v>1640</v>
      </c>
      <c r="O441" s="7" t="s">
        <v>1505</v>
      </c>
      <c r="P441" s="108" t="s">
        <v>1492</v>
      </c>
      <c r="Q441" s="7" t="s">
        <v>2616</v>
      </c>
      <c r="R441" s="7">
        <v>13.65</v>
      </c>
      <c r="S441" s="7">
        <f t="shared" si="93"/>
        <v>13.65</v>
      </c>
      <c r="T441" s="7">
        <v>79.42</v>
      </c>
      <c r="U441" s="7">
        <v>1</v>
      </c>
      <c r="V441" s="7">
        <v>21</v>
      </c>
      <c r="W441" s="7">
        <f t="shared" si="94"/>
        <v>1.3222192947339193</v>
      </c>
      <c r="X441" s="7" t="s">
        <v>2620</v>
      </c>
      <c r="Y441" s="7" t="s">
        <v>2136</v>
      </c>
      <c r="Z441" s="7">
        <v>18</v>
      </c>
      <c r="AA441" s="7">
        <v>28</v>
      </c>
      <c r="AB441" s="7">
        <v>10.56</v>
      </c>
      <c r="AC441" s="7">
        <v>0.79</v>
      </c>
      <c r="AD441" s="7">
        <v>9</v>
      </c>
      <c r="AE441" s="7"/>
      <c r="AF441" s="7"/>
      <c r="AG441" s="7"/>
      <c r="AH441" s="7"/>
      <c r="AI441" s="7"/>
      <c r="AJ441" s="7"/>
      <c r="AK441" s="7">
        <v>12.85</v>
      </c>
      <c r="AL441" s="7">
        <v>1.08</v>
      </c>
      <c r="AM441" s="7">
        <v>9</v>
      </c>
      <c r="AN441" s="7"/>
      <c r="AO441" s="7"/>
      <c r="AP441" s="7"/>
      <c r="AQ441" s="7"/>
      <c r="AR441" s="7"/>
      <c r="AS441" s="7"/>
      <c r="AT441" s="184"/>
      <c r="AU441" s="7"/>
      <c r="AV441" s="7" t="s">
        <v>2617</v>
      </c>
      <c r="AW441" s="7"/>
      <c r="AX441" s="7" t="s">
        <v>2618</v>
      </c>
      <c r="AY441" s="7" t="s">
        <v>2560</v>
      </c>
    </row>
    <row r="442" spans="1:51">
      <c r="A442" s="7" t="s">
        <v>23</v>
      </c>
      <c r="B442" s="7" t="s">
        <v>1668</v>
      </c>
      <c r="C442" s="7" t="s">
        <v>2611</v>
      </c>
      <c r="D442" s="7" t="s">
        <v>2612</v>
      </c>
      <c r="E442" s="7" t="s">
        <v>2613</v>
      </c>
      <c r="F442" s="7" t="s">
        <v>2614</v>
      </c>
      <c r="G442" s="7" t="s">
        <v>2615</v>
      </c>
      <c r="H442" s="7" t="s">
        <v>4185</v>
      </c>
      <c r="I442" s="100"/>
      <c r="J442" s="100"/>
      <c r="K442" s="100"/>
      <c r="L442" s="73" t="s">
        <v>1502</v>
      </c>
      <c r="M442" s="7"/>
      <c r="N442" s="7" t="s">
        <v>1640</v>
      </c>
      <c r="O442" s="7" t="s">
        <v>1505</v>
      </c>
      <c r="P442" s="108" t="s">
        <v>1492</v>
      </c>
      <c r="Q442" s="7" t="s">
        <v>2616</v>
      </c>
      <c r="R442" s="7">
        <v>13.65</v>
      </c>
      <c r="S442" s="7">
        <f t="shared" si="93"/>
        <v>13.65</v>
      </c>
      <c r="T442" s="7">
        <v>79.42</v>
      </c>
      <c r="U442" s="7">
        <v>1</v>
      </c>
      <c r="V442" s="7">
        <v>21</v>
      </c>
      <c r="W442" s="7">
        <f t="shared" si="94"/>
        <v>1.3222192947339193</v>
      </c>
      <c r="X442" s="7" t="s">
        <v>2131</v>
      </c>
      <c r="Y442" s="7" t="s">
        <v>1507</v>
      </c>
      <c r="Z442" s="7">
        <v>28</v>
      </c>
      <c r="AA442" s="7">
        <v>38</v>
      </c>
      <c r="AB442" s="7">
        <v>1.93</v>
      </c>
      <c r="AC442" s="7">
        <v>0.1</v>
      </c>
      <c r="AD442" s="7">
        <v>9</v>
      </c>
      <c r="AE442" s="7"/>
      <c r="AF442" s="7"/>
      <c r="AG442" s="7"/>
      <c r="AH442" s="7"/>
      <c r="AI442" s="7"/>
      <c r="AJ442" s="7"/>
      <c r="AK442" s="7">
        <v>2.16</v>
      </c>
      <c r="AL442" s="7">
        <v>0.1</v>
      </c>
      <c r="AM442" s="7">
        <v>9</v>
      </c>
      <c r="AN442" s="7"/>
      <c r="AO442" s="7"/>
      <c r="AP442" s="7"/>
      <c r="AQ442" s="7"/>
      <c r="AR442" s="7"/>
      <c r="AS442" s="7"/>
      <c r="AT442" s="184"/>
      <c r="AU442" s="7"/>
      <c r="AV442" s="7" t="s">
        <v>2617</v>
      </c>
      <c r="AW442" s="7"/>
      <c r="AX442" s="7" t="s">
        <v>2618</v>
      </c>
      <c r="AY442" s="7" t="s">
        <v>2560</v>
      </c>
    </row>
    <row r="443" spans="1:51">
      <c r="A443" s="7" t="s">
        <v>23</v>
      </c>
      <c r="B443" s="7" t="s">
        <v>1668</v>
      </c>
      <c r="C443" s="7" t="s">
        <v>2611</v>
      </c>
      <c r="D443" s="7" t="s">
        <v>2612</v>
      </c>
      <c r="E443" s="7" t="s">
        <v>2613</v>
      </c>
      <c r="F443" s="7" t="s">
        <v>2614</v>
      </c>
      <c r="G443" s="7" t="s">
        <v>2615</v>
      </c>
      <c r="H443" s="7" t="s">
        <v>4185</v>
      </c>
      <c r="I443" s="100"/>
      <c r="J443" s="100"/>
      <c r="K443" s="100"/>
      <c r="L443" s="73" t="s">
        <v>1502</v>
      </c>
      <c r="M443" s="7"/>
      <c r="N443" s="7" t="s">
        <v>1640</v>
      </c>
      <c r="O443" s="7" t="s">
        <v>1505</v>
      </c>
      <c r="P443" s="108" t="s">
        <v>1492</v>
      </c>
      <c r="Q443" s="7" t="s">
        <v>2616</v>
      </c>
      <c r="R443" s="7">
        <v>13.65</v>
      </c>
      <c r="S443" s="7">
        <f t="shared" si="93"/>
        <v>13.65</v>
      </c>
      <c r="T443" s="7">
        <v>79.42</v>
      </c>
      <c r="U443" s="7">
        <v>1</v>
      </c>
      <c r="V443" s="7">
        <v>21</v>
      </c>
      <c r="W443" s="7">
        <f t="shared" si="94"/>
        <v>1.3222192947339193</v>
      </c>
      <c r="X443" s="7" t="s">
        <v>2131</v>
      </c>
      <c r="Y443" s="7" t="s">
        <v>2136</v>
      </c>
      <c r="Z443" s="7">
        <v>28</v>
      </c>
      <c r="AA443" s="7">
        <v>38</v>
      </c>
      <c r="AB443" s="7">
        <v>2.87</v>
      </c>
      <c r="AC443" s="7">
        <v>0.13</v>
      </c>
      <c r="AD443" s="7">
        <v>9</v>
      </c>
      <c r="AE443" s="7"/>
      <c r="AF443" s="7"/>
      <c r="AG443" s="7"/>
      <c r="AH443" s="7"/>
      <c r="AI443" s="7"/>
      <c r="AJ443" s="7"/>
      <c r="AK443" s="7">
        <v>3.14</v>
      </c>
      <c r="AL443" s="7">
        <v>0.21</v>
      </c>
      <c r="AM443" s="7">
        <v>9</v>
      </c>
      <c r="AN443" s="7"/>
      <c r="AO443" s="7"/>
      <c r="AP443" s="7"/>
      <c r="AQ443" s="7"/>
      <c r="AR443" s="7"/>
      <c r="AS443" s="7"/>
      <c r="AT443" s="184"/>
      <c r="AU443" s="7"/>
      <c r="AV443" s="7" t="s">
        <v>2617</v>
      </c>
      <c r="AW443" s="7"/>
      <c r="AX443" s="7" t="s">
        <v>2618</v>
      </c>
      <c r="AY443" s="7" t="s">
        <v>2560</v>
      </c>
    </row>
    <row r="444" spans="1:51">
      <c r="A444" s="7" t="s">
        <v>23</v>
      </c>
      <c r="B444" s="7" t="s">
        <v>1668</v>
      </c>
      <c r="C444" s="7" t="s">
        <v>2611</v>
      </c>
      <c r="D444" s="7" t="s">
        <v>2612</v>
      </c>
      <c r="E444" s="7" t="s">
        <v>2613</v>
      </c>
      <c r="F444" s="7" t="s">
        <v>2614</v>
      </c>
      <c r="G444" s="7" t="s">
        <v>2615</v>
      </c>
      <c r="H444" s="7" t="s">
        <v>4185</v>
      </c>
      <c r="I444" s="100"/>
      <c r="J444" s="100"/>
      <c r="K444" s="100"/>
      <c r="L444" s="73" t="s">
        <v>1502</v>
      </c>
      <c r="M444" s="7"/>
      <c r="N444" s="7" t="s">
        <v>1640</v>
      </c>
      <c r="O444" s="7" t="s">
        <v>1505</v>
      </c>
      <c r="P444" s="108" t="s">
        <v>1492</v>
      </c>
      <c r="Q444" s="7" t="s">
        <v>2616</v>
      </c>
      <c r="R444" s="7">
        <v>13.65</v>
      </c>
      <c r="S444" s="7">
        <f t="shared" si="93"/>
        <v>13.65</v>
      </c>
      <c r="T444" s="7">
        <v>79.42</v>
      </c>
      <c r="U444" s="7">
        <v>1</v>
      </c>
      <c r="V444" s="7">
        <v>21</v>
      </c>
      <c r="W444" s="7">
        <f t="shared" si="94"/>
        <v>1.3222192947339193</v>
      </c>
      <c r="X444" s="7" t="s">
        <v>2619</v>
      </c>
      <c r="Y444" s="7" t="s">
        <v>1507</v>
      </c>
      <c r="Z444" s="7">
        <v>28</v>
      </c>
      <c r="AA444" s="7">
        <v>38</v>
      </c>
      <c r="AB444" s="7">
        <v>3.43</v>
      </c>
      <c r="AC444" s="7">
        <v>0.25</v>
      </c>
      <c r="AD444" s="7">
        <v>9</v>
      </c>
      <c r="AE444" s="7"/>
      <c r="AF444" s="7"/>
      <c r="AG444" s="7"/>
      <c r="AH444" s="7"/>
      <c r="AI444" s="7"/>
      <c r="AJ444" s="7"/>
      <c r="AK444" s="7">
        <v>3.85</v>
      </c>
      <c r="AL444" s="7">
        <v>0.28000000000000003</v>
      </c>
      <c r="AM444" s="7">
        <v>9</v>
      </c>
      <c r="AN444" s="7"/>
      <c r="AO444" s="7"/>
      <c r="AP444" s="7"/>
      <c r="AQ444" s="7"/>
      <c r="AR444" s="7"/>
      <c r="AS444" s="7"/>
      <c r="AT444" s="184"/>
      <c r="AU444" s="7"/>
      <c r="AV444" s="7" t="s">
        <v>2617</v>
      </c>
      <c r="AW444" s="7"/>
      <c r="AX444" s="7" t="s">
        <v>2618</v>
      </c>
      <c r="AY444" s="7" t="s">
        <v>2560</v>
      </c>
    </row>
    <row r="445" spans="1:51">
      <c r="A445" s="7" t="s">
        <v>23</v>
      </c>
      <c r="B445" s="7" t="s">
        <v>1668</v>
      </c>
      <c r="C445" s="7" t="s">
        <v>2611</v>
      </c>
      <c r="D445" s="7" t="s">
        <v>2612</v>
      </c>
      <c r="E445" s="7" t="s">
        <v>2613</v>
      </c>
      <c r="F445" s="7" t="s">
        <v>2614</v>
      </c>
      <c r="G445" s="7" t="s">
        <v>2615</v>
      </c>
      <c r="H445" s="7" t="s">
        <v>4185</v>
      </c>
      <c r="I445" s="100"/>
      <c r="J445" s="100"/>
      <c r="K445" s="100"/>
      <c r="L445" s="73" t="s">
        <v>1502</v>
      </c>
      <c r="M445" s="7"/>
      <c r="N445" s="7" t="s">
        <v>1640</v>
      </c>
      <c r="O445" s="7" t="s">
        <v>1505</v>
      </c>
      <c r="P445" s="108" t="s">
        <v>1492</v>
      </c>
      <c r="Q445" s="7" t="s">
        <v>2616</v>
      </c>
      <c r="R445" s="7">
        <v>13.65</v>
      </c>
      <c r="S445" s="7">
        <f t="shared" si="93"/>
        <v>13.65</v>
      </c>
      <c r="T445" s="7">
        <v>79.42</v>
      </c>
      <c r="U445" s="7">
        <v>1</v>
      </c>
      <c r="V445" s="7">
        <v>21</v>
      </c>
      <c r="W445" s="7">
        <f t="shared" si="94"/>
        <v>1.3222192947339193</v>
      </c>
      <c r="X445" s="7" t="s">
        <v>2619</v>
      </c>
      <c r="Y445" s="7" t="s">
        <v>2136</v>
      </c>
      <c r="Z445" s="7">
        <v>28</v>
      </c>
      <c r="AA445" s="7">
        <v>38</v>
      </c>
      <c r="AB445" s="7">
        <v>3.82</v>
      </c>
      <c r="AC445" s="7">
        <v>0.26</v>
      </c>
      <c r="AD445" s="7">
        <v>9</v>
      </c>
      <c r="AE445" s="7"/>
      <c r="AF445" s="7"/>
      <c r="AG445" s="7"/>
      <c r="AH445" s="7"/>
      <c r="AI445" s="7"/>
      <c r="AJ445" s="7"/>
      <c r="AK445" s="7">
        <v>4.96</v>
      </c>
      <c r="AL445" s="7">
        <v>0.35</v>
      </c>
      <c r="AM445" s="7">
        <v>9</v>
      </c>
      <c r="AN445" s="7"/>
      <c r="AO445" s="7"/>
      <c r="AP445" s="7"/>
      <c r="AQ445" s="7"/>
      <c r="AR445" s="7"/>
      <c r="AS445" s="7"/>
      <c r="AT445" s="184"/>
      <c r="AU445" s="7"/>
      <c r="AV445" s="7" t="s">
        <v>2617</v>
      </c>
      <c r="AW445" s="7"/>
      <c r="AX445" s="7" t="s">
        <v>2618</v>
      </c>
      <c r="AY445" s="7" t="s">
        <v>2560</v>
      </c>
    </row>
    <row r="446" spans="1:51">
      <c r="A446" s="7" t="s">
        <v>23</v>
      </c>
      <c r="B446" s="7" t="s">
        <v>1668</v>
      </c>
      <c r="C446" s="7" t="s">
        <v>2611</v>
      </c>
      <c r="D446" s="7" t="s">
        <v>2612</v>
      </c>
      <c r="E446" s="7" t="s">
        <v>2613</v>
      </c>
      <c r="F446" s="7" t="s">
        <v>2614</v>
      </c>
      <c r="G446" s="7" t="s">
        <v>2615</v>
      </c>
      <c r="H446" s="7" t="s">
        <v>4185</v>
      </c>
      <c r="I446" s="100"/>
      <c r="J446" s="100"/>
      <c r="K446" s="100"/>
      <c r="L446" s="73" t="s">
        <v>1502</v>
      </c>
      <c r="M446" s="7"/>
      <c r="N446" s="7" t="s">
        <v>1640</v>
      </c>
      <c r="O446" s="7" t="s">
        <v>1505</v>
      </c>
      <c r="P446" s="108" t="s">
        <v>1492</v>
      </c>
      <c r="Q446" s="7" t="s">
        <v>2616</v>
      </c>
      <c r="R446" s="7">
        <v>13.65</v>
      </c>
      <c r="S446" s="7">
        <f t="shared" si="93"/>
        <v>13.65</v>
      </c>
      <c r="T446" s="7">
        <v>79.42</v>
      </c>
      <c r="U446" s="7">
        <v>1</v>
      </c>
      <c r="V446" s="7">
        <v>21</v>
      </c>
      <c r="W446" s="7">
        <f t="shared" si="94"/>
        <v>1.3222192947339193</v>
      </c>
      <c r="X446" s="7" t="s">
        <v>2620</v>
      </c>
      <c r="Y446" s="7" t="s">
        <v>1507</v>
      </c>
      <c r="Z446" s="7">
        <v>28</v>
      </c>
      <c r="AA446" s="7">
        <v>38</v>
      </c>
      <c r="AB446" s="7">
        <v>11.57</v>
      </c>
      <c r="AC446" s="7">
        <v>1.03</v>
      </c>
      <c r="AD446" s="7">
        <v>9</v>
      </c>
      <c r="AE446" s="7"/>
      <c r="AF446" s="7"/>
      <c r="AG446" s="7"/>
      <c r="AH446" s="7"/>
      <c r="AI446" s="7"/>
      <c r="AJ446" s="7"/>
      <c r="AK446" s="7">
        <v>14.77</v>
      </c>
      <c r="AL446" s="7">
        <v>0.98</v>
      </c>
      <c r="AM446" s="7">
        <v>9</v>
      </c>
      <c r="AN446" s="7"/>
      <c r="AO446" s="7"/>
      <c r="AP446" s="7"/>
      <c r="AQ446" s="7"/>
      <c r="AR446" s="7"/>
      <c r="AS446" s="7"/>
      <c r="AT446" s="184"/>
      <c r="AU446" s="7"/>
      <c r="AV446" s="7" t="s">
        <v>2617</v>
      </c>
      <c r="AW446" s="7"/>
      <c r="AX446" s="7" t="s">
        <v>2618</v>
      </c>
      <c r="AY446" s="7" t="s">
        <v>2560</v>
      </c>
    </row>
    <row r="447" spans="1:51">
      <c r="A447" s="7" t="s">
        <v>23</v>
      </c>
      <c r="B447" s="7" t="s">
        <v>1668</v>
      </c>
      <c r="C447" s="7" t="s">
        <v>2611</v>
      </c>
      <c r="D447" s="7" t="s">
        <v>2612</v>
      </c>
      <c r="E447" s="7" t="s">
        <v>2613</v>
      </c>
      <c r="F447" s="7" t="s">
        <v>2614</v>
      </c>
      <c r="G447" s="7" t="s">
        <v>2615</v>
      </c>
      <c r="H447" s="7" t="s">
        <v>4185</v>
      </c>
      <c r="I447" s="100"/>
      <c r="J447" s="100"/>
      <c r="K447" s="100"/>
      <c r="L447" s="73" t="s">
        <v>1502</v>
      </c>
      <c r="M447" s="7"/>
      <c r="N447" s="7" t="s">
        <v>1640</v>
      </c>
      <c r="O447" s="7" t="s">
        <v>1505</v>
      </c>
      <c r="P447" s="108" t="s">
        <v>1492</v>
      </c>
      <c r="Q447" s="7" t="s">
        <v>2616</v>
      </c>
      <c r="R447" s="7">
        <v>13.65</v>
      </c>
      <c r="S447" s="7">
        <f t="shared" ref="S447:S472" si="95">ABS(R447)</f>
        <v>13.65</v>
      </c>
      <c r="T447" s="7">
        <v>79.42</v>
      </c>
      <c r="U447" s="7">
        <v>1</v>
      </c>
      <c r="V447" s="7">
        <v>21</v>
      </c>
      <c r="W447" s="7">
        <f t="shared" si="94"/>
        <v>1.3222192947339193</v>
      </c>
      <c r="X447" s="7" t="s">
        <v>2620</v>
      </c>
      <c r="Y447" s="7" t="s">
        <v>2136</v>
      </c>
      <c r="Z447" s="7">
        <v>28</v>
      </c>
      <c r="AA447" s="7">
        <v>38</v>
      </c>
      <c r="AB447" s="7">
        <v>12.85</v>
      </c>
      <c r="AC447" s="7">
        <v>1.08</v>
      </c>
      <c r="AD447" s="7">
        <v>9</v>
      </c>
      <c r="AE447" s="7"/>
      <c r="AF447" s="7"/>
      <c r="AG447" s="7"/>
      <c r="AH447" s="7"/>
      <c r="AI447" s="7"/>
      <c r="AJ447" s="7"/>
      <c r="AK447" s="7">
        <v>16.809999999999999</v>
      </c>
      <c r="AL447" s="7">
        <v>1.25</v>
      </c>
      <c r="AM447" s="7">
        <v>9</v>
      </c>
      <c r="AN447" s="7"/>
      <c r="AO447" s="7"/>
      <c r="AP447" s="7"/>
      <c r="AQ447" s="7"/>
      <c r="AR447" s="7"/>
      <c r="AS447" s="7"/>
      <c r="AT447" s="184"/>
      <c r="AU447" s="7"/>
      <c r="AV447" s="7" t="s">
        <v>2617</v>
      </c>
      <c r="AW447" s="7"/>
      <c r="AX447" s="7" t="s">
        <v>2618</v>
      </c>
      <c r="AY447" s="7" t="s">
        <v>2560</v>
      </c>
    </row>
    <row r="448" spans="1:51">
      <c r="A448" s="7" t="s">
        <v>23</v>
      </c>
      <c r="B448" s="7" t="s">
        <v>1668</v>
      </c>
      <c r="C448" s="7" t="s">
        <v>2611</v>
      </c>
      <c r="D448" s="7" t="s">
        <v>2612</v>
      </c>
      <c r="E448" s="7" t="s">
        <v>2613</v>
      </c>
      <c r="F448" s="7" t="s">
        <v>2614</v>
      </c>
      <c r="G448" s="7" t="s">
        <v>2615</v>
      </c>
      <c r="H448" s="7" t="s">
        <v>4185</v>
      </c>
      <c r="I448" s="100"/>
      <c r="J448" s="100"/>
      <c r="K448" s="100"/>
      <c r="L448" s="73" t="s">
        <v>1502</v>
      </c>
      <c r="M448" s="7"/>
      <c r="N448" s="7" t="s">
        <v>1640</v>
      </c>
      <c r="O448" s="7" t="s">
        <v>1505</v>
      </c>
      <c r="P448" s="108" t="s">
        <v>1492</v>
      </c>
      <c r="Q448" s="7" t="s">
        <v>2616</v>
      </c>
      <c r="R448" s="7">
        <v>13.65</v>
      </c>
      <c r="S448" s="7">
        <f t="shared" si="95"/>
        <v>13.65</v>
      </c>
      <c r="T448" s="7">
        <v>79.42</v>
      </c>
      <c r="U448" s="7">
        <v>1</v>
      </c>
      <c r="V448" s="7">
        <v>21</v>
      </c>
      <c r="W448" s="7">
        <f t="shared" si="94"/>
        <v>1.3222192947339193</v>
      </c>
      <c r="X448" s="7" t="s">
        <v>1779</v>
      </c>
      <c r="Y448" s="7" t="s">
        <v>1781</v>
      </c>
      <c r="Z448" s="7">
        <v>18</v>
      </c>
      <c r="AA448" s="7">
        <v>38</v>
      </c>
      <c r="AB448" s="7">
        <v>5.9550000000000001</v>
      </c>
      <c r="AC448" s="7">
        <v>0.32700000000000001</v>
      </c>
      <c r="AD448" s="7">
        <v>9</v>
      </c>
      <c r="AE448" s="7"/>
      <c r="AF448" s="7"/>
      <c r="AG448" s="7"/>
      <c r="AH448" s="7"/>
      <c r="AI448" s="7"/>
      <c r="AJ448" s="7"/>
      <c r="AK448" s="7">
        <v>9.2189999999999994</v>
      </c>
      <c r="AL448" s="7">
        <v>0.314</v>
      </c>
      <c r="AM448" s="7">
        <v>9</v>
      </c>
      <c r="AN448" s="7"/>
      <c r="AO448" s="7"/>
      <c r="AP448" s="7"/>
      <c r="AQ448" s="7"/>
      <c r="AR448" s="7"/>
      <c r="AS448" s="7"/>
      <c r="AT448" s="184"/>
      <c r="AU448" s="7"/>
      <c r="AV448" s="7" t="s">
        <v>1996</v>
      </c>
      <c r="AW448" s="7"/>
      <c r="AX448" s="7" t="s">
        <v>2621</v>
      </c>
      <c r="AY448" s="7" t="s">
        <v>2560</v>
      </c>
    </row>
    <row r="449" spans="1:56">
      <c r="A449" s="7" t="s">
        <v>23</v>
      </c>
      <c r="B449" s="7" t="s">
        <v>1668</v>
      </c>
      <c r="C449" s="7" t="s">
        <v>2611</v>
      </c>
      <c r="D449" s="7" t="s">
        <v>2612</v>
      </c>
      <c r="E449" s="7" t="s">
        <v>2613</v>
      </c>
      <c r="F449" s="7" t="s">
        <v>2614</v>
      </c>
      <c r="G449" s="7" t="s">
        <v>2615</v>
      </c>
      <c r="H449" s="7" t="s">
        <v>4185</v>
      </c>
      <c r="I449" s="100"/>
      <c r="J449" s="100"/>
      <c r="K449" s="100"/>
      <c r="L449" s="73" t="s">
        <v>1502</v>
      </c>
      <c r="M449" s="7"/>
      <c r="N449" s="7" t="s">
        <v>1640</v>
      </c>
      <c r="O449" s="7" t="s">
        <v>1505</v>
      </c>
      <c r="P449" s="108" t="s">
        <v>1492</v>
      </c>
      <c r="Q449" s="7" t="s">
        <v>2616</v>
      </c>
      <c r="R449" s="7">
        <v>13.65</v>
      </c>
      <c r="S449" s="7">
        <f t="shared" si="95"/>
        <v>13.65</v>
      </c>
      <c r="T449" s="7">
        <v>79.42</v>
      </c>
      <c r="U449" s="7">
        <v>1</v>
      </c>
      <c r="V449" s="7">
        <v>21</v>
      </c>
      <c r="W449" s="7">
        <f t="shared" si="94"/>
        <v>1.3222192947339193</v>
      </c>
      <c r="X449" s="7" t="s">
        <v>1779</v>
      </c>
      <c r="Y449" s="7" t="s">
        <v>1781</v>
      </c>
      <c r="Z449" s="7">
        <v>18</v>
      </c>
      <c r="AA449" s="7">
        <v>28</v>
      </c>
      <c r="AB449" s="7">
        <v>5.9550000000000001</v>
      </c>
      <c r="AC449" s="7">
        <v>0.32700000000000001</v>
      </c>
      <c r="AD449" s="7">
        <v>9</v>
      </c>
      <c r="AE449" s="7"/>
      <c r="AF449" s="7"/>
      <c r="AG449" s="7"/>
      <c r="AH449" s="7"/>
      <c r="AI449" s="7"/>
      <c r="AJ449" s="7"/>
      <c r="AK449" s="7">
        <v>7.5670000000000002</v>
      </c>
      <c r="AL449" s="7">
        <v>0.23400000000000001</v>
      </c>
      <c r="AM449" s="7">
        <v>9</v>
      </c>
      <c r="AN449" s="7"/>
      <c r="AO449" s="7"/>
      <c r="AP449" s="7"/>
      <c r="AQ449" s="7"/>
      <c r="AR449" s="7"/>
      <c r="AS449" s="7"/>
      <c r="AT449" s="184"/>
      <c r="AU449" s="7"/>
      <c r="AV449" s="7" t="s">
        <v>1996</v>
      </c>
      <c r="AW449" s="7"/>
      <c r="AX449" s="7" t="s">
        <v>2621</v>
      </c>
      <c r="AY449" s="7" t="s">
        <v>2560</v>
      </c>
    </row>
    <row r="450" spans="1:56">
      <c r="A450" s="7" t="s">
        <v>23</v>
      </c>
      <c r="B450" s="7" t="s">
        <v>1668</v>
      </c>
      <c r="C450" s="7" t="s">
        <v>2611</v>
      </c>
      <c r="D450" s="7" t="s">
        <v>2612</v>
      </c>
      <c r="E450" s="7" t="s">
        <v>2613</v>
      </c>
      <c r="F450" s="7" t="s">
        <v>2614</v>
      </c>
      <c r="G450" s="7" t="s">
        <v>2615</v>
      </c>
      <c r="H450" s="7" t="s">
        <v>4185</v>
      </c>
      <c r="I450" s="100"/>
      <c r="J450" s="100"/>
      <c r="K450" s="100"/>
      <c r="L450" s="73" t="s">
        <v>1502</v>
      </c>
      <c r="M450" s="7"/>
      <c r="N450" s="7" t="s">
        <v>1640</v>
      </c>
      <c r="O450" s="7" t="s">
        <v>1505</v>
      </c>
      <c r="P450" s="108" t="s">
        <v>1492</v>
      </c>
      <c r="Q450" s="7" t="s">
        <v>2616</v>
      </c>
      <c r="R450" s="7">
        <v>13.65</v>
      </c>
      <c r="S450" s="7">
        <f t="shared" si="95"/>
        <v>13.65</v>
      </c>
      <c r="T450" s="7">
        <v>79.42</v>
      </c>
      <c r="U450" s="7">
        <v>1</v>
      </c>
      <c r="V450" s="7">
        <v>21</v>
      </c>
      <c r="W450" s="7">
        <f t="shared" si="94"/>
        <v>1.3222192947339193</v>
      </c>
      <c r="X450" s="7" t="s">
        <v>1779</v>
      </c>
      <c r="Y450" s="7" t="s">
        <v>1781</v>
      </c>
      <c r="Z450" s="7">
        <v>28</v>
      </c>
      <c r="AA450" s="7">
        <v>38</v>
      </c>
      <c r="AB450" s="7">
        <v>7.5670000000000002</v>
      </c>
      <c r="AC450" s="7">
        <v>0.23400000000000001</v>
      </c>
      <c r="AD450" s="7">
        <v>9</v>
      </c>
      <c r="AE450" s="7"/>
      <c r="AF450" s="7"/>
      <c r="AG450" s="7"/>
      <c r="AH450" s="7"/>
      <c r="AI450" s="7"/>
      <c r="AJ450" s="7"/>
      <c r="AK450" s="7">
        <v>9.2189999999999994</v>
      </c>
      <c r="AL450" s="7">
        <v>0.314</v>
      </c>
      <c r="AM450" s="7">
        <v>9</v>
      </c>
      <c r="AN450" s="7"/>
      <c r="AO450" s="7"/>
      <c r="AP450" s="7"/>
      <c r="AQ450" s="7"/>
      <c r="AR450" s="7"/>
      <c r="AS450" s="7"/>
      <c r="AT450" s="184"/>
      <c r="AU450" s="7"/>
      <c r="AV450" s="7" t="s">
        <v>1996</v>
      </c>
      <c r="AW450" s="7"/>
      <c r="AX450" s="7" t="s">
        <v>2621</v>
      </c>
      <c r="AY450" s="7" t="s">
        <v>2560</v>
      </c>
    </row>
    <row r="451" spans="1:56">
      <c r="A451" s="7" t="s">
        <v>23</v>
      </c>
      <c r="B451" s="7" t="s">
        <v>1668</v>
      </c>
      <c r="C451" s="7" t="s">
        <v>2611</v>
      </c>
      <c r="D451" s="7" t="s">
        <v>2612</v>
      </c>
      <c r="E451" s="7" t="s">
        <v>2613</v>
      </c>
      <c r="F451" s="7" t="s">
        <v>2614</v>
      </c>
      <c r="G451" s="7" t="s">
        <v>2615</v>
      </c>
      <c r="H451" s="7" t="s">
        <v>4185</v>
      </c>
      <c r="I451" s="100"/>
      <c r="J451" s="100"/>
      <c r="K451" s="100"/>
      <c r="L451" s="73" t="s">
        <v>1502</v>
      </c>
      <c r="M451" s="7"/>
      <c r="N451" s="7" t="s">
        <v>1640</v>
      </c>
      <c r="O451" s="7" t="s">
        <v>1505</v>
      </c>
      <c r="P451" s="108" t="s">
        <v>1492</v>
      </c>
      <c r="Q451" s="7" t="s">
        <v>2616</v>
      </c>
      <c r="R451" s="7">
        <v>13.65</v>
      </c>
      <c r="S451" s="7">
        <f t="shared" si="95"/>
        <v>13.65</v>
      </c>
      <c r="T451" s="7">
        <v>79.42</v>
      </c>
      <c r="U451" s="7">
        <v>1</v>
      </c>
      <c r="V451" s="7">
        <v>21</v>
      </c>
      <c r="W451" s="7">
        <f t="shared" si="94"/>
        <v>1.3222192947339193</v>
      </c>
      <c r="X451" s="7" t="s">
        <v>2622</v>
      </c>
      <c r="Y451" s="7" t="s">
        <v>1507</v>
      </c>
      <c r="Z451" s="7">
        <v>18</v>
      </c>
      <c r="AA451" s="7">
        <v>38</v>
      </c>
      <c r="AB451" s="7">
        <v>155.33000000000001</v>
      </c>
      <c r="AC451" s="7">
        <v>8.86</v>
      </c>
      <c r="AD451" s="7">
        <v>9</v>
      </c>
      <c r="AE451" s="7"/>
      <c r="AF451" s="7"/>
      <c r="AG451" s="7"/>
      <c r="AH451" s="7"/>
      <c r="AI451" s="7"/>
      <c r="AJ451" s="7"/>
      <c r="AK451" s="7">
        <v>213.7</v>
      </c>
      <c r="AL451" s="7">
        <v>8.5399999999999991</v>
      </c>
      <c r="AM451" s="7">
        <v>9</v>
      </c>
      <c r="AN451" s="7"/>
      <c r="AO451" s="7"/>
      <c r="AP451" s="7"/>
      <c r="AQ451" s="7"/>
      <c r="AR451" s="7"/>
      <c r="AS451" s="7"/>
      <c r="AT451" s="184"/>
      <c r="AU451" s="7"/>
      <c r="AV451" s="7" t="s">
        <v>1796</v>
      </c>
      <c r="AW451" s="7"/>
      <c r="AX451" s="7" t="s">
        <v>2621</v>
      </c>
      <c r="AY451" s="7" t="s">
        <v>2560</v>
      </c>
    </row>
    <row r="452" spans="1:56">
      <c r="A452" s="7" t="s">
        <v>23</v>
      </c>
      <c r="B452" s="7" t="s">
        <v>1668</v>
      </c>
      <c r="C452" s="7" t="s">
        <v>2611</v>
      </c>
      <c r="D452" s="7" t="s">
        <v>2612</v>
      </c>
      <c r="E452" s="7" t="s">
        <v>2613</v>
      </c>
      <c r="F452" s="7" t="s">
        <v>2614</v>
      </c>
      <c r="G452" s="7" t="s">
        <v>2615</v>
      </c>
      <c r="H452" s="7" t="s">
        <v>4185</v>
      </c>
      <c r="I452" s="100"/>
      <c r="J452" s="100"/>
      <c r="K452" s="100"/>
      <c r="L452" s="73" t="s">
        <v>1502</v>
      </c>
      <c r="M452" s="7"/>
      <c r="N452" s="7" t="s">
        <v>1640</v>
      </c>
      <c r="O452" s="7" t="s">
        <v>1505</v>
      </c>
      <c r="P452" s="108" t="s">
        <v>1492</v>
      </c>
      <c r="Q452" s="7" t="s">
        <v>2616</v>
      </c>
      <c r="R452" s="7">
        <v>13.65</v>
      </c>
      <c r="S452" s="7">
        <f t="shared" si="95"/>
        <v>13.65</v>
      </c>
      <c r="T452" s="7">
        <v>79.42</v>
      </c>
      <c r="U452" s="7">
        <v>1</v>
      </c>
      <c r="V452" s="7">
        <v>21</v>
      </c>
      <c r="W452" s="7">
        <f t="shared" si="94"/>
        <v>1.3222192947339193</v>
      </c>
      <c r="X452" s="7" t="s">
        <v>2622</v>
      </c>
      <c r="Y452" s="7" t="s">
        <v>2136</v>
      </c>
      <c r="Z452" s="7">
        <v>18</v>
      </c>
      <c r="AA452" s="7">
        <v>38</v>
      </c>
      <c r="AB452" s="7">
        <v>230.29</v>
      </c>
      <c r="AC452" s="7">
        <v>9.73</v>
      </c>
      <c r="AD452" s="7">
        <v>9</v>
      </c>
      <c r="AE452" s="7"/>
      <c r="AF452" s="7"/>
      <c r="AG452" s="7"/>
      <c r="AH452" s="7"/>
      <c r="AI452" s="7"/>
      <c r="AJ452" s="7"/>
      <c r="AK452" s="7">
        <v>316.64999999999998</v>
      </c>
      <c r="AL452" s="7">
        <v>9.5500000000000007</v>
      </c>
      <c r="AM452" s="7">
        <v>9</v>
      </c>
      <c r="AN452" s="7"/>
      <c r="AO452" s="7"/>
      <c r="AP452" s="7"/>
      <c r="AQ452" s="7"/>
      <c r="AR452" s="7"/>
      <c r="AS452" s="7"/>
      <c r="AT452" s="184"/>
      <c r="AU452" s="7"/>
      <c r="AV452" s="7" t="s">
        <v>1796</v>
      </c>
      <c r="AW452" s="7"/>
      <c r="AX452" s="7" t="s">
        <v>2621</v>
      </c>
      <c r="AY452" s="7" t="s">
        <v>2560</v>
      </c>
    </row>
    <row r="453" spans="1:56">
      <c r="A453" s="7" t="s">
        <v>23</v>
      </c>
      <c r="B453" s="7" t="s">
        <v>1668</v>
      </c>
      <c r="C453" s="7" t="s">
        <v>2611</v>
      </c>
      <c r="D453" s="7" t="s">
        <v>2612</v>
      </c>
      <c r="E453" s="7" t="s">
        <v>2613</v>
      </c>
      <c r="F453" s="7" t="s">
        <v>2614</v>
      </c>
      <c r="G453" s="7" t="s">
        <v>2615</v>
      </c>
      <c r="H453" s="7" t="s">
        <v>4185</v>
      </c>
      <c r="I453" s="100"/>
      <c r="J453" s="100"/>
      <c r="K453" s="100"/>
      <c r="L453" s="73" t="s">
        <v>1502</v>
      </c>
      <c r="M453" s="7"/>
      <c r="N453" s="7" t="s">
        <v>1640</v>
      </c>
      <c r="O453" s="7" t="s">
        <v>1505</v>
      </c>
      <c r="P453" s="108" t="s">
        <v>1492</v>
      </c>
      <c r="Q453" s="7" t="s">
        <v>2616</v>
      </c>
      <c r="R453" s="7">
        <v>13.65</v>
      </c>
      <c r="S453" s="7">
        <f t="shared" si="95"/>
        <v>13.65</v>
      </c>
      <c r="T453" s="7">
        <v>79.42</v>
      </c>
      <c r="U453" s="7">
        <v>1</v>
      </c>
      <c r="V453" s="7">
        <v>21</v>
      </c>
      <c r="W453" s="7">
        <f t="shared" si="94"/>
        <v>1.3222192947339193</v>
      </c>
      <c r="X453" s="7" t="s">
        <v>2622</v>
      </c>
      <c r="Y453" s="7" t="s">
        <v>1507</v>
      </c>
      <c r="Z453" s="7">
        <v>18</v>
      </c>
      <c r="AA453" s="7">
        <v>28</v>
      </c>
      <c r="AB453" s="7">
        <v>155.33000000000001</v>
      </c>
      <c r="AC453" s="7">
        <v>8.86</v>
      </c>
      <c r="AD453" s="7">
        <v>9</v>
      </c>
      <c r="AE453" s="7"/>
      <c r="AF453" s="7"/>
      <c r="AG453" s="7"/>
      <c r="AH453" s="7"/>
      <c r="AI453" s="7"/>
      <c r="AJ453" s="7"/>
      <c r="AK453" s="7">
        <v>187.29</v>
      </c>
      <c r="AL453" s="7">
        <v>8.3559999999999999</v>
      </c>
      <c r="AM453" s="7">
        <v>9</v>
      </c>
      <c r="AN453" s="7"/>
      <c r="AO453" s="7"/>
      <c r="AP453" s="7"/>
      <c r="AQ453" s="7"/>
      <c r="AR453" s="7"/>
      <c r="AS453" s="7"/>
      <c r="AT453" s="184"/>
      <c r="AU453" s="7"/>
      <c r="AV453" s="7" t="s">
        <v>1796</v>
      </c>
      <c r="AW453" s="7"/>
      <c r="AX453" s="7" t="s">
        <v>2621</v>
      </c>
      <c r="AY453" s="7" t="s">
        <v>2560</v>
      </c>
    </row>
    <row r="454" spans="1:56">
      <c r="A454" s="7" t="s">
        <v>23</v>
      </c>
      <c r="B454" s="7" t="s">
        <v>1668</v>
      </c>
      <c r="C454" s="7" t="s">
        <v>2611</v>
      </c>
      <c r="D454" s="7" t="s">
        <v>2612</v>
      </c>
      <c r="E454" s="7" t="s">
        <v>2613</v>
      </c>
      <c r="F454" s="7" t="s">
        <v>2614</v>
      </c>
      <c r="G454" s="7" t="s">
        <v>2615</v>
      </c>
      <c r="H454" s="7" t="s">
        <v>4185</v>
      </c>
      <c r="I454" s="100"/>
      <c r="J454" s="100"/>
      <c r="K454" s="100"/>
      <c r="L454" s="73" t="s">
        <v>1502</v>
      </c>
      <c r="M454" s="7"/>
      <c r="N454" s="7" t="s">
        <v>1640</v>
      </c>
      <c r="O454" s="7" t="s">
        <v>1505</v>
      </c>
      <c r="P454" s="108" t="s">
        <v>1492</v>
      </c>
      <c r="Q454" s="7" t="s">
        <v>2616</v>
      </c>
      <c r="R454" s="7">
        <v>13.65</v>
      </c>
      <c r="S454" s="7">
        <f t="shared" si="95"/>
        <v>13.65</v>
      </c>
      <c r="T454" s="7">
        <v>79.42</v>
      </c>
      <c r="U454" s="7">
        <v>1</v>
      </c>
      <c r="V454" s="7">
        <v>21</v>
      </c>
      <c r="W454" s="7">
        <f t="shared" si="94"/>
        <v>1.3222192947339193</v>
      </c>
      <c r="X454" s="7" t="s">
        <v>2622</v>
      </c>
      <c r="Y454" s="7" t="s">
        <v>2136</v>
      </c>
      <c r="Z454" s="7">
        <v>18</v>
      </c>
      <c r="AA454" s="7">
        <v>28</v>
      </c>
      <c r="AB454" s="7">
        <v>230.29</v>
      </c>
      <c r="AC454" s="7">
        <v>9.73</v>
      </c>
      <c r="AD454" s="7">
        <v>9</v>
      </c>
      <c r="AE454" s="7"/>
      <c r="AF454" s="7"/>
      <c r="AG454" s="7"/>
      <c r="AH454" s="7"/>
      <c r="AI454" s="7"/>
      <c r="AJ454" s="7"/>
      <c r="AK454" s="7">
        <v>278.92</v>
      </c>
      <c r="AL454" s="7">
        <v>9.5299999999999994</v>
      </c>
      <c r="AM454" s="7">
        <v>9</v>
      </c>
      <c r="AN454" s="7"/>
      <c r="AO454" s="7"/>
      <c r="AP454" s="7"/>
      <c r="AQ454" s="7"/>
      <c r="AR454" s="7"/>
      <c r="AS454" s="7"/>
      <c r="AT454" s="184"/>
      <c r="AU454" s="7"/>
      <c r="AV454" s="7" t="s">
        <v>1796</v>
      </c>
      <c r="AW454" s="7"/>
      <c r="AX454" s="7" t="s">
        <v>2621</v>
      </c>
      <c r="AY454" s="7" t="s">
        <v>2560</v>
      </c>
    </row>
    <row r="455" spans="1:56">
      <c r="A455" s="7" t="s">
        <v>23</v>
      </c>
      <c r="B455" s="7" t="s">
        <v>1668</v>
      </c>
      <c r="C455" s="7" t="s">
        <v>2611</v>
      </c>
      <c r="D455" s="7" t="s">
        <v>2612</v>
      </c>
      <c r="E455" s="7" t="s">
        <v>2613</v>
      </c>
      <c r="F455" s="7" t="s">
        <v>2614</v>
      </c>
      <c r="G455" s="7" t="s">
        <v>2615</v>
      </c>
      <c r="H455" s="7" t="s">
        <v>4185</v>
      </c>
      <c r="I455" s="100"/>
      <c r="J455" s="100"/>
      <c r="K455" s="100"/>
      <c r="L455" s="73" t="s">
        <v>1502</v>
      </c>
      <c r="M455" s="7"/>
      <c r="N455" s="7" t="s">
        <v>1640</v>
      </c>
      <c r="O455" s="7" t="s">
        <v>1505</v>
      </c>
      <c r="P455" s="108" t="s">
        <v>1492</v>
      </c>
      <c r="Q455" s="7" t="s">
        <v>2616</v>
      </c>
      <c r="R455" s="7">
        <v>13.65</v>
      </c>
      <c r="S455" s="7">
        <f t="shared" si="95"/>
        <v>13.65</v>
      </c>
      <c r="T455" s="7">
        <v>79.42</v>
      </c>
      <c r="U455" s="7">
        <v>1</v>
      </c>
      <c r="V455" s="7">
        <v>21</v>
      </c>
      <c r="W455" s="7">
        <f t="shared" si="94"/>
        <v>1.3222192947339193</v>
      </c>
      <c r="X455" s="7" t="s">
        <v>2622</v>
      </c>
      <c r="Y455" s="7" t="s">
        <v>1507</v>
      </c>
      <c r="Z455" s="7">
        <v>28</v>
      </c>
      <c r="AA455" s="7">
        <v>38</v>
      </c>
      <c r="AB455" s="7">
        <v>187.29</v>
      </c>
      <c r="AC455" s="7">
        <v>8.3559999999999999</v>
      </c>
      <c r="AD455" s="7">
        <v>9</v>
      </c>
      <c r="AE455" s="7"/>
      <c r="AF455" s="7"/>
      <c r="AG455" s="7"/>
      <c r="AH455" s="7"/>
      <c r="AI455" s="7"/>
      <c r="AJ455" s="7"/>
      <c r="AK455" s="7">
        <v>213.7</v>
      </c>
      <c r="AL455" s="7">
        <v>8.5399999999999991</v>
      </c>
      <c r="AM455" s="7">
        <v>9</v>
      </c>
      <c r="AN455" s="7"/>
      <c r="AO455" s="7"/>
      <c r="AP455" s="7"/>
      <c r="AQ455" s="7"/>
      <c r="AR455" s="7"/>
      <c r="AS455" s="7"/>
      <c r="AT455" s="184"/>
      <c r="AU455" s="7"/>
      <c r="AV455" s="7" t="s">
        <v>1796</v>
      </c>
      <c r="AW455" s="7"/>
      <c r="AX455" s="7" t="s">
        <v>2621</v>
      </c>
      <c r="AY455" s="7" t="s">
        <v>2560</v>
      </c>
    </row>
    <row r="456" spans="1:56">
      <c r="A456" s="7" t="s">
        <v>23</v>
      </c>
      <c r="B456" s="7" t="s">
        <v>1668</v>
      </c>
      <c r="C456" s="7" t="s">
        <v>2611</v>
      </c>
      <c r="D456" s="7" t="s">
        <v>2612</v>
      </c>
      <c r="E456" s="7" t="s">
        <v>2613</v>
      </c>
      <c r="F456" s="7" t="s">
        <v>2614</v>
      </c>
      <c r="G456" s="7" t="s">
        <v>2615</v>
      </c>
      <c r="H456" s="7" t="s">
        <v>4185</v>
      </c>
      <c r="I456" s="100"/>
      <c r="J456" s="100"/>
      <c r="K456" s="100"/>
      <c r="L456" s="73" t="s">
        <v>1502</v>
      </c>
      <c r="M456" s="7"/>
      <c r="N456" s="7" t="s">
        <v>1640</v>
      </c>
      <c r="O456" s="7" t="s">
        <v>1505</v>
      </c>
      <c r="P456" s="108" t="s">
        <v>1492</v>
      </c>
      <c r="Q456" s="7" t="s">
        <v>2616</v>
      </c>
      <c r="R456" s="7">
        <v>13.65</v>
      </c>
      <c r="S456" s="7">
        <f t="shared" si="95"/>
        <v>13.65</v>
      </c>
      <c r="T456" s="7">
        <v>79.42</v>
      </c>
      <c r="U456" s="7">
        <v>1</v>
      </c>
      <c r="V456" s="7">
        <v>21</v>
      </c>
      <c r="W456" s="7">
        <f t="shared" si="94"/>
        <v>1.3222192947339193</v>
      </c>
      <c r="X456" s="7" t="s">
        <v>2622</v>
      </c>
      <c r="Y456" s="7" t="s">
        <v>2136</v>
      </c>
      <c r="Z456" s="7">
        <v>28</v>
      </c>
      <c r="AA456" s="7">
        <v>38</v>
      </c>
      <c r="AB456" s="7">
        <v>278.92</v>
      </c>
      <c r="AC456" s="7">
        <v>9.5299999999999994</v>
      </c>
      <c r="AD456" s="7">
        <v>9</v>
      </c>
      <c r="AE456" s="7"/>
      <c r="AF456" s="7"/>
      <c r="AG456" s="7"/>
      <c r="AH456" s="7"/>
      <c r="AI456" s="7"/>
      <c r="AJ456" s="7"/>
      <c r="AK456" s="7">
        <v>316.64999999999998</v>
      </c>
      <c r="AL456" s="7">
        <v>9.5500000000000007</v>
      </c>
      <c r="AM456" s="7">
        <v>9</v>
      </c>
      <c r="AN456" s="7"/>
      <c r="AO456" s="7"/>
      <c r="AP456" s="7"/>
      <c r="AQ456" s="7"/>
      <c r="AR456" s="7"/>
      <c r="AS456" s="7"/>
      <c r="AT456" s="184"/>
      <c r="AU456" s="7"/>
      <c r="AV456" s="7" t="s">
        <v>1796</v>
      </c>
      <c r="AW456" s="7"/>
      <c r="AX456" s="7" t="s">
        <v>2621</v>
      </c>
      <c r="AY456" s="7" t="s">
        <v>2560</v>
      </c>
    </row>
    <row r="457" spans="1:56">
      <c r="A457" s="7" t="s">
        <v>23</v>
      </c>
      <c r="B457" s="7" t="s">
        <v>1668</v>
      </c>
      <c r="C457" s="7" t="s">
        <v>2611</v>
      </c>
      <c r="D457" s="7" t="s">
        <v>2612</v>
      </c>
      <c r="E457" s="7" t="s">
        <v>2613</v>
      </c>
      <c r="F457" s="7" t="s">
        <v>2614</v>
      </c>
      <c r="G457" s="7" t="s">
        <v>2615</v>
      </c>
      <c r="H457" s="7" t="s">
        <v>4185</v>
      </c>
      <c r="I457" s="100"/>
      <c r="J457" s="100"/>
      <c r="K457" s="100"/>
      <c r="L457" s="73" t="s">
        <v>1502</v>
      </c>
      <c r="M457" s="7"/>
      <c r="N457" s="7" t="s">
        <v>1640</v>
      </c>
      <c r="O457" s="7" t="s">
        <v>1505</v>
      </c>
      <c r="P457" s="108" t="s">
        <v>1492</v>
      </c>
      <c r="Q457" s="7" t="s">
        <v>2616</v>
      </c>
      <c r="R457" s="7">
        <v>13.65</v>
      </c>
      <c r="S457" s="7">
        <f t="shared" si="95"/>
        <v>13.65</v>
      </c>
      <c r="T457" s="7">
        <v>79.42</v>
      </c>
      <c r="U457" s="7">
        <v>1</v>
      </c>
      <c r="V457" s="7">
        <v>21</v>
      </c>
      <c r="W457" s="7">
        <f t="shared" si="94"/>
        <v>1.3222192947339193</v>
      </c>
      <c r="X457" s="7" t="s">
        <v>1779</v>
      </c>
      <c r="Y457" s="7" t="s">
        <v>1781</v>
      </c>
      <c r="Z457" s="7">
        <v>18</v>
      </c>
      <c r="AA457" s="7">
        <v>28</v>
      </c>
      <c r="AB457" s="7">
        <v>181.4</v>
      </c>
      <c r="AC457" s="7">
        <v>2.6</v>
      </c>
      <c r="AD457" s="7">
        <v>9</v>
      </c>
      <c r="AE457" s="7"/>
      <c r="AF457" s="7"/>
      <c r="AG457" s="7"/>
      <c r="AH457" s="7"/>
      <c r="AI457" s="7"/>
      <c r="AJ457" s="7"/>
      <c r="AK457" s="7">
        <v>285</v>
      </c>
      <c r="AL457" s="7">
        <v>2.5</v>
      </c>
      <c r="AM457" s="7">
        <v>9</v>
      </c>
      <c r="AN457" s="7"/>
      <c r="AO457" s="7"/>
      <c r="AP457" s="7"/>
      <c r="AQ457" s="7"/>
      <c r="AR457" s="7"/>
      <c r="AS457" s="7"/>
      <c r="AT457" s="184"/>
      <c r="AU457" s="7"/>
      <c r="AV457" s="7" t="s">
        <v>1796</v>
      </c>
      <c r="AW457" s="7"/>
      <c r="AX457" s="7" t="s">
        <v>2623</v>
      </c>
      <c r="AY457" s="7" t="s">
        <v>2560</v>
      </c>
    </row>
    <row r="458" spans="1:56">
      <c r="A458" s="7" t="s">
        <v>23</v>
      </c>
      <c r="B458" s="7" t="s">
        <v>1668</v>
      </c>
      <c r="C458" s="7" t="s">
        <v>2611</v>
      </c>
      <c r="D458" s="7" t="s">
        <v>2612</v>
      </c>
      <c r="E458" s="7" t="s">
        <v>2613</v>
      </c>
      <c r="F458" s="7" t="s">
        <v>2614</v>
      </c>
      <c r="G458" s="7" t="s">
        <v>2615</v>
      </c>
      <c r="H458" s="7" t="s">
        <v>4185</v>
      </c>
      <c r="I458" s="100"/>
      <c r="J458" s="100"/>
      <c r="K458" s="100"/>
      <c r="L458" s="73" t="s">
        <v>1502</v>
      </c>
      <c r="M458" s="7"/>
      <c r="N458" s="7" t="s">
        <v>1640</v>
      </c>
      <c r="O458" s="7" t="s">
        <v>1505</v>
      </c>
      <c r="P458" s="108" t="s">
        <v>1492</v>
      </c>
      <c r="Q458" s="7" t="s">
        <v>2616</v>
      </c>
      <c r="R458" s="7">
        <v>13.65</v>
      </c>
      <c r="S458" s="7">
        <f t="shared" si="95"/>
        <v>13.65</v>
      </c>
      <c r="T458" s="7">
        <v>79.42</v>
      </c>
      <c r="U458" s="7">
        <v>1</v>
      </c>
      <c r="V458" s="7">
        <v>21</v>
      </c>
      <c r="W458" s="7">
        <f t="shared" si="94"/>
        <v>1.3222192947339193</v>
      </c>
      <c r="X458" s="7" t="s">
        <v>1779</v>
      </c>
      <c r="Y458" s="7" t="s">
        <v>1781</v>
      </c>
      <c r="Z458" s="7">
        <v>18</v>
      </c>
      <c r="AA458" s="7">
        <v>38</v>
      </c>
      <c r="AB458" s="7">
        <v>181.4</v>
      </c>
      <c r="AC458" s="7">
        <v>2.6</v>
      </c>
      <c r="AD458" s="7">
        <v>9</v>
      </c>
      <c r="AE458" s="7"/>
      <c r="AF458" s="7"/>
      <c r="AG458" s="7"/>
      <c r="AH458" s="7"/>
      <c r="AI458" s="7"/>
      <c r="AJ458" s="7"/>
      <c r="AK458" s="7">
        <v>237.6</v>
      </c>
      <c r="AL458" s="7">
        <v>2.5</v>
      </c>
      <c r="AM458" s="7">
        <v>9</v>
      </c>
      <c r="AN458" s="7"/>
      <c r="AO458" s="7"/>
      <c r="AP458" s="7"/>
      <c r="AQ458" s="7"/>
      <c r="AR458" s="7"/>
      <c r="AS458" s="7"/>
      <c r="AT458" s="184"/>
      <c r="AU458" s="7"/>
      <c r="AV458" s="7"/>
      <c r="AW458" s="7"/>
      <c r="AX458" s="7" t="s">
        <v>2623</v>
      </c>
      <c r="AY458" s="7" t="s">
        <v>2560</v>
      </c>
    </row>
    <row r="459" spans="1:56">
      <c r="A459" s="7" t="s">
        <v>23</v>
      </c>
      <c r="B459" s="7" t="s">
        <v>1668</v>
      </c>
      <c r="C459" s="7" t="s">
        <v>2611</v>
      </c>
      <c r="D459" s="7" t="s">
        <v>2612</v>
      </c>
      <c r="E459" s="7" t="s">
        <v>2613</v>
      </c>
      <c r="F459" s="7" t="s">
        <v>2614</v>
      </c>
      <c r="G459" s="7" t="s">
        <v>2615</v>
      </c>
      <c r="H459" s="7" t="s">
        <v>4185</v>
      </c>
      <c r="I459" s="100"/>
      <c r="J459" s="100"/>
      <c r="K459" s="100"/>
      <c r="L459" s="73" t="s">
        <v>1502</v>
      </c>
      <c r="M459" s="7"/>
      <c r="N459" s="7" t="s">
        <v>1640</v>
      </c>
      <c r="O459" s="7" t="s">
        <v>1505</v>
      </c>
      <c r="P459" s="108" t="s">
        <v>1492</v>
      </c>
      <c r="Q459" s="7" t="s">
        <v>2616</v>
      </c>
      <c r="R459" s="7">
        <v>13.65</v>
      </c>
      <c r="S459" s="7">
        <f t="shared" si="95"/>
        <v>13.65</v>
      </c>
      <c r="T459" s="7">
        <v>79.42</v>
      </c>
      <c r="U459" s="7">
        <v>1</v>
      </c>
      <c r="V459" s="7">
        <v>21</v>
      </c>
      <c r="W459" s="7">
        <f t="shared" si="94"/>
        <v>1.3222192947339193</v>
      </c>
      <c r="X459" s="7" t="s">
        <v>1779</v>
      </c>
      <c r="Y459" s="7" t="s">
        <v>1781</v>
      </c>
      <c r="Z459" s="7">
        <v>28</v>
      </c>
      <c r="AA459" s="7">
        <v>38</v>
      </c>
      <c r="AB459" s="7">
        <v>285</v>
      </c>
      <c r="AC459" s="7">
        <v>2.5</v>
      </c>
      <c r="AD459" s="7">
        <v>9</v>
      </c>
      <c r="AE459" s="7"/>
      <c r="AF459" s="7"/>
      <c r="AG459" s="7"/>
      <c r="AH459" s="7"/>
      <c r="AI459" s="7"/>
      <c r="AJ459" s="7"/>
      <c r="AK459" s="7">
        <v>237.6</v>
      </c>
      <c r="AL459" s="7">
        <v>2.5</v>
      </c>
      <c r="AM459" s="7">
        <v>9</v>
      </c>
      <c r="AN459" s="7"/>
      <c r="AO459" s="7"/>
      <c r="AP459" s="7"/>
      <c r="AQ459" s="7"/>
      <c r="AR459" s="7"/>
      <c r="AS459" s="7"/>
      <c r="AT459" s="184"/>
      <c r="AU459" s="7"/>
      <c r="AV459" s="7"/>
      <c r="AW459" s="7"/>
      <c r="AX459" s="7" t="s">
        <v>2623</v>
      </c>
      <c r="AY459" s="7" t="s">
        <v>2560</v>
      </c>
    </row>
    <row r="460" spans="1:56">
      <c r="A460" s="7" t="s">
        <v>23</v>
      </c>
      <c r="B460" s="7" t="s">
        <v>1713</v>
      </c>
      <c r="C460" s="7" t="s">
        <v>1698</v>
      </c>
      <c r="D460" s="7" t="s">
        <v>2624</v>
      </c>
      <c r="E460" s="7" t="s">
        <v>2625</v>
      </c>
      <c r="F460" s="7" t="s">
        <v>2626</v>
      </c>
      <c r="G460" s="7" t="s">
        <v>2627</v>
      </c>
      <c r="H460" s="7" t="s">
        <v>4185</v>
      </c>
      <c r="I460" s="100"/>
      <c r="J460" s="100"/>
      <c r="K460" s="100"/>
      <c r="M460" s="7"/>
      <c r="N460" s="7" t="s">
        <v>1538</v>
      </c>
      <c r="O460" s="7" t="s">
        <v>1505</v>
      </c>
      <c r="P460" s="108" t="s">
        <v>1492</v>
      </c>
      <c r="Q460" s="7" t="s">
        <v>1579</v>
      </c>
      <c r="R460" s="7">
        <v>27.45</v>
      </c>
      <c r="S460" s="7">
        <f t="shared" si="95"/>
        <v>27.45</v>
      </c>
      <c r="T460" s="7">
        <v>153.65</v>
      </c>
      <c r="U460" s="7">
        <v>1</v>
      </c>
      <c r="V460" s="7">
        <v>42</v>
      </c>
      <c r="W460" s="7">
        <f t="shared" si="94"/>
        <v>1.6232492903979006</v>
      </c>
      <c r="X460" s="7" t="s">
        <v>1520</v>
      </c>
      <c r="Y460" s="7" t="s">
        <v>1557</v>
      </c>
      <c r="Z460" s="7">
        <v>15</v>
      </c>
      <c r="AA460" s="7">
        <v>25</v>
      </c>
      <c r="AB460" s="7">
        <v>22</v>
      </c>
      <c r="AC460" s="7">
        <v>1</v>
      </c>
      <c r="AD460" s="7">
        <v>40</v>
      </c>
      <c r="AE460" s="7">
        <v>32</v>
      </c>
      <c r="AF460" s="7">
        <v>1</v>
      </c>
      <c r="AG460" s="7">
        <v>40</v>
      </c>
      <c r="AH460" s="7">
        <v>17.5</v>
      </c>
      <c r="AI460" s="7">
        <v>0.5</v>
      </c>
      <c r="AJ460" s="7">
        <v>40</v>
      </c>
      <c r="AK460" s="108">
        <v>23</v>
      </c>
      <c r="AL460" s="108">
        <v>0.7</v>
      </c>
      <c r="AM460" s="7">
        <v>40</v>
      </c>
      <c r="AN460" s="7">
        <f>(AE460/AB460)^(10/(AA460-Z460))</f>
        <v>1.4545454545454546</v>
      </c>
      <c r="AO460" s="7">
        <f>(AK460/AB460)^(10/(AA460-Z460))</f>
        <v>1.0454545454545454</v>
      </c>
      <c r="AP460" s="7"/>
      <c r="AQ460" s="7"/>
      <c r="AR460" s="7"/>
      <c r="AS460" s="7">
        <f>AVERAGE(AD460,AG460,AM460)</f>
        <v>40</v>
      </c>
      <c r="AT460" s="184">
        <f>AVERAGE(AC460,AF460,AL460)</f>
        <v>0.9</v>
      </c>
      <c r="AU460" s="7"/>
      <c r="AV460" s="7"/>
      <c r="AW460" s="7"/>
      <c r="AX460" s="7" t="s">
        <v>2628</v>
      </c>
      <c r="AY460" s="7" t="s">
        <v>2560</v>
      </c>
    </row>
    <row r="461" spans="1:56">
      <c r="A461" s="7" t="s">
        <v>33</v>
      </c>
      <c r="B461" s="7" t="s">
        <v>43</v>
      </c>
      <c r="C461" s="7" t="s">
        <v>44</v>
      </c>
      <c r="D461" s="7" t="s">
        <v>45</v>
      </c>
      <c r="E461" s="7" t="s">
        <v>2629</v>
      </c>
      <c r="F461" s="7" t="s">
        <v>2630</v>
      </c>
      <c r="G461" s="7" t="s">
        <v>2631</v>
      </c>
      <c r="H461" s="7" t="s">
        <v>4184</v>
      </c>
      <c r="I461" s="100"/>
      <c r="J461" s="100"/>
      <c r="K461" s="100"/>
      <c r="L461" s="73" t="s">
        <v>1517</v>
      </c>
      <c r="M461" s="7"/>
      <c r="N461" s="7" t="s">
        <v>1640</v>
      </c>
      <c r="O461" s="7" t="s">
        <v>1505</v>
      </c>
      <c r="P461" s="108" t="s">
        <v>1492</v>
      </c>
      <c r="Q461" s="7" t="s">
        <v>2632</v>
      </c>
      <c r="R461" s="7">
        <v>33.935555999999998</v>
      </c>
      <c r="S461" s="7">
        <f t="shared" si="95"/>
        <v>33.935555999999998</v>
      </c>
      <c r="T461" s="7">
        <v>-116.68722200000001</v>
      </c>
      <c r="U461" s="7">
        <v>1</v>
      </c>
      <c r="V461" s="7">
        <v>10</v>
      </c>
      <c r="W461" s="7">
        <f t="shared" si="94"/>
        <v>1</v>
      </c>
      <c r="X461" s="7" t="s">
        <v>1779</v>
      </c>
      <c r="Y461" s="7" t="s">
        <v>1781</v>
      </c>
      <c r="Z461" s="7">
        <v>15</v>
      </c>
      <c r="AA461" s="7">
        <v>35</v>
      </c>
      <c r="AB461" s="7">
        <v>2.3E-2</v>
      </c>
      <c r="AC461" s="7">
        <v>2.5000000000000001E-3</v>
      </c>
      <c r="AD461" s="7">
        <v>10</v>
      </c>
      <c r="AE461" s="7">
        <v>0.22</v>
      </c>
      <c r="AF461" s="7">
        <v>5.0000000000000001E-3</v>
      </c>
      <c r="AG461" s="7">
        <v>10</v>
      </c>
      <c r="AH461" s="7">
        <v>1.4E-2</v>
      </c>
      <c r="AI461" s="7">
        <v>2.5000000000000001E-3</v>
      </c>
      <c r="AJ461" s="7">
        <v>10</v>
      </c>
      <c r="AK461" s="7">
        <v>0.13</v>
      </c>
      <c r="AL461" s="7">
        <v>5.0000000000000001E-3</v>
      </c>
      <c r="AM461" s="7">
        <v>10</v>
      </c>
      <c r="AN461" s="7">
        <f>(AE461/AB461)^(10/(AA461-Z461))</f>
        <v>3.092768564135433</v>
      </c>
      <c r="AO461" s="7">
        <f>(AK461/AB461)^(10/(AA461-Z461))</f>
        <v>2.3774301068682289</v>
      </c>
      <c r="AP461" s="7"/>
      <c r="AQ461" s="7"/>
      <c r="AR461" s="7"/>
      <c r="AS461" s="7">
        <f>AVERAGE(AD461,AG461,AM461)</f>
        <v>10</v>
      </c>
      <c r="AT461" s="184">
        <f>AVERAGE(AC461,AF461,AL461)</f>
        <v>4.1666666666666666E-3</v>
      </c>
      <c r="AU461" s="7"/>
      <c r="AV461" s="7" t="s">
        <v>1989</v>
      </c>
      <c r="AW461" s="7"/>
      <c r="AX461" s="7" t="s">
        <v>2633</v>
      </c>
      <c r="AY461" s="7" t="s">
        <v>2560</v>
      </c>
    </row>
    <row r="462" spans="1:56">
      <c r="A462" s="7" t="s">
        <v>33</v>
      </c>
      <c r="B462" s="7" t="s">
        <v>43</v>
      </c>
      <c r="C462" s="7" t="s">
        <v>1550</v>
      </c>
      <c r="D462" s="7" t="s">
        <v>1782</v>
      </c>
      <c r="E462" s="7" t="s">
        <v>1797</v>
      </c>
      <c r="F462" s="7" t="s">
        <v>1257</v>
      </c>
      <c r="G462" s="7" t="s">
        <v>1798</v>
      </c>
      <c r="H462" s="7" t="s">
        <v>4184</v>
      </c>
      <c r="I462" s="100"/>
      <c r="J462" s="100"/>
      <c r="K462" s="100"/>
      <c r="L462" s="73" t="s">
        <v>1517</v>
      </c>
      <c r="M462" s="7"/>
      <c r="N462" s="7" t="s">
        <v>1640</v>
      </c>
      <c r="O462" s="7" t="s">
        <v>1505</v>
      </c>
      <c r="P462" s="108" t="s">
        <v>1492</v>
      </c>
      <c r="Q462" s="7" t="s">
        <v>1799</v>
      </c>
      <c r="R462" s="7">
        <v>-1.266667</v>
      </c>
      <c r="S462" s="7">
        <f t="shared" si="95"/>
        <v>1.266667</v>
      </c>
      <c r="T462" s="7">
        <v>36.799999999999997</v>
      </c>
      <c r="U462" s="7">
        <v>1</v>
      </c>
      <c r="V462" s="7">
        <v>30</v>
      </c>
      <c r="W462" s="7">
        <f>LOG(V462)</f>
        <v>1.4771212547196624</v>
      </c>
      <c r="X462" s="7" t="s">
        <v>1779</v>
      </c>
      <c r="Y462" s="7" t="s">
        <v>1781</v>
      </c>
      <c r="Z462" s="7">
        <v>20</v>
      </c>
      <c r="AA462" s="7">
        <v>35</v>
      </c>
      <c r="AB462" s="7">
        <v>29.3</v>
      </c>
      <c r="AC462" s="7">
        <v>2</v>
      </c>
      <c r="AD462" s="7">
        <v>4</v>
      </c>
      <c r="AE462" s="7">
        <v>44.9</v>
      </c>
      <c r="AF462" s="7">
        <v>1.4</v>
      </c>
      <c r="AG462" s="7">
        <v>4</v>
      </c>
      <c r="AH462" s="7">
        <v>14.5</v>
      </c>
      <c r="AI462" s="7">
        <v>0.8</v>
      </c>
      <c r="AJ462" s="7">
        <v>4</v>
      </c>
      <c r="AK462" s="7">
        <v>46.3</v>
      </c>
      <c r="AL462" s="7">
        <v>2.1</v>
      </c>
      <c r="AM462" s="7">
        <v>4</v>
      </c>
      <c r="AN462" s="7">
        <f>(AE462/AB462)^(10/(AA462-Z462))</f>
        <v>1.3291861697262213</v>
      </c>
      <c r="AO462" s="7">
        <f>(AK462/AB462)^(10/(AA462-Z462))</f>
        <v>1.3566742449279598</v>
      </c>
      <c r="AP462" s="7"/>
      <c r="AQ462" s="7"/>
      <c r="AR462" s="7"/>
      <c r="AS462" s="7">
        <f>AVERAGE(AD462,AG462,AM462)</f>
        <v>4</v>
      </c>
      <c r="AT462" s="184">
        <f>AVERAGE(AC462,AF462,AL462)</f>
        <v>1.8333333333333333</v>
      </c>
      <c r="AU462" s="7"/>
      <c r="AV462" s="7" t="s">
        <v>1800</v>
      </c>
      <c r="AW462" s="7"/>
      <c r="AX462" s="7" t="s">
        <v>1801</v>
      </c>
      <c r="AY462" s="7" t="s">
        <v>2560</v>
      </c>
      <c r="BD462" s="188"/>
    </row>
    <row r="463" spans="1:56">
      <c r="A463" s="7" t="s">
        <v>1876</v>
      </c>
      <c r="B463" s="7" t="s">
        <v>1877</v>
      </c>
      <c r="C463" s="7" t="s">
        <v>1878</v>
      </c>
      <c r="D463" s="7" t="s">
        <v>1879</v>
      </c>
      <c r="E463" s="7" t="s">
        <v>1880</v>
      </c>
      <c r="F463" s="7" t="s">
        <v>1881</v>
      </c>
      <c r="G463" s="7" t="s">
        <v>1882</v>
      </c>
      <c r="H463" s="7" t="s">
        <v>1877</v>
      </c>
      <c r="I463" s="100"/>
      <c r="J463" s="100"/>
      <c r="K463" s="100"/>
      <c r="L463" s="73" t="s">
        <v>1517</v>
      </c>
      <c r="M463" s="7"/>
      <c r="N463" s="7" t="s">
        <v>1504</v>
      </c>
      <c r="O463" s="7" t="s">
        <v>1505</v>
      </c>
      <c r="P463" s="108" t="s">
        <v>1492</v>
      </c>
      <c r="Q463" s="7" t="s">
        <v>1884</v>
      </c>
      <c r="R463" s="7">
        <v>67.55</v>
      </c>
      <c r="S463" s="7">
        <f t="shared" si="95"/>
        <v>67.55</v>
      </c>
      <c r="T463" s="7">
        <v>68.099999999999994</v>
      </c>
      <c r="U463" s="7">
        <v>1</v>
      </c>
      <c r="V463" s="7">
        <v>60</v>
      </c>
      <c r="W463" s="7">
        <f>LOG(V463)</f>
        <v>1.7781512503836436</v>
      </c>
      <c r="X463" s="7" t="s">
        <v>1779</v>
      </c>
      <c r="Y463" s="7" t="s">
        <v>1781</v>
      </c>
      <c r="Z463" s="7">
        <v>0.9</v>
      </c>
      <c r="AA463" s="7">
        <v>3</v>
      </c>
      <c r="AB463" s="7">
        <v>8.1199999999999992</v>
      </c>
      <c r="AC463" s="7">
        <v>1.27</v>
      </c>
      <c r="AD463" s="7">
        <v>10</v>
      </c>
      <c r="AE463" s="7">
        <v>9.11</v>
      </c>
      <c r="AF463" s="7">
        <v>1.08</v>
      </c>
      <c r="AG463" s="7">
        <v>10</v>
      </c>
      <c r="AH463" s="7"/>
      <c r="AI463" s="7"/>
      <c r="AJ463" s="7"/>
      <c r="AK463" s="7">
        <v>9.1199999999999992</v>
      </c>
      <c r="AL463" s="7">
        <v>0.38</v>
      </c>
      <c r="AM463" s="108">
        <v>10</v>
      </c>
      <c r="AN463" s="7">
        <f>(AE463/AB463)^(10/(AA463-Z463))</f>
        <v>1.7294815827786687</v>
      </c>
      <c r="AO463" s="7">
        <f>(AK463/AB463)^(10/(AA463-Z463))</f>
        <v>1.7385404718805046</v>
      </c>
      <c r="AP463" s="7"/>
      <c r="AQ463" s="7"/>
      <c r="AR463" s="7"/>
      <c r="AS463" s="7">
        <f>AVERAGE(AD463,AG463,AM463)</f>
        <v>10</v>
      </c>
      <c r="AT463" s="184">
        <f>AVERAGE(AC463,AF463,AL463)</f>
        <v>0.91</v>
      </c>
      <c r="AU463" s="108"/>
      <c r="AV463" s="7"/>
      <c r="AW463" s="7"/>
      <c r="AX463" s="7" t="s">
        <v>1885</v>
      </c>
      <c r="AY463" s="7" t="s">
        <v>2560</v>
      </c>
      <c r="BD463" s="188"/>
    </row>
    <row r="464" spans="1:56">
      <c r="A464" s="7" t="s">
        <v>91</v>
      </c>
      <c r="B464" s="7" t="s">
        <v>92</v>
      </c>
      <c r="C464" s="7" t="s">
        <v>160</v>
      </c>
      <c r="D464" s="7" t="s">
        <v>199</v>
      </c>
      <c r="E464" s="7" t="s">
        <v>2634</v>
      </c>
      <c r="F464" s="7" t="s">
        <v>2635</v>
      </c>
      <c r="G464" s="7"/>
      <c r="H464" s="7" t="s">
        <v>92</v>
      </c>
      <c r="I464" s="100">
        <f>2/1000</f>
        <v>2E-3</v>
      </c>
      <c r="J464" s="100"/>
      <c r="K464" s="100"/>
      <c r="L464" s="73" t="s">
        <v>1517</v>
      </c>
      <c r="M464" s="7" t="s">
        <v>2636</v>
      </c>
      <c r="N464" s="7" t="s">
        <v>1538</v>
      </c>
      <c r="O464" s="7" t="s">
        <v>1505</v>
      </c>
      <c r="P464" s="108" t="s">
        <v>1492</v>
      </c>
      <c r="Q464" s="7" t="s">
        <v>2637</v>
      </c>
      <c r="R464" s="7">
        <v>42.904722</v>
      </c>
      <c r="S464" s="7">
        <f t="shared" si="95"/>
        <v>42.904722</v>
      </c>
      <c r="T464" s="7">
        <v>-78.849444000000005</v>
      </c>
      <c r="U464" s="7">
        <v>1</v>
      </c>
      <c r="V464" s="7">
        <v>42</v>
      </c>
      <c r="W464" s="7">
        <f t="shared" si="94"/>
        <v>1.6232492903979006</v>
      </c>
      <c r="X464" s="7" t="s">
        <v>1779</v>
      </c>
      <c r="Y464" s="7" t="s">
        <v>1781</v>
      </c>
      <c r="Z464" s="7">
        <v>20</v>
      </c>
      <c r="AA464" s="7">
        <v>24</v>
      </c>
      <c r="AB464" s="7">
        <v>1.62</v>
      </c>
      <c r="AC464" s="7">
        <v>0.09</v>
      </c>
      <c r="AD464" s="7">
        <v>19</v>
      </c>
      <c r="AE464" s="7"/>
      <c r="AF464" s="7"/>
      <c r="AG464" s="7"/>
      <c r="AH464" s="7"/>
      <c r="AI464" s="7"/>
      <c r="AJ464" s="7"/>
      <c r="AK464" s="7">
        <v>2.4500000000000002</v>
      </c>
      <c r="AL464" s="7">
        <v>0.11</v>
      </c>
      <c r="AM464" s="7">
        <v>19</v>
      </c>
      <c r="AN464" s="7"/>
      <c r="AO464" s="7"/>
      <c r="AP464" s="7"/>
      <c r="AQ464" s="7"/>
      <c r="AR464" s="7"/>
      <c r="AS464" s="7"/>
      <c r="AT464" s="184"/>
      <c r="AU464" s="7"/>
      <c r="AV464" s="7" t="s">
        <v>2638</v>
      </c>
      <c r="AW464" s="7"/>
      <c r="AX464" s="7" t="s">
        <v>2639</v>
      </c>
      <c r="AY464" s="7" t="s">
        <v>4124</v>
      </c>
    </row>
    <row r="465" spans="1:51">
      <c r="A465" s="7" t="s">
        <v>91</v>
      </c>
      <c r="B465" s="7" t="s">
        <v>92</v>
      </c>
      <c r="C465" s="7" t="s">
        <v>160</v>
      </c>
      <c r="D465" s="7" t="s">
        <v>199</v>
      </c>
      <c r="E465" s="7" t="s">
        <v>2634</v>
      </c>
      <c r="F465" s="7" t="s">
        <v>2635</v>
      </c>
      <c r="G465" s="7"/>
      <c r="H465" s="7" t="s">
        <v>92</v>
      </c>
      <c r="I465" s="100">
        <f>2/1000</f>
        <v>2E-3</v>
      </c>
      <c r="J465" s="100"/>
      <c r="K465" s="100"/>
      <c r="L465" s="73" t="s">
        <v>1517</v>
      </c>
      <c r="M465" s="7" t="s">
        <v>2636</v>
      </c>
      <c r="N465" s="7" t="s">
        <v>1538</v>
      </c>
      <c r="O465" s="7" t="s">
        <v>1505</v>
      </c>
      <c r="P465" s="108" t="s">
        <v>1492</v>
      </c>
      <c r="Q465" s="7" t="s">
        <v>2637</v>
      </c>
      <c r="R465" s="7">
        <v>42.904722</v>
      </c>
      <c r="S465" s="7">
        <f t="shared" si="95"/>
        <v>42.904722</v>
      </c>
      <c r="T465" s="7">
        <v>-78.849444000000005</v>
      </c>
      <c r="U465" s="7">
        <v>1</v>
      </c>
      <c r="V465" s="7">
        <v>42</v>
      </c>
      <c r="W465" s="7">
        <f t="shared" si="94"/>
        <v>1.6232492903979006</v>
      </c>
      <c r="X465" s="7" t="s">
        <v>1779</v>
      </c>
      <c r="Y465" s="7" t="s">
        <v>1781</v>
      </c>
      <c r="Z465" s="7">
        <v>20</v>
      </c>
      <c r="AA465" s="7">
        <v>28</v>
      </c>
      <c r="AB465" s="7">
        <v>1.62</v>
      </c>
      <c r="AC465" s="7">
        <v>0.09</v>
      </c>
      <c r="AD465" s="7">
        <v>19</v>
      </c>
      <c r="AE465" s="7"/>
      <c r="AF465" s="7"/>
      <c r="AG465" s="7"/>
      <c r="AH465" s="7"/>
      <c r="AI465" s="7"/>
      <c r="AJ465" s="7"/>
      <c r="AK465" s="7">
        <v>4.21</v>
      </c>
      <c r="AL465" s="7">
        <v>0.3</v>
      </c>
      <c r="AM465" s="7">
        <v>20</v>
      </c>
      <c r="AN465" s="7"/>
      <c r="AO465" s="7"/>
      <c r="AP465" s="7"/>
      <c r="AQ465" s="7"/>
      <c r="AR465" s="7"/>
      <c r="AS465" s="7"/>
      <c r="AT465" s="184"/>
      <c r="AU465" s="7"/>
      <c r="AV465" s="7" t="s">
        <v>2638</v>
      </c>
      <c r="AW465" s="7"/>
      <c r="AX465" s="7" t="s">
        <v>2639</v>
      </c>
      <c r="AY465" s="7" t="s">
        <v>4124</v>
      </c>
    </row>
    <row r="466" spans="1:51">
      <c r="A466" s="7" t="s">
        <v>91</v>
      </c>
      <c r="B466" s="7" t="s">
        <v>92</v>
      </c>
      <c r="C466" s="7" t="s">
        <v>160</v>
      </c>
      <c r="D466" s="7" t="s">
        <v>199</v>
      </c>
      <c r="E466" s="7" t="s">
        <v>2634</v>
      </c>
      <c r="F466" s="7" t="s">
        <v>2635</v>
      </c>
      <c r="G466" s="7"/>
      <c r="H466" s="7" t="s">
        <v>92</v>
      </c>
      <c r="I466" s="100">
        <f>2/1000</f>
        <v>2E-3</v>
      </c>
      <c r="J466" s="100"/>
      <c r="K466" s="100"/>
      <c r="L466" s="73" t="s">
        <v>1517</v>
      </c>
      <c r="M466" s="7" t="s">
        <v>2636</v>
      </c>
      <c r="N466" s="7" t="s">
        <v>1538</v>
      </c>
      <c r="O466" s="7" t="s">
        <v>1505</v>
      </c>
      <c r="P466" s="108" t="s">
        <v>1492</v>
      </c>
      <c r="Q466" s="7" t="s">
        <v>2637</v>
      </c>
      <c r="R466" s="7">
        <v>42.904722</v>
      </c>
      <c r="S466" s="7">
        <f t="shared" si="95"/>
        <v>42.904722</v>
      </c>
      <c r="T466" s="7">
        <v>-78.849444000000005</v>
      </c>
      <c r="U466" s="7">
        <v>1</v>
      </c>
      <c r="V466" s="7">
        <v>42</v>
      </c>
      <c r="W466" s="7">
        <f t="shared" si="94"/>
        <v>1.6232492903979006</v>
      </c>
      <c r="X466" s="7" t="s">
        <v>1779</v>
      </c>
      <c r="Y466" s="7" t="s">
        <v>1781</v>
      </c>
      <c r="Z466" s="7">
        <v>20</v>
      </c>
      <c r="AA466" s="7">
        <v>32</v>
      </c>
      <c r="AB466" s="7">
        <v>1.62</v>
      </c>
      <c r="AC466" s="7">
        <v>0.09</v>
      </c>
      <c r="AD466" s="7">
        <v>19</v>
      </c>
      <c r="AE466" s="7"/>
      <c r="AF466" s="7"/>
      <c r="AG466" s="7"/>
      <c r="AH466" s="7"/>
      <c r="AI466" s="7"/>
      <c r="AJ466" s="7"/>
      <c r="AK466" s="7">
        <v>5.92</v>
      </c>
      <c r="AL466" s="7">
        <v>0.51</v>
      </c>
      <c r="AM466" s="7">
        <v>20</v>
      </c>
      <c r="AN466" s="7"/>
      <c r="AO466" s="7"/>
      <c r="AP466" s="7"/>
      <c r="AQ466" s="7"/>
      <c r="AR466" s="7"/>
      <c r="AS466" s="7"/>
      <c r="AT466" s="184"/>
      <c r="AU466" s="7"/>
      <c r="AV466" s="7" t="s">
        <v>2638</v>
      </c>
      <c r="AW466" s="7"/>
      <c r="AX466" s="7" t="s">
        <v>2639</v>
      </c>
      <c r="AY466" s="7" t="s">
        <v>4124</v>
      </c>
    </row>
    <row r="467" spans="1:51">
      <c r="A467" s="7" t="s">
        <v>91</v>
      </c>
      <c r="B467" s="7" t="s">
        <v>92</v>
      </c>
      <c r="C467" s="7" t="s">
        <v>160</v>
      </c>
      <c r="D467" s="7" t="s">
        <v>199</v>
      </c>
      <c r="E467" s="7" t="s">
        <v>2634</v>
      </c>
      <c r="F467" s="7" t="s">
        <v>2635</v>
      </c>
      <c r="G467" s="7"/>
      <c r="H467" s="7" t="s">
        <v>92</v>
      </c>
      <c r="I467" s="100">
        <f>2/1000</f>
        <v>2E-3</v>
      </c>
      <c r="J467" s="100"/>
      <c r="K467" s="100"/>
      <c r="L467" s="73" t="s">
        <v>1517</v>
      </c>
      <c r="M467" s="7" t="s">
        <v>2636</v>
      </c>
      <c r="N467" s="7" t="s">
        <v>1538</v>
      </c>
      <c r="O467" s="7" t="s">
        <v>1505</v>
      </c>
      <c r="P467" s="108" t="s">
        <v>1492</v>
      </c>
      <c r="Q467" s="7" t="s">
        <v>2640</v>
      </c>
      <c r="R467" s="7">
        <v>41.8</v>
      </c>
      <c r="S467" s="7">
        <f t="shared" si="95"/>
        <v>41.8</v>
      </c>
      <c r="T467" s="7">
        <v>83.4</v>
      </c>
      <c r="U467" s="7">
        <v>1</v>
      </c>
      <c r="V467" s="7">
        <v>14</v>
      </c>
      <c r="W467" s="7">
        <f t="shared" si="94"/>
        <v>1.146128035678238</v>
      </c>
      <c r="X467" s="7" t="s">
        <v>1779</v>
      </c>
      <c r="Y467" s="7" t="s">
        <v>1811</v>
      </c>
      <c r="Z467" s="7">
        <v>5</v>
      </c>
      <c r="AA467" s="7">
        <v>25</v>
      </c>
      <c r="AB467" s="7">
        <v>0.13636363636363638</v>
      </c>
      <c r="AC467" s="7">
        <v>2.1212121212121217E-2</v>
      </c>
      <c r="AD467" s="7">
        <v>12</v>
      </c>
      <c r="AE467" s="7">
        <v>0.83333333333333337</v>
      </c>
      <c r="AF467" s="7">
        <v>6.0606060606060615E-2</v>
      </c>
      <c r="AG467" s="7">
        <v>12</v>
      </c>
      <c r="AH467" s="7">
        <v>6.0606060606060615E-2</v>
      </c>
      <c r="AI467" s="7">
        <v>3.0303030303030307E-2</v>
      </c>
      <c r="AJ467" s="7">
        <v>12</v>
      </c>
      <c r="AK467" s="7">
        <v>0.81818181818181823</v>
      </c>
      <c r="AL467" s="7">
        <v>7.575757575757576E-2</v>
      </c>
      <c r="AM467" s="7">
        <v>12</v>
      </c>
      <c r="AN467" s="7"/>
      <c r="AO467" s="7"/>
      <c r="AP467" s="7"/>
      <c r="AQ467" s="7"/>
      <c r="AR467" s="7"/>
      <c r="AS467" s="7"/>
      <c r="AT467" s="184"/>
      <c r="AU467" s="7"/>
      <c r="AV467" s="7"/>
      <c r="AW467" s="7"/>
      <c r="AX467" s="7" t="s">
        <v>2641</v>
      </c>
      <c r="AY467" s="7" t="s">
        <v>4124</v>
      </c>
    </row>
    <row r="468" spans="1:51">
      <c r="A468" s="7" t="s">
        <v>91</v>
      </c>
      <c r="B468" s="7" t="s">
        <v>92</v>
      </c>
      <c r="C468" s="7" t="s">
        <v>93</v>
      </c>
      <c r="D468" s="7" t="s">
        <v>94</v>
      </c>
      <c r="E468" s="7" t="s">
        <v>2642</v>
      </c>
      <c r="F468" s="7" t="s">
        <v>2643</v>
      </c>
      <c r="G468" s="7"/>
      <c r="H468" s="7" t="s">
        <v>92</v>
      </c>
      <c r="I468" s="100">
        <f>5.6/1000</f>
        <v>5.5999999999999999E-3</v>
      </c>
      <c r="J468" s="100"/>
      <c r="K468" s="100"/>
      <c r="L468" s="73" t="s">
        <v>1517</v>
      </c>
      <c r="M468" s="7" t="s">
        <v>2636</v>
      </c>
      <c r="N468" s="7" t="s">
        <v>1504</v>
      </c>
      <c r="O468" s="7" t="s">
        <v>1505</v>
      </c>
      <c r="P468" s="108" t="s">
        <v>1492</v>
      </c>
      <c r="Q468" s="7" t="s">
        <v>2644</v>
      </c>
      <c r="R468" s="7">
        <v>44.413888999999998</v>
      </c>
      <c r="S468" s="7">
        <f t="shared" si="95"/>
        <v>44.413888999999998</v>
      </c>
      <c r="T468" s="7">
        <v>-68.586667000000006</v>
      </c>
      <c r="U468" s="7">
        <v>1</v>
      </c>
      <c r="V468" s="7">
        <v>14</v>
      </c>
      <c r="W468" s="7">
        <f t="shared" si="94"/>
        <v>1.146128035678238</v>
      </c>
      <c r="X468" s="7" t="s">
        <v>1779</v>
      </c>
      <c r="Y468" s="7" t="s">
        <v>1781</v>
      </c>
      <c r="Z468" s="7">
        <v>10</v>
      </c>
      <c r="AA468" s="7">
        <v>20</v>
      </c>
      <c r="AB468" s="7">
        <v>0.2</v>
      </c>
      <c r="AC468" s="7">
        <v>0.05</v>
      </c>
      <c r="AD468" s="7">
        <v>8</v>
      </c>
      <c r="AE468" s="7">
        <v>0.4</v>
      </c>
      <c r="AF468" s="7">
        <v>0.04</v>
      </c>
      <c r="AG468" s="7">
        <v>8</v>
      </c>
      <c r="AH468" s="7">
        <v>0.16</v>
      </c>
      <c r="AI468" s="7">
        <v>0.05</v>
      </c>
      <c r="AJ468" s="7">
        <v>8</v>
      </c>
      <c r="AK468" s="7">
        <v>0.35</v>
      </c>
      <c r="AL468" s="7">
        <v>0.04</v>
      </c>
      <c r="AM468" s="7">
        <v>8</v>
      </c>
      <c r="AN468" s="7"/>
      <c r="AO468" s="7"/>
      <c r="AP468" s="7"/>
      <c r="AQ468" s="7"/>
      <c r="AR468" s="7"/>
      <c r="AS468" s="7"/>
      <c r="AT468" s="184"/>
      <c r="AU468" s="7"/>
      <c r="AV468" s="7" t="s">
        <v>1907</v>
      </c>
      <c r="AW468" s="7" t="s">
        <v>2645</v>
      </c>
      <c r="AX468" s="7" t="s">
        <v>2646</v>
      </c>
      <c r="AY468" s="7" t="s">
        <v>4124</v>
      </c>
    </row>
    <row r="469" spans="1:51">
      <c r="A469" s="7" t="s">
        <v>91</v>
      </c>
      <c r="B469" s="7" t="s">
        <v>92</v>
      </c>
      <c r="C469" s="7" t="s">
        <v>93</v>
      </c>
      <c r="D469" s="7" t="s">
        <v>94</v>
      </c>
      <c r="E469" s="7" t="s">
        <v>2642</v>
      </c>
      <c r="F469" s="7" t="s">
        <v>2643</v>
      </c>
      <c r="G469" s="7"/>
      <c r="H469" s="7" t="s">
        <v>92</v>
      </c>
      <c r="I469" s="100">
        <f>5.6/1000</f>
        <v>5.5999999999999999E-3</v>
      </c>
      <c r="J469" s="100"/>
      <c r="K469" s="100"/>
      <c r="L469" s="73" t="s">
        <v>1517</v>
      </c>
      <c r="M469" s="7" t="s">
        <v>2636</v>
      </c>
      <c r="N469" s="7" t="s">
        <v>1504</v>
      </c>
      <c r="O469" s="7" t="s">
        <v>1505</v>
      </c>
      <c r="P469" s="108" t="s">
        <v>1492</v>
      </c>
      <c r="Q469" s="7" t="s">
        <v>2644</v>
      </c>
      <c r="R469" s="7">
        <v>44.413888999999998</v>
      </c>
      <c r="S469" s="7">
        <f t="shared" si="95"/>
        <v>44.413888999999998</v>
      </c>
      <c r="T469" s="7">
        <v>-68.586667000000006</v>
      </c>
      <c r="U469" s="7">
        <v>1</v>
      </c>
      <c r="V469" s="7">
        <v>14</v>
      </c>
      <c r="W469" s="7">
        <f t="shared" si="94"/>
        <v>1.146128035678238</v>
      </c>
      <c r="X469" s="7" t="s">
        <v>1779</v>
      </c>
      <c r="Y469" s="7" t="s">
        <v>1781</v>
      </c>
      <c r="Z469" s="7">
        <v>10</v>
      </c>
      <c r="AA469" s="7">
        <v>20</v>
      </c>
      <c r="AB469" s="7">
        <v>0.12</v>
      </c>
      <c r="AC469" s="7">
        <v>0.03</v>
      </c>
      <c r="AD469" s="7">
        <v>8</v>
      </c>
      <c r="AE469" s="7">
        <v>0.45</v>
      </c>
      <c r="AF469" s="7">
        <v>7.0000000000000007E-2</v>
      </c>
      <c r="AG469" s="7">
        <v>8</v>
      </c>
      <c r="AH469" s="7">
        <v>0.107</v>
      </c>
      <c r="AI469" s="7">
        <v>0.03</v>
      </c>
      <c r="AJ469" s="7">
        <v>8</v>
      </c>
      <c r="AK469" s="7">
        <v>0.2</v>
      </c>
      <c r="AL469" s="7">
        <v>0.02</v>
      </c>
      <c r="AM469" s="7">
        <v>8</v>
      </c>
      <c r="AN469" s="7"/>
      <c r="AO469" s="7"/>
      <c r="AP469" s="7"/>
      <c r="AQ469" s="7"/>
      <c r="AR469" s="7"/>
      <c r="AS469" s="7"/>
      <c r="AT469" s="184"/>
      <c r="AU469" s="7"/>
      <c r="AV469" s="7" t="s">
        <v>1907</v>
      </c>
      <c r="AW469" s="7" t="s">
        <v>2647</v>
      </c>
      <c r="AX469" s="7" t="s">
        <v>2646</v>
      </c>
      <c r="AY469" s="7" t="s">
        <v>4124</v>
      </c>
    </row>
    <row r="470" spans="1:51">
      <c r="A470" s="7" t="s">
        <v>91</v>
      </c>
      <c r="B470" s="7" t="s">
        <v>92</v>
      </c>
      <c r="C470" s="7" t="s">
        <v>93</v>
      </c>
      <c r="D470" s="7" t="s">
        <v>94</v>
      </c>
      <c r="E470" s="7" t="s">
        <v>2642</v>
      </c>
      <c r="F470" s="7" t="s">
        <v>2643</v>
      </c>
      <c r="G470" s="7"/>
      <c r="H470" s="7" t="s">
        <v>92</v>
      </c>
      <c r="I470" s="100">
        <f>5.6/1000</f>
        <v>5.5999999999999999E-3</v>
      </c>
      <c r="J470" s="100"/>
      <c r="K470" s="100"/>
      <c r="L470" s="73" t="s">
        <v>1517</v>
      </c>
      <c r="M470" s="7" t="s">
        <v>2636</v>
      </c>
      <c r="N470" s="7" t="s">
        <v>1504</v>
      </c>
      <c r="O470" s="7" t="s">
        <v>1505</v>
      </c>
      <c r="P470" s="108" t="s">
        <v>1492</v>
      </c>
      <c r="Q470" s="7" t="s">
        <v>2644</v>
      </c>
      <c r="R470" s="7">
        <v>44.413888999999998</v>
      </c>
      <c r="S470" s="7">
        <f t="shared" si="95"/>
        <v>44.413888999999998</v>
      </c>
      <c r="T470" s="7">
        <v>-68.586667000000006</v>
      </c>
      <c r="U470" s="7">
        <v>1</v>
      </c>
      <c r="V470" s="7">
        <v>14</v>
      </c>
      <c r="W470" s="7">
        <f t="shared" si="94"/>
        <v>1.146128035678238</v>
      </c>
      <c r="X470" s="7" t="s">
        <v>1779</v>
      </c>
      <c r="Y470" s="7" t="s">
        <v>1781</v>
      </c>
      <c r="Z470" s="7">
        <v>10</v>
      </c>
      <c r="AA470" s="7">
        <v>20</v>
      </c>
      <c r="AB470" s="7">
        <v>0.35</v>
      </c>
      <c r="AC470" s="7">
        <v>0.04</v>
      </c>
      <c r="AD470" s="7">
        <v>8</v>
      </c>
      <c r="AE470" s="7">
        <v>0.4</v>
      </c>
      <c r="AF470" s="7">
        <v>0.03</v>
      </c>
      <c r="AG470" s="7">
        <v>8</v>
      </c>
      <c r="AH470" s="7">
        <v>0.108</v>
      </c>
      <c r="AI470" s="7">
        <v>0.05</v>
      </c>
      <c r="AJ470" s="7">
        <v>8</v>
      </c>
      <c r="AK470" s="7">
        <v>0.25</v>
      </c>
      <c r="AL470" s="7">
        <v>0.03</v>
      </c>
      <c r="AM470" s="7">
        <v>8</v>
      </c>
      <c r="AN470" s="7"/>
      <c r="AO470" s="7"/>
      <c r="AP470" s="7"/>
      <c r="AQ470" s="7"/>
      <c r="AR470" s="7"/>
      <c r="AS470" s="7"/>
      <c r="AT470" s="184"/>
      <c r="AU470" s="7"/>
      <c r="AV470" s="7" t="s">
        <v>1907</v>
      </c>
      <c r="AW470" s="7" t="s">
        <v>2648</v>
      </c>
      <c r="AX470" s="7" t="s">
        <v>2646</v>
      </c>
      <c r="AY470" s="7" t="s">
        <v>4124</v>
      </c>
    </row>
    <row r="471" spans="1:51">
      <c r="A471" s="7" t="s">
        <v>91</v>
      </c>
      <c r="B471" s="7" t="s">
        <v>92</v>
      </c>
      <c r="C471" s="7" t="s">
        <v>93</v>
      </c>
      <c r="D471" s="7" t="s">
        <v>94</v>
      </c>
      <c r="E471" s="7" t="s">
        <v>2642</v>
      </c>
      <c r="F471" s="7" t="s">
        <v>2643</v>
      </c>
      <c r="G471" s="7"/>
      <c r="H471" s="7" t="s">
        <v>92</v>
      </c>
      <c r="I471" s="100">
        <f>5.6/1000</f>
        <v>5.5999999999999999E-3</v>
      </c>
      <c r="J471" s="100"/>
      <c r="K471" s="100"/>
      <c r="L471" s="73" t="s">
        <v>1517</v>
      </c>
      <c r="M471" s="7" t="s">
        <v>2636</v>
      </c>
      <c r="N471" s="7" t="s">
        <v>1504</v>
      </c>
      <c r="O471" s="7" t="s">
        <v>1505</v>
      </c>
      <c r="P471" s="108" t="s">
        <v>1492</v>
      </c>
      <c r="Q471" s="7" t="s">
        <v>2644</v>
      </c>
      <c r="R471" s="7">
        <v>44.413888999999998</v>
      </c>
      <c r="S471" s="7">
        <f t="shared" si="95"/>
        <v>44.413888999999998</v>
      </c>
      <c r="T471" s="7">
        <v>-68.586667000000006</v>
      </c>
      <c r="U471" s="7">
        <v>1</v>
      </c>
      <c r="V471" s="7">
        <v>14</v>
      </c>
      <c r="W471" s="7">
        <f t="shared" si="94"/>
        <v>1.146128035678238</v>
      </c>
      <c r="X471" s="7" t="s">
        <v>1779</v>
      </c>
      <c r="Y471" s="7" t="s">
        <v>1781</v>
      </c>
      <c r="Z471" s="7">
        <v>10</v>
      </c>
      <c r="AA471" s="7">
        <v>20</v>
      </c>
      <c r="AB471" s="7">
        <v>0.4</v>
      </c>
      <c r="AC471" s="7">
        <v>0.06</v>
      </c>
      <c r="AD471" s="7">
        <v>8</v>
      </c>
      <c r="AE471" s="7">
        <v>0.3</v>
      </c>
      <c r="AF471" s="7">
        <v>0.06</v>
      </c>
      <c r="AG471" s="7">
        <v>8</v>
      </c>
      <c r="AH471" s="7">
        <v>0.2</v>
      </c>
      <c r="AI471" s="7">
        <v>0.05</v>
      </c>
      <c r="AJ471" s="7">
        <v>8</v>
      </c>
      <c r="AK471" s="7">
        <v>0.22</v>
      </c>
      <c r="AL471" s="7">
        <v>0.05</v>
      </c>
      <c r="AM471" s="7">
        <v>8</v>
      </c>
      <c r="AN471" s="7"/>
      <c r="AO471" s="7"/>
      <c r="AP471" s="7"/>
      <c r="AQ471" s="7"/>
      <c r="AR471" s="7"/>
      <c r="AS471" s="7"/>
      <c r="AT471" s="184"/>
      <c r="AU471" s="7"/>
      <c r="AV471" s="7" t="s">
        <v>1907</v>
      </c>
      <c r="AW471" s="7" t="s">
        <v>2649</v>
      </c>
      <c r="AX471" s="7" t="s">
        <v>2646</v>
      </c>
      <c r="AY471" s="7" t="s">
        <v>4124</v>
      </c>
    </row>
    <row r="472" spans="1:51">
      <c r="A472" s="7" t="s">
        <v>91</v>
      </c>
      <c r="B472" s="7" t="s">
        <v>92</v>
      </c>
      <c r="C472" s="7" t="s">
        <v>2650</v>
      </c>
      <c r="D472" s="7" t="s">
        <v>2651</v>
      </c>
      <c r="E472" s="110" t="s">
        <v>2652</v>
      </c>
      <c r="F472" s="110" t="s">
        <v>2653</v>
      </c>
      <c r="G472" s="110"/>
      <c r="H472" s="7" t="s">
        <v>92</v>
      </c>
      <c r="I472" s="113"/>
      <c r="J472" s="113"/>
      <c r="K472" s="113"/>
      <c r="M472" s="110"/>
      <c r="N472" s="7" t="s">
        <v>1504</v>
      </c>
      <c r="O472" s="7" t="s">
        <v>1494</v>
      </c>
      <c r="P472" s="108" t="s">
        <v>1492</v>
      </c>
      <c r="Q472" s="7" t="s">
        <v>2654</v>
      </c>
      <c r="R472" s="7">
        <v>56.75</v>
      </c>
      <c r="S472" s="7">
        <f t="shared" si="95"/>
        <v>56.75</v>
      </c>
      <c r="T472" s="7">
        <v>5.9</v>
      </c>
      <c r="U472" s="7">
        <v>1</v>
      </c>
      <c r="V472" s="7">
        <v>42</v>
      </c>
      <c r="W472" s="7">
        <f t="shared" si="94"/>
        <v>1.6232492903979006</v>
      </c>
      <c r="X472" s="7" t="s">
        <v>1520</v>
      </c>
      <c r="Y472" s="7" t="s">
        <v>1557</v>
      </c>
      <c r="Z472" s="7">
        <v>5</v>
      </c>
      <c r="AA472" s="7">
        <v>15</v>
      </c>
      <c r="AB472" s="7">
        <f>0.28/0.063</f>
        <v>4.4444444444444446</v>
      </c>
      <c r="AC472" s="7">
        <f>0.01/0.063</f>
        <v>0.15873015873015872</v>
      </c>
      <c r="AD472" s="7">
        <v>8</v>
      </c>
      <c r="AE472" s="7"/>
      <c r="AF472" s="7"/>
      <c r="AG472" s="7"/>
      <c r="AH472" s="7"/>
      <c r="AI472" s="7"/>
      <c r="AJ472" s="7"/>
      <c r="AK472" s="7">
        <f>0.37/0.0633</f>
        <v>5.8451816745655609</v>
      </c>
      <c r="AL472" s="7">
        <v>0.16</v>
      </c>
      <c r="AM472" s="7">
        <v>8</v>
      </c>
      <c r="AN472" s="7"/>
      <c r="AO472" s="7"/>
      <c r="AP472" s="7"/>
      <c r="AQ472" s="7"/>
      <c r="AR472" s="7"/>
      <c r="AS472" s="7"/>
      <c r="AT472" s="184"/>
      <c r="AU472" s="7"/>
      <c r="AV472" s="7"/>
      <c r="AW472" s="7"/>
      <c r="AX472" s="7" t="s">
        <v>2655</v>
      </c>
      <c r="AY472" s="7" t="s">
        <v>4124</v>
      </c>
    </row>
    <row r="473" spans="1:51">
      <c r="A473" s="7" t="s">
        <v>91</v>
      </c>
      <c r="B473" s="7" t="s">
        <v>92</v>
      </c>
      <c r="C473" s="7" t="s">
        <v>2650</v>
      </c>
      <c r="D473" s="7" t="s">
        <v>2656</v>
      </c>
      <c r="E473" s="7" t="s">
        <v>2657</v>
      </c>
      <c r="F473" s="7" t="s">
        <v>2658</v>
      </c>
      <c r="G473" s="7"/>
      <c r="H473" s="7" t="s">
        <v>92</v>
      </c>
      <c r="I473" s="100"/>
      <c r="J473" s="100"/>
      <c r="K473" s="100"/>
      <c r="M473" s="7"/>
      <c r="N473" s="7" t="s">
        <v>1504</v>
      </c>
      <c r="O473" s="7" t="s">
        <v>1494</v>
      </c>
      <c r="P473" s="108" t="s">
        <v>1492</v>
      </c>
      <c r="Q473" s="7" t="s">
        <v>2659</v>
      </c>
      <c r="R473" s="7"/>
      <c r="S473" s="7"/>
      <c r="T473" s="7"/>
      <c r="U473" s="7">
        <v>1</v>
      </c>
      <c r="V473" s="7">
        <v>21</v>
      </c>
      <c r="W473" s="7">
        <f t="shared" si="94"/>
        <v>1.3222192947339193</v>
      </c>
      <c r="X473" s="7" t="s">
        <v>1779</v>
      </c>
      <c r="Y473" s="7" t="s">
        <v>1781</v>
      </c>
      <c r="Z473" s="7">
        <v>14</v>
      </c>
      <c r="AA473" s="7">
        <v>26</v>
      </c>
      <c r="AB473" s="7">
        <v>0.56000000000000005</v>
      </c>
      <c r="AC473" s="7">
        <v>0.156</v>
      </c>
      <c r="AD473" s="7"/>
      <c r="AE473" s="7"/>
      <c r="AF473" s="7"/>
      <c r="AG473" s="7"/>
      <c r="AH473" s="7"/>
      <c r="AI473" s="7"/>
      <c r="AJ473" s="7"/>
      <c r="AK473" s="7">
        <v>2</v>
      </c>
      <c r="AL473" s="7">
        <v>0.32</v>
      </c>
      <c r="AM473" s="7"/>
      <c r="AN473" s="7"/>
      <c r="AO473" s="7"/>
      <c r="AP473" s="7"/>
      <c r="AQ473" s="7"/>
      <c r="AR473" s="7"/>
      <c r="AS473" s="7"/>
      <c r="AT473" s="184"/>
      <c r="AU473" s="7"/>
      <c r="AV473" s="7" t="s">
        <v>2660</v>
      </c>
      <c r="AW473" s="7"/>
      <c r="AX473" s="7" t="s">
        <v>2661</v>
      </c>
      <c r="AY473" s="7" t="s">
        <v>4124</v>
      </c>
    </row>
    <row r="474" spans="1:51">
      <c r="A474" s="7" t="s">
        <v>91</v>
      </c>
      <c r="B474" s="7" t="s">
        <v>92</v>
      </c>
      <c r="C474" s="7" t="s">
        <v>2650</v>
      </c>
      <c r="D474" s="7" t="s">
        <v>2656</v>
      </c>
      <c r="E474" s="7" t="s">
        <v>2657</v>
      </c>
      <c r="F474" s="7" t="s">
        <v>2658</v>
      </c>
      <c r="G474" s="7"/>
      <c r="H474" s="7" t="s">
        <v>92</v>
      </c>
      <c r="I474" s="100"/>
      <c r="J474" s="100"/>
      <c r="K474" s="100"/>
      <c r="M474" s="7"/>
      <c r="N474" s="7" t="s">
        <v>1504</v>
      </c>
      <c r="O474" s="7" t="s">
        <v>1494</v>
      </c>
      <c r="P474" s="108" t="s">
        <v>1539</v>
      </c>
      <c r="Q474" s="7" t="s">
        <v>2662</v>
      </c>
      <c r="R474" s="7">
        <v>-34.035556</v>
      </c>
      <c r="S474" s="7">
        <f t="shared" ref="S474:S505" si="96">ABS(R474)</f>
        <v>34.035556</v>
      </c>
      <c r="T474" s="7">
        <v>23.048888999999999</v>
      </c>
      <c r="U474" s="7">
        <v>1</v>
      </c>
      <c r="V474" s="7">
        <v>30</v>
      </c>
      <c r="W474" s="7">
        <f t="shared" si="94"/>
        <v>1.4771212547196624</v>
      </c>
      <c r="X474" s="7" t="s">
        <v>1779</v>
      </c>
      <c r="Y474" s="7" t="s">
        <v>1781</v>
      </c>
      <c r="Z474" s="7">
        <v>5</v>
      </c>
      <c r="AA474" s="7">
        <v>10</v>
      </c>
      <c r="AB474" s="7">
        <v>7.95</v>
      </c>
      <c r="AC474" s="7">
        <v>2.8</v>
      </c>
      <c r="AD474" s="7">
        <v>4</v>
      </c>
      <c r="AE474" s="7"/>
      <c r="AF474" s="7"/>
      <c r="AG474" s="7"/>
      <c r="AH474" s="7"/>
      <c r="AI474" s="7"/>
      <c r="AJ474" s="7"/>
      <c r="AK474" s="7">
        <v>4.6500000000000004</v>
      </c>
      <c r="AL474" s="7">
        <v>1.2</v>
      </c>
      <c r="AM474" s="7">
        <v>4</v>
      </c>
      <c r="AN474" s="7"/>
      <c r="AO474" s="7"/>
      <c r="AP474" s="7"/>
      <c r="AQ474" s="7"/>
      <c r="AR474" s="7"/>
      <c r="AS474" s="7"/>
      <c r="AT474" s="184"/>
      <c r="AU474" s="7"/>
      <c r="AV474" s="7" t="s">
        <v>2399</v>
      </c>
      <c r="AW474" s="7"/>
      <c r="AX474" s="7" t="s">
        <v>2663</v>
      </c>
      <c r="AY474" s="7" t="s">
        <v>4124</v>
      </c>
    </row>
    <row r="475" spans="1:51">
      <c r="A475" s="7" t="s">
        <v>91</v>
      </c>
      <c r="B475" s="7" t="s">
        <v>92</v>
      </c>
      <c r="C475" s="7" t="s">
        <v>2650</v>
      </c>
      <c r="D475" s="7" t="s">
        <v>2656</v>
      </c>
      <c r="E475" s="7" t="s">
        <v>2657</v>
      </c>
      <c r="F475" s="7" t="s">
        <v>2658</v>
      </c>
      <c r="G475" s="7"/>
      <c r="H475" s="7" t="s">
        <v>92</v>
      </c>
      <c r="I475" s="100"/>
      <c r="J475" s="100"/>
      <c r="K475" s="100"/>
      <c r="M475" s="7"/>
      <c r="N475" s="7" t="s">
        <v>1504</v>
      </c>
      <c r="O475" s="7" t="s">
        <v>1494</v>
      </c>
      <c r="P475" s="108" t="s">
        <v>1539</v>
      </c>
      <c r="Q475" s="7" t="s">
        <v>2662</v>
      </c>
      <c r="R475" s="7">
        <v>-34.035556</v>
      </c>
      <c r="S475" s="7">
        <f t="shared" si="96"/>
        <v>34.035556</v>
      </c>
      <c r="T475" s="7">
        <v>23.048888999999999</v>
      </c>
      <c r="U475" s="7">
        <v>1</v>
      </c>
      <c r="V475" s="7">
        <v>30</v>
      </c>
      <c r="W475" s="7">
        <f t="shared" si="94"/>
        <v>1.4771212547196624</v>
      </c>
      <c r="X475" s="7" t="s">
        <v>1779</v>
      </c>
      <c r="Y475" s="7" t="s">
        <v>1781</v>
      </c>
      <c r="Z475" s="7">
        <v>5</v>
      </c>
      <c r="AA475" s="7">
        <v>15</v>
      </c>
      <c r="AB475" s="7">
        <v>7.95</v>
      </c>
      <c r="AC475" s="7">
        <v>2.8</v>
      </c>
      <c r="AD475" s="7">
        <v>4</v>
      </c>
      <c r="AE475" s="7"/>
      <c r="AF475" s="7"/>
      <c r="AG475" s="7"/>
      <c r="AH475" s="7"/>
      <c r="AI475" s="7"/>
      <c r="AJ475" s="7"/>
      <c r="AK475" s="7">
        <v>6.21</v>
      </c>
      <c r="AL475" s="7">
        <v>1.2</v>
      </c>
      <c r="AM475" s="7">
        <v>4</v>
      </c>
      <c r="AN475" s="7"/>
      <c r="AO475" s="7"/>
      <c r="AP475" s="7"/>
      <c r="AQ475" s="7"/>
      <c r="AR475" s="7"/>
      <c r="AS475" s="7"/>
      <c r="AT475" s="184"/>
      <c r="AU475" s="7"/>
      <c r="AV475" s="7" t="s">
        <v>2399</v>
      </c>
      <c r="AW475" s="7"/>
      <c r="AX475" s="7" t="s">
        <v>2663</v>
      </c>
      <c r="AY475" s="7" t="s">
        <v>4124</v>
      </c>
    </row>
    <row r="476" spans="1:51">
      <c r="A476" s="7" t="s">
        <v>91</v>
      </c>
      <c r="B476" s="7" t="s">
        <v>92</v>
      </c>
      <c r="C476" s="7" t="s">
        <v>2650</v>
      </c>
      <c r="D476" s="7" t="s">
        <v>2656</v>
      </c>
      <c r="E476" s="7" t="s">
        <v>2657</v>
      </c>
      <c r="F476" s="7" t="s">
        <v>2658</v>
      </c>
      <c r="G476" s="7"/>
      <c r="H476" s="7" t="s">
        <v>92</v>
      </c>
      <c r="I476" s="100"/>
      <c r="J476" s="100"/>
      <c r="K476" s="100"/>
      <c r="M476" s="7"/>
      <c r="N476" s="7" t="s">
        <v>1504</v>
      </c>
      <c r="O476" s="7" t="s">
        <v>1494</v>
      </c>
      <c r="P476" s="108" t="s">
        <v>1539</v>
      </c>
      <c r="Q476" s="7" t="s">
        <v>2662</v>
      </c>
      <c r="R476" s="7">
        <v>-34.035556</v>
      </c>
      <c r="S476" s="7">
        <f t="shared" si="96"/>
        <v>34.035556</v>
      </c>
      <c r="T476" s="7">
        <v>23.048888999999999</v>
      </c>
      <c r="U476" s="7">
        <v>1</v>
      </c>
      <c r="V476" s="7">
        <v>30</v>
      </c>
      <c r="W476" s="7">
        <f t="shared" si="94"/>
        <v>1.4771212547196624</v>
      </c>
      <c r="X476" s="7" t="s">
        <v>1779</v>
      </c>
      <c r="Y476" s="7" t="s">
        <v>1781</v>
      </c>
      <c r="Z476" s="7">
        <v>5</v>
      </c>
      <c r="AA476" s="7">
        <v>20</v>
      </c>
      <c r="AB476" s="7">
        <v>7.95</v>
      </c>
      <c r="AC476" s="7">
        <v>2.8</v>
      </c>
      <c r="AD476" s="7">
        <v>4</v>
      </c>
      <c r="AE476" s="7"/>
      <c r="AF476" s="7"/>
      <c r="AG476" s="7"/>
      <c r="AH476" s="7"/>
      <c r="AI476" s="7"/>
      <c r="AJ476" s="7"/>
      <c r="AK476" s="7">
        <v>7.26</v>
      </c>
      <c r="AL476" s="7">
        <v>1.2</v>
      </c>
      <c r="AM476" s="7">
        <v>4</v>
      </c>
      <c r="AN476" s="7"/>
      <c r="AO476" s="7"/>
      <c r="AP476" s="7"/>
      <c r="AQ476" s="7"/>
      <c r="AR476" s="7"/>
      <c r="AS476" s="7"/>
      <c r="AT476" s="184"/>
      <c r="AU476" s="7"/>
      <c r="AV476" s="7" t="s">
        <v>2399</v>
      </c>
      <c r="AW476" s="7"/>
      <c r="AX476" s="7" t="s">
        <v>2663</v>
      </c>
      <c r="AY476" s="7" t="s">
        <v>4124</v>
      </c>
    </row>
    <row r="477" spans="1:51">
      <c r="A477" s="7" t="s">
        <v>91</v>
      </c>
      <c r="B477" s="7" t="s">
        <v>92</v>
      </c>
      <c r="C477" s="7" t="s">
        <v>2650</v>
      </c>
      <c r="D477" s="7" t="s">
        <v>2656</v>
      </c>
      <c r="E477" s="7" t="s">
        <v>2657</v>
      </c>
      <c r="F477" s="7" t="s">
        <v>2658</v>
      </c>
      <c r="G477" s="7"/>
      <c r="H477" s="7" t="s">
        <v>92</v>
      </c>
      <c r="I477" s="100"/>
      <c r="J477" s="100"/>
      <c r="K477" s="100"/>
      <c r="M477" s="7"/>
      <c r="N477" s="7" t="s">
        <v>1504</v>
      </c>
      <c r="O477" s="7" t="s">
        <v>1494</v>
      </c>
      <c r="P477" s="108" t="s">
        <v>1539</v>
      </c>
      <c r="Q477" s="7" t="s">
        <v>2662</v>
      </c>
      <c r="R477" s="7">
        <v>-34.035556</v>
      </c>
      <c r="S477" s="7">
        <f t="shared" si="96"/>
        <v>34.035556</v>
      </c>
      <c r="T477" s="7">
        <v>23.048888999999999</v>
      </c>
      <c r="U477" s="7">
        <v>1</v>
      </c>
      <c r="V477" s="7">
        <v>30</v>
      </c>
      <c r="W477" s="7">
        <f t="shared" si="94"/>
        <v>1.4771212547196624</v>
      </c>
      <c r="X477" s="7" t="s">
        <v>1779</v>
      </c>
      <c r="Y477" s="7" t="s">
        <v>1781</v>
      </c>
      <c r="Z477" s="7">
        <v>5</v>
      </c>
      <c r="AA477" s="7">
        <v>25</v>
      </c>
      <c r="AB477" s="7">
        <v>7.95</v>
      </c>
      <c r="AC477" s="7">
        <v>2.8</v>
      </c>
      <c r="AD477" s="7">
        <v>4</v>
      </c>
      <c r="AE477" s="7"/>
      <c r="AF477" s="7"/>
      <c r="AG477" s="7"/>
      <c r="AH477" s="7"/>
      <c r="AI477" s="7"/>
      <c r="AJ477" s="7"/>
      <c r="AK477" s="7">
        <v>22.3</v>
      </c>
      <c r="AL477" s="7">
        <v>5.8</v>
      </c>
      <c r="AM477" s="7">
        <v>4</v>
      </c>
      <c r="AN477" s="7"/>
      <c r="AO477" s="7"/>
      <c r="AP477" s="7"/>
      <c r="AQ477" s="7"/>
      <c r="AR477" s="7"/>
      <c r="AS477" s="7"/>
      <c r="AT477" s="184"/>
      <c r="AU477" s="7"/>
      <c r="AV477" s="7" t="s">
        <v>2399</v>
      </c>
      <c r="AW477" s="7"/>
      <c r="AX477" s="7" t="s">
        <v>2663</v>
      </c>
      <c r="AY477" s="7" t="s">
        <v>4124</v>
      </c>
    </row>
    <row r="478" spans="1:51">
      <c r="A478" s="7" t="s">
        <v>91</v>
      </c>
      <c r="B478" s="7" t="s">
        <v>92</v>
      </c>
      <c r="C478" s="7" t="s">
        <v>2650</v>
      </c>
      <c r="D478" s="7" t="s">
        <v>2656</v>
      </c>
      <c r="E478" s="7" t="s">
        <v>2657</v>
      </c>
      <c r="F478" s="7" t="s">
        <v>2658</v>
      </c>
      <c r="G478" s="7"/>
      <c r="H478" s="7" t="s">
        <v>92</v>
      </c>
      <c r="I478" s="100"/>
      <c r="J478" s="100"/>
      <c r="K478" s="100"/>
      <c r="M478" s="7"/>
      <c r="N478" s="7" t="s">
        <v>1504</v>
      </c>
      <c r="O478" s="7" t="s">
        <v>1494</v>
      </c>
      <c r="P478" s="108" t="s">
        <v>1539</v>
      </c>
      <c r="Q478" s="7" t="s">
        <v>2662</v>
      </c>
      <c r="R478" s="7">
        <v>-34.035556</v>
      </c>
      <c r="S478" s="7">
        <f t="shared" si="96"/>
        <v>34.035556</v>
      </c>
      <c r="T478" s="7">
        <v>23.048888999999999</v>
      </c>
      <c r="U478" s="7">
        <v>1</v>
      </c>
      <c r="V478" s="7">
        <v>30</v>
      </c>
      <c r="W478" s="7">
        <f t="shared" si="94"/>
        <v>1.4771212547196624</v>
      </c>
      <c r="X478" s="7" t="s">
        <v>1779</v>
      </c>
      <c r="Y478" s="7" t="s">
        <v>1781</v>
      </c>
      <c r="Z478" s="7">
        <v>10</v>
      </c>
      <c r="AA478" s="7">
        <v>20</v>
      </c>
      <c r="AB478" s="7">
        <v>4.6500000000000004</v>
      </c>
      <c r="AC478" s="7">
        <v>1.2</v>
      </c>
      <c r="AD478" s="7">
        <v>4</v>
      </c>
      <c r="AE478" s="7"/>
      <c r="AF478" s="7"/>
      <c r="AG478" s="7"/>
      <c r="AH478" s="7"/>
      <c r="AI478" s="7"/>
      <c r="AJ478" s="7"/>
      <c r="AK478" s="7">
        <v>7.26</v>
      </c>
      <c r="AL478" s="7">
        <v>1.2</v>
      </c>
      <c r="AM478" s="7">
        <v>4</v>
      </c>
      <c r="AN478" s="7"/>
      <c r="AO478" s="7"/>
      <c r="AP478" s="7"/>
      <c r="AQ478" s="7"/>
      <c r="AR478" s="7"/>
      <c r="AS478" s="7"/>
      <c r="AT478" s="184"/>
      <c r="AU478" s="7"/>
      <c r="AV478" s="7" t="s">
        <v>2399</v>
      </c>
      <c r="AW478" s="7"/>
      <c r="AX478" s="7" t="s">
        <v>2663</v>
      </c>
      <c r="AY478" s="7" t="s">
        <v>4124</v>
      </c>
    </row>
    <row r="479" spans="1:51">
      <c r="A479" s="7" t="s">
        <v>91</v>
      </c>
      <c r="B479" s="7" t="s">
        <v>92</v>
      </c>
      <c r="C479" s="7" t="s">
        <v>2650</v>
      </c>
      <c r="D479" s="7" t="s">
        <v>2656</v>
      </c>
      <c r="E479" s="7" t="s">
        <v>2657</v>
      </c>
      <c r="F479" s="7" t="s">
        <v>2658</v>
      </c>
      <c r="G479" s="7"/>
      <c r="H479" s="7" t="s">
        <v>92</v>
      </c>
      <c r="I479" s="100"/>
      <c r="J479" s="100"/>
      <c r="K479" s="100"/>
      <c r="M479" s="7"/>
      <c r="N479" s="7" t="s">
        <v>1504</v>
      </c>
      <c r="O479" s="7" t="s">
        <v>1494</v>
      </c>
      <c r="P479" s="108" t="s">
        <v>1539</v>
      </c>
      <c r="Q479" s="7" t="s">
        <v>2662</v>
      </c>
      <c r="R479" s="7">
        <v>-34.035556</v>
      </c>
      <c r="S479" s="7">
        <f t="shared" si="96"/>
        <v>34.035556</v>
      </c>
      <c r="T479" s="7">
        <v>23.048888999999999</v>
      </c>
      <c r="U479" s="7">
        <v>1</v>
      </c>
      <c r="V479" s="7">
        <v>30</v>
      </c>
      <c r="W479" s="7">
        <f t="shared" si="94"/>
        <v>1.4771212547196624</v>
      </c>
      <c r="X479" s="7" t="s">
        <v>2664</v>
      </c>
      <c r="Y479" s="7"/>
      <c r="Z479" s="7">
        <v>5</v>
      </c>
      <c r="AA479" s="7">
        <v>10</v>
      </c>
      <c r="AB479" s="7">
        <v>32.369999999999997</v>
      </c>
      <c r="AC479" s="7">
        <v>6.3</v>
      </c>
      <c r="AD479" s="7">
        <v>4</v>
      </c>
      <c r="AE479" s="7"/>
      <c r="AF479" s="7"/>
      <c r="AG479" s="7"/>
      <c r="AH479" s="7"/>
      <c r="AI479" s="7"/>
      <c r="AJ479" s="7"/>
      <c r="AK479" s="7">
        <v>66.11</v>
      </c>
      <c r="AL479" s="7">
        <v>7.1</v>
      </c>
      <c r="AM479" s="7">
        <v>4</v>
      </c>
      <c r="AN479" s="7"/>
      <c r="AO479" s="7"/>
      <c r="AP479" s="7"/>
      <c r="AQ479" s="7"/>
      <c r="AR479" s="7"/>
      <c r="AS479" s="7"/>
      <c r="AT479" s="184"/>
      <c r="AU479" s="7"/>
      <c r="AV479" s="7" t="s">
        <v>1996</v>
      </c>
      <c r="AW479" s="7"/>
      <c r="AX479" s="7" t="s">
        <v>2663</v>
      </c>
      <c r="AY479" s="7" t="s">
        <v>4124</v>
      </c>
    </row>
    <row r="480" spans="1:51">
      <c r="A480" s="7" t="s">
        <v>91</v>
      </c>
      <c r="B480" s="7" t="s">
        <v>92</v>
      </c>
      <c r="C480" s="7" t="s">
        <v>2650</v>
      </c>
      <c r="D480" s="7" t="s">
        <v>2656</v>
      </c>
      <c r="E480" s="7" t="s">
        <v>2657</v>
      </c>
      <c r="F480" s="7" t="s">
        <v>2658</v>
      </c>
      <c r="G480" s="7"/>
      <c r="H480" s="7" t="s">
        <v>92</v>
      </c>
      <c r="I480" s="100"/>
      <c r="J480" s="100"/>
      <c r="K480" s="100"/>
      <c r="M480" s="7"/>
      <c r="N480" s="7" t="s">
        <v>1504</v>
      </c>
      <c r="O480" s="7" t="s">
        <v>1494</v>
      </c>
      <c r="P480" s="108" t="s">
        <v>1539</v>
      </c>
      <c r="Q480" s="7" t="s">
        <v>2662</v>
      </c>
      <c r="R480" s="7">
        <v>-34.035556</v>
      </c>
      <c r="S480" s="7">
        <f t="shared" si="96"/>
        <v>34.035556</v>
      </c>
      <c r="T480" s="7">
        <v>23.048888999999999</v>
      </c>
      <c r="U480" s="7">
        <v>1</v>
      </c>
      <c r="V480" s="7">
        <v>30</v>
      </c>
      <c r="W480" s="7">
        <f t="shared" si="94"/>
        <v>1.4771212547196624</v>
      </c>
      <c r="X480" s="7" t="s">
        <v>2664</v>
      </c>
      <c r="Y480" s="7"/>
      <c r="Z480" s="7">
        <v>5</v>
      </c>
      <c r="AA480" s="7">
        <v>15</v>
      </c>
      <c r="AB480" s="7">
        <v>32.369999999999997</v>
      </c>
      <c r="AC480" s="7">
        <v>6.3</v>
      </c>
      <c r="AD480" s="7">
        <v>4</v>
      </c>
      <c r="AE480" s="7"/>
      <c r="AF480" s="7"/>
      <c r="AG480" s="7"/>
      <c r="AH480" s="7"/>
      <c r="AI480" s="7"/>
      <c r="AJ480" s="7"/>
      <c r="AK480" s="7">
        <v>162</v>
      </c>
      <c r="AL480" s="7">
        <v>37</v>
      </c>
      <c r="AM480" s="7">
        <v>4</v>
      </c>
      <c r="AN480" s="7"/>
      <c r="AO480" s="7"/>
      <c r="AP480" s="7"/>
      <c r="AQ480" s="7"/>
      <c r="AR480" s="7"/>
      <c r="AS480" s="7"/>
      <c r="AT480" s="184"/>
      <c r="AU480" s="7"/>
      <c r="AV480" s="7" t="s">
        <v>1996</v>
      </c>
      <c r="AW480" s="7"/>
      <c r="AX480" s="7" t="s">
        <v>2663</v>
      </c>
      <c r="AY480" s="7" t="s">
        <v>4124</v>
      </c>
    </row>
    <row r="481" spans="1:51">
      <c r="A481" s="7" t="s">
        <v>91</v>
      </c>
      <c r="B481" s="7" t="s">
        <v>92</v>
      </c>
      <c r="C481" s="7" t="s">
        <v>2650</v>
      </c>
      <c r="D481" s="7" t="s">
        <v>2656</v>
      </c>
      <c r="E481" s="7" t="s">
        <v>2657</v>
      </c>
      <c r="F481" s="7" t="s">
        <v>2658</v>
      </c>
      <c r="G481" s="7"/>
      <c r="H481" s="7" t="s">
        <v>92</v>
      </c>
      <c r="I481" s="100"/>
      <c r="J481" s="100"/>
      <c r="K481" s="100"/>
      <c r="M481" s="7"/>
      <c r="N481" s="7" t="s">
        <v>1504</v>
      </c>
      <c r="O481" s="7" t="s">
        <v>1494</v>
      </c>
      <c r="P481" s="108" t="s">
        <v>1539</v>
      </c>
      <c r="Q481" s="7" t="s">
        <v>2662</v>
      </c>
      <c r="R481" s="7">
        <v>-34.035556</v>
      </c>
      <c r="S481" s="7">
        <f t="shared" si="96"/>
        <v>34.035556</v>
      </c>
      <c r="T481" s="7">
        <v>23.048888999999999</v>
      </c>
      <c r="U481" s="7">
        <v>1</v>
      </c>
      <c r="V481" s="7">
        <v>30</v>
      </c>
      <c r="W481" s="7">
        <f t="shared" si="94"/>
        <v>1.4771212547196624</v>
      </c>
      <c r="X481" s="7" t="s">
        <v>2664</v>
      </c>
      <c r="Y481" s="7"/>
      <c r="Z481" s="7">
        <v>5</v>
      </c>
      <c r="AA481" s="7">
        <v>20</v>
      </c>
      <c r="AB481" s="7">
        <v>32.369999999999997</v>
      </c>
      <c r="AC481" s="7">
        <v>6.3</v>
      </c>
      <c r="AD481" s="7">
        <v>4</v>
      </c>
      <c r="AE481" s="7"/>
      <c r="AF481" s="7"/>
      <c r="AG481" s="7"/>
      <c r="AH481" s="7"/>
      <c r="AI481" s="7"/>
      <c r="AJ481" s="7"/>
      <c r="AK481" s="7">
        <v>144</v>
      </c>
      <c r="AL481" s="7">
        <v>23</v>
      </c>
      <c r="AM481" s="7">
        <v>4</v>
      </c>
      <c r="AN481" s="7"/>
      <c r="AO481" s="7"/>
      <c r="AP481" s="7"/>
      <c r="AQ481" s="7"/>
      <c r="AR481" s="7"/>
      <c r="AS481" s="7"/>
      <c r="AT481" s="184"/>
      <c r="AU481" s="7"/>
      <c r="AV481" s="7" t="s">
        <v>1996</v>
      </c>
      <c r="AW481" s="7"/>
      <c r="AX481" s="7" t="s">
        <v>2663</v>
      </c>
      <c r="AY481" s="7" t="s">
        <v>4124</v>
      </c>
    </row>
    <row r="482" spans="1:51">
      <c r="A482" s="7" t="s">
        <v>91</v>
      </c>
      <c r="B482" s="7" t="s">
        <v>92</v>
      </c>
      <c r="C482" s="7" t="s">
        <v>2650</v>
      </c>
      <c r="D482" s="7" t="s">
        <v>2656</v>
      </c>
      <c r="E482" s="7" t="s">
        <v>2657</v>
      </c>
      <c r="F482" s="7" t="s">
        <v>2658</v>
      </c>
      <c r="G482" s="7"/>
      <c r="H482" s="7" t="s">
        <v>92</v>
      </c>
      <c r="I482" s="100"/>
      <c r="J482" s="100"/>
      <c r="K482" s="100"/>
      <c r="M482" s="7"/>
      <c r="N482" s="7" t="s">
        <v>1504</v>
      </c>
      <c r="O482" s="7" t="s">
        <v>1494</v>
      </c>
      <c r="P482" s="108" t="s">
        <v>1539</v>
      </c>
      <c r="Q482" s="7" t="s">
        <v>2662</v>
      </c>
      <c r="R482" s="7">
        <v>-34.035556</v>
      </c>
      <c r="S482" s="7">
        <f t="shared" si="96"/>
        <v>34.035556</v>
      </c>
      <c r="T482" s="7">
        <v>23.048888999999999</v>
      </c>
      <c r="U482" s="7">
        <v>1</v>
      </c>
      <c r="V482" s="7">
        <v>30</v>
      </c>
      <c r="W482" s="7">
        <f t="shared" si="94"/>
        <v>1.4771212547196624</v>
      </c>
      <c r="X482" s="7" t="s">
        <v>2664</v>
      </c>
      <c r="Y482" s="7"/>
      <c r="Z482" s="7">
        <v>5</v>
      </c>
      <c r="AA482" s="7">
        <v>25</v>
      </c>
      <c r="AB482" s="7">
        <v>32.369999999999997</v>
      </c>
      <c r="AC482" s="7">
        <v>6.3</v>
      </c>
      <c r="AD482" s="7">
        <v>4</v>
      </c>
      <c r="AE482" s="7"/>
      <c r="AF482" s="7"/>
      <c r="AG482" s="7"/>
      <c r="AH482" s="7"/>
      <c r="AI482" s="7"/>
      <c r="AJ482" s="7"/>
      <c r="AK482" s="7">
        <v>135</v>
      </c>
      <c r="AL482" s="7">
        <v>30</v>
      </c>
      <c r="AM482" s="7">
        <v>4</v>
      </c>
      <c r="AN482" s="7"/>
      <c r="AO482" s="7"/>
      <c r="AP482" s="7"/>
      <c r="AQ482" s="7"/>
      <c r="AR482" s="7"/>
      <c r="AS482" s="7"/>
      <c r="AT482" s="184"/>
      <c r="AU482" s="7"/>
      <c r="AV482" s="7" t="s">
        <v>1996</v>
      </c>
      <c r="AW482" s="7"/>
      <c r="AX482" s="7" t="s">
        <v>2663</v>
      </c>
      <c r="AY482" s="7" t="s">
        <v>4124</v>
      </c>
    </row>
    <row r="483" spans="1:51">
      <c r="A483" s="7" t="s">
        <v>91</v>
      </c>
      <c r="B483" s="7" t="s">
        <v>92</v>
      </c>
      <c r="C483" s="7" t="s">
        <v>2650</v>
      </c>
      <c r="D483" s="7" t="s">
        <v>2656</v>
      </c>
      <c r="E483" s="7" t="s">
        <v>2657</v>
      </c>
      <c r="F483" s="7" t="s">
        <v>2658</v>
      </c>
      <c r="G483" s="7"/>
      <c r="H483" s="7" t="s">
        <v>92</v>
      </c>
      <c r="I483" s="100"/>
      <c r="J483" s="100"/>
      <c r="K483" s="100"/>
      <c r="M483" s="7"/>
      <c r="N483" s="7" t="s">
        <v>1504</v>
      </c>
      <c r="O483" s="7" t="s">
        <v>1494</v>
      </c>
      <c r="P483" s="108" t="s">
        <v>1539</v>
      </c>
      <c r="Q483" s="7" t="s">
        <v>2662</v>
      </c>
      <c r="R483" s="7">
        <v>-34.035556</v>
      </c>
      <c r="S483" s="7">
        <f t="shared" si="96"/>
        <v>34.035556</v>
      </c>
      <c r="T483" s="7">
        <v>23.048888999999999</v>
      </c>
      <c r="U483" s="7">
        <v>1</v>
      </c>
      <c r="V483" s="7">
        <v>30</v>
      </c>
      <c r="W483" s="7">
        <f t="shared" si="94"/>
        <v>1.4771212547196624</v>
      </c>
      <c r="X483" s="7" t="s">
        <v>2664</v>
      </c>
      <c r="Y483" s="7"/>
      <c r="Z483" s="7">
        <v>10</v>
      </c>
      <c r="AA483" s="7">
        <v>20</v>
      </c>
      <c r="AB483" s="7">
        <v>66</v>
      </c>
      <c r="AC483" s="7">
        <v>7</v>
      </c>
      <c r="AD483" s="7">
        <v>4</v>
      </c>
      <c r="AE483" s="7"/>
      <c r="AF483" s="7"/>
      <c r="AG483" s="7"/>
      <c r="AH483" s="7"/>
      <c r="AI483" s="7"/>
      <c r="AJ483" s="7"/>
      <c r="AK483" s="7">
        <v>144</v>
      </c>
      <c r="AL483" s="7">
        <v>23</v>
      </c>
      <c r="AM483" s="7">
        <v>4</v>
      </c>
      <c r="AN483" s="7"/>
      <c r="AO483" s="7"/>
      <c r="AP483" s="7"/>
      <c r="AQ483" s="7"/>
      <c r="AR483" s="7"/>
      <c r="AS483" s="7"/>
      <c r="AT483" s="184"/>
      <c r="AU483" s="7"/>
      <c r="AV483" s="7" t="s">
        <v>1996</v>
      </c>
      <c r="AW483" s="7"/>
      <c r="AX483" s="7" t="s">
        <v>2663</v>
      </c>
      <c r="AY483" s="7" t="s">
        <v>4124</v>
      </c>
    </row>
    <row r="484" spans="1:51">
      <c r="A484" s="7" t="s">
        <v>91</v>
      </c>
      <c r="B484" s="7" t="s">
        <v>92</v>
      </c>
      <c r="C484" s="7" t="s">
        <v>106</v>
      </c>
      <c r="D484" s="7" t="s">
        <v>2665</v>
      </c>
      <c r="E484" s="7" t="s">
        <v>2666</v>
      </c>
      <c r="F484" s="7" t="s">
        <v>2667</v>
      </c>
      <c r="G484" s="7"/>
      <c r="H484" s="7" t="s">
        <v>92</v>
      </c>
      <c r="I484" s="100"/>
      <c r="J484" s="100"/>
      <c r="K484" s="100"/>
      <c r="M484" s="7"/>
      <c r="N484" s="7" t="s">
        <v>1504</v>
      </c>
      <c r="O484" s="7" t="s">
        <v>1505</v>
      </c>
      <c r="P484" s="108" t="s">
        <v>1492</v>
      </c>
      <c r="Q484" s="7" t="s">
        <v>2668</v>
      </c>
      <c r="R484" s="7">
        <v>58.2</v>
      </c>
      <c r="S484" s="7">
        <f t="shared" si="96"/>
        <v>58.2</v>
      </c>
      <c r="T484" s="7">
        <v>16</v>
      </c>
      <c r="U484" s="7">
        <v>2</v>
      </c>
      <c r="V484" s="7"/>
      <c r="W484" s="7"/>
      <c r="X484" s="7" t="s">
        <v>1779</v>
      </c>
      <c r="Y484" s="7" t="s">
        <v>1781</v>
      </c>
      <c r="Z484" s="7">
        <v>3</v>
      </c>
      <c r="AA484" s="7">
        <v>17</v>
      </c>
      <c r="AB484" s="108">
        <v>7.8156249999999998</v>
      </c>
      <c r="AC484" s="108">
        <v>0.78156250000000005</v>
      </c>
      <c r="AD484" s="108">
        <v>4</v>
      </c>
      <c r="AE484" s="108">
        <v>40.641250000000007</v>
      </c>
      <c r="AF484" s="108">
        <v>4.0641250000000007</v>
      </c>
      <c r="AG484" s="108">
        <v>4</v>
      </c>
      <c r="AH484" s="108">
        <v>3.1262500000000002</v>
      </c>
      <c r="AI484" s="108">
        <v>0.31262500000000004</v>
      </c>
      <c r="AJ484" s="108">
        <v>4</v>
      </c>
      <c r="AK484" s="108">
        <v>23.446874999999999</v>
      </c>
      <c r="AL484" s="108">
        <v>2.3446875</v>
      </c>
      <c r="AM484" s="7">
        <v>4</v>
      </c>
      <c r="AN484" s="7"/>
      <c r="AO484" s="7"/>
      <c r="AP484" s="7"/>
      <c r="AQ484" s="7"/>
      <c r="AR484" s="7"/>
      <c r="AS484" s="7"/>
      <c r="AT484" s="184"/>
      <c r="AU484" s="7"/>
      <c r="AV484" s="7"/>
      <c r="AW484" s="7"/>
      <c r="AX484" s="7" t="s">
        <v>2669</v>
      </c>
      <c r="AY484" s="7" t="s">
        <v>4124</v>
      </c>
    </row>
    <row r="485" spans="1:51">
      <c r="A485" s="7" t="s">
        <v>91</v>
      </c>
      <c r="B485" s="7" t="s">
        <v>92</v>
      </c>
      <c r="C485" s="7" t="s">
        <v>106</v>
      </c>
      <c r="D485" s="7" t="s">
        <v>2665</v>
      </c>
      <c r="E485" s="7" t="s">
        <v>2666</v>
      </c>
      <c r="F485" s="7" t="s">
        <v>2667</v>
      </c>
      <c r="G485" s="7"/>
      <c r="H485" s="7" t="s">
        <v>92</v>
      </c>
      <c r="I485" s="100"/>
      <c r="J485" s="100"/>
      <c r="K485" s="100"/>
      <c r="M485" s="7"/>
      <c r="N485" s="7" t="s">
        <v>1504</v>
      </c>
      <c r="O485" s="7" t="s">
        <v>1505</v>
      </c>
      <c r="P485" s="108" t="s">
        <v>1492</v>
      </c>
      <c r="Q485" s="7" t="s">
        <v>2670</v>
      </c>
      <c r="R485" s="7">
        <v>55.2</v>
      </c>
      <c r="S485" s="7">
        <f t="shared" si="96"/>
        <v>55.2</v>
      </c>
      <c r="T485" s="7">
        <v>18.95</v>
      </c>
      <c r="U485" s="7">
        <v>2</v>
      </c>
      <c r="V485" s="7"/>
      <c r="W485" s="7"/>
      <c r="X485" s="7" t="s">
        <v>1779</v>
      </c>
      <c r="Y485" s="7" t="s">
        <v>1781</v>
      </c>
      <c r="Z485" s="7">
        <v>3</v>
      </c>
      <c r="AA485" s="7">
        <v>17</v>
      </c>
      <c r="AB485" s="108">
        <v>4.6893749999999992</v>
      </c>
      <c r="AC485" s="108">
        <v>0.46893749999999995</v>
      </c>
      <c r="AD485" s="108">
        <v>4</v>
      </c>
      <c r="AE485" s="108">
        <v>328.25625000000002</v>
      </c>
      <c r="AF485" s="108">
        <v>32.825625000000002</v>
      </c>
      <c r="AG485" s="108">
        <v>4</v>
      </c>
      <c r="AH485" s="108">
        <v>1.5631250000000001</v>
      </c>
      <c r="AI485" s="108">
        <v>0.15631250000000002</v>
      </c>
      <c r="AJ485" s="108">
        <v>4</v>
      </c>
      <c r="AK485" s="108">
        <v>15.63125</v>
      </c>
      <c r="AL485" s="108">
        <v>1.5631250000000001</v>
      </c>
      <c r="AM485" s="7">
        <v>4</v>
      </c>
      <c r="AN485" s="7"/>
      <c r="AO485" s="7"/>
      <c r="AP485" s="7"/>
      <c r="AQ485" s="7"/>
      <c r="AR485" s="7"/>
      <c r="AS485" s="7"/>
      <c r="AT485" s="184"/>
      <c r="AU485" s="7"/>
      <c r="AV485" s="7"/>
      <c r="AW485" s="7"/>
      <c r="AX485" s="7" t="s">
        <v>2671</v>
      </c>
      <c r="AY485" s="7" t="s">
        <v>4124</v>
      </c>
    </row>
    <row r="486" spans="1:51">
      <c r="A486" s="7" t="s">
        <v>91</v>
      </c>
      <c r="B486" s="7" t="s">
        <v>92</v>
      </c>
      <c r="C486" s="7" t="s">
        <v>106</v>
      </c>
      <c r="D486" s="7" t="s">
        <v>2665</v>
      </c>
      <c r="E486" s="7" t="s">
        <v>2666</v>
      </c>
      <c r="F486" s="7" t="s">
        <v>2667</v>
      </c>
      <c r="G486" s="7"/>
      <c r="H486" s="7" t="s">
        <v>92</v>
      </c>
      <c r="I486" s="100"/>
      <c r="J486" s="100"/>
      <c r="K486" s="100"/>
      <c r="M486" s="7"/>
      <c r="N486" s="7" t="s">
        <v>1504</v>
      </c>
      <c r="O486" s="7" t="s">
        <v>1505</v>
      </c>
      <c r="P486" s="108" t="s">
        <v>1492</v>
      </c>
      <c r="Q486" s="7" t="s">
        <v>2672</v>
      </c>
      <c r="R486" s="7">
        <v>55.5</v>
      </c>
      <c r="S486" s="7">
        <f t="shared" si="96"/>
        <v>55.5</v>
      </c>
      <c r="T486" s="7">
        <v>11.65</v>
      </c>
      <c r="U486" s="7">
        <v>2</v>
      </c>
      <c r="V486" s="7"/>
      <c r="W486" s="7"/>
      <c r="X486" s="7" t="s">
        <v>1779</v>
      </c>
      <c r="Y486" s="7" t="s">
        <v>1781</v>
      </c>
      <c r="Z486" s="7">
        <v>3</v>
      </c>
      <c r="AA486" s="7">
        <v>17</v>
      </c>
      <c r="AB486" s="108">
        <v>7.8156249999999998</v>
      </c>
      <c r="AC486" s="108">
        <v>0.78156250000000005</v>
      </c>
      <c r="AD486" s="108">
        <v>4</v>
      </c>
      <c r="AE486" s="108">
        <v>26.573125000000005</v>
      </c>
      <c r="AF486" s="108">
        <v>2.6573125000000006</v>
      </c>
      <c r="AG486" s="108">
        <v>4</v>
      </c>
      <c r="AH486" s="108">
        <v>12.505000000000001</v>
      </c>
      <c r="AI486" s="108">
        <v>1.2505000000000002</v>
      </c>
      <c r="AJ486" s="108">
        <v>4</v>
      </c>
      <c r="AK486" s="108">
        <v>40.641250000000007</v>
      </c>
      <c r="AL486" s="108">
        <v>4.0641250000000007</v>
      </c>
      <c r="AM486" s="7">
        <v>4</v>
      </c>
      <c r="AN486" s="7"/>
      <c r="AO486" s="7"/>
      <c r="AP486" s="7"/>
      <c r="AQ486" s="7"/>
      <c r="AR486" s="7"/>
      <c r="AS486" s="7"/>
      <c r="AT486" s="184"/>
      <c r="AU486" s="7"/>
      <c r="AV486" s="7"/>
      <c r="AW486" s="7"/>
      <c r="AX486" s="7" t="s">
        <v>2673</v>
      </c>
      <c r="AY486" s="7" t="s">
        <v>4124</v>
      </c>
    </row>
    <row r="487" spans="1:51">
      <c r="A487" s="7" t="s">
        <v>91</v>
      </c>
      <c r="B487" s="7" t="s">
        <v>92</v>
      </c>
      <c r="C487" s="7" t="s">
        <v>106</v>
      </c>
      <c r="D487" s="7" t="s">
        <v>2665</v>
      </c>
      <c r="E487" s="7" t="s">
        <v>2666</v>
      </c>
      <c r="F487" s="7" t="s">
        <v>2667</v>
      </c>
      <c r="G487" s="7"/>
      <c r="H487" s="7" t="s">
        <v>92</v>
      </c>
      <c r="I487" s="100"/>
      <c r="J487" s="100"/>
      <c r="K487" s="100"/>
      <c r="M487" s="7"/>
      <c r="N487" s="7" t="s">
        <v>1504</v>
      </c>
      <c r="O487" s="7" t="s">
        <v>1505</v>
      </c>
      <c r="P487" s="108" t="s">
        <v>1492</v>
      </c>
      <c r="Q487" s="7" t="s">
        <v>2674</v>
      </c>
      <c r="R487" s="7">
        <v>51.2</v>
      </c>
      <c r="S487" s="7">
        <f t="shared" si="96"/>
        <v>51.2</v>
      </c>
      <c r="T487" s="7">
        <v>4.1500000000000004</v>
      </c>
      <c r="U487" s="7">
        <v>2</v>
      </c>
      <c r="V487" s="7"/>
      <c r="W487" s="7"/>
      <c r="X487" s="7" t="s">
        <v>1779</v>
      </c>
      <c r="Y487" s="7" t="s">
        <v>1781</v>
      </c>
      <c r="Z487" s="7">
        <v>10</v>
      </c>
      <c r="AA487" s="7">
        <v>17</v>
      </c>
      <c r="AB487" s="108">
        <v>18.757499999999997</v>
      </c>
      <c r="AC487" s="108">
        <v>1.8757499999999998</v>
      </c>
      <c r="AD487" s="108">
        <v>4</v>
      </c>
      <c r="AE487" s="108">
        <v>20.320625000000003</v>
      </c>
      <c r="AF487" s="108">
        <v>2.0320625000000003</v>
      </c>
      <c r="AG487" s="108">
        <v>4</v>
      </c>
      <c r="AH487" s="108">
        <v>3.1262500000000002</v>
      </c>
      <c r="AI487" s="108">
        <v>0.31262500000000004</v>
      </c>
      <c r="AJ487" s="108">
        <v>4</v>
      </c>
      <c r="AK487" s="108">
        <v>17.194375000000001</v>
      </c>
      <c r="AL487" s="108">
        <v>1.7194375000000002</v>
      </c>
      <c r="AM487" s="7">
        <v>4</v>
      </c>
      <c r="AN487" s="7"/>
      <c r="AO487" s="7"/>
      <c r="AP487" s="7"/>
      <c r="AQ487" s="7"/>
      <c r="AR487" s="7"/>
      <c r="AS487" s="7"/>
      <c r="AT487" s="184"/>
      <c r="AU487" s="7"/>
      <c r="AV487" s="7"/>
      <c r="AW487" s="7"/>
      <c r="AX487" s="7" t="s">
        <v>2675</v>
      </c>
      <c r="AY487" s="7" t="s">
        <v>4124</v>
      </c>
    </row>
    <row r="488" spans="1:51">
      <c r="A488" s="7" t="s">
        <v>91</v>
      </c>
      <c r="B488" s="7" t="s">
        <v>92</v>
      </c>
      <c r="C488" s="7" t="s">
        <v>106</v>
      </c>
      <c r="D488" s="7" t="s">
        <v>2665</v>
      </c>
      <c r="E488" s="7" t="s">
        <v>2666</v>
      </c>
      <c r="F488" s="7" t="s">
        <v>2667</v>
      </c>
      <c r="G488" s="7"/>
      <c r="H488" s="7" t="s">
        <v>92</v>
      </c>
      <c r="I488" s="100"/>
      <c r="J488" s="100"/>
      <c r="K488" s="100"/>
      <c r="M488" s="7"/>
      <c r="N488" s="7" t="s">
        <v>1504</v>
      </c>
      <c r="O488" s="7" t="s">
        <v>1505</v>
      </c>
      <c r="P488" s="108" t="s">
        <v>1492</v>
      </c>
      <c r="Q488" s="7" t="s">
        <v>2676</v>
      </c>
      <c r="R488" s="7">
        <v>51.2</v>
      </c>
      <c r="S488" s="7">
        <f t="shared" si="96"/>
        <v>51.2</v>
      </c>
      <c r="T488" s="7">
        <v>3.7</v>
      </c>
      <c r="U488" s="7">
        <v>2</v>
      </c>
      <c r="V488" s="7"/>
      <c r="W488" s="7"/>
      <c r="X488" s="7" t="s">
        <v>1779</v>
      </c>
      <c r="Y488" s="7" t="s">
        <v>1781</v>
      </c>
      <c r="Z488" s="7">
        <v>10</v>
      </c>
      <c r="AA488" s="7">
        <v>17</v>
      </c>
      <c r="AB488" s="108">
        <v>9.3787499999999984</v>
      </c>
      <c r="AC488" s="108">
        <v>0.9378749999999999</v>
      </c>
      <c r="AD488" s="108">
        <v>4</v>
      </c>
      <c r="AE488" s="108">
        <v>21.883749999999999</v>
      </c>
      <c r="AF488" s="108">
        <v>2.1883750000000002</v>
      </c>
      <c r="AG488" s="108">
        <v>4</v>
      </c>
      <c r="AH488" s="108">
        <v>2.5009999999999999</v>
      </c>
      <c r="AI488" s="108">
        <v>0.25009999999999999</v>
      </c>
      <c r="AJ488" s="108">
        <v>4</v>
      </c>
      <c r="AK488" s="108">
        <v>17.194375000000001</v>
      </c>
      <c r="AL488" s="108">
        <v>1.7194375000000002</v>
      </c>
      <c r="AM488" s="7">
        <v>4</v>
      </c>
      <c r="AN488" s="7"/>
      <c r="AO488" s="7"/>
      <c r="AP488" s="7"/>
      <c r="AQ488" s="7"/>
      <c r="AR488" s="7"/>
      <c r="AS488" s="7"/>
      <c r="AT488" s="184"/>
      <c r="AU488" s="7"/>
      <c r="AV488" s="7"/>
      <c r="AW488" s="7"/>
      <c r="AX488" s="7" t="s">
        <v>2677</v>
      </c>
      <c r="AY488" s="7" t="s">
        <v>4124</v>
      </c>
    </row>
    <row r="489" spans="1:51">
      <c r="A489" s="7" t="s">
        <v>91</v>
      </c>
      <c r="B489" s="7" t="s">
        <v>92</v>
      </c>
      <c r="C489" s="7" t="s">
        <v>106</v>
      </c>
      <c r="D489" s="7" t="s">
        <v>2665</v>
      </c>
      <c r="E489" s="7" t="s">
        <v>2666</v>
      </c>
      <c r="F489" s="7" t="s">
        <v>2667</v>
      </c>
      <c r="G489" s="7"/>
      <c r="H489" s="7" t="s">
        <v>92</v>
      </c>
      <c r="I489" s="100"/>
      <c r="J489" s="100"/>
      <c r="K489" s="100"/>
      <c r="M489" s="7"/>
      <c r="N489" s="7" t="s">
        <v>1504</v>
      </c>
      <c r="O489" s="7" t="s">
        <v>1505</v>
      </c>
      <c r="P489" s="108" t="s">
        <v>1492</v>
      </c>
      <c r="Q489" s="7" t="s">
        <v>2678</v>
      </c>
      <c r="R489" s="7">
        <v>46.3</v>
      </c>
      <c r="S489" s="7">
        <f t="shared" si="96"/>
        <v>46.3</v>
      </c>
      <c r="T489" s="7">
        <v>18.149999999999999</v>
      </c>
      <c r="U489" s="7">
        <v>2</v>
      </c>
      <c r="V489" s="7"/>
      <c r="W489" s="7"/>
      <c r="X489" s="7" t="s">
        <v>1779</v>
      </c>
      <c r="Y489" s="7" t="s">
        <v>1781</v>
      </c>
      <c r="Z489" s="7">
        <v>10</v>
      </c>
      <c r="AA489" s="7">
        <v>17</v>
      </c>
      <c r="AB489" s="108">
        <v>25.635250000000003</v>
      </c>
      <c r="AC489" s="108">
        <v>2.5635250000000003</v>
      </c>
      <c r="AD489" s="108">
        <v>4</v>
      </c>
      <c r="AE489" s="108">
        <v>37.514999999999993</v>
      </c>
      <c r="AF489" s="108">
        <v>3.7514999999999996</v>
      </c>
      <c r="AG489" s="108">
        <v>4</v>
      </c>
      <c r="AH489" s="108">
        <v>10.941875</v>
      </c>
      <c r="AI489" s="108">
        <v>1.0941875000000001</v>
      </c>
      <c r="AJ489" s="108">
        <v>4</v>
      </c>
      <c r="AK489" s="108">
        <v>39.078125</v>
      </c>
      <c r="AL489" s="108">
        <v>3.9078125000000004</v>
      </c>
      <c r="AM489" s="7">
        <v>4</v>
      </c>
      <c r="AN489" s="7"/>
      <c r="AO489" s="7"/>
      <c r="AP489" s="7"/>
      <c r="AQ489" s="7"/>
      <c r="AR489" s="7"/>
      <c r="AS489" s="7"/>
      <c r="AT489" s="184"/>
      <c r="AU489" s="7"/>
      <c r="AV489" s="7"/>
      <c r="AW489" s="7"/>
      <c r="AX489" s="7" t="s">
        <v>2679</v>
      </c>
      <c r="AY489" s="7" t="s">
        <v>4124</v>
      </c>
    </row>
    <row r="490" spans="1:51">
      <c r="A490" s="7" t="s">
        <v>91</v>
      </c>
      <c r="B490" s="7" t="s">
        <v>92</v>
      </c>
      <c r="C490" s="7" t="s">
        <v>106</v>
      </c>
      <c r="D490" s="7" t="s">
        <v>2665</v>
      </c>
      <c r="E490" s="7" t="s">
        <v>2666</v>
      </c>
      <c r="F490" s="7" t="s">
        <v>2667</v>
      </c>
      <c r="G490" s="7"/>
      <c r="H490" s="7" t="s">
        <v>92</v>
      </c>
      <c r="I490" s="100"/>
      <c r="J490" s="100"/>
      <c r="K490" s="100"/>
      <c r="M490" s="7"/>
      <c r="N490" s="7" t="s">
        <v>1504</v>
      </c>
      <c r="O490" s="7" t="s">
        <v>1505</v>
      </c>
      <c r="P490" s="108" t="s">
        <v>1492</v>
      </c>
      <c r="Q490" s="7" t="s">
        <v>2680</v>
      </c>
      <c r="R490" s="7">
        <v>43.6</v>
      </c>
      <c r="S490" s="7">
        <f t="shared" si="96"/>
        <v>43.6</v>
      </c>
      <c r="T490" s="7">
        <v>1.8</v>
      </c>
      <c r="U490" s="7">
        <v>2</v>
      </c>
      <c r="V490" s="7"/>
      <c r="W490" s="7"/>
      <c r="X490" s="7" t="s">
        <v>1779</v>
      </c>
      <c r="Y490" s="7" t="s">
        <v>1781</v>
      </c>
      <c r="Z490" s="7">
        <v>10</v>
      </c>
      <c r="AA490" s="7">
        <v>17</v>
      </c>
      <c r="AB490" s="108">
        <v>7.8156249999999998</v>
      </c>
      <c r="AC490" s="108">
        <v>0.78156250000000005</v>
      </c>
      <c r="AD490" s="108">
        <v>4</v>
      </c>
      <c r="AE490" s="108">
        <v>6.8777499999999998</v>
      </c>
      <c r="AF490" s="108">
        <v>0.68777500000000003</v>
      </c>
      <c r="AG490" s="108">
        <v>4</v>
      </c>
      <c r="AH490" s="108">
        <v>7.8156249999999998</v>
      </c>
      <c r="AI490" s="108">
        <v>0.78156250000000005</v>
      </c>
      <c r="AJ490" s="108">
        <v>4</v>
      </c>
      <c r="AK490" s="108">
        <v>20.320625000000003</v>
      </c>
      <c r="AL490" s="108">
        <v>2.0320625000000003</v>
      </c>
      <c r="AM490" s="7">
        <v>4</v>
      </c>
      <c r="AN490" s="7"/>
      <c r="AO490" s="7"/>
      <c r="AP490" s="7"/>
      <c r="AQ490" s="7"/>
      <c r="AR490" s="7"/>
      <c r="AS490" s="7"/>
      <c r="AT490" s="184"/>
      <c r="AU490" s="7"/>
      <c r="AV490" s="7"/>
      <c r="AW490" s="7"/>
      <c r="AX490" s="7" t="s">
        <v>2681</v>
      </c>
      <c r="AY490" s="7" t="s">
        <v>4124</v>
      </c>
    </row>
    <row r="491" spans="1:51">
      <c r="A491" s="7" t="s">
        <v>91</v>
      </c>
      <c r="B491" s="7" t="s">
        <v>92</v>
      </c>
      <c r="C491" s="7" t="s">
        <v>106</v>
      </c>
      <c r="D491" s="7" t="s">
        <v>2665</v>
      </c>
      <c r="E491" s="7" t="s">
        <v>2666</v>
      </c>
      <c r="F491" s="7" t="s">
        <v>2667</v>
      </c>
      <c r="G491" s="7"/>
      <c r="H491" s="7" t="s">
        <v>92</v>
      </c>
      <c r="I491" s="100"/>
      <c r="J491" s="100"/>
      <c r="K491" s="100"/>
      <c r="M491" s="7"/>
      <c r="N491" s="7" t="s">
        <v>1504</v>
      </c>
      <c r="O491" s="7" t="s">
        <v>1505</v>
      </c>
      <c r="P491" s="108" t="s">
        <v>1492</v>
      </c>
      <c r="Q491" s="7" t="s">
        <v>2682</v>
      </c>
      <c r="R491" s="7">
        <v>43.1</v>
      </c>
      <c r="S491" s="7">
        <f t="shared" si="96"/>
        <v>43.1</v>
      </c>
      <c r="T491" s="7">
        <v>5.35</v>
      </c>
      <c r="U491" s="7">
        <v>2</v>
      </c>
      <c r="V491" s="7"/>
      <c r="W491" s="7"/>
      <c r="X491" s="7" t="s">
        <v>1779</v>
      </c>
      <c r="Y491" s="7" t="s">
        <v>1781</v>
      </c>
      <c r="Z491" s="7">
        <v>14</v>
      </c>
      <c r="AA491" s="7">
        <v>24</v>
      </c>
      <c r="AB491" s="108">
        <v>26.573125000000005</v>
      </c>
      <c r="AC491" s="108">
        <v>2.6573125000000006</v>
      </c>
      <c r="AD491" s="108">
        <v>4</v>
      </c>
      <c r="AE491" s="108">
        <v>64.088125000000005</v>
      </c>
      <c r="AF491" s="108">
        <v>6.4088125000000007</v>
      </c>
      <c r="AG491" s="108">
        <v>4</v>
      </c>
      <c r="AH491" s="108">
        <v>23.446874999999999</v>
      </c>
      <c r="AI491" s="108">
        <v>2.3446875</v>
      </c>
      <c r="AJ491" s="108">
        <v>4</v>
      </c>
      <c r="AK491" s="108">
        <v>40.641250000000007</v>
      </c>
      <c r="AL491" s="108">
        <v>4.0641250000000007</v>
      </c>
      <c r="AM491" s="7">
        <v>4</v>
      </c>
      <c r="AN491" s="7"/>
      <c r="AO491" s="7"/>
      <c r="AP491" s="7"/>
      <c r="AQ491" s="7"/>
      <c r="AR491" s="7"/>
      <c r="AS491" s="7"/>
      <c r="AT491" s="184"/>
      <c r="AU491" s="7"/>
      <c r="AV491" s="7"/>
      <c r="AW491" s="7"/>
      <c r="AX491" s="7" t="s">
        <v>2683</v>
      </c>
      <c r="AY491" s="7" t="s">
        <v>4124</v>
      </c>
    </row>
    <row r="492" spans="1:51">
      <c r="A492" s="7" t="s">
        <v>91</v>
      </c>
      <c r="B492" s="7" t="s">
        <v>92</v>
      </c>
      <c r="C492" s="7" t="s">
        <v>106</v>
      </c>
      <c r="D492" s="7" t="s">
        <v>2665</v>
      </c>
      <c r="E492" s="7" t="s">
        <v>2666</v>
      </c>
      <c r="F492" s="7" t="s">
        <v>2667</v>
      </c>
      <c r="G492" s="7"/>
      <c r="H492" s="7" t="s">
        <v>92</v>
      </c>
      <c r="I492" s="100"/>
      <c r="J492" s="100"/>
      <c r="K492" s="100"/>
      <c r="M492" s="7"/>
      <c r="N492" s="7" t="s">
        <v>1504</v>
      </c>
      <c r="O492" s="7" t="s">
        <v>1505</v>
      </c>
      <c r="P492" s="108" t="s">
        <v>1492</v>
      </c>
      <c r="Q492" s="7" t="s">
        <v>2684</v>
      </c>
      <c r="R492" s="7">
        <v>39.200000000000003</v>
      </c>
      <c r="S492" s="7">
        <f t="shared" si="96"/>
        <v>39.200000000000003</v>
      </c>
      <c r="T492" s="7">
        <v>8.5</v>
      </c>
      <c r="U492" s="7">
        <v>2</v>
      </c>
      <c r="V492" s="7"/>
      <c r="W492" s="7"/>
      <c r="X492" s="7" t="s">
        <v>1779</v>
      </c>
      <c r="Y492" s="7" t="s">
        <v>1781</v>
      </c>
      <c r="Z492" s="7">
        <v>14</v>
      </c>
      <c r="AA492" s="7">
        <v>24</v>
      </c>
      <c r="AB492" s="108">
        <v>25.01</v>
      </c>
      <c r="AC492" s="108">
        <v>2.5010000000000003</v>
      </c>
      <c r="AD492" s="108">
        <v>4</v>
      </c>
      <c r="AE492" s="108">
        <v>31.887750000000008</v>
      </c>
      <c r="AF492" s="108">
        <v>3.188775000000001</v>
      </c>
      <c r="AG492" s="108">
        <v>4</v>
      </c>
      <c r="AH492" s="108">
        <v>42.204375000000006</v>
      </c>
      <c r="AI492" s="108">
        <v>4.220437500000001</v>
      </c>
      <c r="AJ492" s="108">
        <v>4</v>
      </c>
      <c r="AK492" s="108">
        <v>37.514999999999993</v>
      </c>
      <c r="AL492" s="108">
        <v>3.7514999999999996</v>
      </c>
      <c r="AM492" s="7">
        <v>4</v>
      </c>
      <c r="AN492" s="7"/>
      <c r="AO492" s="7"/>
      <c r="AP492" s="7"/>
      <c r="AQ492" s="7"/>
      <c r="AR492" s="7"/>
      <c r="AS492" s="7"/>
      <c r="AT492" s="184"/>
      <c r="AU492" s="7"/>
      <c r="AV492" s="7"/>
      <c r="AW492" s="7"/>
      <c r="AX492" s="7" t="s">
        <v>2685</v>
      </c>
      <c r="AY492" s="7" t="s">
        <v>4124</v>
      </c>
    </row>
    <row r="493" spans="1:51">
      <c r="A493" s="7" t="s">
        <v>91</v>
      </c>
      <c r="B493" s="7" t="s">
        <v>92</v>
      </c>
      <c r="C493" s="7" t="s">
        <v>106</v>
      </c>
      <c r="D493" s="7" t="s">
        <v>2665</v>
      </c>
      <c r="E493" s="7" t="s">
        <v>2666</v>
      </c>
      <c r="F493" s="7" t="s">
        <v>2667</v>
      </c>
      <c r="G493" s="7"/>
      <c r="H493" s="7" t="s">
        <v>92</v>
      </c>
      <c r="I493" s="100"/>
      <c r="J493" s="100"/>
      <c r="K493" s="100"/>
      <c r="M493" s="7"/>
      <c r="N493" s="7" t="s">
        <v>1504</v>
      </c>
      <c r="O493" s="7" t="s">
        <v>1505</v>
      </c>
      <c r="P493" s="108" t="s">
        <v>1492</v>
      </c>
      <c r="Q493" s="7" t="s">
        <v>2686</v>
      </c>
      <c r="R493" s="7">
        <v>39.1</v>
      </c>
      <c r="S493" s="7">
        <f t="shared" si="96"/>
        <v>39.1</v>
      </c>
      <c r="T493" s="7">
        <v>8.6</v>
      </c>
      <c r="U493" s="7">
        <v>2</v>
      </c>
      <c r="V493" s="7"/>
      <c r="W493" s="7"/>
      <c r="X493" s="7" t="s">
        <v>1779</v>
      </c>
      <c r="Y493" s="7" t="s">
        <v>1781</v>
      </c>
      <c r="Z493" s="7">
        <v>14</v>
      </c>
      <c r="AA493" s="7">
        <v>24</v>
      </c>
      <c r="AB493" s="108">
        <v>26.573125000000005</v>
      </c>
      <c r="AC493" s="108">
        <v>2.6573125000000006</v>
      </c>
      <c r="AD493" s="108">
        <v>4</v>
      </c>
      <c r="AE493" s="108">
        <v>31.262499999999999</v>
      </c>
      <c r="AF493" s="108">
        <v>3.1262500000000002</v>
      </c>
      <c r="AG493" s="108">
        <v>4</v>
      </c>
      <c r="AH493" s="108">
        <v>20.320625000000003</v>
      </c>
      <c r="AI493" s="108">
        <v>2.0320625000000003</v>
      </c>
      <c r="AJ493" s="108">
        <v>4</v>
      </c>
      <c r="AK493" s="108">
        <v>17.194375000000001</v>
      </c>
      <c r="AL493" s="108">
        <v>1.7194375000000002</v>
      </c>
      <c r="AM493" s="7">
        <v>4</v>
      </c>
      <c r="AN493" s="7"/>
      <c r="AO493" s="7"/>
      <c r="AP493" s="7"/>
      <c r="AQ493" s="7"/>
      <c r="AR493" s="7"/>
      <c r="AS493" s="7"/>
      <c r="AT493" s="184"/>
      <c r="AU493" s="7"/>
      <c r="AV493" s="7"/>
      <c r="AW493" s="7"/>
      <c r="AX493" s="7" t="s">
        <v>2687</v>
      </c>
      <c r="AY493" s="7" t="s">
        <v>4124</v>
      </c>
    </row>
    <row r="494" spans="1:51">
      <c r="A494" s="7" t="s">
        <v>91</v>
      </c>
      <c r="B494" s="7" t="s">
        <v>92</v>
      </c>
      <c r="C494" s="7" t="s">
        <v>160</v>
      </c>
      <c r="D494" s="7" t="s">
        <v>2688</v>
      </c>
      <c r="E494" s="7" t="s">
        <v>2689</v>
      </c>
      <c r="F494" s="7" t="s">
        <v>2690</v>
      </c>
      <c r="G494" s="7"/>
      <c r="H494" s="7" t="s">
        <v>92</v>
      </c>
      <c r="I494" s="100"/>
      <c r="J494" s="100"/>
      <c r="K494" s="100"/>
      <c r="M494" s="7"/>
      <c r="N494" s="7" t="s">
        <v>1504</v>
      </c>
      <c r="O494" s="7" t="s">
        <v>1505</v>
      </c>
      <c r="P494" s="108" t="s">
        <v>1492</v>
      </c>
      <c r="Q494" s="7" t="s">
        <v>2691</v>
      </c>
      <c r="R494" s="7">
        <v>63.2</v>
      </c>
      <c r="S494" s="7">
        <f t="shared" si="96"/>
        <v>63.2</v>
      </c>
      <c r="T494" s="7">
        <v>20.25</v>
      </c>
      <c r="U494" s="7">
        <v>2</v>
      </c>
      <c r="V494" s="7"/>
      <c r="W494" s="7"/>
      <c r="X494" s="7" t="s">
        <v>1779</v>
      </c>
      <c r="Y494" s="7" t="s">
        <v>1781</v>
      </c>
      <c r="Z494" s="7">
        <v>3</v>
      </c>
      <c r="AA494" s="7">
        <v>17</v>
      </c>
      <c r="AB494" s="108">
        <v>9.3787499999999984</v>
      </c>
      <c r="AC494" s="108">
        <v>0.9378749999999999</v>
      </c>
      <c r="AD494" s="108">
        <v>4</v>
      </c>
      <c r="AE494" s="108">
        <v>23.446874999999999</v>
      </c>
      <c r="AF494" s="108">
        <v>2.3446875</v>
      </c>
      <c r="AG494" s="108">
        <v>4</v>
      </c>
      <c r="AH494" s="108">
        <v>10.941875</v>
      </c>
      <c r="AI494" s="108">
        <v>1.0941875000000001</v>
      </c>
      <c r="AJ494" s="108">
        <v>4</v>
      </c>
      <c r="AK494" s="108">
        <v>26.573125000000005</v>
      </c>
      <c r="AL494" s="108">
        <v>2.6573125000000006</v>
      </c>
      <c r="AM494" s="7">
        <v>4</v>
      </c>
      <c r="AN494" s="7"/>
      <c r="AO494" s="7"/>
      <c r="AP494" s="7"/>
      <c r="AQ494" s="7"/>
      <c r="AR494" s="7"/>
      <c r="AS494" s="7"/>
      <c r="AT494" s="184"/>
      <c r="AU494" s="7"/>
      <c r="AV494" s="7"/>
      <c r="AW494" s="7"/>
      <c r="AX494" s="7" t="s">
        <v>2692</v>
      </c>
      <c r="AY494" s="7" t="s">
        <v>4124</v>
      </c>
    </row>
    <row r="495" spans="1:51">
      <c r="A495" s="7" t="s">
        <v>91</v>
      </c>
      <c r="B495" s="7" t="s">
        <v>92</v>
      </c>
      <c r="C495" s="7" t="s">
        <v>160</v>
      </c>
      <c r="D495" s="7" t="s">
        <v>2688</v>
      </c>
      <c r="E495" s="7" t="s">
        <v>2689</v>
      </c>
      <c r="F495" s="7" t="s">
        <v>2690</v>
      </c>
      <c r="G495" s="7"/>
      <c r="H495" s="7" t="s">
        <v>92</v>
      </c>
      <c r="I495" s="100"/>
      <c r="J495" s="100"/>
      <c r="K495" s="100"/>
      <c r="M495" s="7"/>
      <c r="N495" s="7" t="s">
        <v>1504</v>
      </c>
      <c r="O495" s="7" t="s">
        <v>1505</v>
      </c>
      <c r="P495" s="108" t="s">
        <v>1492</v>
      </c>
      <c r="Q495" s="7" t="s">
        <v>2668</v>
      </c>
      <c r="R495" s="7">
        <v>58.2</v>
      </c>
      <c r="S495" s="7">
        <f t="shared" si="96"/>
        <v>58.2</v>
      </c>
      <c r="T495" s="7">
        <v>16</v>
      </c>
      <c r="U495" s="7">
        <v>2</v>
      </c>
      <c r="V495" s="7"/>
      <c r="W495" s="7"/>
      <c r="X495" s="7" t="s">
        <v>1779</v>
      </c>
      <c r="Y495" s="7" t="s">
        <v>1781</v>
      </c>
      <c r="Z495" s="7">
        <v>3</v>
      </c>
      <c r="AA495" s="7">
        <v>17</v>
      </c>
      <c r="AB495" s="108">
        <v>6.2525000000000004</v>
      </c>
      <c r="AC495" s="108">
        <v>0.62525000000000008</v>
      </c>
      <c r="AD495" s="108">
        <v>4</v>
      </c>
      <c r="AE495" s="108">
        <v>24.38475</v>
      </c>
      <c r="AF495" s="108">
        <v>2.4384750000000004</v>
      </c>
      <c r="AG495" s="108">
        <v>4</v>
      </c>
      <c r="AH495" s="108">
        <v>7.1903749999999995</v>
      </c>
      <c r="AI495" s="108">
        <v>0.7190375</v>
      </c>
      <c r="AJ495" s="108">
        <v>4</v>
      </c>
      <c r="AK495" s="108">
        <v>15.63125</v>
      </c>
      <c r="AL495" s="108">
        <v>1.5631250000000001</v>
      </c>
      <c r="AM495" s="7">
        <v>4</v>
      </c>
      <c r="AN495" s="7"/>
      <c r="AO495" s="7"/>
      <c r="AP495" s="7"/>
      <c r="AQ495" s="7"/>
      <c r="AR495" s="7"/>
      <c r="AS495" s="7"/>
      <c r="AT495" s="184"/>
      <c r="AU495" s="7"/>
      <c r="AV495" s="7"/>
      <c r="AW495" s="7"/>
      <c r="AX495" s="7" t="s">
        <v>2693</v>
      </c>
      <c r="AY495" s="7" t="s">
        <v>4124</v>
      </c>
    </row>
    <row r="496" spans="1:51">
      <c r="A496" s="7" t="s">
        <v>91</v>
      </c>
      <c r="B496" s="7" t="s">
        <v>92</v>
      </c>
      <c r="C496" s="7" t="s">
        <v>160</v>
      </c>
      <c r="D496" s="7" t="s">
        <v>2688</v>
      </c>
      <c r="E496" s="7" t="s">
        <v>2689</v>
      </c>
      <c r="F496" s="7" t="s">
        <v>2690</v>
      </c>
      <c r="G496" s="7"/>
      <c r="H496" s="7" t="s">
        <v>92</v>
      </c>
      <c r="I496" s="100"/>
      <c r="J496" s="100"/>
      <c r="K496" s="100"/>
      <c r="M496" s="7"/>
      <c r="N496" s="7" t="s">
        <v>1504</v>
      </c>
      <c r="O496" s="7" t="s">
        <v>1505</v>
      </c>
      <c r="P496" s="108" t="s">
        <v>1492</v>
      </c>
      <c r="Q496" s="7" t="s">
        <v>2670</v>
      </c>
      <c r="R496" s="7">
        <v>55.2</v>
      </c>
      <c r="S496" s="7">
        <f t="shared" si="96"/>
        <v>55.2</v>
      </c>
      <c r="T496" s="7">
        <v>18.95</v>
      </c>
      <c r="U496" s="7">
        <v>2</v>
      </c>
      <c r="V496" s="7"/>
      <c r="W496" s="7"/>
      <c r="X496" s="7" t="s">
        <v>1779</v>
      </c>
      <c r="Y496" s="7" t="s">
        <v>1781</v>
      </c>
      <c r="Z496" s="7">
        <v>3</v>
      </c>
      <c r="AA496" s="7">
        <v>17</v>
      </c>
      <c r="AB496" s="108">
        <v>6.2525000000000004</v>
      </c>
      <c r="AC496" s="108">
        <v>0.62525000000000008</v>
      </c>
      <c r="AD496" s="108">
        <v>4</v>
      </c>
      <c r="AE496" s="108">
        <v>31.262499999999999</v>
      </c>
      <c r="AF496" s="108">
        <v>3.1262500000000002</v>
      </c>
      <c r="AG496" s="108">
        <v>4</v>
      </c>
      <c r="AH496" s="108">
        <v>6.2525000000000004</v>
      </c>
      <c r="AI496" s="108">
        <v>0.62525000000000008</v>
      </c>
      <c r="AJ496" s="108">
        <v>4</v>
      </c>
      <c r="AK496" s="108">
        <v>25.01</v>
      </c>
      <c r="AL496" s="108">
        <v>2.5010000000000003</v>
      </c>
      <c r="AM496" s="7">
        <v>4</v>
      </c>
      <c r="AN496" s="7"/>
      <c r="AO496" s="7"/>
      <c r="AP496" s="7"/>
      <c r="AQ496" s="7"/>
      <c r="AR496" s="7"/>
      <c r="AS496" s="7"/>
      <c r="AT496" s="184"/>
      <c r="AU496" s="7"/>
      <c r="AV496" s="7"/>
      <c r="AW496" s="7"/>
      <c r="AX496" s="7" t="s">
        <v>2694</v>
      </c>
      <c r="AY496" s="7" t="s">
        <v>4124</v>
      </c>
    </row>
    <row r="497" spans="1:51">
      <c r="A497" s="7" t="s">
        <v>91</v>
      </c>
      <c r="B497" s="7" t="s">
        <v>92</v>
      </c>
      <c r="C497" s="7" t="s">
        <v>160</v>
      </c>
      <c r="D497" s="7" t="s">
        <v>2688</v>
      </c>
      <c r="E497" s="7" t="s">
        <v>2689</v>
      </c>
      <c r="F497" s="7" t="s">
        <v>2690</v>
      </c>
      <c r="G497" s="7"/>
      <c r="H497" s="7" t="s">
        <v>92</v>
      </c>
      <c r="I497" s="100"/>
      <c r="J497" s="100"/>
      <c r="K497" s="100"/>
      <c r="M497" s="7"/>
      <c r="N497" s="7" t="s">
        <v>1504</v>
      </c>
      <c r="O497" s="7" t="s">
        <v>1505</v>
      </c>
      <c r="P497" s="108" t="s">
        <v>1492</v>
      </c>
      <c r="Q497" s="7" t="s">
        <v>2672</v>
      </c>
      <c r="R497" s="7">
        <v>55.5</v>
      </c>
      <c r="S497" s="7">
        <f t="shared" si="96"/>
        <v>55.5</v>
      </c>
      <c r="T497" s="7">
        <v>11.65</v>
      </c>
      <c r="U497" s="7">
        <v>2</v>
      </c>
      <c r="V497" s="7"/>
      <c r="W497" s="7"/>
      <c r="X497" s="7" t="s">
        <v>1779</v>
      </c>
      <c r="Y497" s="7" t="s">
        <v>1781</v>
      </c>
      <c r="Z497" s="7">
        <v>3</v>
      </c>
      <c r="AA497" s="7">
        <v>17</v>
      </c>
      <c r="AB497" s="108">
        <v>7.8156249999999998</v>
      </c>
      <c r="AC497" s="108">
        <v>0.78156250000000005</v>
      </c>
      <c r="AD497" s="108">
        <v>4</v>
      </c>
      <c r="AE497" s="108">
        <v>21.883749999999999</v>
      </c>
      <c r="AF497" s="108">
        <v>2.1883750000000002</v>
      </c>
      <c r="AG497" s="108">
        <v>4</v>
      </c>
      <c r="AH497" s="108">
        <v>3.7515000000000001</v>
      </c>
      <c r="AI497" s="108">
        <v>0.37515000000000004</v>
      </c>
      <c r="AJ497" s="108">
        <v>4</v>
      </c>
      <c r="AK497" s="108">
        <v>29.699375</v>
      </c>
      <c r="AL497" s="108">
        <v>2.9699375000000003</v>
      </c>
      <c r="AM497" s="7">
        <v>4</v>
      </c>
      <c r="AN497" s="7"/>
      <c r="AO497" s="7"/>
      <c r="AP497" s="7"/>
      <c r="AQ497" s="7"/>
      <c r="AR497" s="7"/>
      <c r="AS497" s="7"/>
      <c r="AT497" s="184"/>
      <c r="AU497" s="7"/>
      <c r="AV497" s="7"/>
      <c r="AW497" s="7"/>
      <c r="AX497" s="7" t="s">
        <v>2695</v>
      </c>
      <c r="AY497" s="7" t="s">
        <v>4124</v>
      </c>
    </row>
    <row r="498" spans="1:51">
      <c r="A498" s="7" t="s">
        <v>91</v>
      </c>
      <c r="B498" s="7" t="s">
        <v>92</v>
      </c>
      <c r="C498" s="7" t="s">
        <v>160</v>
      </c>
      <c r="D498" s="7" t="s">
        <v>2688</v>
      </c>
      <c r="E498" s="7" t="s">
        <v>2689</v>
      </c>
      <c r="F498" s="7" t="s">
        <v>2690</v>
      </c>
      <c r="G498" s="7"/>
      <c r="H498" s="7" t="s">
        <v>92</v>
      </c>
      <c r="I498" s="100"/>
      <c r="J498" s="100"/>
      <c r="K498" s="100"/>
      <c r="M498" s="7"/>
      <c r="N498" s="7" t="s">
        <v>1504</v>
      </c>
      <c r="O498" s="7" t="s">
        <v>1505</v>
      </c>
      <c r="P498" s="108" t="s">
        <v>1492</v>
      </c>
      <c r="Q498" s="7" t="s">
        <v>2676</v>
      </c>
      <c r="R498" s="7">
        <v>51.2</v>
      </c>
      <c r="S498" s="7">
        <f t="shared" si="96"/>
        <v>51.2</v>
      </c>
      <c r="T498" s="7">
        <v>3.7</v>
      </c>
      <c r="U498" s="7">
        <v>2</v>
      </c>
      <c r="V498" s="7"/>
      <c r="W498" s="7"/>
      <c r="X498" s="7" t="s">
        <v>1779</v>
      </c>
      <c r="Y498" s="7" t="s">
        <v>1781</v>
      </c>
      <c r="Z498" s="7">
        <v>10</v>
      </c>
      <c r="AA498" s="7">
        <v>17</v>
      </c>
      <c r="AB498" s="108">
        <v>25.01</v>
      </c>
      <c r="AC498" s="108">
        <v>2.5010000000000003</v>
      </c>
      <c r="AD498" s="108">
        <v>4</v>
      </c>
      <c r="AE498" s="108">
        <v>28.13625</v>
      </c>
      <c r="AF498" s="108">
        <v>2.813625</v>
      </c>
      <c r="AG498" s="108">
        <v>4</v>
      </c>
      <c r="AH498" s="108">
        <v>10.941875</v>
      </c>
      <c r="AI498" s="108">
        <v>1.0941875000000001</v>
      </c>
      <c r="AJ498" s="108">
        <v>4</v>
      </c>
      <c r="AK498" s="108">
        <v>26.573125000000005</v>
      </c>
      <c r="AL498" s="108">
        <v>2.6573125000000006</v>
      </c>
      <c r="AM498" s="7">
        <v>4</v>
      </c>
      <c r="AN498" s="7"/>
      <c r="AO498" s="7"/>
      <c r="AP498" s="7"/>
      <c r="AQ498" s="7"/>
      <c r="AR498" s="7"/>
      <c r="AS498" s="7"/>
      <c r="AT498" s="184"/>
      <c r="AU498" s="7"/>
      <c r="AV498" s="7"/>
      <c r="AW498" s="7"/>
      <c r="AX498" s="7" t="s">
        <v>2696</v>
      </c>
      <c r="AY498" s="7" t="s">
        <v>4124</v>
      </c>
    </row>
    <row r="499" spans="1:51">
      <c r="A499" s="7" t="s">
        <v>91</v>
      </c>
      <c r="B499" s="7" t="s">
        <v>92</v>
      </c>
      <c r="C499" s="7" t="s">
        <v>160</v>
      </c>
      <c r="D499" s="7" t="s">
        <v>2688</v>
      </c>
      <c r="E499" s="7" t="s">
        <v>2689</v>
      </c>
      <c r="F499" s="7" t="s">
        <v>2690</v>
      </c>
      <c r="G499" s="7"/>
      <c r="H499" s="7" t="s">
        <v>92</v>
      </c>
      <c r="I499" s="100"/>
      <c r="J499" s="100"/>
      <c r="K499" s="100"/>
      <c r="M499" s="7"/>
      <c r="N499" s="7" t="s">
        <v>1504</v>
      </c>
      <c r="O499" s="7" t="s">
        <v>1505</v>
      </c>
      <c r="P499" s="108" t="s">
        <v>1492</v>
      </c>
      <c r="Q499" s="7" t="s">
        <v>2678</v>
      </c>
      <c r="R499" s="7">
        <v>46.3</v>
      </c>
      <c r="S499" s="7">
        <f t="shared" si="96"/>
        <v>46.3</v>
      </c>
      <c r="T499" s="7">
        <v>18.149999999999999</v>
      </c>
      <c r="U499" s="7">
        <v>2</v>
      </c>
      <c r="V499" s="7"/>
      <c r="W499" s="7"/>
      <c r="X499" s="7" t="s">
        <v>1779</v>
      </c>
      <c r="Y499" s="7" t="s">
        <v>1781</v>
      </c>
      <c r="Z499" s="7">
        <v>10</v>
      </c>
      <c r="AA499" s="7">
        <v>17</v>
      </c>
      <c r="AB499" s="108">
        <v>4.6893749999999992</v>
      </c>
      <c r="AC499" s="108">
        <v>0.46893749999999995</v>
      </c>
      <c r="AD499" s="108">
        <v>4</v>
      </c>
      <c r="AE499" s="108">
        <v>25.01</v>
      </c>
      <c r="AF499" s="108">
        <v>2.5010000000000003</v>
      </c>
      <c r="AG499" s="108">
        <v>4</v>
      </c>
      <c r="AH499" s="108">
        <v>4.6893749999999992</v>
      </c>
      <c r="AI499" s="108">
        <v>0.46893749999999995</v>
      </c>
      <c r="AJ499" s="108">
        <v>4</v>
      </c>
      <c r="AK499" s="108">
        <v>31.262499999999999</v>
      </c>
      <c r="AL499" s="108">
        <v>3.1262500000000002</v>
      </c>
      <c r="AM499" s="7">
        <v>4</v>
      </c>
      <c r="AN499" s="7"/>
      <c r="AO499" s="7"/>
      <c r="AP499" s="7"/>
      <c r="AQ499" s="7"/>
      <c r="AR499" s="7"/>
      <c r="AS499" s="7"/>
      <c r="AT499" s="184"/>
      <c r="AU499" s="7"/>
      <c r="AV499" s="7"/>
      <c r="AW499" s="7"/>
      <c r="AX499" s="7" t="s">
        <v>2697</v>
      </c>
      <c r="AY499" s="7" t="s">
        <v>4124</v>
      </c>
    </row>
    <row r="500" spans="1:51">
      <c r="A500" s="7" t="s">
        <v>91</v>
      </c>
      <c r="B500" s="7" t="s">
        <v>92</v>
      </c>
      <c r="C500" s="7" t="s">
        <v>106</v>
      </c>
      <c r="D500" s="7" t="s">
        <v>107</v>
      </c>
      <c r="E500" s="7" t="s">
        <v>2698</v>
      </c>
      <c r="F500" s="7" t="s">
        <v>2699</v>
      </c>
      <c r="G500" s="7"/>
      <c r="H500" s="7" t="s">
        <v>92</v>
      </c>
      <c r="I500" s="100"/>
      <c r="J500" s="100"/>
      <c r="K500" s="100"/>
      <c r="M500" s="7"/>
      <c r="N500" s="7" t="s">
        <v>1504</v>
      </c>
      <c r="O500" s="7" t="s">
        <v>1505</v>
      </c>
      <c r="P500" s="108" t="s">
        <v>1492</v>
      </c>
      <c r="Q500" s="7" t="s">
        <v>2700</v>
      </c>
      <c r="R500" s="7">
        <v>42.95</v>
      </c>
      <c r="S500" s="7">
        <f t="shared" si="96"/>
        <v>42.95</v>
      </c>
      <c r="T500" s="7">
        <v>70.599999999999994</v>
      </c>
      <c r="U500" s="7">
        <v>2</v>
      </c>
      <c r="V500" s="7"/>
      <c r="W500" s="7"/>
      <c r="X500" s="7" t="s">
        <v>2701</v>
      </c>
      <c r="Y500" s="7" t="s">
        <v>2702</v>
      </c>
      <c r="Z500" s="7">
        <v>5</v>
      </c>
      <c r="AA500" s="7">
        <v>15</v>
      </c>
      <c r="AB500" s="108">
        <v>20</v>
      </c>
      <c r="AC500" s="7">
        <f>8/3.16</f>
        <v>2.5316455696202529</v>
      </c>
      <c r="AD500" s="108">
        <v>10</v>
      </c>
      <c r="AE500" s="108">
        <v>38</v>
      </c>
      <c r="AF500" s="108">
        <v>2.5</v>
      </c>
      <c r="AG500" s="108">
        <v>10</v>
      </c>
      <c r="AH500" s="108">
        <v>8</v>
      </c>
      <c r="AI500" s="7">
        <f>4/3.16</f>
        <v>1.2658227848101264</v>
      </c>
      <c r="AJ500" s="108">
        <v>10</v>
      </c>
      <c r="AK500" s="108">
        <v>20</v>
      </c>
      <c r="AL500" s="7">
        <f>6/3.16</f>
        <v>1.8987341772151898</v>
      </c>
      <c r="AM500" s="108">
        <v>10</v>
      </c>
      <c r="AN500" s="108"/>
      <c r="AO500" s="108"/>
      <c r="AP500" s="108"/>
      <c r="AQ500" s="108"/>
      <c r="AR500" s="108"/>
      <c r="AS500" s="108"/>
      <c r="AT500" s="186"/>
      <c r="AU500" s="108"/>
      <c r="AV500" s="7" t="s">
        <v>2703</v>
      </c>
      <c r="AW500" s="7"/>
      <c r="AX500" s="7" t="s">
        <v>2704</v>
      </c>
      <c r="AY500" s="7" t="s">
        <v>4124</v>
      </c>
    </row>
    <row r="501" spans="1:51">
      <c r="A501" s="7" t="s">
        <v>91</v>
      </c>
      <c r="B501" s="7" t="s">
        <v>92</v>
      </c>
      <c r="C501" s="7" t="s">
        <v>106</v>
      </c>
      <c r="D501" s="7" t="s">
        <v>107</v>
      </c>
      <c r="E501" s="7" t="s">
        <v>2698</v>
      </c>
      <c r="F501" s="7" t="s">
        <v>2699</v>
      </c>
      <c r="G501" s="7"/>
      <c r="H501" s="7" t="s">
        <v>92</v>
      </c>
      <c r="I501" s="100"/>
      <c r="J501" s="100"/>
      <c r="K501" s="100"/>
      <c r="M501" s="7"/>
      <c r="N501" s="7" t="s">
        <v>1504</v>
      </c>
      <c r="O501" s="7" t="s">
        <v>1505</v>
      </c>
      <c r="P501" s="108" t="s">
        <v>1492</v>
      </c>
      <c r="Q501" s="7" t="s">
        <v>2700</v>
      </c>
      <c r="R501" s="7">
        <v>42.95</v>
      </c>
      <c r="S501" s="7">
        <f t="shared" si="96"/>
        <v>42.95</v>
      </c>
      <c r="T501" s="7">
        <v>70.599999999999994</v>
      </c>
      <c r="U501" s="7">
        <v>2</v>
      </c>
      <c r="V501" s="7"/>
      <c r="W501" s="7"/>
      <c r="X501" s="7" t="s">
        <v>1710</v>
      </c>
      <c r="Y501" s="7" t="s">
        <v>2702</v>
      </c>
      <c r="Z501" s="7">
        <v>5</v>
      </c>
      <c r="AA501" s="7">
        <v>15</v>
      </c>
      <c r="AB501" s="108">
        <v>30</v>
      </c>
      <c r="AC501" s="7">
        <f>7/3.16</f>
        <v>2.2151898734177213</v>
      </c>
      <c r="AD501" s="108">
        <v>10</v>
      </c>
      <c r="AE501" s="108">
        <v>40</v>
      </c>
      <c r="AF501" s="108">
        <v>2.2000000000000002</v>
      </c>
      <c r="AG501" s="108">
        <v>10</v>
      </c>
      <c r="AH501" s="108">
        <v>12.5</v>
      </c>
      <c r="AI501" s="7">
        <f>3.5/3.16</f>
        <v>1.1075949367088607</v>
      </c>
      <c r="AJ501" s="108">
        <v>10</v>
      </c>
      <c r="AK501" s="108">
        <v>25</v>
      </c>
      <c r="AL501" s="7">
        <f>7/3.16</f>
        <v>2.2151898734177213</v>
      </c>
      <c r="AM501" s="108">
        <v>10</v>
      </c>
      <c r="AN501" s="108"/>
      <c r="AO501" s="108"/>
      <c r="AP501" s="108"/>
      <c r="AQ501" s="108"/>
      <c r="AR501" s="108"/>
      <c r="AS501" s="108"/>
      <c r="AT501" s="186"/>
      <c r="AU501" s="108"/>
      <c r="AV501" s="7" t="s">
        <v>2703</v>
      </c>
      <c r="AW501" s="7"/>
      <c r="AX501" s="7" t="s">
        <v>2705</v>
      </c>
      <c r="AY501" s="7" t="s">
        <v>4124</v>
      </c>
    </row>
    <row r="502" spans="1:51">
      <c r="A502" s="7" t="s">
        <v>91</v>
      </c>
      <c r="B502" s="7" t="s">
        <v>92</v>
      </c>
      <c r="C502" s="7" t="s">
        <v>106</v>
      </c>
      <c r="D502" s="7" t="s">
        <v>107</v>
      </c>
      <c r="E502" s="7" t="s">
        <v>2698</v>
      </c>
      <c r="F502" s="7" t="s">
        <v>2699</v>
      </c>
      <c r="G502" s="7"/>
      <c r="H502" s="7" t="s">
        <v>92</v>
      </c>
      <c r="I502" s="100"/>
      <c r="J502" s="100"/>
      <c r="K502" s="100"/>
      <c r="M502" s="7"/>
      <c r="N502" s="7" t="s">
        <v>1504</v>
      </c>
      <c r="O502" s="7" t="s">
        <v>1505</v>
      </c>
      <c r="P502" s="108" t="s">
        <v>1492</v>
      </c>
      <c r="Q502" s="7" t="s">
        <v>2700</v>
      </c>
      <c r="R502" s="7">
        <v>42.95</v>
      </c>
      <c r="S502" s="7">
        <f t="shared" si="96"/>
        <v>42.95</v>
      </c>
      <c r="T502" s="7">
        <v>70.599999999999994</v>
      </c>
      <c r="U502" s="7">
        <v>2</v>
      </c>
      <c r="V502" s="7"/>
      <c r="W502" s="7"/>
      <c r="X502" s="7" t="s">
        <v>1703</v>
      </c>
      <c r="Y502" s="7" t="s">
        <v>2702</v>
      </c>
      <c r="Z502" s="7">
        <v>5</v>
      </c>
      <c r="AA502" s="7">
        <v>15</v>
      </c>
      <c r="AB502" s="108">
        <v>51</v>
      </c>
      <c r="AC502" s="7">
        <f>9/3.16</f>
        <v>2.8481012658227849</v>
      </c>
      <c r="AD502" s="108">
        <v>10</v>
      </c>
      <c r="AE502" s="108">
        <v>66</v>
      </c>
      <c r="AF502" s="108">
        <v>2.8</v>
      </c>
      <c r="AG502" s="108">
        <v>10</v>
      </c>
      <c r="AH502" s="108">
        <v>24</v>
      </c>
      <c r="AI502" s="7">
        <f>3/3.16</f>
        <v>0.94936708860759489</v>
      </c>
      <c r="AJ502" s="108">
        <v>10</v>
      </c>
      <c r="AK502" s="108">
        <v>44</v>
      </c>
      <c r="AL502" s="7">
        <f>7/3.16</f>
        <v>2.2151898734177213</v>
      </c>
      <c r="AM502" s="108">
        <v>10</v>
      </c>
      <c r="AN502" s="108"/>
      <c r="AO502" s="108"/>
      <c r="AP502" s="108"/>
      <c r="AQ502" s="108"/>
      <c r="AR502" s="108"/>
      <c r="AS502" s="108"/>
      <c r="AT502" s="186"/>
      <c r="AU502" s="108"/>
      <c r="AV502" s="7" t="s">
        <v>2703</v>
      </c>
      <c r="AW502" s="7"/>
      <c r="AX502" s="7" t="s">
        <v>2706</v>
      </c>
      <c r="AY502" s="7" t="s">
        <v>4124</v>
      </c>
    </row>
    <row r="503" spans="1:51">
      <c r="A503" s="7" t="s">
        <v>91</v>
      </c>
      <c r="B503" s="7" t="s">
        <v>92</v>
      </c>
      <c r="C503" s="7" t="s">
        <v>106</v>
      </c>
      <c r="D503" s="7" t="s">
        <v>107</v>
      </c>
      <c r="E503" s="7" t="s">
        <v>2698</v>
      </c>
      <c r="F503" s="7" t="s">
        <v>2699</v>
      </c>
      <c r="G503" s="7"/>
      <c r="H503" s="7" t="s">
        <v>92</v>
      </c>
      <c r="I503" s="100"/>
      <c r="J503" s="100"/>
      <c r="K503" s="100"/>
      <c r="M503" s="7"/>
      <c r="N503" s="7" t="s">
        <v>1504</v>
      </c>
      <c r="O503" s="7" t="s">
        <v>1505</v>
      </c>
      <c r="P503" s="108" t="s">
        <v>1492</v>
      </c>
      <c r="Q503" s="7" t="s">
        <v>2700</v>
      </c>
      <c r="R503" s="7">
        <v>42.95</v>
      </c>
      <c r="S503" s="7">
        <f t="shared" si="96"/>
        <v>42.95</v>
      </c>
      <c r="T503" s="7">
        <v>70.599999999999994</v>
      </c>
      <c r="U503" s="7">
        <v>2</v>
      </c>
      <c r="V503" s="7"/>
      <c r="W503" s="7"/>
      <c r="X503" s="7" t="s">
        <v>2471</v>
      </c>
      <c r="Y503" s="7" t="s">
        <v>2702</v>
      </c>
      <c r="Z503" s="7">
        <v>5</v>
      </c>
      <c r="AA503" s="7">
        <v>15</v>
      </c>
      <c r="AB503" s="108">
        <v>17</v>
      </c>
      <c r="AC503" s="7">
        <f>6/3.16</f>
        <v>1.8987341772151898</v>
      </c>
      <c r="AD503" s="108">
        <v>10</v>
      </c>
      <c r="AE503" s="108">
        <v>25</v>
      </c>
      <c r="AF503" s="7">
        <f>5/3.16</f>
        <v>1.5822784810126582</v>
      </c>
      <c r="AG503" s="108">
        <v>10</v>
      </c>
      <c r="AH503" s="108">
        <v>4</v>
      </c>
      <c r="AI503" s="7">
        <f>2/3.16</f>
        <v>0.63291139240506322</v>
      </c>
      <c r="AJ503" s="108">
        <v>10</v>
      </c>
      <c r="AK503" s="108">
        <v>11</v>
      </c>
      <c r="AL503" s="108">
        <v>0.95</v>
      </c>
      <c r="AM503" s="108">
        <v>10</v>
      </c>
      <c r="AN503" s="108"/>
      <c r="AO503" s="108"/>
      <c r="AP503" s="108"/>
      <c r="AQ503" s="108"/>
      <c r="AR503" s="108"/>
      <c r="AS503" s="108"/>
      <c r="AT503" s="186"/>
      <c r="AU503" s="108"/>
      <c r="AV503" s="7" t="s">
        <v>2703</v>
      </c>
      <c r="AW503" s="7"/>
      <c r="AX503" s="7" t="s">
        <v>2707</v>
      </c>
      <c r="AY503" s="7" t="s">
        <v>4124</v>
      </c>
    </row>
    <row r="504" spans="1:51">
      <c r="A504" s="7" t="s">
        <v>91</v>
      </c>
      <c r="B504" s="7" t="s">
        <v>92</v>
      </c>
      <c r="C504" s="7" t="s">
        <v>106</v>
      </c>
      <c r="D504" s="7" t="s">
        <v>107</v>
      </c>
      <c r="E504" s="7" t="s">
        <v>2698</v>
      </c>
      <c r="F504" s="7" t="s">
        <v>2699</v>
      </c>
      <c r="G504" s="7"/>
      <c r="H504" s="7" t="s">
        <v>92</v>
      </c>
      <c r="I504" s="100"/>
      <c r="J504" s="100"/>
      <c r="K504" s="100"/>
      <c r="M504" s="7"/>
      <c r="N504" s="7" t="s">
        <v>1504</v>
      </c>
      <c r="O504" s="7" t="s">
        <v>1505</v>
      </c>
      <c r="P504" s="108" t="s">
        <v>1492</v>
      </c>
      <c r="Q504" s="7" t="s">
        <v>2700</v>
      </c>
      <c r="R504" s="7">
        <v>42.95</v>
      </c>
      <c r="S504" s="7">
        <f t="shared" si="96"/>
        <v>42.95</v>
      </c>
      <c r="T504" s="7">
        <v>70.599999999999994</v>
      </c>
      <c r="U504" s="7">
        <v>2</v>
      </c>
      <c r="V504" s="7"/>
      <c r="W504" s="7"/>
      <c r="X504" s="7" t="s">
        <v>2251</v>
      </c>
      <c r="Y504" s="7" t="s">
        <v>2702</v>
      </c>
      <c r="Z504" s="7">
        <v>5</v>
      </c>
      <c r="AA504" s="7">
        <v>15</v>
      </c>
      <c r="AB504" s="108">
        <v>29</v>
      </c>
      <c r="AC504" s="7">
        <f>10/3.16</f>
        <v>3.1645569620253164</v>
      </c>
      <c r="AD504" s="108">
        <v>10</v>
      </c>
      <c r="AE504" s="108">
        <v>36</v>
      </c>
      <c r="AF504" s="108">
        <v>2.5299999999999998</v>
      </c>
      <c r="AG504" s="108">
        <v>10</v>
      </c>
      <c r="AH504" s="108">
        <v>10</v>
      </c>
      <c r="AI504" s="108">
        <v>0.95</v>
      </c>
      <c r="AJ504" s="108">
        <v>10</v>
      </c>
      <c r="AK504" s="108">
        <v>21</v>
      </c>
      <c r="AL504" s="7">
        <f>10/3.16</f>
        <v>3.1645569620253164</v>
      </c>
      <c r="AM504" s="108">
        <v>10</v>
      </c>
      <c r="AN504" s="108"/>
      <c r="AO504" s="108"/>
      <c r="AP504" s="108"/>
      <c r="AQ504" s="108"/>
      <c r="AR504" s="108"/>
      <c r="AS504" s="108"/>
      <c r="AT504" s="186"/>
      <c r="AU504" s="108"/>
      <c r="AV504" s="7" t="s">
        <v>2703</v>
      </c>
      <c r="AW504" s="7"/>
      <c r="AX504" s="7" t="s">
        <v>2708</v>
      </c>
      <c r="AY504" s="7" t="s">
        <v>4124</v>
      </c>
    </row>
    <row r="505" spans="1:51">
      <c r="A505" s="7" t="s">
        <v>91</v>
      </c>
      <c r="B505" s="7" t="s">
        <v>92</v>
      </c>
      <c r="C505" s="7" t="s">
        <v>106</v>
      </c>
      <c r="D505" s="7" t="s">
        <v>107</v>
      </c>
      <c r="E505" s="7" t="s">
        <v>2698</v>
      </c>
      <c r="F505" s="7" t="s">
        <v>2699</v>
      </c>
      <c r="G505" s="7"/>
      <c r="H505" s="7" t="s">
        <v>92</v>
      </c>
      <c r="I505" s="100"/>
      <c r="J505" s="100"/>
      <c r="K505" s="100"/>
      <c r="M505" s="7"/>
      <c r="N505" s="7" t="s">
        <v>1504</v>
      </c>
      <c r="O505" s="7" t="s">
        <v>1505</v>
      </c>
      <c r="P505" s="108" t="s">
        <v>1492</v>
      </c>
      <c r="Q505" s="7" t="s">
        <v>2700</v>
      </c>
      <c r="R505" s="7">
        <v>42.95</v>
      </c>
      <c r="S505" s="7">
        <f t="shared" si="96"/>
        <v>42.95</v>
      </c>
      <c r="T505" s="7">
        <v>70.599999999999994</v>
      </c>
      <c r="U505" s="7">
        <v>2</v>
      </c>
      <c r="V505" s="7"/>
      <c r="W505" s="7"/>
      <c r="X505" s="7" t="s">
        <v>2284</v>
      </c>
      <c r="Y505" s="7" t="s">
        <v>2702</v>
      </c>
      <c r="Z505" s="7">
        <v>5</v>
      </c>
      <c r="AA505" s="7">
        <v>15</v>
      </c>
      <c r="AB505" s="108">
        <v>22.5</v>
      </c>
      <c r="AC505" s="7">
        <f>11/3.16</f>
        <v>3.481012658227848</v>
      </c>
      <c r="AD505" s="108">
        <v>10</v>
      </c>
      <c r="AE505" s="108">
        <v>33</v>
      </c>
      <c r="AF505" s="108">
        <v>3.17</v>
      </c>
      <c r="AG505" s="108">
        <v>10</v>
      </c>
      <c r="AH505" s="108">
        <v>15</v>
      </c>
      <c r="AI505" s="7">
        <f>5/3.16</f>
        <v>1.5822784810126582</v>
      </c>
      <c r="AJ505" s="108">
        <v>10</v>
      </c>
      <c r="AK505" s="108">
        <v>21.5</v>
      </c>
      <c r="AL505" s="7">
        <f>8/3.16</f>
        <v>2.5316455696202529</v>
      </c>
      <c r="AM505" s="108">
        <v>10</v>
      </c>
      <c r="AN505" s="108"/>
      <c r="AO505" s="108"/>
      <c r="AP505" s="108"/>
      <c r="AQ505" s="108"/>
      <c r="AR505" s="108"/>
      <c r="AS505" s="108"/>
      <c r="AT505" s="186"/>
      <c r="AU505" s="108"/>
      <c r="AV505" s="7" t="s">
        <v>2703</v>
      </c>
      <c r="AW505" s="7"/>
      <c r="AX505" s="7" t="s">
        <v>2709</v>
      </c>
      <c r="AY505" s="7" t="s">
        <v>4124</v>
      </c>
    </row>
    <row r="506" spans="1:51">
      <c r="A506" s="7" t="s">
        <v>91</v>
      </c>
      <c r="B506" s="7" t="s">
        <v>92</v>
      </c>
      <c r="C506" s="7" t="s">
        <v>106</v>
      </c>
      <c r="D506" s="7" t="s">
        <v>107</v>
      </c>
      <c r="E506" s="7" t="s">
        <v>2698</v>
      </c>
      <c r="F506" s="7" t="s">
        <v>2699</v>
      </c>
      <c r="G506" s="7"/>
      <c r="H506" s="7" t="s">
        <v>92</v>
      </c>
      <c r="I506" s="100"/>
      <c r="J506" s="100"/>
      <c r="K506" s="100"/>
      <c r="M506" s="7"/>
      <c r="N506" s="7" t="s">
        <v>1504</v>
      </c>
      <c r="O506" s="7" t="s">
        <v>1505</v>
      </c>
      <c r="P506" s="108" t="s">
        <v>1492</v>
      </c>
      <c r="Q506" s="7" t="s">
        <v>2700</v>
      </c>
      <c r="R506" s="7">
        <v>42.95</v>
      </c>
      <c r="S506" s="7">
        <f t="shared" ref="S506:S535" si="97">ABS(R506)</f>
        <v>42.95</v>
      </c>
      <c r="T506" s="7">
        <v>70.599999999999994</v>
      </c>
      <c r="U506" s="7">
        <v>2</v>
      </c>
      <c r="V506" s="7"/>
      <c r="W506" s="7"/>
      <c r="X506" s="7" t="s">
        <v>2320</v>
      </c>
      <c r="Y506" s="7" t="s">
        <v>2702</v>
      </c>
      <c r="Z506" s="7">
        <v>5</v>
      </c>
      <c r="AA506" s="7">
        <v>15</v>
      </c>
      <c r="AB506" s="108">
        <v>18</v>
      </c>
      <c r="AC506" s="7">
        <f>5/3.16</f>
        <v>1.5822784810126582</v>
      </c>
      <c r="AD506" s="108">
        <v>10</v>
      </c>
      <c r="AE506" s="108">
        <v>25</v>
      </c>
      <c r="AF506" s="108">
        <f>3/3.16</f>
        <v>0.94936708860759489</v>
      </c>
      <c r="AG506" s="108">
        <v>10</v>
      </c>
      <c r="AH506" s="108">
        <v>7</v>
      </c>
      <c r="AI506" s="7">
        <f>3/3.16</f>
        <v>0.94936708860759489</v>
      </c>
      <c r="AJ506" s="108">
        <v>10</v>
      </c>
      <c r="AK506" s="108">
        <v>11</v>
      </c>
      <c r="AL506" s="108">
        <v>0.9</v>
      </c>
      <c r="AM506" s="108">
        <v>10</v>
      </c>
      <c r="AN506" s="108"/>
      <c r="AO506" s="108"/>
      <c r="AP506" s="108"/>
      <c r="AQ506" s="108"/>
      <c r="AR506" s="108"/>
      <c r="AS506" s="108"/>
      <c r="AT506" s="186"/>
      <c r="AU506" s="108"/>
      <c r="AV506" s="7" t="s">
        <v>2703</v>
      </c>
      <c r="AW506" s="7"/>
      <c r="AX506" s="7" t="s">
        <v>2710</v>
      </c>
      <c r="AY506" s="7" t="s">
        <v>4124</v>
      </c>
    </row>
    <row r="507" spans="1:51">
      <c r="A507" s="7" t="s">
        <v>91</v>
      </c>
      <c r="B507" s="7" t="s">
        <v>92</v>
      </c>
      <c r="C507" s="7" t="s">
        <v>106</v>
      </c>
      <c r="D507" s="7" t="s">
        <v>107</v>
      </c>
      <c r="E507" s="7" t="s">
        <v>2698</v>
      </c>
      <c r="F507" s="7" t="s">
        <v>2699</v>
      </c>
      <c r="G507" s="7"/>
      <c r="H507" s="7" t="s">
        <v>92</v>
      </c>
      <c r="I507" s="100"/>
      <c r="J507" s="100"/>
      <c r="K507" s="100"/>
      <c r="M507" s="7"/>
      <c r="N507" s="7" t="s">
        <v>1504</v>
      </c>
      <c r="O507" s="7" t="s">
        <v>1505</v>
      </c>
      <c r="P507" s="108" t="s">
        <v>1492</v>
      </c>
      <c r="Q507" s="7" t="s">
        <v>2700</v>
      </c>
      <c r="R507" s="7">
        <v>42.95</v>
      </c>
      <c r="S507" s="7">
        <f t="shared" si="97"/>
        <v>42.95</v>
      </c>
      <c r="T507" s="7">
        <v>70.599999999999994</v>
      </c>
      <c r="U507" s="7">
        <v>2</v>
      </c>
      <c r="V507" s="7"/>
      <c r="W507" s="7"/>
      <c r="X507" s="7" t="s">
        <v>2711</v>
      </c>
      <c r="Y507" s="7" t="s">
        <v>2702</v>
      </c>
      <c r="Z507" s="7">
        <v>5</v>
      </c>
      <c r="AA507" s="7">
        <v>15</v>
      </c>
      <c r="AB507" s="108">
        <v>1.8</v>
      </c>
      <c r="AC507" s="7">
        <f>1.2/3.16</f>
        <v>0.37974683544303794</v>
      </c>
      <c r="AD507" s="108">
        <v>10</v>
      </c>
      <c r="AE507" s="108">
        <v>1.4</v>
      </c>
      <c r="AF507" s="7">
        <f>0.5/3.16</f>
        <v>0.15822784810126581</v>
      </c>
      <c r="AG507" s="108">
        <v>10</v>
      </c>
      <c r="AH507" s="108">
        <v>1.1000000000000001</v>
      </c>
      <c r="AI507" s="108">
        <v>0.38</v>
      </c>
      <c r="AJ507" s="108">
        <v>10</v>
      </c>
      <c r="AK507" s="108">
        <v>3.5</v>
      </c>
      <c r="AL507" s="7">
        <f>2/3.16</f>
        <v>0.63291139240506322</v>
      </c>
      <c r="AM507" s="108">
        <v>10</v>
      </c>
      <c r="AN507" s="108"/>
      <c r="AO507" s="108"/>
      <c r="AP507" s="108"/>
      <c r="AQ507" s="108"/>
      <c r="AR507" s="108"/>
      <c r="AS507" s="108"/>
      <c r="AT507" s="186"/>
      <c r="AU507" s="108"/>
      <c r="AV507" s="7" t="s">
        <v>2703</v>
      </c>
      <c r="AW507" s="7"/>
      <c r="AX507" s="7" t="s">
        <v>2712</v>
      </c>
      <c r="AY507" s="7" t="s">
        <v>4124</v>
      </c>
    </row>
    <row r="508" spans="1:51">
      <c r="A508" s="7" t="s">
        <v>91</v>
      </c>
      <c r="B508" s="7" t="s">
        <v>92</v>
      </c>
      <c r="C508" s="7" t="s">
        <v>2713</v>
      </c>
      <c r="D508" s="7" t="s">
        <v>2656</v>
      </c>
      <c r="E508" s="7" t="s">
        <v>2714</v>
      </c>
      <c r="F508" s="7" t="s">
        <v>2715</v>
      </c>
      <c r="G508" s="7"/>
      <c r="H508" s="7" t="s">
        <v>92</v>
      </c>
      <c r="I508" s="100"/>
      <c r="J508" s="100"/>
      <c r="K508" s="100"/>
      <c r="M508" s="7"/>
      <c r="N508" s="7" t="s">
        <v>1504</v>
      </c>
      <c r="O508" s="7" t="s">
        <v>1494</v>
      </c>
      <c r="P508" s="108" t="s">
        <v>1492</v>
      </c>
      <c r="Q508" s="7" t="s">
        <v>2716</v>
      </c>
      <c r="R508" s="7">
        <v>47.8</v>
      </c>
      <c r="S508" s="7">
        <f t="shared" si="97"/>
        <v>47.8</v>
      </c>
      <c r="T508" s="7">
        <v>64.599999999999994</v>
      </c>
      <c r="U508" s="7">
        <v>1</v>
      </c>
      <c r="V508" s="7">
        <v>28</v>
      </c>
      <c r="W508" s="7">
        <f t="shared" ref="W508:W571" si="98">LOG(V508)</f>
        <v>1.4471580313422192</v>
      </c>
      <c r="X508" s="7" t="s">
        <v>1779</v>
      </c>
      <c r="Y508" s="7" t="s">
        <v>1811</v>
      </c>
      <c r="Z508" s="7">
        <v>4</v>
      </c>
      <c r="AA508" s="7">
        <v>20</v>
      </c>
      <c r="AB508" s="108">
        <v>4.0641249999999998</v>
      </c>
      <c r="AC508" s="108">
        <v>0.62524999999999997</v>
      </c>
      <c r="AD508" s="7">
        <v>50</v>
      </c>
      <c r="AE508" s="7"/>
      <c r="AF508" s="7"/>
      <c r="AG508" s="7"/>
      <c r="AH508" s="7"/>
      <c r="AI508" s="7"/>
      <c r="AJ508" s="7"/>
      <c r="AK508" s="108">
        <v>13.7555</v>
      </c>
      <c r="AL508" s="108">
        <v>0.46893750000000001</v>
      </c>
      <c r="AM508" s="108">
        <v>50</v>
      </c>
      <c r="AN508" s="108"/>
      <c r="AO508" s="108"/>
      <c r="AP508" s="108"/>
      <c r="AQ508" s="108"/>
      <c r="AR508" s="108"/>
      <c r="AS508" s="108"/>
      <c r="AT508" s="186"/>
      <c r="AU508" s="108"/>
      <c r="AV508" s="7" t="s">
        <v>2035</v>
      </c>
      <c r="AW508" s="7"/>
      <c r="AX508" s="7" t="s">
        <v>2717</v>
      </c>
      <c r="AY508" s="7" t="s">
        <v>4124</v>
      </c>
    </row>
    <row r="509" spans="1:51">
      <c r="A509" s="7" t="s">
        <v>91</v>
      </c>
      <c r="B509" s="7" t="s">
        <v>92</v>
      </c>
      <c r="C509" s="7" t="s">
        <v>106</v>
      </c>
      <c r="D509" s="7" t="s">
        <v>107</v>
      </c>
      <c r="E509" s="7" t="s">
        <v>2666</v>
      </c>
      <c r="F509" s="7" t="s">
        <v>2658</v>
      </c>
      <c r="G509" s="7"/>
      <c r="H509" s="7" t="s">
        <v>92</v>
      </c>
      <c r="I509" s="100"/>
      <c r="J509" s="100"/>
      <c r="K509" s="100"/>
      <c r="M509" s="7"/>
      <c r="N509" s="7" t="s">
        <v>1504</v>
      </c>
      <c r="O509" s="7" t="s">
        <v>1494</v>
      </c>
      <c r="P509" s="108" t="s">
        <v>1492</v>
      </c>
      <c r="Q509" s="7" t="s">
        <v>2716</v>
      </c>
      <c r="R509" s="7">
        <v>47.8</v>
      </c>
      <c r="S509" s="7">
        <f t="shared" si="97"/>
        <v>47.8</v>
      </c>
      <c r="T509" s="7">
        <v>64.599999999999994</v>
      </c>
      <c r="U509" s="7">
        <v>1</v>
      </c>
      <c r="V509" s="7">
        <v>28</v>
      </c>
      <c r="W509" s="7">
        <f t="shared" si="98"/>
        <v>1.4471580313422192</v>
      </c>
      <c r="X509" s="7" t="s">
        <v>1779</v>
      </c>
      <c r="Y509" s="7" t="s">
        <v>1811</v>
      </c>
      <c r="Z509" s="7">
        <v>4</v>
      </c>
      <c r="AA509" s="7">
        <v>20</v>
      </c>
      <c r="AB509" s="108">
        <v>5.7835624999999995</v>
      </c>
      <c r="AC509" s="108">
        <v>0.62524999999999997</v>
      </c>
      <c r="AD509" s="7">
        <v>50</v>
      </c>
      <c r="AE509" s="7"/>
      <c r="AF509" s="7"/>
      <c r="AG509" s="7"/>
      <c r="AH509" s="7"/>
      <c r="AI509" s="7"/>
      <c r="AJ509" s="7"/>
      <c r="AK509" s="108">
        <v>26.260499999999997</v>
      </c>
      <c r="AL509" s="108">
        <v>0.62524999999999997</v>
      </c>
      <c r="AM509" s="108">
        <v>50</v>
      </c>
      <c r="AN509" s="108"/>
      <c r="AO509" s="108"/>
      <c r="AP509" s="108"/>
      <c r="AQ509" s="108"/>
      <c r="AR509" s="108"/>
      <c r="AS509" s="108"/>
      <c r="AT509" s="186"/>
      <c r="AU509" s="108"/>
      <c r="AV509" s="7" t="s">
        <v>2035</v>
      </c>
      <c r="AW509" s="7"/>
      <c r="AX509" s="7" t="s">
        <v>2718</v>
      </c>
      <c r="AY509" s="7" t="s">
        <v>4124</v>
      </c>
    </row>
    <row r="510" spans="1:51">
      <c r="A510" s="7" t="s">
        <v>91</v>
      </c>
      <c r="B510" s="7" t="s">
        <v>92</v>
      </c>
      <c r="C510" s="7"/>
      <c r="D510" s="7" t="s">
        <v>2719</v>
      </c>
      <c r="E510" s="7" t="s">
        <v>2720</v>
      </c>
      <c r="F510" s="7" t="s">
        <v>2721</v>
      </c>
      <c r="G510" s="7"/>
      <c r="H510" s="7" t="s">
        <v>92</v>
      </c>
      <c r="I510" s="100"/>
      <c r="J510" s="100"/>
      <c r="K510" s="100"/>
      <c r="M510" s="7"/>
      <c r="N510" s="7" t="s">
        <v>1538</v>
      </c>
      <c r="O510" s="7" t="s">
        <v>1505</v>
      </c>
      <c r="P510" s="108" t="s">
        <v>1492</v>
      </c>
      <c r="Q510" s="7" t="s">
        <v>2722</v>
      </c>
      <c r="R510" s="7">
        <v>36.102764000000001</v>
      </c>
      <c r="S510" s="7">
        <f t="shared" si="97"/>
        <v>36.102764000000001</v>
      </c>
      <c r="T510" s="7">
        <v>-80.260491999999999</v>
      </c>
      <c r="U510" s="7">
        <v>1</v>
      </c>
      <c r="V510" s="7">
        <v>7</v>
      </c>
      <c r="W510" s="7">
        <f t="shared" si="98"/>
        <v>0.84509804001425681</v>
      </c>
      <c r="X510" s="7" t="s">
        <v>1264</v>
      </c>
      <c r="Y510" s="7" t="s">
        <v>1781</v>
      </c>
      <c r="Z510" s="7">
        <v>15</v>
      </c>
      <c r="AA510" s="7">
        <v>25</v>
      </c>
      <c r="AB510" s="7">
        <v>7</v>
      </c>
      <c r="AC510" s="7">
        <v>0.5</v>
      </c>
      <c r="AD510" s="7">
        <v>10</v>
      </c>
      <c r="AE510" s="7">
        <v>18</v>
      </c>
      <c r="AF510" s="7">
        <v>2</v>
      </c>
      <c r="AG510" s="7">
        <v>10</v>
      </c>
      <c r="AH510" s="7">
        <v>8</v>
      </c>
      <c r="AI510" s="7">
        <v>0.5</v>
      </c>
      <c r="AJ510" s="7">
        <v>10</v>
      </c>
      <c r="AK510" s="7">
        <v>19</v>
      </c>
      <c r="AL510" s="7">
        <v>2</v>
      </c>
      <c r="AM510" s="7">
        <v>10</v>
      </c>
      <c r="AN510" s="7"/>
      <c r="AO510" s="7"/>
      <c r="AP510" s="7"/>
      <c r="AQ510" s="7"/>
      <c r="AR510" s="7"/>
      <c r="AS510" s="7"/>
      <c r="AT510" s="184"/>
      <c r="AU510" s="7"/>
      <c r="AV510" s="7"/>
      <c r="AW510" s="7"/>
      <c r="AX510" s="7" t="s">
        <v>2723</v>
      </c>
      <c r="AY510" s="7" t="s">
        <v>4124</v>
      </c>
    </row>
    <row r="511" spans="1:51">
      <c r="A511" s="7" t="s">
        <v>91</v>
      </c>
      <c r="B511" s="7" t="s">
        <v>92</v>
      </c>
      <c r="C511" s="7"/>
      <c r="D511" s="7" t="s">
        <v>2719</v>
      </c>
      <c r="E511" s="7" t="s">
        <v>2720</v>
      </c>
      <c r="F511" s="7" t="s">
        <v>2721</v>
      </c>
      <c r="G511" s="7"/>
      <c r="H511" s="7" t="s">
        <v>92</v>
      </c>
      <c r="I511" s="100"/>
      <c r="J511" s="100"/>
      <c r="K511" s="100"/>
      <c r="M511" s="7"/>
      <c r="N511" s="7" t="s">
        <v>1538</v>
      </c>
      <c r="O511" s="7" t="s">
        <v>1505</v>
      </c>
      <c r="P511" s="108" t="s">
        <v>1539</v>
      </c>
      <c r="Q511" s="7" t="s">
        <v>2722</v>
      </c>
      <c r="R511" s="7">
        <v>36.102764000000001</v>
      </c>
      <c r="S511" s="7">
        <f t="shared" si="97"/>
        <v>36.102764000000001</v>
      </c>
      <c r="T511" s="7">
        <v>-80.260491999999999</v>
      </c>
      <c r="U511" s="7">
        <v>1</v>
      </c>
      <c r="V511" s="7">
        <v>7</v>
      </c>
      <c r="W511" s="7">
        <f t="shared" si="98"/>
        <v>0.84509804001425681</v>
      </c>
      <c r="X511" s="7" t="s">
        <v>1264</v>
      </c>
      <c r="Y511" s="7" t="s">
        <v>1781</v>
      </c>
      <c r="Z511" s="7">
        <v>15</v>
      </c>
      <c r="AA511" s="7">
        <v>25</v>
      </c>
      <c r="AB511" s="7">
        <v>27</v>
      </c>
      <c r="AC511" s="7">
        <v>0.5</v>
      </c>
      <c r="AD511" s="7">
        <v>20</v>
      </c>
      <c r="AE511" s="7">
        <v>53</v>
      </c>
      <c r="AF511" s="7">
        <v>0.5</v>
      </c>
      <c r="AG511" s="7">
        <v>20</v>
      </c>
      <c r="AH511" s="7">
        <v>19</v>
      </c>
      <c r="AI511" s="7">
        <v>0.5</v>
      </c>
      <c r="AJ511" s="7">
        <v>20</v>
      </c>
      <c r="AK511" s="7">
        <v>53</v>
      </c>
      <c r="AL511" s="7">
        <v>0.5</v>
      </c>
      <c r="AM511" s="7">
        <v>20</v>
      </c>
      <c r="AN511" s="7"/>
      <c r="AO511" s="7"/>
      <c r="AP511" s="7"/>
      <c r="AQ511" s="7"/>
      <c r="AR511" s="7"/>
      <c r="AS511" s="7"/>
      <c r="AT511" s="184"/>
      <c r="AU511" s="7"/>
      <c r="AV511" s="7"/>
      <c r="AW511" s="7"/>
      <c r="AX511" s="7" t="s">
        <v>2723</v>
      </c>
      <c r="AY511" s="7" t="s">
        <v>4124</v>
      </c>
    </row>
    <row r="512" spans="1:51">
      <c r="A512" s="7" t="s">
        <v>91</v>
      </c>
      <c r="B512" s="7" t="s">
        <v>92</v>
      </c>
      <c r="C512" s="7"/>
      <c r="D512" s="7" t="s">
        <v>2719</v>
      </c>
      <c r="E512" s="7" t="s">
        <v>2724</v>
      </c>
      <c r="F512" s="7" t="s">
        <v>2725</v>
      </c>
      <c r="G512" s="7"/>
      <c r="H512" s="7" t="s">
        <v>92</v>
      </c>
      <c r="I512" s="100"/>
      <c r="J512" s="100"/>
      <c r="K512" s="100"/>
      <c r="M512" s="7"/>
      <c r="N512" s="7" t="s">
        <v>1538</v>
      </c>
      <c r="O512" s="7" t="s">
        <v>1505</v>
      </c>
      <c r="P512" s="108" t="s">
        <v>1492</v>
      </c>
      <c r="Q512" s="7" t="s">
        <v>2726</v>
      </c>
      <c r="R512" s="7">
        <v>35.491110999999997</v>
      </c>
      <c r="S512" s="7">
        <f t="shared" si="97"/>
        <v>35.491110999999997</v>
      </c>
      <c r="T512" s="7">
        <v>-80.832778000000005</v>
      </c>
      <c r="U512" s="7">
        <v>1</v>
      </c>
      <c r="V512" s="7">
        <v>7</v>
      </c>
      <c r="W512" s="7">
        <f t="shared" si="98"/>
        <v>0.84509804001425681</v>
      </c>
      <c r="X512" s="7" t="s">
        <v>1264</v>
      </c>
      <c r="Y512" s="7" t="s">
        <v>1781</v>
      </c>
      <c r="Z512" s="7">
        <v>15</v>
      </c>
      <c r="AA512" s="7">
        <v>25</v>
      </c>
      <c r="AB512" s="7">
        <v>7.5</v>
      </c>
      <c r="AC512" s="7">
        <v>0.5</v>
      </c>
      <c r="AD512" s="7">
        <v>10</v>
      </c>
      <c r="AE512" s="7">
        <v>14</v>
      </c>
      <c r="AF512" s="7">
        <v>0.5</v>
      </c>
      <c r="AG512" s="7">
        <v>10</v>
      </c>
      <c r="AH512" s="7">
        <v>7.5</v>
      </c>
      <c r="AI512" s="7">
        <v>0.5</v>
      </c>
      <c r="AJ512" s="7">
        <v>10</v>
      </c>
      <c r="AK512" s="7">
        <v>14</v>
      </c>
      <c r="AL512" s="7">
        <v>0.5</v>
      </c>
      <c r="AM512" s="7">
        <v>10</v>
      </c>
      <c r="AN512" s="7"/>
      <c r="AO512" s="7"/>
      <c r="AP512" s="7"/>
      <c r="AQ512" s="7"/>
      <c r="AR512" s="7"/>
      <c r="AS512" s="7"/>
      <c r="AT512" s="184"/>
      <c r="AU512" s="7"/>
      <c r="AV512" s="7"/>
      <c r="AW512" s="7"/>
      <c r="AX512" s="7" t="s">
        <v>2723</v>
      </c>
      <c r="AY512" s="7" t="s">
        <v>4124</v>
      </c>
    </row>
    <row r="513" spans="1:51">
      <c r="A513" s="7" t="s">
        <v>91</v>
      </c>
      <c r="B513" s="7" t="s">
        <v>92</v>
      </c>
      <c r="C513" s="7"/>
      <c r="D513" s="7" t="s">
        <v>2719</v>
      </c>
      <c r="E513" s="7" t="s">
        <v>2724</v>
      </c>
      <c r="F513" s="7" t="s">
        <v>2725</v>
      </c>
      <c r="G513" s="7"/>
      <c r="H513" s="7" t="s">
        <v>92</v>
      </c>
      <c r="I513" s="100"/>
      <c r="J513" s="100"/>
      <c r="K513" s="100"/>
      <c r="M513" s="7"/>
      <c r="N513" s="7" t="s">
        <v>1538</v>
      </c>
      <c r="O513" s="7" t="s">
        <v>1505</v>
      </c>
      <c r="P513" s="108" t="s">
        <v>1539</v>
      </c>
      <c r="Q513" s="7" t="s">
        <v>2726</v>
      </c>
      <c r="R513" s="7">
        <v>35.491110999999997</v>
      </c>
      <c r="S513" s="7">
        <f t="shared" si="97"/>
        <v>35.491110999999997</v>
      </c>
      <c r="T513" s="7">
        <v>-80.832778000000005</v>
      </c>
      <c r="U513" s="7">
        <v>1</v>
      </c>
      <c r="V513" s="7">
        <v>7</v>
      </c>
      <c r="W513" s="7">
        <f t="shared" si="98"/>
        <v>0.84509804001425681</v>
      </c>
      <c r="X513" s="7" t="s">
        <v>1264</v>
      </c>
      <c r="Y513" s="7" t="s">
        <v>1781</v>
      </c>
      <c r="Z513" s="7">
        <v>15</v>
      </c>
      <c r="AA513" s="7">
        <v>25</v>
      </c>
      <c r="AB513" s="7">
        <v>15</v>
      </c>
      <c r="AC513" s="7">
        <v>0.5</v>
      </c>
      <c r="AD513" s="7">
        <v>20</v>
      </c>
      <c r="AE513" s="7">
        <v>27</v>
      </c>
      <c r="AF513" s="7">
        <v>0.5</v>
      </c>
      <c r="AG513" s="7">
        <v>20</v>
      </c>
      <c r="AH513" s="7">
        <v>18</v>
      </c>
      <c r="AI513" s="7">
        <v>0.5</v>
      </c>
      <c r="AJ513" s="7">
        <v>20</v>
      </c>
      <c r="AK513" s="7">
        <v>43</v>
      </c>
      <c r="AL513" s="7">
        <v>3</v>
      </c>
      <c r="AM513" s="7">
        <v>20</v>
      </c>
      <c r="AN513" s="7"/>
      <c r="AO513" s="7"/>
      <c r="AP513" s="7"/>
      <c r="AQ513" s="7"/>
      <c r="AR513" s="7"/>
      <c r="AS513" s="7"/>
      <c r="AT513" s="184"/>
      <c r="AU513" s="7"/>
      <c r="AV513" s="7"/>
      <c r="AW513" s="7"/>
      <c r="AX513" s="7" t="s">
        <v>2723</v>
      </c>
      <c r="AY513" s="7" t="s">
        <v>4124</v>
      </c>
    </row>
    <row r="514" spans="1:51">
      <c r="A514" s="7" t="s">
        <v>91</v>
      </c>
      <c r="B514" s="7" t="s">
        <v>92</v>
      </c>
      <c r="C514" s="7" t="s">
        <v>2727</v>
      </c>
      <c r="D514" s="7" t="s">
        <v>2728</v>
      </c>
      <c r="E514" s="7" t="s">
        <v>2729</v>
      </c>
      <c r="F514" s="7" t="s">
        <v>2730</v>
      </c>
      <c r="G514" s="7"/>
      <c r="H514" s="7" t="s">
        <v>92</v>
      </c>
      <c r="I514" s="100"/>
      <c r="J514" s="100"/>
      <c r="K514" s="100"/>
      <c r="M514" s="7"/>
      <c r="N514" s="7" t="s">
        <v>1504</v>
      </c>
      <c r="O514" s="7" t="s">
        <v>1494</v>
      </c>
      <c r="P514" s="108" t="s">
        <v>1492</v>
      </c>
      <c r="Q514" s="7" t="s">
        <v>2731</v>
      </c>
      <c r="R514" s="7">
        <v>24.15</v>
      </c>
      <c r="S514" s="7">
        <f t="shared" si="97"/>
        <v>24.15</v>
      </c>
      <c r="T514" s="7">
        <v>110.3</v>
      </c>
      <c r="U514" s="7">
        <v>1</v>
      </c>
      <c r="V514" s="7">
        <v>14</v>
      </c>
      <c r="W514" s="7">
        <f t="shared" si="98"/>
        <v>1.146128035678238</v>
      </c>
      <c r="X514" s="7" t="s">
        <v>1779</v>
      </c>
      <c r="Y514" s="7" t="s">
        <v>1781</v>
      </c>
      <c r="Z514" s="7">
        <v>18</v>
      </c>
      <c r="AA514" s="7">
        <v>32</v>
      </c>
      <c r="AB514" s="108">
        <v>0.39</v>
      </c>
      <c r="AC514" s="108">
        <v>0.14000000000000001</v>
      </c>
      <c r="AD514" s="7">
        <v>20</v>
      </c>
      <c r="AE514" s="7"/>
      <c r="AF514" s="7"/>
      <c r="AG514" s="7"/>
      <c r="AH514" s="7"/>
      <c r="AI514" s="7"/>
      <c r="AJ514" s="7"/>
      <c r="AK514" s="108">
        <v>0.81</v>
      </c>
      <c r="AL514" s="108">
        <v>0.09</v>
      </c>
      <c r="AM514" s="108">
        <v>20</v>
      </c>
      <c r="AN514" s="108"/>
      <c r="AO514" s="108"/>
      <c r="AP514" s="108"/>
      <c r="AQ514" s="108"/>
      <c r="AR514" s="108"/>
      <c r="AS514" s="108"/>
      <c r="AT514" s="186"/>
      <c r="AU514" s="108"/>
      <c r="AV514" s="7"/>
      <c r="AW514" s="7"/>
      <c r="AX514" s="7" t="s">
        <v>2732</v>
      </c>
      <c r="AY514" s="7" t="s">
        <v>4124</v>
      </c>
    </row>
    <row r="515" spans="1:51">
      <c r="A515" s="7" t="s">
        <v>91</v>
      </c>
      <c r="B515" s="7" t="s">
        <v>212</v>
      </c>
      <c r="C515" s="7" t="s">
        <v>2733</v>
      </c>
      <c r="D515" s="7" t="s">
        <v>2734</v>
      </c>
      <c r="E515" s="7" t="s">
        <v>2735</v>
      </c>
      <c r="F515" s="7" t="s">
        <v>2736</v>
      </c>
      <c r="G515" s="7"/>
      <c r="H515" s="7" t="s">
        <v>212</v>
      </c>
      <c r="I515" s="100"/>
      <c r="J515" s="100"/>
      <c r="K515" s="100"/>
      <c r="M515" s="7"/>
      <c r="N515" s="7" t="s">
        <v>1640</v>
      </c>
      <c r="O515" s="7" t="s">
        <v>1505</v>
      </c>
      <c r="P515" s="108" t="s">
        <v>1492</v>
      </c>
      <c r="Q515" s="7" t="s">
        <v>2737</v>
      </c>
      <c r="R515" s="7">
        <v>39.553330000000003</v>
      </c>
      <c r="S515" s="7">
        <f t="shared" si="97"/>
        <v>39.553330000000003</v>
      </c>
      <c r="T515" s="7">
        <v>-95.520832999999996</v>
      </c>
      <c r="U515" s="7">
        <v>1</v>
      </c>
      <c r="V515" s="7">
        <v>21</v>
      </c>
      <c r="W515" s="7">
        <f t="shared" si="98"/>
        <v>1.3222192947339193</v>
      </c>
      <c r="X515" s="7" t="s">
        <v>1777</v>
      </c>
      <c r="Y515" s="7" t="s">
        <v>1781</v>
      </c>
      <c r="Z515" s="7">
        <v>5</v>
      </c>
      <c r="AA515" s="7">
        <v>15</v>
      </c>
      <c r="AB515" s="7">
        <v>0.94599999999999995</v>
      </c>
      <c r="AC515" s="7">
        <v>2.9000000000000001E-2</v>
      </c>
      <c r="AD515" s="7">
        <v>7</v>
      </c>
      <c r="AE515" s="7">
        <v>2.173</v>
      </c>
      <c r="AF515" s="7">
        <v>4.8000000000000001E-2</v>
      </c>
      <c r="AG515" s="7">
        <v>7</v>
      </c>
      <c r="AH515" s="7">
        <v>0.78</v>
      </c>
      <c r="AI515" s="7">
        <v>5.1999999999999998E-2</v>
      </c>
      <c r="AJ515" s="7">
        <v>7</v>
      </c>
      <c r="AK515" s="7">
        <v>1.5609999999999999</v>
      </c>
      <c r="AL515" s="7">
        <v>7.2999999999999995E-2</v>
      </c>
      <c r="AM515" s="7">
        <v>7</v>
      </c>
      <c r="AN515" s="7"/>
      <c r="AO515" s="7"/>
      <c r="AP515" s="7"/>
      <c r="AQ515" s="7"/>
      <c r="AR515" s="7"/>
      <c r="AS515" s="7"/>
      <c r="AT515" s="184"/>
      <c r="AU515" s="7"/>
      <c r="AV515" s="7" t="s">
        <v>2738</v>
      </c>
      <c r="AW515" s="7"/>
      <c r="AX515" s="7" t="s">
        <v>2739</v>
      </c>
      <c r="AY515" s="7" t="s">
        <v>4124</v>
      </c>
    </row>
    <row r="516" spans="1:51">
      <c r="A516" s="7" t="s">
        <v>91</v>
      </c>
      <c r="B516" s="7" t="s">
        <v>212</v>
      </c>
      <c r="C516" s="7" t="s">
        <v>2733</v>
      </c>
      <c r="D516" s="7" t="s">
        <v>2734</v>
      </c>
      <c r="E516" s="7" t="s">
        <v>2735</v>
      </c>
      <c r="F516" s="7" t="s">
        <v>2736</v>
      </c>
      <c r="G516" s="7"/>
      <c r="H516" s="7" t="s">
        <v>212</v>
      </c>
      <c r="I516" s="100"/>
      <c r="J516" s="100"/>
      <c r="K516" s="100"/>
      <c r="M516" s="7"/>
      <c r="N516" s="7" t="s">
        <v>1640</v>
      </c>
      <c r="O516" s="7" t="s">
        <v>1505</v>
      </c>
      <c r="P516" s="108" t="s">
        <v>1492</v>
      </c>
      <c r="Q516" s="7" t="s">
        <v>2737</v>
      </c>
      <c r="R516" s="7">
        <v>39.553330000000003</v>
      </c>
      <c r="S516" s="7">
        <f t="shared" si="97"/>
        <v>39.553330000000003</v>
      </c>
      <c r="T516" s="7">
        <v>-95.520832999999996</v>
      </c>
      <c r="U516" s="7">
        <v>1</v>
      </c>
      <c r="V516" s="7">
        <v>21</v>
      </c>
      <c r="W516" s="7">
        <f t="shared" si="98"/>
        <v>1.3222192947339193</v>
      </c>
      <c r="X516" s="7" t="s">
        <v>1777</v>
      </c>
      <c r="Y516" s="7" t="s">
        <v>1781</v>
      </c>
      <c r="Z516" s="7">
        <v>5</v>
      </c>
      <c r="AA516" s="7">
        <v>25</v>
      </c>
      <c r="AB516" s="7">
        <v>0.94599999999999995</v>
      </c>
      <c r="AC516" s="7">
        <v>2.9000000000000001E-2</v>
      </c>
      <c r="AD516" s="7">
        <v>7</v>
      </c>
      <c r="AE516" s="7">
        <v>3.3759999999999999</v>
      </c>
      <c r="AF516" s="7">
        <v>0.34</v>
      </c>
      <c r="AG516" s="7">
        <v>7</v>
      </c>
      <c r="AH516" s="7">
        <v>0.61399999999999999</v>
      </c>
      <c r="AI516" s="7">
        <v>1.6E-2</v>
      </c>
      <c r="AJ516" s="7">
        <v>7</v>
      </c>
      <c r="AK516" s="7">
        <v>2.4470000000000001</v>
      </c>
      <c r="AL516" s="7">
        <v>7.0999999999999994E-2</v>
      </c>
      <c r="AM516" s="7">
        <v>7</v>
      </c>
      <c r="AN516" s="7"/>
      <c r="AO516" s="7"/>
      <c r="AP516" s="7"/>
      <c r="AQ516" s="7"/>
      <c r="AR516" s="7"/>
      <c r="AS516" s="7"/>
      <c r="AT516" s="184"/>
      <c r="AU516" s="7"/>
      <c r="AV516" s="7" t="s">
        <v>2738</v>
      </c>
      <c r="AW516" s="7"/>
      <c r="AX516" s="7" t="s">
        <v>2739</v>
      </c>
      <c r="AY516" s="7" t="s">
        <v>4124</v>
      </c>
    </row>
    <row r="517" spans="1:51">
      <c r="A517" s="7" t="s">
        <v>91</v>
      </c>
      <c r="B517" s="7" t="s">
        <v>212</v>
      </c>
      <c r="C517" s="7" t="s">
        <v>2733</v>
      </c>
      <c r="D517" s="7" t="s">
        <v>2734</v>
      </c>
      <c r="E517" s="7" t="s">
        <v>2735</v>
      </c>
      <c r="F517" s="7" t="s">
        <v>2736</v>
      </c>
      <c r="G517" s="7"/>
      <c r="H517" s="7" t="s">
        <v>212</v>
      </c>
      <c r="I517" s="100"/>
      <c r="J517" s="100"/>
      <c r="K517" s="100"/>
      <c r="M517" s="7"/>
      <c r="N517" s="7" t="s">
        <v>1640</v>
      </c>
      <c r="O517" s="7" t="s">
        <v>1505</v>
      </c>
      <c r="P517" s="108" t="s">
        <v>1492</v>
      </c>
      <c r="Q517" s="7" t="s">
        <v>2737</v>
      </c>
      <c r="R517" s="7">
        <v>39.553330000000003</v>
      </c>
      <c r="S517" s="7">
        <f t="shared" si="97"/>
        <v>39.553330000000003</v>
      </c>
      <c r="T517" s="7">
        <v>-95.520832999999996</v>
      </c>
      <c r="U517" s="7">
        <v>1</v>
      </c>
      <c r="V517" s="7">
        <v>21</v>
      </c>
      <c r="W517" s="7">
        <f t="shared" si="98"/>
        <v>1.3222192947339193</v>
      </c>
      <c r="X517" s="7" t="s">
        <v>1777</v>
      </c>
      <c r="Y517" s="7" t="s">
        <v>1781</v>
      </c>
      <c r="Z517" s="7">
        <v>15</v>
      </c>
      <c r="AA517" s="7">
        <v>25</v>
      </c>
      <c r="AB517" s="7">
        <v>1.5609999999999999</v>
      </c>
      <c r="AC517" s="7">
        <v>7.2999999999999995E-2</v>
      </c>
      <c r="AD517" s="7">
        <v>7</v>
      </c>
      <c r="AE517" s="7">
        <v>2.403</v>
      </c>
      <c r="AF517" s="7">
        <v>0.159</v>
      </c>
      <c r="AG517" s="7">
        <v>7</v>
      </c>
      <c r="AH517" s="7">
        <v>0.78</v>
      </c>
      <c r="AI517" s="7">
        <v>5.1999999999999998E-3</v>
      </c>
      <c r="AJ517" s="7">
        <v>7</v>
      </c>
      <c r="AK517" s="7">
        <v>2.4470000000000001</v>
      </c>
      <c r="AL517" s="7">
        <v>7.0999999999999994E-2</v>
      </c>
      <c r="AM517" s="7">
        <v>7</v>
      </c>
      <c r="AN517" s="7"/>
      <c r="AO517" s="7"/>
      <c r="AP517" s="7"/>
      <c r="AQ517" s="7"/>
      <c r="AR517" s="7"/>
      <c r="AS517" s="7"/>
      <c r="AT517" s="184"/>
      <c r="AU517" s="7"/>
      <c r="AV517" s="7" t="s">
        <v>2738</v>
      </c>
      <c r="AW517" s="7"/>
      <c r="AX517" s="7" t="s">
        <v>2739</v>
      </c>
      <c r="AY517" s="7" t="s">
        <v>4124</v>
      </c>
    </row>
    <row r="518" spans="1:51">
      <c r="A518" s="7" t="s">
        <v>91</v>
      </c>
      <c r="B518" s="7" t="s">
        <v>212</v>
      </c>
      <c r="C518" s="7"/>
      <c r="D518" s="7" t="s">
        <v>2740</v>
      </c>
      <c r="E518" s="7" t="s">
        <v>2741</v>
      </c>
      <c r="F518" s="7" t="s">
        <v>2742</v>
      </c>
      <c r="G518" s="7"/>
      <c r="H518" s="7" t="s">
        <v>212</v>
      </c>
      <c r="I518" s="100"/>
      <c r="J518" s="100"/>
      <c r="K518" s="100"/>
      <c r="M518" s="7"/>
      <c r="N518" s="7" t="s">
        <v>1640</v>
      </c>
      <c r="O518" s="7" t="s">
        <v>1505</v>
      </c>
      <c r="P518" s="108" t="s">
        <v>1492</v>
      </c>
      <c r="Q518" s="7" t="s">
        <v>2743</v>
      </c>
      <c r="R518" s="7">
        <v>32.21</v>
      </c>
      <c r="S518" s="7">
        <f t="shared" si="97"/>
        <v>32.21</v>
      </c>
      <c r="T518" s="7">
        <v>24.91</v>
      </c>
      <c r="U518" s="7">
        <v>1</v>
      </c>
      <c r="V518" s="7">
        <v>16</v>
      </c>
      <c r="W518" s="7">
        <f t="shared" si="98"/>
        <v>1.2041199826559248</v>
      </c>
      <c r="X518" s="7" t="s">
        <v>1264</v>
      </c>
      <c r="Y518" s="7" t="s">
        <v>1781</v>
      </c>
      <c r="Z518" s="7">
        <v>6</v>
      </c>
      <c r="AA518" s="7">
        <v>20</v>
      </c>
      <c r="AB518" s="7">
        <v>9</v>
      </c>
      <c r="AC518" s="7">
        <v>1</v>
      </c>
      <c r="AD518" s="7">
        <v>6</v>
      </c>
      <c r="AE518" s="7">
        <v>20</v>
      </c>
      <c r="AF518" s="7">
        <v>2</v>
      </c>
      <c r="AG518" s="7">
        <v>6</v>
      </c>
      <c r="AH518" s="7">
        <v>12.5</v>
      </c>
      <c r="AI518" s="7">
        <v>2</v>
      </c>
      <c r="AJ518" s="7">
        <v>6</v>
      </c>
      <c r="AK518" s="7">
        <v>20</v>
      </c>
      <c r="AL518" s="7">
        <v>2</v>
      </c>
      <c r="AM518" s="7">
        <v>6</v>
      </c>
      <c r="AN518" s="7"/>
      <c r="AO518" s="7"/>
      <c r="AP518" s="7"/>
      <c r="AQ518" s="7"/>
      <c r="AR518" s="7"/>
      <c r="AS518" s="7"/>
      <c r="AT518" s="184"/>
      <c r="AU518" s="7"/>
      <c r="AV518" s="7" t="s">
        <v>2262</v>
      </c>
      <c r="AW518" s="7"/>
      <c r="AX518" s="7" t="s">
        <v>2744</v>
      </c>
      <c r="AY518" s="7" t="s">
        <v>4124</v>
      </c>
    </row>
    <row r="519" spans="1:51">
      <c r="A519" s="7" t="s">
        <v>91</v>
      </c>
      <c r="B519" s="7" t="s">
        <v>212</v>
      </c>
      <c r="C519" s="7" t="s">
        <v>2499</v>
      </c>
      <c r="D519" s="7" t="s">
        <v>2740</v>
      </c>
      <c r="E519" s="7" t="s">
        <v>2741</v>
      </c>
      <c r="F519" s="7" t="s">
        <v>2745</v>
      </c>
      <c r="G519" s="7"/>
      <c r="H519" s="7" t="s">
        <v>212</v>
      </c>
      <c r="I519" s="100"/>
      <c r="J519" s="100"/>
      <c r="K519" s="100"/>
      <c r="M519" s="7"/>
      <c r="N519" s="7" t="s">
        <v>1640</v>
      </c>
      <c r="O519" s="7" t="s">
        <v>1505</v>
      </c>
      <c r="P519" s="108" t="s">
        <v>1492</v>
      </c>
      <c r="Q519" s="7" t="s">
        <v>2746</v>
      </c>
      <c r="R519" s="7">
        <v>40.799999999999997</v>
      </c>
      <c r="S519" s="7">
        <f t="shared" si="97"/>
        <v>40.799999999999997</v>
      </c>
      <c r="T519" s="7">
        <v>22.05</v>
      </c>
      <c r="U519" s="7">
        <v>1</v>
      </c>
      <c r="V519" s="7">
        <v>16</v>
      </c>
      <c r="W519" s="7">
        <f t="shared" si="98"/>
        <v>1.2041199826559248</v>
      </c>
      <c r="X519" s="7" t="s">
        <v>1264</v>
      </c>
      <c r="Y519" s="7" t="s">
        <v>1781</v>
      </c>
      <c r="Z519" s="7">
        <v>6</v>
      </c>
      <c r="AA519" s="7">
        <v>20</v>
      </c>
      <c r="AB519" s="7">
        <v>6</v>
      </c>
      <c r="AC519" s="7">
        <v>1</v>
      </c>
      <c r="AD519" s="7">
        <v>6</v>
      </c>
      <c r="AE519" s="7">
        <v>18</v>
      </c>
      <c r="AF519" s="7">
        <v>2</v>
      </c>
      <c r="AG519" s="7">
        <v>6</v>
      </c>
      <c r="AH519" s="7">
        <v>9</v>
      </c>
      <c r="AI519" s="7">
        <v>2</v>
      </c>
      <c r="AJ519" s="7">
        <v>6</v>
      </c>
      <c r="AK519" s="7">
        <v>25</v>
      </c>
      <c r="AL519" s="7">
        <v>2</v>
      </c>
      <c r="AM519" s="7">
        <v>6</v>
      </c>
      <c r="AN519" s="7"/>
      <c r="AO519" s="7"/>
      <c r="AP519" s="7"/>
      <c r="AQ519" s="7"/>
      <c r="AR519" s="7"/>
      <c r="AS519" s="7"/>
      <c r="AT519" s="184"/>
      <c r="AU519" s="7"/>
      <c r="AV519" s="7" t="s">
        <v>2262</v>
      </c>
      <c r="AW519" s="7"/>
      <c r="AX519" s="7" t="s">
        <v>2744</v>
      </c>
      <c r="AY519" s="7" t="s">
        <v>4124</v>
      </c>
    </row>
    <row r="520" spans="1:51">
      <c r="A520" s="7" t="s">
        <v>91</v>
      </c>
      <c r="B520" s="7" t="s">
        <v>212</v>
      </c>
      <c r="C520" s="7" t="s">
        <v>2747</v>
      </c>
      <c r="D520" s="7" t="s">
        <v>2748</v>
      </c>
      <c r="E520" s="7" t="s">
        <v>2749</v>
      </c>
      <c r="F520" s="7" t="s">
        <v>2750</v>
      </c>
      <c r="G520" s="7"/>
      <c r="H520" s="7" t="s">
        <v>212</v>
      </c>
      <c r="I520" s="100"/>
      <c r="J520" s="100"/>
      <c r="K520" s="100"/>
      <c r="M520" s="7"/>
      <c r="N520" s="7" t="s">
        <v>1538</v>
      </c>
      <c r="O520" s="7" t="s">
        <v>1505</v>
      </c>
      <c r="P520" s="108" t="s">
        <v>1492</v>
      </c>
      <c r="Q520" s="7" t="s">
        <v>2751</v>
      </c>
      <c r="R520" s="7">
        <v>52.35</v>
      </c>
      <c r="S520" s="7">
        <f t="shared" si="97"/>
        <v>52.35</v>
      </c>
      <c r="T520" s="7">
        <v>9.6999999999999993</v>
      </c>
      <c r="U520" s="7">
        <v>1</v>
      </c>
      <c r="V520" s="7">
        <v>35</v>
      </c>
      <c r="W520" s="7">
        <f t="shared" si="98"/>
        <v>1.5440680443502757</v>
      </c>
      <c r="X520" s="7" t="s">
        <v>1779</v>
      </c>
      <c r="Y520" s="7" t="s">
        <v>2125</v>
      </c>
      <c r="Z520" s="7">
        <v>12</v>
      </c>
      <c r="AA520" s="7">
        <v>18</v>
      </c>
      <c r="AB520" s="108">
        <v>22.24</v>
      </c>
      <c r="AC520" s="108">
        <v>1.55</v>
      </c>
      <c r="AD520" s="7">
        <v>3</v>
      </c>
      <c r="AE520" s="108">
        <v>23.27</v>
      </c>
      <c r="AF520" s="108">
        <v>2.08</v>
      </c>
      <c r="AG520" s="108">
        <v>3</v>
      </c>
      <c r="AH520" s="108">
        <v>10.29</v>
      </c>
      <c r="AI520" s="108">
        <v>3.03</v>
      </c>
      <c r="AJ520" s="108">
        <v>3</v>
      </c>
      <c r="AK520" s="108">
        <v>22.28</v>
      </c>
      <c r="AL520" s="108">
        <v>3.46</v>
      </c>
      <c r="AM520" s="108">
        <v>3</v>
      </c>
      <c r="AN520" s="108"/>
      <c r="AO520" s="108"/>
      <c r="AP520" s="108"/>
      <c r="AQ520" s="108"/>
      <c r="AR520" s="108"/>
      <c r="AS520" s="108"/>
      <c r="AT520" s="186"/>
      <c r="AU520" s="108"/>
      <c r="AV520" s="7"/>
      <c r="AW520" s="7"/>
      <c r="AX520" s="7" t="s">
        <v>2752</v>
      </c>
      <c r="AY520" s="7" t="s">
        <v>4124</v>
      </c>
    </row>
    <row r="521" spans="1:51">
      <c r="A521" s="7" t="s">
        <v>91</v>
      </c>
      <c r="B521" s="7" t="s">
        <v>212</v>
      </c>
      <c r="C521" s="7"/>
      <c r="D521" s="7" t="s">
        <v>2753</v>
      </c>
      <c r="E521" s="7" t="s">
        <v>2754</v>
      </c>
      <c r="F521" s="7" t="s">
        <v>2755</v>
      </c>
      <c r="G521" s="7"/>
      <c r="H521" s="7" t="s">
        <v>212</v>
      </c>
      <c r="I521" s="100"/>
      <c r="J521" s="100"/>
      <c r="K521" s="100"/>
      <c r="M521" s="7"/>
      <c r="N521" s="7" t="s">
        <v>1504</v>
      </c>
      <c r="O521" s="7" t="s">
        <v>1505</v>
      </c>
      <c r="P521" s="108" t="s">
        <v>1492</v>
      </c>
      <c r="Q521" s="7" t="s">
        <v>2756</v>
      </c>
      <c r="R521" s="7">
        <v>42.058332999999998</v>
      </c>
      <c r="S521" s="7">
        <f t="shared" si="97"/>
        <v>42.058332999999998</v>
      </c>
      <c r="T521" s="7">
        <v>-70.179167000000007</v>
      </c>
      <c r="U521" s="7">
        <v>1</v>
      </c>
      <c r="V521" s="7">
        <v>18</v>
      </c>
      <c r="W521" s="7">
        <f t="shared" si="98"/>
        <v>1.255272505103306</v>
      </c>
      <c r="X521" s="7" t="s">
        <v>1779</v>
      </c>
      <c r="Y521" s="7" t="s">
        <v>1781</v>
      </c>
      <c r="Z521" s="7">
        <v>4</v>
      </c>
      <c r="AA521" s="7">
        <v>21</v>
      </c>
      <c r="AB521" s="7">
        <v>0.67</v>
      </c>
      <c r="AC521" s="7">
        <v>0.1</v>
      </c>
      <c r="AD521" s="7">
        <v>15</v>
      </c>
      <c r="AE521" s="7">
        <v>2.2400000000000002</v>
      </c>
      <c r="AF521" s="7">
        <v>0.31</v>
      </c>
      <c r="AG521" s="7">
        <v>15</v>
      </c>
      <c r="AH521" s="7">
        <v>0.61</v>
      </c>
      <c r="AI521" s="7">
        <v>0.05</v>
      </c>
      <c r="AJ521" s="7">
        <v>15</v>
      </c>
      <c r="AK521" s="7">
        <v>2.71</v>
      </c>
      <c r="AL521" s="7">
        <v>0.19</v>
      </c>
      <c r="AM521" s="7">
        <v>15</v>
      </c>
      <c r="AN521" s="7"/>
      <c r="AO521" s="7"/>
      <c r="AP521" s="7"/>
      <c r="AQ521" s="7"/>
      <c r="AR521" s="7"/>
      <c r="AS521" s="7"/>
      <c r="AT521" s="184"/>
      <c r="AU521" s="7"/>
      <c r="AV521" s="7" t="s">
        <v>2757</v>
      </c>
      <c r="AW521" s="7" t="s">
        <v>2758</v>
      </c>
      <c r="AX521" s="7" t="s">
        <v>2759</v>
      </c>
      <c r="AY521" s="7" t="s">
        <v>4124</v>
      </c>
    </row>
    <row r="522" spans="1:51">
      <c r="A522" s="7" t="s">
        <v>91</v>
      </c>
      <c r="B522" s="7" t="s">
        <v>212</v>
      </c>
      <c r="C522" s="7" t="s">
        <v>2499</v>
      </c>
      <c r="D522" s="7" t="s">
        <v>2753</v>
      </c>
      <c r="E522" s="7" t="s">
        <v>2754</v>
      </c>
      <c r="F522" s="7" t="s">
        <v>2594</v>
      </c>
      <c r="G522" s="7"/>
      <c r="H522" s="7" t="s">
        <v>212</v>
      </c>
      <c r="I522" s="100"/>
      <c r="J522" s="100"/>
      <c r="K522" s="100"/>
      <c r="M522" s="7"/>
      <c r="N522" s="7" t="s">
        <v>1504</v>
      </c>
      <c r="O522" s="7" t="s">
        <v>1505</v>
      </c>
      <c r="P522" s="108" t="s">
        <v>1492</v>
      </c>
      <c r="Q522" s="7" t="s">
        <v>2756</v>
      </c>
      <c r="R522" s="7">
        <v>42.058332999999998</v>
      </c>
      <c r="S522" s="7">
        <f t="shared" si="97"/>
        <v>42.058332999999998</v>
      </c>
      <c r="T522" s="7">
        <v>-70.179167000000007</v>
      </c>
      <c r="U522" s="7">
        <v>1</v>
      </c>
      <c r="V522" s="7">
        <v>18</v>
      </c>
      <c r="W522" s="7">
        <f t="shared" si="98"/>
        <v>1.255272505103306</v>
      </c>
      <c r="X522" s="7" t="s">
        <v>1779</v>
      </c>
      <c r="Y522" s="7" t="s">
        <v>1781</v>
      </c>
      <c r="Z522" s="7">
        <v>4</v>
      </c>
      <c r="AA522" s="7">
        <v>21</v>
      </c>
      <c r="AB522" s="7">
        <v>0.28000000000000003</v>
      </c>
      <c r="AC522" s="7">
        <v>0.04</v>
      </c>
      <c r="AD522" s="7">
        <v>15</v>
      </c>
      <c r="AE522" s="7">
        <v>2.61</v>
      </c>
      <c r="AF522" s="7">
        <v>0.25</v>
      </c>
      <c r="AG522" s="7">
        <v>15</v>
      </c>
      <c r="AH522" s="7">
        <v>0.34</v>
      </c>
      <c r="AI522" s="7">
        <v>0.02</v>
      </c>
      <c r="AJ522" s="7">
        <v>15</v>
      </c>
      <c r="AK522" s="7">
        <v>2.4500000000000002</v>
      </c>
      <c r="AL522" s="7">
        <v>0.16</v>
      </c>
      <c r="AM522" s="7">
        <v>15</v>
      </c>
      <c r="AN522" s="7"/>
      <c r="AO522" s="7"/>
      <c r="AP522" s="7"/>
      <c r="AQ522" s="7"/>
      <c r="AR522" s="7"/>
      <c r="AS522" s="7"/>
      <c r="AT522" s="184"/>
      <c r="AU522" s="7"/>
      <c r="AV522" s="7" t="s">
        <v>2760</v>
      </c>
      <c r="AW522" s="7" t="s">
        <v>2761</v>
      </c>
      <c r="AX522" s="7" t="s">
        <v>2759</v>
      </c>
      <c r="AY522" s="7" t="s">
        <v>4124</v>
      </c>
    </row>
    <row r="523" spans="1:51">
      <c r="A523" s="7" t="s">
        <v>91</v>
      </c>
      <c r="B523" s="7" t="s">
        <v>212</v>
      </c>
      <c r="C523" s="7" t="s">
        <v>2762</v>
      </c>
      <c r="D523" s="7" t="s">
        <v>2763</v>
      </c>
      <c r="E523" s="7" t="s">
        <v>2764</v>
      </c>
      <c r="F523" s="7" t="s">
        <v>2765</v>
      </c>
      <c r="G523" s="7"/>
      <c r="H523" s="7" t="s">
        <v>212</v>
      </c>
      <c r="I523" s="100"/>
      <c r="J523" s="100"/>
      <c r="K523" s="100"/>
      <c r="M523" s="7"/>
      <c r="N523" s="7" t="s">
        <v>1504</v>
      </c>
      <c r="O523" s="7" t="s">
        <v>1505</v>
      </c>
      <c r="P523" s="108" t="s">
        <v>1492</v>
      </c>
      <c r="Q523" s="7" t="s">
        <v>2766</v>
      </c>
      <c r="R523" s="7">
        <v>67.55</v>
      </c>
      <c r="S523" s="7">
        <f t="shared" si="97"/>
        <v>67.55</v>
      </c>
      <c r="T523" s="7">
        <v>68.010000000000005</v>
      </c>
      <c r="U523" s="7">
        <v>1</v>
      </c>
      <c r="V523" s="7">
        <v>270</v>
      </c>
      <c r="W523" s="7">
        <f t="shared" si="98"/>
        <v>2.4313637641589874</v>
      </c>
      <c r="X523" s="7" t="s">
        <v>2767</v>
      </c>
      <c r="Y523" s="7"/>
      <c r="Z523" s="7">
        <v>-0.3</v>
      </c>
      <c r="AA523" s="7">
        <v>2.9</v>
      </c>
      <c r="AB523" s="7">
        <v>690</v>
      </c>
      <c r="AC523" s="7">
        <v>220</v>
      </c>
      <c r="AD523" s="7">
        <v>9</v>
      </c>
      <c r="AE523" s="108">
        <v>390</v>
      </c>
      <c r="AF523" s="108">
        <v>120</v>
      </c>
      <c r="AG523" s="108">
        <v>4</v>
      </c>
      <c r="AH523" s="108">
        <v>210</v>
      </c>
      <c r="AI523" s="108">
        <v>100</v>
      </c>
      <c r="AJ523" s="7">
        <v>11</v>
      </c>
      <c r="AK523" s="108">
        <v>1040</v>
      </c>
      <c r="AL523" s="108">
        <v>300</v>
      </c>
      <c r="AM523" s="108">
        <v>7</v>
      </c>
      <c r="AN523" s="108"/>
      <c r="AO523" s="108"/>
      <c r="AP523" s="108"/>
      <c r="AQ523" s="108"/>
      <c r="AR523" s="108"/>
      <c r="AS523" s="108"/>
      <c r="AT523" s="186"/>
      <c r="AU523" s="108"/>
      <c r="AV523" s="7"/>
      <c r="AW523" s="7"/>
      <c r="AX523" s="7" t="s">
        <v>2768</v>
      </c>
      <c r="AY523" s="7" t="s">
        <v>4124</v>
      </c>
    </row>
    <row r="524" spans="1:51">
      <c r="A524" s="7" t="s">
        <v>91</v>
      </c>
      <c r="B524" s="7" t="s">
        <v>212</v>
      </c>
      <c r="C524" s="7" t="s">
        <v>2769</v>
      </c>
      <c r="D524" s="7" t="s">
        <v>2770</v>
      </c>
      <c r="E524" s="7" t="s">
        <v>2771</v>
      </c>
      <c r="F524" s="7" t="s">
        <v>2772</v>
      </c>
      <c r="G524" s="7"/>
      <c r="H524" s="7" t="s">
        <v>212</v>
      </c>
      <c r="I524" s="100"/>
      <c r="J524" s="100"/>
      <c r="K524" s="100"/>
      <c r="M524" s="7"/>
      <c r="N524" s="7" t="s">
        <v>1504</v>
      </c>
      <c r="O524" s="7" t="s">
        <v>1505</v>
      </c>
      <c r="P524" s="108" t="s">
        <v>1492</v>
      </c>
      <c r="Q524" s="7" t="s">
        <v>2773</v>
      </c>
      <c r="R524" s="7">
        <v>56.942777999999997</v>
      </c>
      <c r="S524" s="7">
        <f t="shared" si="97"/>
        <v>56.942777999999997</v>
      </c>
      <c r="T524" s="7">
        <v>9.0749999999999993</v>
      </c>
      <c r="U524" s="7">
        <v>1</v>
      </c>
      <c r="V524" s="7">
        <v>50</v>
      </c>
      <c r="W524" s="7">
        <f t="shared" si="98"/>
        <v>1.6989700043360187</v>
      </c>
      <c r="X524" s="7" t="s">
        <v>1779</v>
      </c>
      <c r="Y524" s="7" t="s">
        <v>2774</v>
      </c>
      <c r="Z524" s="7">
        <v>5</v>
      </c>
      <c r="AA524" s="7">
        <v>10</v>
      </c>
      <c r="AB524" s="7">
        <v>21.9</v>
      </c>
      <c r="AC524" s="7">
        <v>4.3</v>
      </c>
      <c r="AD524" s="7">
        <v>6</v>
      </c>
      <c r="AE524" s="7">
        <v>41.6</v>
      </c>
      <c r="AF524" s="7">
        <v>4.5999999999999996</v>
      </c>
      <c r="AG524" s="7">
        <v>6</v>
      </c>
      <c r="AH524" s="7"/>
      <c r="AI524" s="7"/>
      <c r="AJ524" s="7"/>
      <c r="AK524" s="7">
        <v>19.399999999999999</v>
      </c>
      <c r="AL524" s="7">
        <v>0.9</v>
      </c>
      <c r="AM524" s="7">
        <v>6</v>
      </c>
      <c r="AN524" s="7"/>
      <c r="AO524" s="7"/>
      <c r="AP524" s="7"/>
      <c r="AQ524" s="7"/>
      <c r="AR524" s="7"/>
      <c r="AS524" s="7"/>
      <c r="AT524" s="184"/>
      <c r="AU524" s="7"/>
      <c r="AV524" s="7" t="s">
        <v>2399</v>
      </c>
      <c r="AW524" s="7"/>
      <c r="AX524" s="7" t="s">
        <v>2775</v>
      </c>
      <c r="AY524" s="7" t="s">
        <v>4124</v>
      </c>
    </row>
    <row r="525" spans="1:51">
      <c r="A525" s="7" t="s">
        <v>91</v>
      </c>
      <c r="B525" s="7" t="s">
        <v>212</v>
      </c>
      <c r="C525" s="7" t="s">
        <v>2769</v>
      </c>
      <c r="D525" s="7" t="s">
        <v>2770</v>
      </c>
      <c r="E525" s="7" t="s">
        <v>2771</v>
      </c>
      <c r="F525" s="7" t="s">
        <v>2772</v>
      </c>
      <c r="G525" s="7"/>
      <c r="H525" s="7" t="s">
        <v>212</v>
      </c>
      <c r="I525" s="100"/>
      <c r="J525" s="100"/>
      <c r="K525" s="100"/>
      <c r="M525" s="7"/>
      <c r="N525" s="7" t="s">
        <v>1504</v>
      </c>
      <c r="O525" s="7" t="s">
        <v>1505</v>
      </c>
      <c r="P525" s="108" t="s">
        <v>1492</v>
      </c>
      <c r="Q525" s="7" t="s">
        <v>2773</v>
      </c>
      <c r="R525" s="7">
        <v>56.942777999999997</v>
      </c>
      <c r="S525" s="7">
        <f t="shared" si="97"/>
        <v>56.942777999999997</v>
      </c>
      <c r="T525" s="7">
        <v>9.0749999999999993</v>
      </c>
      <c r="U525" s="7">
        <v>1</v>
      </c>
      <c r="V525" s="7">
        <v>50</v>
      </c>
      <c r="W525" s="7">
        <f t="shared" si="98"/>
        <v>1.6989700043360187</v>
      </c>
      <c r="X525" s="7" t="s">
        <v>1779</v>
      </c>
      <c r="Y525" s="7" t="s">
        <v>2774</v>
      </c>
      <c r="Z525" s="7">
        <v>5</v>
      </c>
      <c r="AA525" s="7">
        <v>15</v>
      </c>
      <c r="AB525" s="7">
        <v>21.9</v>
      </c>
      <c r="AC525" s="7">
        <v>4.3</v>
      </c>
      <c r="AD525" s="7">
        <v>6</v>
      </c>
      <c r="AE525" s="7">
        <v>68.400000000000006</v>
      </c>
      <c r="AF525" s="7">
        <v>3.8</v>
      </c>
      <c r="AG525" s="7">
        <v>6</v>
      </c>
      <c r="AH525" s="7">
        <v>7.4</v>
      </c>
      <c r="AI525" s="7">
        <v>1.3</v>
      </c>
      <c r="AJ525" s="7">
        <v>6</v>
      </c>
      <c r="AK525" s="7">
        <v>40.200000000000003</v>
      </c>
      <c r="AL525" s="7">
        <v>6.2</v>
      </c>
      <c r="AM525" s="7">
        <v>6</v>
      </c>
      <c r="AN525" s="7"/>
      <c r="AO525" s="7"/>
      <c r="AP525" s="7"/>
      <c r="AQ525" s="7"/>
      <c r="AR525" s="7"/>
      <c r="AS525" s="7"/>
      <c r="AT525" s="184"/>
      <c r="AU525" s="7"/>
      <c r="AV525" s="7" t="s">
        <v>2399</v>
      </c>
      <c r="AW525" s="7"/>
      <c r="AX525" s="7" t="s">
        <v>2775</v>
      </c>
      <c r="AY525" s="7" t="s">
        <v>4124</v>
      </c>
    </row>
    <row r="526" spans="1:51">
      <c r="A526" s="7" t="s">
        <v>91</v>
      </c>
      <c r="B526" s="7" t="s">
        <v>212</v>
      </c>
      <c r="C526" s="7" t="s">
        <v>2769</v>
      </c>
      <c r="D526" s="7" t="s">
        <v>2770</v>
      </c>
      <c r="E526" s="7" t="s">
        <v>2771</v>
      </c>
      <c r="F526" s="7" t="s">
        <v>2772</v>
      </c>
      <c r="G526" s="7"/>
      <c r="H526" s="7" t="s">
        <v>212</v>
      </c>
      <c r="I526" s="100"/>
      <c r="J526" s="100"/>
      <c r="K526" s="100"/>
      <c r="M526" s="7"/>
      <c r="N526" s="7" t="s">
        <v>1504</v>
      </c>
      <c r="O526" s="7" t="s">
        <v>1505</v>
      </c>
      <c r="P526" s="108" t="s">
        <v>1492</v>
      </c>
      <c r="Q526" s="7" t="s">
        <v>2773</v>
      </c>
      <c r="R526" s="7">
        <v>56.942777999999997</v>
      </c>
      <c r="S526" s="7">
        <f t="shared" si="97"/>
        <v>56.942777999999997</v>
      </c>
      <c r="T526" s="7">
        <v>9.0749999999999993</v>
      </c>
      <c r="U526" s="7">
        <v>1</v>
      </c>
      <c r="V526" s="7">
        <v>50</v>
      </c>
      <c r="W526" s="7">
        <f t="shared" si="98"/>
        <v>1.6989700043360187</v>
      </c>
      <c r="X526" s="7" t="s">
        <v>1779</v>
      </c>
      <c r="Y526" s="7" t="s">
        <v>2774</v>
      </c>
      <c r="Z526" s="7">
        <v>5</v>
      </c>
      <c r="AA526" s="7">
        <v>20</v>
      </c>
      <c r="AB526" s="7">
        <v>21.9</v>
      </c>
      <c r="AC526" s="7">
        <v>4.3</v>
      </c>
      <c r="AD526" s="7">
        <v>6</v>
      </c>
      <c r="AE526" s="7">
        <v>76.400000000000006</v>
      </c>
      <c r="AF526" s="7">
        <v>9.6</v>
      </c>
      <c r="AG526" s="7">
        <v>6</v>
      </c>
      <c r="AH526" s="7">
        <v>16.899999999999999</v>
      </c>
      <c r="AI526" s="7">
        <v>2</v>
      </c>
      <c r="AJ526" s="7">
        <v>6</v>
      </c>
      <c r="AK526" s="7">
        <v>44.9</v>
      </c>
      <c r="AL526" s="7">
        <v>6.3</v>
      </c>
      <c r="AM526" s="7">
        <v>6</v>
      </c>
      <c r="AN526" s="7"/>
      <c r="AO526" s="7"/>
      <c r="AP526" s="7"/>
      <c r="AQ526" s="7"/>
      <c r="AR526" s="7"/>
      <c r="AS526" s="7"/>
      <c r="AT526" s="184"/>
      <c r="AU526" s="7"/>
      <c r="AV526" s="7" t="s">
        <v>2399</v>
      </c>
      <c r="AW526" s="7"/>
      <c r="AX526" s="7" t="s">
        <v>2775</v>
      </c>
      <c r="AY526" s="7" t="s">
        <v>4124</v>
      </c>
    </row>
    <row r="527" spans="1:51">
      <c r="A527" s="7" t="s">
        <v>91</v>
      </c>
      <c r="B527" s="7" t="s">
        <v>212</v>
      </c>
      <c r="C527" s="7" t="s">
        <v>2769</v>
      </c>
      <c r="D527" s="7" t="s">
        <v>2770</v>
      </c>
      <c r="E527" s="7" t="s">
        <v>2771</v>
      </c>
      <c r="F527" s="7" t="s">
        <v>2772</v>
      </c>
      <c r="G527" s="7"/>
      <c r="H527" s="7" t="s">
        <v>212</v>
      </c>
      <c r="I527" s="100"/>
      <c r="J527" s="100"/>
      <c r="K527" s="100"/>
      <c r="M527" s="7"/>
      <c r="N527" s="7" t="s">
        <v>1504</v>
      </c>
      <c r="O527" s="7" t="s">
        <v>1505</v>
      </c>
      <c r="P527" s="108" t="s">
        <v>1492</v>
      </c>
      <c r="Q527" s="7" t="s">
        <v>2773</v>
      </c>
      <c r="R527" s="7">
        <v>56.942777999999997</v>
      </c>
      <c r="S527" s="7">
        <f t="shared" si="97"/>
        <v>56.942777999999997</v>
      </c>
      <c r="T527" s="7">
        <v>9.0749999999999993</v>
      </c>
      <c r="U527" s="7">
        <v>1</v>
      </c>
      <c r="V527" s="7">
        <v>50</v>
      </c>
      <c r="W527" s="7">
        <f t="shared" si="98"/>
        <v>1.6989700043360187</v>
      </c>
      <c r="X527" s="7" t="s">
        <v>1779</v>
      </c>
      <c r="Y527" s="7" t="s">
        <v>2774</v>
      </c>
      <c r="Z527" s="7">
        <v>5</v>
      </c>
      <c r="AA527" s="7">
        <v>25</v>
      </c>
      <c r="AB527" s="7">
        <v>21.9</v>
      </c>
      <c r="AC527" s="7">
        <v>4.3</v>
      </c>
      <c r="AD527" s="7">
        <v>6</v>
      </c>
      <c r="AE527" s="7">
        <v>104</v>
      </c>
      <c r="AF527" s="7">
        <v>6</v>
      </c>
      <c r="AG527" s="7">
        <v>6</v>
      </c>
      <c r="AH527" s="7">
        <v>20.399999999999999</v>
      </c>
      <c r="AI527" s="7">
        <v>3</v>
      </c>
      <c r="AJ527" s="7">
        <v>6</v>
      </c>
      <c r="AK527" s="7">
        <v>53.4</v>
      </c>
      <c r="AL527" s="7">
        <v>10.4</v>
      </c>
      <c r="AM527" s="7">
        <v>6</v>
      </c>
      <c r="AN527" s="7"/>
      <c r="AO527" s="7"/>
      <c r="AP527" s="7"/>
      <c r="AQ527" s="7"/>
      <c r="AR527" s="7"/>
      <c r="AS527" s="7"/>
      <c r="AT527" s="184"/>
      <c r="AU527" s="7"/>
      <c r="AV527" s="7" t="s">
        <v>2399</v>
      </c>
      <c r="AW527" s="7"/>
      <c r="AX527" s="7" t="s">
        <v>2775</v>
      </c>
      <c r="AY527" s="7" t="s">
        <v>4124</v>
      </c>
    </row>
    <row r="528" spans="1:51">
      <c r="A528" s="7" t="s">
        <v>91</v>
      </c>
      <c r="B528" s="7" t="s">
        <v>212</v>
      </c>
      <c r="C528" s="7" t="s">
        <v>2769</v>
      </c>
      <c r="D528" s="7" t="s">
        <v>2770</v>
      </c>
      <c r="E528" s="7" t="s">
        <v>2771</v>
      </c>
      <c r="F528" s="7" t="s">
        <v>2772</v>
      </c>
      <c r="G528" s="7"/>
      <c r="H528" s="7" t="s">
        <v>212</v>
      </c>
      <c r="I528" s="100"/>
      <c r="J528" s="100"/>
      <c r="K528" s="100"/>
      <c r="M528" s="7"/>
      <c r="N528" s="7" t="s">
        <v>1504</v>
      </c>
      <c r="O528" s="7" t="s">
        <v>1505</v>
      </c>
      <c r="P528" s="108" t="s">
        <v>1492</v>
      </c>
      <c r="Q528" s="7" t="s">
        <v>2773</v>
      </c>
      <c r="R528" s="7">
        <v>56.942777999999997</v>
      </c>
      <c r="S528" s="7">
        <f t="shared" si="97"/>
        <v>56.942777999999997</v>
      </c>
      <c r="T528" s="7">
        <v>9.0749999999999993</v>
      </c>
      <c r="U528" s="7">
        <v>1</v>
      </c>
      <c r="V528" s="7">
        <v>50</v>
      </c>
      <c r="W528" s="7">
        <f t="shared" si="98"/>
        <v>1.6989700043360187</v>
      </c>
      <c r="X528" s="7" t="s">
        <v>1779</v>
      </c>
      <c r="Y528" s="7" t="s">
        <v>2774</v>
      </c>
      <c r="Z528" s="7">
        <v>10</v>
      </c>
      <c r="AA528" s="7">
        <v>15</v>
      </c>
      <c r="AB528" s="7">
        <v>19.399999999999999</v>
      </c>
      <c r="AC528" s="7">
        <v>0.9</v>
      </c>
      <c r="AD528" s="7">
        <v>6</v>
      </c>
      <c r="AE528" s="7">
        <v>30</v>
      </c>
      <c r="AF528" s="7">
        <v>2.8</v>
      </c>
      <c r="AG528" s="7">
        <v>6</v>
      </c>
      <c r="AH528" s="7">
        <v>32.200000000000003</v>
      </c>
      <c r="AI528" s="7">
        <v>3.8</v>
      </c>
      <c r="AJ528" s="7">
        <v>6</v>
      </c>
      <c r="AK528" s="7">
        <v>40.200000000000003</v>
      </c>
      <c r="AL528" s="7">
        <v>6.2</v>
      </c>
      <c r="AM528" s="7">
        <v>6</v>
      </c>
      <c r="AN528" s="7"/>
      <c r="AO528" s="7"/>
      <c r="AP528" s="7"/>
      <c r="AQ528" s="7"/>
      <c r="AR528" s="7"/>
      <c r="AS528" s="7"/>
      <c r="AT528" s="184"/>
      <c r="AU528" s="7"/>
      <c r="AV528" s="7" t="s">
        <v>2399</v>
      </c>
      <c r="AW528" s="7"/>
      <c r="AX528" s="7" t="s">
        <v>2775</v>
      </c>
      <c r="AY528" s="7" t="s">
        <v>4124</v>
      </c>
    </row>
    <row r="529" spans="1:51">
      <c r="A529" s="7" t="s">
        <v>91</v>
      </c>
      <c r="B529" s="7" t="s">
        <v>212</v>
      </c>
      <c r="C529" s="7" t="s">
        <v>2769</v>
      </c>
      <c r="D529" s="7" t="s">
        <v>2770</v>
      </c>
      <c r="E529" s="7" t="s">
        <v>2771</v>
      </c>
      <c r="F529" s="7" t="s">
        <v>2772</v>
      </c>
      <c r="G529" s="7"/>
      <c r="H529" s="7" t="s">
        <v>212</v>
      </c>
      <c r="I529" s="100"/>
      <c r="J529" s="100"/>
      <c r="K529" s="100"/>
      <c r="M529" s="7"/>
      <c r="N529" s="7" t="s">
        <v>1504</v>
      </c>
      <c r="O529" s="7" t="s">
        <v>1505</v>
      </c>
      <c r="P529" s="108" t="s">
        <v>1492</v>
      </c>
      <c r="Q529" s="7" t="s">
        <v>2773</v>
      </c>
      <c r="R529" s="7">
        <v>56.942777999999997</v>
      </c>
      <c r="S529" s="7">
        <f t="shared" si="97"/>
        <v>56.942777999999997</v>
      </c>
      <c r="T529" s="7">
        <v>9.0749999999999993</v>
      </c>
      <c r="U529" s="7">
        <v>1</v>
      </c>
      <c r="V529" s="7">
        <v>50</v>
      </c>
      <c r="W529" s="7">
        <f t="shared" si="98"/>
        <v>1.6989700043360187</v>
      </c>
      <c r="X529" s="7" t="s">
        <v>1779</v>
      </c>
      <c r="Y529" s="7" t="s">
        <v>2774</v>
      </c>
      <c r="Z529" s="7">
        <v>10</v>
      </c>
      <c r="AA529" s="7">
        <v>20</v>
      </c>
      <c r="AB529" s="7">
        <v>19.399999999999999</v>
      </c>
      <c r="AC529" s="7">
        <v>0.9</v>
      </c>
      <c r="AD529" s="7">
        <v>6</v>
      </c>
      <c r="AE529" s="7">
        <v>58.8</v>
      </c>
      <c r="AF529" s="7">
        <v>7.9</v>
      </c>
      <c r="AG529" s="7">
        <v>6</v>
      </c>
      <c r="AH529" s="7">
        <v>14.8</v>
      </c>
      <c r="AI529" s="7">
        <v>3.9</v>
      </c>
      <c r="AJ529" s="7">
        <v>6</v>
      </c>
      <c r="AK529" s="7">
        <v>44.9</v>
      </c>
      <c r="AL529" s="7">
        <v>6.3</v>
      </c>
      <c r="AM529" s="7">
        <v>6</v>
      </c>
      <c r="AN529" s="7"/>
      <c r="AO529" s="7"/>
      <c r="AP529" s="7"/>
      <c r="AQ529" s="7"/>
      <c r="AR529" s="7"/>
      <c r="AS529" s="7"/>
      <c r="AT529" s="184"/>
      <c r="AU529" s="7"/>
      <c r="AV529" s="7" t="s">
        <v>2399</v>
      </c>
      <c r="AW529" s="7"/>
      <c r="AX529" s="7" t="s">
        <v>2775</v>
      </c>
      <c r="AY529" s="7" t="s">
        <v>4124</v>
      </c>
    </row>
    <row r="530" spans="1:51">
      <c r="A530" s="7" t="s">
        <v>91</v>
      </c>
      <c r="B530" s="7" t="s">
        <v>212</v>
      </c>
      <c r="C530" s="7" t="s">
        <v>2769</v>
      </c>
      <c r="D530" s="7" t="s">
        <v>2770</v>
      </c>
      <c r="E530" s="7" t="s">
        <v>2771</v>
      </c>
      <c r="F530" s="7" t="s">
        <v>2772</v>
      </c>
      <c r="G530" s="7"/>
      <c r="H530" s="7" t="s">
        <v>212</v>
      </c>
      <c r="I530" s="100"/>
      <c r="J530" s="100"/>
      <c r="K530" s="100"/>
      <c r="M530" s="7"/>
      <c r="N530" s="7" t="s">
        <v>1504</v>
      </c>
      <c r="O530" s="7" t="s">
        <v>1505</v>
      </c>
      <c r="P530" s="108" t="s">
        <v>1492</v>
      </c>
      <c r="Q530" s="7" t="s">
        <v>2773</v>
      </c>
      <c r="R530" s="7">
        <v>56.942777999999997</v>
      </c>
      <c r="S530" s="7">
        <f t="shared" si="97"/>
        <v>56.942777999999997</v>
      </c>
      <c r="T530" s="7">
        <v>9.0749999999999993</v>
      </c>
      <c r="U530" s="7">
        <v>1</v>
      </c>
      <c r="V530" s="7">
        <v>50</v>
      </c>
      <c r="W530" s="7">
        <f t="shared" si="98"/>
        <v>1.6989700043360187</v>
      </c>
      <c r="X530" s="7" t="s">
        <v>1779</v>
      </c>
      <c r="Y530" s="7" t="s">
        <v>2774</v>
      </c>
      <c r="Z530" s="7">
        <v>10</v>
      </c>
      <c r="AA530" s="7">
        <v>25</v>
      </c>
      <c r="AB530" s="7">
        <v>19.399999999999999</v>
      </c>
      <c r="AC530" s="7">
        <v>0.9</v>
      </c>
      <c r="AD530" s="7">
        <v>6</v>
      </c>
      <c r="AE530" s="7">
        <v>58.8</v>
      </c>
      <c r="AF530" s="7">
        <v>10.1</v>
      </c>
      <c r="AG530" s="7">
        <v>6</v>
      </c>
      <c r="AH530" s="7">
        <v>23.4</v>
      </c>
      <c r="AI530" s="7">
        <v>4.3</v>
      </c>
      <c r="AJ530" s="7">
        <v>6</v>
      </c>
      <c r="AK530" s="7">
        <v>53.4</v>
      </c>
      <c r="AL530" s="7">
        <v>10.4</v>
      </c>
      <c r="AM530" s="7">
        <v>6</v>
      </c>
      <c r="AN530" s="7"/>
      <c r="AO530" s="7"/>
      <c r="AP530" s="7"/>
      <c r="AQ530" s="7"/>
      <c r="AR530" s="7"/>
      <c r="AS530" s="7"/>
      <c r="AT530" s="184"/>
      <c r="AU530" s="7"/>
      <c r="AV530" s="7" t="s">
        <v>2399</v>
      </c>
      <c r="AW530" s="7"/>
      <c r="AX530" s="7" t="s">
        <v>2775</v>
      </c>
      <c r="AY530" s="7" t="s">
        <v>4124</v>
      </c>
    </row>
    <row r="531" spans="1:51">
      <c r="A531" s="7" t="s">
        <v>91</v>
      </c>
      <c r="B531" s="7" t="s">
        <v>212</v>
      </c>
      <c r="C531" s="7" t="s">
        <v>2769</v>
      </c>
      <c r="D531" s="7" t="s">
        <v>2770</v>
      </c>
      <c r="E531" s="7" t="s">
        <v>2771</v>
      </c>
      <c r="F531" s="7" t="s">
        <v>2772</v>
      </c>
      <c r="G531" s="7"/>
      <c r="H531" s="7" t="s">
        <v>212</v>
      </c>
      <c r="I531" s="100"/>
      <c r="J531" s="100"/>
      <c r="K531" s="100"/>
      <c r="M531" s="7"/>
      <c r="N531" s="7" t="s">
        <v>1504</v>
      </c>
      <c r="O531" s="7" t="s">
        <v>1505</v>
      </c>
      <c r="P531" s="108" t="s">
        <v>1492</v>
      </c>
      <c r="Q531" s="7" t="s">
        <v>2773</v>
      </c>
      <c r="R531" s="7">
        <v>56.942777999999997</v>
      </c>
      <c r="S531" s="7">
        <f t="shared" si="97"/>
        <v>56.942777999999997</v>
      </c>
      <c r="T531" s="7">
        <v>9.0749999999999993</v>
      </c>
      <c r="U531" s="7">
        <v>1</v>
      </c>
      <c r="V531" s="7">
        <v>50</v>
      </c>
      <c r="W531" s="7">
        <f t="shared" si="98"/>
        <v>1.6989700043360187</v>
      </c>
      <c r="X531" s="7" t="s">
        <v>1779</v>
      </c>
      <c r="Y531" s="7" t="s">
        <v>2774</v>
      </c>
      <c r="Z531" s="7">
        <v>15</v>
      </c>
      <c r="AA531" s="7">
        <v>20</v>
      </c>
      <c r="AB531" s="7">
        <v>40.200000000000003</v>
      </c>
      <c r="AC531" s="7">
        <v>6.2</v>
      </c>
      <c r="AD531" s="7">
        <v>6</v>
      </c>
      <c r="AE531" s="7">
        <v>57.3</v>
      </c>
      <c r="AF531" s="7">
        <v>9.4</v>
      </c>
      <c r="AG531" s="7">
        <v>6</v>
      </c>
      <c r="AH531" s="7">
        <v>28.6</v>
      </c>
      <c r="AI531" s="7">
        <v>4</v>
      </c>
      <c r="AJ531" s="7">
        <v>6</v>
      </c>
      <c r="AK531" s="7">
        <v>44.9</v>
      </c>
      <c r="AL531" s="7">
        <v>6.3</v>
      </c>
      <c r="AM531" s="7">
        <v>6</v>
      </c>
      <c r="AN531" s="7"/>
      <c r="AO531" s="7"/>
      <c r="AP531" s="7"/>
      <c r="AQ531" s="7"/>
      <c r="AR531" s="7"/>
      <c r="AS531" s="7"/>
      <c r="AT531" s="184"/>
      <c r="AU531" s="7"/>
      <c r="AV531" s="7" t="s">
        <v>2399</v>
      </c>
      <c r="AW531" s="7"/>
      <c r="AX531" s="7" t="s">
        <v>2775</v>
      </c>
      <c r="AY531" s="7" t="s">
        <v>4124</v>
      </c>
    </row>
    <row r="532" spans="1:51">
      <c r="A532" s="7" t="s">
        <v>91</v>
      </c>
      <c r="B532" s="7" t="s">
        <v>212</v>
      </c>
      <c r="C532" s="7" t="s">
        <v>2769</v>
      </c>
      <c r="D532" s="7" t="s">
        <v>2770</v>
      </c>
      <c r="E532" s="7" t="s">
        <v>2771</v>
      </c>
      <c r="F532" s="7" t="s">
        <v>2772</v>
      </c>
      <c r="G532" s="7"/>
      <c r="H532" s="7" t="s">
        <v>212</v>
      </c>
      <c r="I532" s="100"/>
      <c r="J532" s="100"/>
      <c r="K532" s="100"/>
      <c r="M532" s="7"/>
      <c r="N532" s="7" t="s">
        <v>1504</v>
      </c>
      <c r="O532" s="7" t="s">
        <v>1505</v>
      </c>
      <c r="P532" s="108" t="s">
        <v>1492</v>
      </c>
      <c r="Q532" s="7" t="s">
        <v>2773</v>
      </c>
      <c r="R532" s="7">
        <v>56.942777999999997</v>
      </c>
      <c r="S532" s="7">
        <f t="shared" si="97"/>
        <v>56.942777999999997</v>
      </c>
      <c r="T532" s="7">
        <v>9.0749999999999993</v>
      </c>
      <c r="U532" s="7">
        <v>1</v>
      </c>
      <c r="V532" s="7">
        <v>50</v>
      </c>
      <c r="W532" s="7">
        <f t="shared" si="98"/>
        <v>1.6989700043360187</v>
      </c>
      <c r="X532" s="7" t="s">
        <v>1779</v>
      </c>
      <c r="Y532" s="7" t="s">
        <v>2774</v>
      </c>
      <c r="Z532" s="7">
        <v>15</v>
      </c>
      <c r="AA532" s="7">
        <v>25</v>
      </c>
      <c r="AB532" s="7">
        <v>40.200000000000003</v>
      </c>
      <c r="AC532" s="7">
        <v>6.2</v>
      </c>
      <c r="AD532" s="7">
        <v>6</v>
      </c>
      <c r="AE532" s="7">
        <v>61.9</v>
      </c>
      <c r="AF532" s="7">
        <v>11.6</v>
      </c>
      <c r="AG532" s="7">
        <v>6</v>
      </c>
      <c r="AH532" s="7">
        <v>33.5</v>
      </c>
      <c r="AI532" s="7">
        <v>5.2</v>
      </c>
      <c r="AJ532" s="7">
        <v>6</v>
      </c>
      <c r="AK532" s="7">
        <v>53.4</v>
      </c>
      <c r="AL532" s="7">
        <v>10.4</v>
      </c>
      <c r="AM532" s="7">
        <v>6</v>
      </c>
      <c r="AN532" s="7"/>
      <c r="AO532" s="7"/>
      <c r="AP532" s="7"/>
      <c r="AQ532" s="7"/>
      <c r="AR532" s="7"/>
      <c r="AS532" s="7"/>
      <c r="AT532" s="184"/>
      <c r="AU532" s="7"/>
      <c r="AV532" s="7" t="s">
        <v>2399</v>
      </c>
      <c r="AW532" s="7"/>
      <c r="AX532" s="7" t="s">
        <v>2775</v>
      </c>
      <c r="AY532" s="7" t="s">
        <v>4124</v>
      </c>
    </row>
    <row r="533" spans="1:51">
      <c r="A533" s="7" t="s">
        <v>91</v>
      </c>
      <c r="B533" s="7" t="s">
        <v>212</v>
      </c>
      <c r="C533" s="7" t="s">
        <v>2769</v>
      </c>
      <c r="D533" s="7" t="s">
        <v>2770</v>
      </c>
      <c r="E533" s="7" t="s">
        <v>2771</v>
      </c>
      <c r="F533" s="7" t="s">
        <v>2772</v>
      </c>
      <c r="G533" s="7"/>
      <c r="H533" s="7" t="s">
        <v>212</v>
      </c>
      <c r="I533" s="100"/>
      <c r="J533" s="100"/>
      <c r="K533" s="100"/>
      <c r="M533" s="7"/>
      <c r="N533" s="7" t="s">
        <v>1504</v>
      </c>
      <c r="O533" s="7" t="s">
        <v>1505</v>
      </c>
      <c r="P533" s="108" t="s">
        <v>1492</v>
      </c>
      <c r="Q533" s="7" t="s">
        <v>2773</v>
      </c>
      <c r="R533" s="7">
        <v>56.942777999999997</v>
      </c>
      <c r="S533" s="7">
        <f t="shared" si="97"/>
        <v>56.942777999999997</v>
      </c>
      <c r="T533" s="7">
        <v>9.0749999999999993</v>
      </c>
      <c r="U533" s="7">
        <v>1</v>
      </c>
      <c r="V533" s="7">
        <v>50</v>
      </c>
      <c r="W533" s="7">
        <f t="shared" si="98"/>
        <v>1.6989700043360187</v>
      </c>
      <c r="X533" s="7" t="s">
        <v>1779</v>
      </c>
      <c r="Y533" s="7" t="s">
        <v>2774</v>
      </c>
      <c r="Z533" s="7">
        <v>20</v>
      </c>
      <c r="AA533" s="7">
        <v>25</v>
      </c>
      <c r="AB533" s="7">
        <v>44.9</v>
      </c>
      <c r="AC533" s="7">
        <v>6.3</v>
      </c>
      <c r="AD533" s="7">
        <v>6</v>
      </c>
      <c r="AE533" s="7">
        <v>51</v>
      </c>
      <c r="AF533" s="7">
        <v>8.6999999999999993</v>
      </c>
      <c r="AG533" s="7">
        <v>6</v>
      </c>
      <c r="AH533" s="7">
        <v>43.4</v>
      </c>
      <c r="AI533" s="7">
        <v>5.3</v>
      </c>
      <c r="AJ533" s="7">
        <v>6</v>
      </c>
      <c r="AK533" s="7">
        <v>53.4</v>
      </c>
      <c r="AL533" s="7">
        <v>10.4</v>
      </c>
      <c r="AM533" s="7">
        <v>6</v>
      </c>
      <c r="AN533" s="7"/>
      <c r="AO533" s="7"/>
      <c r="AP533" s="7"/>
      <c r="AQ533" s="7"/>
      <c r="AR533" s="7"/>
      <c r="AS533" s="7"/>
      <c r="AT533" s="184"/>
      <c r="AU533" s="7"/>
      <c r="AV533" s="7" t="s">
        <v>1796</v>
      </c>
      <c r="AW533" s="7"/>
      <c r="AX533" s="7" t="s">
        <v>2775</v>
      </c>
      <c r="AY533" s="7" t="s">
        <v>4124</v>
      </c>
    </row>
    <row r="534" spans="1:51">
      <c r="A534" s="7" t="s">
        <v>91</v>
      </c>
      <c r="B534" s="7" t="s">
        <v>212</v>
      </c>
      <c r="C534" s="7" t="s">
        <v>2769</v>
      </c>
      <c r="D534" s="7" t="s">
        <v>2770</v>
      </c>
      <c r="E534" s="7" t="s">
        <v>2771</v>
      </c>
      <c r="F534" s="7" t="s">
        <v>2772</v>
      </c>
      <c r="G534" s="7"/>
      <c r="H534" s="7" t="s">
        <v>212</v>
      </c>
      <c r="I534" s="100"/>
      <c r="J534" s="100"/>
      <c r="K534" s="100"/>
      <c r="M534" s="7"/>
      <c r="N534" s="7" t="s">
        <v>1504</v>
      </c>
      <c r="O534" s="7" t="s">
        <v>1505</v>
      </c>
      <c r="P534" s="108" t="s">
        <v>1492</v>
      </c>
      <c r="Q534" s="7" t="s">
        <v>2773</v>
      </c>
      <c r="R534" s="7">
        <v>56.942777999999997</v>
      </c>
      <c r="S534" s="7">
        <f t="shared" si="97"/>
        <v>56.942777999999997</v>
      </c>
      <c r="T534" s="7">
        <v>9.0749999999999993</v>
      </c>
      <c r="U534" s="7">
        <v>1</v>
      </c>
      <c r="V534" s="7">
        <v>50</v>
      </c>
      <c r="W534" s="7">
        <f t="shared" si="98"/>
        <v>1.6989700043360187</v>
      </c>
      <c r="X534" s="7" t="s">
        <v>1779</v>
      </c>
      <c r="Y534" s="7" t="s">
        <v>2776</v>
      </c>
      <c r="Z534" s="7">
        <v>10</v>
      </c>
      <c r="AA534" s="7">
        <v>15</v>
      </c>
      <c r="AB534" s="7">
        <v>62.2</v>
      </c>
      <c r="AC534" s="7">
        <v>5.5</v>
      </c>
      <c r="AD534" s="7">
        <v>6</v>
      </c>
      <c r="AE534" s="7">
        <v>95.5</v>
      </c>
      <c r="AF534" s="7">
        <v>5</v>
      </c>
      <c r="AG534" s="7">
        <v>6</v>
      </c>
      <c r="AH534" s="7">
        <v>27.5</v>
      </c>
      <c r="AI534" s="7">
        <v>6.5</v>
      </c>
      <c r="AJ534" s="7">
        <v>6</v>
      </c>
      <c r="AK534" s="7">
        <v>61.7</v>
      </c>
      <c r="AL534" s="7">
        <v>11.7</v>
      </c>
      <c r="AM534" s="7">
        <v>6</v>
      </c>
      <c r="AN534" s="7"/>
      <c r="AO534" s="7"/>
      <c r="AP534" s="7"/>
      <c r="AQ534" s="7"/>
      <c r="AR534" s="7"/>
      <c r="AS534" s="7"/>
      <c r="AT534" s="184"/>
      <c r="AU534" s="7"/>
      <c r="AV534" s="7" t="s">
        <v>1796</v>
      </c>
      <c r="AW534" s="7"/>
      <c r="AX534" s="7" t="s">
        <v>2775</v>
      </c>
      <c r="AY534" s="7" t="s">
        <v>4124</v>
      </c>
    </row>
    <row r="535" spans="1:51">
      <c r="A535" s="7" t="s">
        <v>91</v>
      </c>
      <c r="B535" s="7" t="s">
        <v>212</v>
      </c>
      <c r="C535" s="7" t="s">
        <v>2769</v>
      </c>
      <c r="D535" s="7" t="s">
        <v>2770</v>
      </c>
      <c r="E535" s="7" t="s">
        <v>2771</v>
      </c>
      <c r="F535" s="7" t="s">
        <v>2772</v>
      </c>
      <c r="G535" s="7"/>
      <c r="H535" s="7" t="s">
        <v>212</v>
      </c>
      <c r="I535" s="100"/>
      <c r="J535" s="100"/>
      <c r="K535" s="100"/>
      <c r="M535" s="7"/>
      <c r="N535" s="7" t="s">
        <v>1504</v>
      </c>
      <c r="O535" s="7" t="s">
        <v>1505</v>
      </c>
      <c r="P535" s="108" t="s">
        <v>1492</v>
      </c>
      <c r="Q535" s="7" t="s">
        <v>2773</v>
      </c>
      <c r="R535" s="7">
        <v>56.942777999999997</v>
      </c>
      <c r="S535" s="7">
        <f t="shared" si="97"/>
        <v>56.942777999999997</v>
      </c>
      <c r="T535" s="7">
        <v>9.0749999999999993</v>
      </c>
      <c r="U535" s="7">
        <v>1</v>
      </c>
      <c r="V535" s="7">
        <v>50</v>
      </c>
      <c r="W535" s="7">
        <f t="shared" si="98"/>
        <v>1.6989700043360187</v>
      </c>
      <c r="X535" s="7" t="s">
        <v>1779</v>
      </c>
      <c r="Y535" s="7" t="s">
        <v>2776</v>
      </c>
      <c r="Z535" s="7">
        <v>10</v>
      </c>
      <c r="AA535" s="7">
        <v>20</v>
      </c>
      <c r="AB535" s="7">
        <v>62.2</v>
      </c>
      <c r="AC535" s="7">
        <v>5.5</v>
      </c>
      <c r="AD535" s="7">
        <v>6</v>
      </c>
      <c r="AE535" s="7">
        <v>119.1</v>
      </c>
      <c r="AF535" s="7">
        <v>6.5</v>
      </c>
      <c r="AG535" s="7">
        <v>6</v>
      </c>
      <c r="AH535" s="7">
        <v>20</v>
      </c>
      <c r="AI535" s="7">
        <v>6.4</v>
      </c>
      <c r="AJ535" s="7">
        <v>6</v>
      </c>
      <c r="AK535" s="7">
        <v>71.760000000000005</v>
      </c>
      <c r="AL535" s="7">
        <v>6.8</v>
      </c>
      <c r="AM535" s="7">
        <v>6</v>
      </c>
      <c r="AN535" s="7"/>
      <c r="AO535" s="7"/>
      <c r="AP535" s="7"/>
      <c r="AQ535" s="7"/>
      <c r="AR535" s="7"/>
      <c r="AS535" s="7"/>
      <c r="AT535" s="184"/>
      <c r="AU535" s="7"/>
      <c r="AV535" s="7" t="s">
        <v>1796</v>
      </c>
      <c r="AW535" s="7"/>
      <c r="AX535" s="7" t="s">
        <v>2775</v>
      </c>
      <c r="AY535" s="7" t="s">
        <v>4124</v>
      </c>
    </row>
    <row r="536" spans="1:51">
      <c r="A536" s="7" t="s">
        <v>91</v>
      </c>
      <c r="B536" s="7" t="s">
        <v>212</v>
      </c>
      <c r="C536" s="7"/>
      <c r="D536" s="7" t="s">
        <v>2777</v>
      </c>
      <c r="E536" s="7" t="s">
        <v>2778</v>
      </c>
      <c r="F536" s="7" t="s">
        <v>2779</v>
      </c>
      <c r="G536" s="7"/>
      <c r="H536" s="7" t="s">
        <v>212</v>
      </c>
      <c r="I536" s="100"/>
      <c r="J536" s="100"/>
      <c r="K536" s="100"/>
      <c r="M536" s="7"/>
      <c r="N536" s="7" t="s">
        <v>1640</v>
      </c>
      <c r="O536" s="7"/>
      <c r="P536" s="108" t="s">
        <v>1492</v>
      </c>
      <c r="Q536" s="7"/>
      <c r="R536" s="7"/>
      <c r="S536" s="7"/>
      <c r="T536" s="7"/>
      <c r="U536" s="7">
        <v>1</v>
      </c>
      <c r="V536" s="7">
        <v>32</v>
      </c>
      <c r="W536" s="7">
        <f t="shared" si="98"/>
        <v>1.505149978319906</v>
      </c>
      <c r="X536" s="7" t="s">
        <v>1779</v>
      </c>
      <c r="Y536" s="7" t="s">
        <v>1781</v>
      </c>
      <c r="Z536" s="7">
        <v>5</v>
      </c>
      <c r="AA536" s="7">
        <v>15</v>
      </c>
      <c r="AB536" s="7">
        <v>23</v>
      </c>
      <c r="AC536" s="7">
        <v>10</v>
      </c>
      <c r="AD536" s="7">
        <v>25</v>
      </c>
      <c r="AE536" s="7">
        <v>52</v>
      </c>
      <c r="AF536" s="7">
        <v>9</v>
      </c>
      <c r="AG536" s="7">
        <v>25</v>
      </c>
      <c r="AH536" s="7">
        <v>18</v>
      </c>
      <c r="AI536" s="7">
        <v>9</v>
      </c>
      <c r="AJ536" s="7">
        <v>25</v>
      </c>
      <c r="AK536" s="7">
        <v>54</v>
      </c>
      <c r="AL536" s="7">
        <v>9</v>
      </c>
      <c r="AM536" s="7">
        <v>25</v>
      </c>
      <c r="AN536" s="7"/>
      <c r="AO536" s="7"/>
      <c r="AP536" s="7"/>
      <c r="AQ536" s="7"/>
      <c r="AR536" s="7"/>
      <c r="AS536" s="7"/>
      <c r="AT536" s="184"/>
      <c r="AU536" s="7"/>
      <c r="AV536" s="7" t="s">
        <v>1796</v>
      </c>
      <c r="AW536" s="7" t="s">
        <v>2780</v>
      </c>
      <c r="AX536" s="7" t="s">
        <v>2781</v>
      </c>
      <c r="AY536" s="7" t="s">
        <v>4124</v>
      </c>
    </row>
    <row r="537" spans="1:51">
      <c r="A537" s="7" t="s">
        <v>91</v>
      </c>
      <c r="B537" s="7" t="s">
        <v>212</v>
      </c>
      <c r="C537" s="7"/>
      <c r="D537" s="7" t="s">
        <v>2777</v>
      </c>
      <c r="E537" s="7" t="s">
        <v>2778</v>
      </c>
      <c r="F537" s="7" t="s">
        <v>2779</v>
      </c>
      <c r="G537" s="7"/>
      <c r="H537" s="7" t="s">
        <v>212</v>
      </c>
      <c r="I537" s="100"/>
      <c r="J537" s="100"/>
      <c r="K537" s="100"/>
      <c r="M537" s="7"/>
      <c r="N537" s="7" t="s">
        <v>1640</v>
      </c>
      <c r="O537" s="7"/>
      <c r="P537" s="108" t="s">
        <v>1492</v>
      </c>
      <c r="Q537" s="7"/>
      <c r="R537" s="7"/>
      <c r="S537" s="7"/>
      <c r="T537" s="7"/>
      <c r="U537" s="7">
        <v>1</v>
      </c>
      <c r="V537" s="7">
        <v>32</v>
      </c>
      <c r="W537" s="7">
        <f t="shared" si="98"/>
        <v>1.505149978319906</v>
      </c>
      <c r="X537" s="7" t="s">
        <v>1779</v>
      </c>
      <c r="Y537" s="7" t="s">
        <v>1781</v>
      </c>
      <c r="Z537" s="7">
        <v>5</v>
      </c>
      <c r="AA537" s="7">
        <v>25</v>
      </c>
      <c r="AB537" s="7">
        <v>23</v>
      </c>
      <c r="AC537" s="7">
        <v>10</v>
      </c>
      <c r="AD537" s="7">
        <v>25</v>
      </c>
      <c r="AE537" s="7">
        <v>99</v>
      </c>
      <c r="AF537" s="7">
        <v>9.5</v>
      </c>
      <c r="AG537" s="7">
        <v>25</v>
      </c>
      <c r="AH537" s="7">
        <v>22</v>
      </c>
      <c r="AI537" s="7">
        <v>9</v>
      </c>
      <c r="AJ537" s="7">
        <v>25</v>
      </c>
      <c r="AK537" s="7">
        <v>83</v>
      </c>
      <c r="AL537" s="7">
        <v>8.5</v>
      </c>
      <c r="AM537" s="7">
        <v>25</v>
      </c>
      <c r="AN537" s="7"/>
      <c r="AO537" s="7"/>
      <c r="AP537" s="7"/>
      <c r="AQ537" s="7"/>
      <c r="AR537" s="7"/>
      <c r="AS537" s="7"/>
      <c r="AT537" s="184"/>
      <c r="AU537" s="7"/>
      <c r="AV537" s="7" t="s">
        <v>1796</v>
      </c>
      <c r="AW537" s="7"/>
      <c r="AX537" s="7" t="s">
        <v>2781</v>
      </c>
      <c r="AY537" s="7" t="s">
        <v>4124</v>
      </c>
    </row>
    <row r="538" spans="1:51">
      <c r="A538" s="7" t="s">
        <v>91</v>
      </c>
      <c r="B538" s="7" t="s">
        <v>212</v>
      </c>
      <c r="C538" s="7"/>
      <c r="D538" s="7" t="s">
        <v>2777</v>
      </c>
      <c r="E538" s="7" t="s">
        <v>2778</v>
      </c>
      <c r="F538" s="7" t="s">
        <v>2779</v>
      </c>
      <c r="G538" s="7"/>
      <c r="H538" s="7" t="s">
        <v>212</v>
      </c>
      <c r="I538" s="100"/>
      <c r="J538" s="100"/>
      <c r="K538" s="100"/>
      <c r="M538" s="7"/>
      <c r="N538" s="7" t="s">
        <v>1640</v>
      </c>
      <c r="O538" s="7"/>
      <c r="P538" s="108" t="s">
        <v>1492</v>
      </c>
      <c r="Q538" s="7"/>
      <c r="R538" s="7"/>
      <c r="S538" s="7"/>
      <c r="T538" s="7"/>
      <c r="U538" s="7">
        <v>1</v>
      </c>
      <c r="V538" s="7">
        <v>32</v>
      </c>
      <c r="W538" s="7">
        <f t="shared" si="98"/>
        <v>1.505149978319906</v>
      </c>
      <c r="X538" s="7" t="s">
        <v>1779</v>
      </c>
      <c r="Y538" s="7" t="s">
        <v>1781</v>
      </c>
      <c r="Z538" s="7">
        <v>15</v>
      </c>
      <c r="AA538" s="7">
        <v>25</v>
      </c>
      <c r="AB538" s="7">
        <v>54</v>
      </c>
      <c r="AC538" s="7">
        <v>9</v>
      </c>
      <c r="AD538" s="7">
        <v>25</v>
      </c>
      <c r="AE538" s="7">
        <v>83</v>
      </c>
      <c r="AF538" s="7">
        <v>8.5</v>
      </c>
      <c r="AG538" s="7">
        <v>25</v>
      </c>
      <c r="AH538" s="7">
        <v>53</v>
      </c>
      <c r="AI538" s="7">
        <v>9</v>
      </c>
      <c r="AJ538" s="7">
        <v>25</v>
      </c>
      <c r="AK538" s="7">
        <v>83</v>
      </c>
      <c r="AL538" s="7">
        <v>8.5</v>
      </c>
      <c r="AM538" s="7">
        <v>25</v>
      </c>
      <c r="AN538" s="7"/>
      <c r="AO538" s="7"/>
      <c r="AP538" s="7"/>
      <c r="AQ538" s="7"/>
      <c r="AR538" s="7"/>
      <c r="AS538" s="7"/>
      <c r="AT538" s="184"/>
      <c r="AU538" s="7"/>
      <c r="AV538" s="7" t="s">
        <v>1796</v>
      </c>
      <c r="AW538" s="7"/>
      <c r="AX538" s="7" t="s">
        <v>2781</v>
      </c>
      <c r="AY538" s="7" t="s">
        <v>4124</v>
      </c>
    </row>
    <row r="539" spans="1:51">
      <c r="A539" s="7" t="s">
        <v>91</v>
      </c>
      <c r="B539" s="7" t="s">
        <v>212</v>
      </c>
      <c r="C539" s="7"/>
      <c r="D539" s="7" t="s">
        <v>2782</v>
      </c>
      <c r="E539" s="7" t="s">
        <v>2783</v>
      </c>
      <c r="F539" s="7" t="s">
        <v>2784</v>
      </c>
      <c r="G539" s="7"/>
      <c r="H539" s="7" t="s">
        <v>212</v>
      </c>
      <c r="I539" s="100"/>
      <c r="J539" s="100"/>
      <c r="K539" s="100"/>
      <c r="M539" s="7"/>
      <c r="N539" s="7" t="s">
        <v>1640</v>
      </c>
      <c r="O539" s="7"/>
      <c r="P539" s="108" t="s">
        <v>1492</v>
      </c>
      <c r="Q539" s="7"/>
      <c r="R539" s="7"/>
      <c r="S539" s="7"/>
      <c r="T539" s="7"/>
      <c r="U539" s="7">
        <v>1</v>
      </c>
      <c r="V539" s="7">
        <v>32</v>
      </c>
      <c r="W539" s="7">
        <f t="shared" si="98"/>
        <v>1.505149978319906</v>
      </c>
      <c r="X539" s="7" t="s">
        <v>1779</v>
      </c>
      <c r="Y539" s="7" t="s">
        <v>1781</v>
      </c>
      <c r="Z539" s="7">
        <v>5</v>
      </c>
      <c r="AA539" s="7">
        <v>15</v>
      </c>
      <c r="AB539" s="7">
        <v>9</v>
      </c>
      <c r="AC539" s="7">
        <v>6</v>
      </c>
      <c r="AD539" s="7">
        <v>25</v>
      </c>
      <c r="AE539" s="7">
        <v>38</v>
      </c>
      <c r="AF539" s="7">
        <v>6</v>
      </c>
      <c r="AG539" s="7">
        <v>25</v>
      </c>
      <c r="AH539" s="7">
        <v>14</v>
      </c>
      <c r="AI539" s="7">
        <v>6</v>
      </c>
      <c r="AJ539" s="7">
        <v>25</v>
      </c>
      <c r="AK539" s="7">
        <v>41</v>
      </c>
      <c r="AL539" s="7">
        <v>6</v>
      </c>
      <c r="AM539" s="7">
        <v>25</v>
      </c>
      <c r="AN539" s="7"/>
      <c r="AO539" s="7"/>
      <c r="AP539" s="7"/>
      <c r="AQ539" s="7"/>
      <c r="AR539" s="7"/>
      <c r="AS539" s="7"/>
      <c r="AT539" s="184"/>
      <c r="AU539" s="7"/>
      <c r="AV539" s="7" t="s">
        <v>1796</v>
      </c>
      <c r="AW539" s="7"/>
      <c r="AX539" s="7" t="s">
        <v>2781</v>
      </c>
      <c r="AY539" s="7" t="s">
        <v>4124</v>
      </c>
    </row>
    <row r="540" spans="1:51">
      <c r="A540" s="7" t="s">
        <v>91</v>
      </c>
      <c r="B540" s="7" t="s">
        <v>212</v>
      </c>
      <c r="C540" s="7"/>
      <c r="D540" s="7" t="s">
        <v>2782</v>
      </c>
      <c r="E540" s="7" t="s">
        <v>2783</v>
      </c>
      <c r="F540" s="7" t="s">
        <v>2784</v>
      </c>
      <c r="G540" s="7"/>
      <c r="H540" s="7" t="s">
        <v>212</v>
      </c>
      <c r="I540" s="100"/>
      <c r="J540" s="100"/>
      <c r="K540" s="100"/>
      <c r="M540" s="7"/>
      <c r="N540" s="7" t="s">
        <v>1640</v>
      </c>
      <c r="O540" s="7"/>
      <c r="P540" s="108" t="s">
        <v>1492</v>
      </c>
      <c r="Q540" s="7"/>
      <c r="R540" s="7"/>
      <c r="S540" s="7"/>
      <c r="T540" s="7"/>
      <c r="U540" s="7">
        <v>1</v>
      </c>
      <c r="V540" s="7">
        <v>32</v>
      </c>
      <c r="W540" s="7">
        <f t="shared" si="98"/>
        <v>1.505149978319906</v>
      </c>
      <c r="X540" s="7" t="s">
        <v>1779</v>
      </c>
      <c r="Y540" s="7" t="s">
        <v>1781</v>
      </c>
      <c r="Z540" s="7">
        <v>5</v>
      </c>
      <c r="AA540" s="7">
        <v>25</v>
      </c>
      <c r="AB540" s="7">
        <v>9</v>
      </c>
      <c r="AC540" s="7">
        <v>6</v>
      </c>
      <c r="AD540" s="7">
        <v>25</v>
      </c>
      <c r="AE540" s="7">
        <v>85</v>
      </c>
      <c r="AF540" s="7">
        <v>6.5</v>
      </c>
      <c r="AG540" s="7">
        <v>25</v>
      </c>
      <c r="AH540" s="7">
        <v>15</v>
      </c>
      <c r="AI540" s="7">
        <v>6</v>
      </c>
      <c r="AJ540" s="7">
        <v>25</v>
      </c>
      <c r="AK540" s="7">
        <v>93</v>
      </c>
      <c r="AL540" s="7">
        <v>6</v>
      </c>
      <c r="AM540" s="7">
        <v>25</v>
      </c>
      <c r="AN540" s="7"/>
      <c r="AO540" s="7"/>
      <c r="AP540" s="7"/>
      <c r="AQ540" s="7"/>
      <c r="AR540" s="7"/>
      <c r="AS540" s="7"/>
      <c r="AT540" s="184"/>
      <c r="AU540" s="7"/>
      <c r="AV540" s="7" t="s">
        <v>1796</v>
      </c>
      <c r="AW540" s="7"/>
      <c r="AX540" s="7" t="s">
        <v>2781</v>
      </c>
      <c r="AY540" s="7" t="s">
        <v>4124</v>
      </c>
    </row>
    <row r="541" spans="1:51">
      <c r="A541" s="7" t="s">
        <v>91</v>
      </c>
      <c r="B541" s="7" t="s">
        <v>212</v>
      </c>
      <c r="C541" s="7"/>
      <c r="D541" s="7" t="s">
        <v>2782</v>
      </c>
      <c r="E541" s="7" t="s">
        <v>2783</v>
      </c>
      <c r="F541" s="7" t="s">
        <v>2784</v>
      </c>
      <c r="G541" s="7"/>
      <c r="H541" s="7" t="s">
        <v>212</v>
      </c>
      <c r="I541" s="100"/>
      <c r="J541" s="100"/>
      <c r="K541" s="100"/>
      <c r="M541" s="7"/>
      <c r="N541" s="7" t="s">
        <v>1640</v>
      </c>
      <c r="O541" s="7"/>
      <c r="P541" s="108" t="s">
        <v>1492</v>
      </c>
      <c r="Q541" s="7"/>
      <c r="R541" s="7"/>
      <c r="S541" s="7"/>
      <c r="T541" s="7"/>
      <c r="U541" s="7">
        <v>1</v>
      </c>
      <c r="V541" s="7">
        <v>32</v>
      </c>
      <c r="W541" s="7">
        <f t="shared" si="98"/>
        <v>1.505149978319906</v>
      </c>
      <c r="X541" s="7" t="s">
        <v>1779</v>
      </c>
      <c r="Y541" s="7" t="s">
        <v>1781</v>
      </c>
      <c r="Z541" s="7">
        <v>15</v>
      </c>
      <c r="AA541" s="7">
        <v>25</v>
      </c>
      <c r="AB541" s="7">
        <v>41</v>
      </c>
      <c r="AC541" s="7">
        <v>6</v>
      </c>
      <c r="AD541" s="7">
        <v>25</v>
      </c>
      <c r="AE541" s="7">
        <v>104</v>
      </c>
      <c r="AF541" s="7">
        <v>7</v>
      </c>
      <c r="AG541" s="7">
        <v>25</v>
      </c>
      <c r="AH541" s="7">
        <v>43</v>
      </c>
      <c r="AI541" s="7">
        <v>6</v>
      </c>
      <c r="AJ541" s="7">
        <v>25</v>
      </c>
      <c r="AK541" s="7">
        <v>93</v>
      </c>
      <c r="AL541" s="7">
        <v>6</v>
      </c>
      <c r="AM541" s="7">
        <v>25</v>
      </c>
      <c r="AN541" s="7"/>
      <c r="AO541" s="7"/>
      <c r="AP541" s="7"/>
      <c r="AQ541" s="7"/>
      <c r="AR541" s="7"/>
      <c r="AS541" s="7"/>
      <c r="AT541" s="184"/>
      <c r="AU541" s="7"/>
      <c r="AV541" s="7" t="s">
        <v>1796</v>
      </c>
      <c r="AW541" s="7"/>
      <c r="AX541" s="7" t="s">
        <v>2781</v>
      </c>
      <c r="AY541" s="7" t="s">
        <v>4124</v>
      </c>
    </row>
    <row r="542" spans="1:51">
      <c r="A542" s="7" t="s">
        <v>91</v>
      </c>
      <c r="B542" s="7" t="s">
        <v>212</v>
      </c>
      <c r="C542" s="7" t="s">
        <v>2785</v>
      </c>
      <c r="D542" s="7" t="s">
        <v>2763</v>
      </c>
      <c r="E542" s="7" t="s">
        <v>2786</v>
      </c>
      <c r="F542" s="7" t="s">
        <v>2787</v>
      </c>
      <c r="G542" s="7"/>
      <c r="H542" s="7" t="s">
        <v>212</v>
      </c>
      <c r="I542" s="100"/>
      <c r="J542" s="100"/>
      <c r="K542" s="100"/>
      <c r="M542" s="7"/>
      <c r="N542" s="7" t="s">
        <v>1504</v>
      </c>
      <c r="O542" s="7" t="s">
        <v>1505</v>
      </c>
      <c r="P542" s="108" t="s">
        <v>1492</v>
      </c>
      <c r="Q542" s="7" t="s">
        <v>2788</v>
      </c>
      <c r="R542" s="7">
        <v>33.549999999999997</v>
      </c>
      <c r="S542" s="7">
        <f t="shared" ref="S542:S573" si="99">ABS(R542)</f>
        <v>33.549999999999997</v>
      </c>
      <c r="T542" s="7">
        <v>151.30000000000001</v>
      </c>
      <c r="U542" s="7">
        <v>2</v>
      </c>
      <c r="V542" s="7"/>
      <c r="W542" s="7"/>
      <c r="X542" s="7" t="s">
        <v>1779</v>
      </c>
      <c r="Y542" s="7" t="s">
        <v>1781</v>
      </c>
      <c r="Z542" s="7">
        <v>15</v>
      </c>
      <c r="AA542" s="7">
        <v>20</v>
      </c>
      <c r="AB542" s="108">
        <v>13</v>
      </c>
      <c r="AC542" s="108">
        <v>1</v>
      </c>
      <c r="AD542" s="7">
        <v>20</v>
      </c>
      <c r="AE542" s="7">
        <v>28.5</v>
      </c>
      <c r="AF542" s="7">
        <v>1</v>
      </c>
      <c r="AG542" s="7">
        <v>20</v>
      </c>
      <c r="AH542" s="7">
        <v>8</v>
      </c>
      <c r="AI542" s="7">
        <v>1</v>
      </c>
      <c r="AJ542" s="7">
        <v>20</v>
      </c>
      <c r="AK542" s="108">
        <v>27.5</v>
      </c>
      <c r="AL542" s="108">
        <v>3</v>
      </c>
      <c r="AM542" s="108">
        <v>20</v>
      </c>
      <c r="AN542" s="108"/>
      <c r="AO542" s="108"/>
      <c r="AP542" s="108"/>
      <c r="AQ542" s="108"/>
      <c r="AR542" s="108"/>
      <c r="AS542" s="108"/>
      <c r="AT542" s="186"/>
      <c r="AU542" s="108"/>
      <c r="AV542" s="7" t="s">
        <v>2789</v>
      </c>
      <c r="AW542" s="7"/>
      <c r="AX542" s="7" t="s">
        <v>2790</v>
      </c>
      <c r="AY542" s="7" t="s">
        <v>4124</v>
      </c>
    </row>
    <row r="543" spans="1:51">
      <c r="A543" s="7" t="s">
        <v>91</v>
      </c>
      <c r="B543" s="7" t="s">
        <v>212</v>
      </c>
      <c r="C543" s="7" t="s">
        <v>2785</v>
      </c>
      <c r="D543" s="7" t="s">
        <v>2763</v>
      </c>
      <c r="E543" s="7" t="s">
        <v>2786</v>
      </c>
      <c r="F543" s="7" t="s">
        <v>2787</v>
      </c>
      <c r="G543" s="7"/>
      <c r="H543" s="7" t="s">
        <v>212</v>
      </c>
      <c r="I543" s="100"/>
      <c r="J543" s="100"/>
      <c r="K543" s="100"/>
      <c r="M543" s="7"/>
      <c r="N543" s="7" t="s">
        <v>1504</v>
      </c>
      <c r="O543" s="7" t="s">
        <v>1505</v>
      </c>
      <c r="P543" s="108" t="s">
        <v>1492</v>
      </c>
      <c r="Q543" s="7" t="s">
        <v>2788</v>
      </c>
      <c r="R543" s="7">
        <v>33.549999999999997</v>
      </c>
      <c r="S543" s="7">
        <f t="shared" si="99"/>
        <v>33.549999999999997</v>
      </c>
      <c r="T543" s="7">
        <v>151.30000000000001</v>
      </c>
      <c r="U543" s="7">
        <v>2</v>
      </c>
      <c r="V543" s="7"/>
      <c r="W543" s="7"/>
      <c r="X543" s="7" t="s">
        <v>1779</v>
      </c>
      <c r="Y543" s="7" t="s">
        <v>1781</v>
      </c>
      <c r="Z543" s="7">
        <v>15</v>
      </c>
      <c r="AA543" s="7">
        <v>20</v>
      </c>
      <c r="AB543" s="108">
        <v>15</v>
      </c>
      <c r="AC543" s="108">
        <v>2</v>
      </c>
      <c r="AD543" s="7">
        <v>20</v>
      </c>
      <c r="AE543" s="7">
        <v>43</v>
      </c>
      <c r="AF543" s="7">
        <v>5</v>
      </c>
      <c r="AG543" s="7">
        <v>20</v>
      </c>
      <c r="AH543" s="7">
        <v>10</v>
      </c>
      <c r="AI543" s="7">
        <v>1.5</v>
      </c>
      <c r="AJ543" s="7">
        <v>20</v>
      </c>
      <c r="AK543" s="108">
        <v>33</v>
      </c>
      <c r="AL543" s="108">
        <v>4</v>
      </c>
      <c r="AM543" s="108">
        <v>20</v>
      </c>
      <c r="AN543" s="108"/>
      <c r="AO543" s="108"/>
      <c r="AP543" s="108"/>
      <c r="AQ543" s="108"/>
      <c r="AR543" s="108"/>
      <c r="AS543" s="108"/>
      <c r="AT543" s="186"/>
      <c r="AU543" s="108"/>
      <c r="AV543" s="7" t="s">
        <v>2791</v>
      </c>
      <c r="AW543" s="7"/>
      <c r="AX543" s="7" t="s">
        <v>2792</v>
      </c>
      <c r="AY543" s="7" t="s">
        <v>4124</v>
      </c>
    </row>
    <row r="544" spans="1:51">
      <c r="A544" s="7" t="s">
        <v>91</v>
      </c>
      <c r="B544" s="7" t="s">
        <v>212</v>
      </c>
      <c r="C544" s="7" t="s">
        <v>2785</v>
      </c>
      <c r="D544" s="7" t="s">
        <v>2763</v>
      </c>
      <c r="E544" s="7" t="s">
        <v>2786</v>
      </c>
      <c r="F544" s="7" t="s">
        <v>2787</v>
      </c>
      <c r="G544" s="7"/>
      <c r="H544" s="7" t="s">
        <v>212</v>
      </c>
      <c r="I544" s="100"/>
      <c r="J544" s="100"/>
      <c r="K544" s="100"/>
      <c r="M544" s="7"/>
      <c r="N544" s="7" t="s">
        <v>1504</v>
      </c>
      <c r="O544" s="7" t="s">
        <v>1505</v>
      </c>
      <c r="P544" s="108" t="s">
        <v>1492</v>
      </c>
      <c r="Q544" s="7" t="s">
        <v>2788</v>
      </c>
      <c r="R544" s="7">
        <v>33.549999999999997</v>
      </c>
      <c r="S544" s="7">
        <f t="shared" si="99"/>
        <v>33.549999999999997</v>
      </c>
      <c r="T544" s="7">
        <v>151.30000000000001</v>
      </c>
      <c r="U544" s="7">
        <v>2</v>
      </c>
      <c r="V544" s="7"/>
      <c r="W544" s="7"/>
      <c r="X544" s="7" t="s">
        <v>2320</v>
      </c>
      <c r="Y544" s="7" t="s">
        <v>2371</v>
      </c>
      <c r="Z544" s="7">
        <v>15</v>
      </c>
      <c r="AA544" s="7">
        <v>20</v>
      </c>
      <c r="AB544" s="108">
        <v>0.98</v>
      </c>
      <c r="AC544" s="108">
        <v>0.18</v>
      </c>
      <c r="AD544" s="7">
        <v>10</v>
      </c>
      <c r="AE544" s="7">
        <v>1.24</v>
      </c>
      <c r="AF544" s="7">
        <v>1</v>
      </c>
      <c r="AG544" s="7">
        <v>10</v>
      </c>
      <c r="AH544" s="7">
        <v>0.89</v>
      </c>
      <c r="AI544" s="7">
        <v>0.18</v>
      </c>
      <c r="AJ544" s="7">
        <v>10</v>
      </c>
      <c r="AK544" s="108">
        <v>0.99</v>
      </c>
      <c r="AL544" s="108">
        <v>0.08</v>
      </c>
      <c r="AM544" s="108">
        <v>10</v>
      </c>
      <c r="AN544" s="108"/>
      <c r="AO544" s="108"/>
      <c r="AP544" s="108"/>
      <c r="AQ544" s="108"/>
      <c r="AR544" s="108"/>
      <c r="AS544" s="108"/>
      <c r="AT544" s="186"/>
      <c r="AU544" s="108"/>
      <c r="AV544" s="7" t="s">
        <v>2793</v>
      </c>
      <c r="AW544" s="7"/>
      <c r="AX544" s="7" t="s">
        <v>2794</v>
      </c>
      <c r="AY544" s="7" t="s">
        <v>4124</v>
      </c>
    </row>
    <row r="545" spans="1:51">
      <c r="A545" s="7" t="s">
        <v>91</v>
      </c>
      <c r="B545" s="7" t="s">
        <v>212</v>
      </c>
      <c r="C545" s="7" t="s">
        <v>2785</v>
      </c>
      <c r="D545" s="7" t="s">
        <v>2763</v>
      </c>
      <c r="E545" s="7" t="s">
        <v>2786</v>
      </c>
      <c r="F545" s="7" t="s">
        <v>2787</v>
      </c>
      <c r="G545" s="7"/>
      <c r="H545" s="7" t="s">
        <v>212</v>
      </c>
      <c r="I545" s="100"/>
      <c r="J545" s="100"/>
      <c r="K545" s="100"/>
      <c r="M545" s="7"/>
      <c r="N545" s="7" t="s">
        <v>1504</v>
      </c>
      <c r="O545" s="7" t="s">
        <v>1505</v>
      </c>
      <c r="P545" s="108" t="s">
        <v>1492</v>
      </c>
      <c r="Q545" s="7" t="s">
        <v>2788</v>
      </c>
      <c r="R545" s="7">
        <v>33.549999999999997</v>
      </c>
      <c r="S545" s="7">
        <f t="shared" si="99"/>
        <v>33.549999999999997</v>
      </c>
      <c r="T545" s="7">
        <v>151.30000000000001</v>
      </c>
      <c r="U545" s="7">
        <v>2</v>
      </c>
      <c r="V545" s="7"/>
      <c r="W545" s="7"/>
      <c r="X545" s="7" t="s">
        <v>2320</v>
      </c>
      <c r="Y545" s="7" t="s">
        <v>2371</v>
      </c>
      <c r="Z545" s="7">
        <v>15</v>
      </c>
      <c r="AA545" s="7">
        <v>20</v>
      </c>
      <c r="AB545" s="7">
        <v>1.71</v>
      </c>
      <c r="AC545" s="108">
        <v>0.25</v>
      </c>
      <c r="AD545" s="7">
        <v>10</v>
      </c>
      <c r="AE545" s="7">
        <v>1.4</v>
      </c>
      <c r="AF545" s="7">
        <v>0.15</v>
      </c>
      <c r="AG545" s="7">
        <v>10</v>
      </c>
      <c r="AH545" s="7">
        <v>1.23</v>
      </c>
      <c r="AI545" s="7">
        <v>0.23</v>
      </c>
      <c r="AJ545" s="7">
        <v>10</v>
      </c>
      <c r="AK545" s="108">
        <v>1.33</v>
      </c>
      <c r="AL545" s="108">
        <v>0.12</v>
      </c>
      <c r="AM545" s="108">
        <v>10</v>
      </c>
      <c r="AN545" s="108"/>
      <c r="AO545" s="108"/>
      <c r="AP545" s="108"/>
      <c r="AQ545" s="108"/>
      <c r="AR545" s="108"/>
      <c r="AS545" s="108"/>
      <c r="AT545" s="186"/>
      <c r="AU545" s="108"/>
      <c r="AV545" s="7" t="s">
        <v>2795</v>
      </c>
      <c r="AW545" s="7"/>
      <c r="AX545" s="7" t="s">
        <v>2796</v>
      </c>
      <c r="AY545" s="7" t="s">
        <v>4124</v>
      </c>
    </row>
    <row r="546" spans="1:51">
      <c r="A546" s="7" t="s">
        <v>91</v>
      </c>
      <c r="B546" s="7" t="s">
        <v>212</v>
      </c>
      <c r="C546" s="7" t="s">
        <v>2785</v>
      </c>
      <c r="D546" s="7" t="s">
        <v>2763</v>
      </c>
      <c r="E546" s="7" t="s">
        <v>2786</v>
      </c>
      <c r="F546" s="7" t="s">
        <v>2787</v>
      </c>
      <c r="G546" s="7"/>
      <c r="H546" s="7" t="s">
        <v>212</v>
      </c>
      <c r="I546" s="100"/>
      <c r="J546" s="100"/>
      <c r="K546" s="100"/>
      <c r="M546" s="7"/>
      <c r="N546" s="7" t="s">
        <v>1504</v>
      </c>
      <c r="O546" s="7" t="s">
        <v>1505</v>
      </c>
      <c r="P546" s="108" t="s">
        <v>1492</v>
      </c>
      <c r="Q546" s="7" t="s">
        <v>2788</v>
      </c>
      <c r="R546" s="7">
        <v>33.549999999999997</v>
      </c>
      <c r="S546" s="7">
        <f t="shared" si="99"/>
        <v>33.549999999999997</v>
      </c>
      <c r="T546" s="7">
        <v>151.30000000000001</v>
      </c>
      <c r="U546" s="7">
        <v>2</v>
      </c>
      <c r="V546" s="7"/>
      <c r="W546" s="7"/>
      <c r="X546" s="7" t="s">
        <v>2131</v>
      </c>
      <c r="Y546" s="7" t="s">
        <v>2371</v>
      </c>
      <c r="Z546" s="7">
        <v>15</v>
      </c>
      <c r="AA546" s="7">
        <v>20</v>
      </c>
      <c r="AB546" s="108">
        <v>13.8</v>
      </c>
      <c r="AC546" s="108">
        <v>1.8</v>
      </c>
      <c r="AD546" s="7">
        <v>10</v>
      </c>
      <c r="AE546" s="7">
        <v>16.3</v>
      </c>
      <c r="AF546" s="7">
        <v>1.8</v>
      </c>
      <c r="AG546" s="7">
        <v>10</v>
      </c>
      <c r="AH546" s="7">
        <v>10.6</v>
      </c>
      <c r="AI546" s="7">
        <v>1</v>
      </c>
      <c r="AJ546" s="7">
        <v>10</v>
      </c>
      <c r="AK546" s="108">
        <v>13</v>
      </c>
      <c r="AL546" s="108">
        <v>0.7</v>
      </c>
      <c r="AM546" s="108">
        <v>10</v>
      </c>
      <c r="AN546" s="108"/>
      <c r="AO546" s="108"/>
      <c r="AP546" s="108"/>
      <c r="AQ546" s="108"/>
      <c r="AR546" s="108"/>
      <c r="AS546" s="108"/>
      <c r="AT546" s="186"/>
      <c r="AU546" s="108"/>
      <c r="AV546" s="7" t="s">
        <v>2797</v>
      </c>
      <c r="AW546" s="7"/>
      <c r="AX546" s="7" t="s">
        <v>2798</v>
      </c>
      <c r="AY546" s="7" t="s">
        <v>4124</v>
      </c>
    </row>
    <row r="547" spans="1:51">
      <c r="A547" s="7" t="s">
        <v>91</v>
      </c>
      <c r="B547" s="7" t="s">
        <v>212</v>
      </c>
      <c r="C547" s="7" t="s">
        <v>2785</v>
      </c>
      <c r="D547" s="7" t="s">
        <v>2763</v>
      </c>
      <c r="E547" s="7" t="s">
        <v>2786</v>
      </c>
      <c r="F547" s="7" t="s">
        <v>2787</v>
      </c>
      <c r="G547" s="7"/>
      <c r="H547" s="7" t="s">
        <v>212</v>
      </c>
      <c r="I547" s="100"/>
      <c r="J547" s="100"/>
      <c r="K547" s="100"/>
      <c r="M547" s="7"/>
      <c r="N547" s="7" t="s">
        <v>1504</v>
      </c>
      <c r="O547" s="7" t="s">
        <v>1505</v>
      </c>
      <c r="P547" s="108" t="s">
        <v>1492</v>
      </c>
      <c r="Q547" s="7" t="s">
        <v>2788</v>
      </c>
      <c r="R547" s="7">
        <v>33.549999999999997</v>
      </c>
      <c r="S547" s="7">
        <f t="shared" si="99"/>
        <v>33.549999999999997</v>
      </c>
      <c r="T547" s="7">
        <v>151.30000000000001</v>
      </c>
      <c r="U547" s="7">
        <v>2</v>
      </c>
      <c r="V547" s="7"/>
      <c r="W547" s="7"/>
      <c r="X547" s="7" t="s">
        <v>2131</v>
      </c>
      <c r="Y547" s="7" t="s">
        <v>2371</v>
      </c>
      <c r="Z547" s="7">
        <v>15</v>
      </c>
      <c r="AA547" s="7">
        <v>20</v>
      </c>
      <c r="AB547" s="108">
        <v>9.8000000000000007</v>
      </c>
      <c r="AC547" s="108">
        <v>1.1000000000000001</v>
      </c>
      <c r="AD547" s="7">
        <v>10</v>
      </c>
      <c r="AE547" s="7">
        <v>10.8</v>
      </c>
      <c r="AF547" s="7">
        <v>1.1000000000000001</v>
      </c>
      <c r="AG547" s="7">
        <v>10</v>
      </c>
      <c r="AH547" s="7">
        <v>11.1</v>
      </c>
      <c r="AI547" s="7">
        <v>1.1000000000000001</v>
      </c>
      <c r="AJ547" s="7">
        <v>10</v>
      </c>
      <c r="AK547" s="108">
        <v>12</v>
      </c>
      <c r="AL547" s="108">
        <v>1.2</v>
      </c>
      <c r="AM547" s="108">
        <v>10</v>
      </c>
      <c r="AN547" s="108"/>
      <c r="AO547" s="108"/>
      <c r="AP547" s="108"/>
      <c r="AQ547" s="108"/>
      <c r="AR547" s="108"/>
      <c r="AS547" s="108"/>
      <c r="AT547" s="186"/>
      <c r="AU547" s="108"/>
      <c r="AV547" s="7" t="s">
        <v>2799</v>
      </c>
      <c r="AW547" s="7"/>
      <c r="AX547" s="7" t="s">
        <v>2800</v>
      </c>
      <c r="AY547" s="7" t="s">
        <v>4124</v>
      </c>
    </row>
    <row r="548" spans="1:51">
      <c r="A548" s="7" t="s">
        <v>91</v>
      </c>
      <c r="B548" s="7" t="s">
        <v>212</v>
      </c>
      <c r="C548" s="7" t="s">
        <v>2747</v>
      </c>
      <c r="D548" s="7" t="s">
        <v>2753</v>
      </c>
      <c r="E548" s="7" t="s">
        <v>2754</v>
      </c>
      <c r="F548" s="7" t="s">
        <v>2594</v>
      </c>
      <c r="G548" s="7"/>
      <c r="H548" s="7" t="s">
        <v>212</v>
      </c>
      <c r="I548" s="100"/>
      <c r="J548" s="100"/>
      <c r="K548" s="100"/>
      <c r="M548" s="7"/>
      <c r="N548" s="7" t="s">
        <v>1504</v>
      </c>
      <c r="O548" s="7" t="s">
        <v>1505</v>
      </c>
      <c r="P548" s="108" t="s">
        <v>1492</v>
      </c>
      <c r="Q548" s="7" t="s">
        <v>2801</v>
      </c>
      <c r="R548" s="7">
        <v>66.349999999999994</v>
      </c>
      <c r="S548" s="7">
        <f t="shared" si="99"/>
        <v>66.349999999999994</v>
      </c>
      <c r="T548" s="7">
        <v>33.65</v>
      </c>
      <c r="U548" s="7">
        <v>1</v>
      </c>
      <c r="V548" s="7">
        <v>42</v>
      </c>
      <c r="W548" s="7">
        <f t="shared" si="98"/>
        <v>1.6232492903979006</v>
      </c>
      <c r="X548" s="7" t="s">
        <v>1779</v>
      </c>
      <c r="Y548" s="7" t="s">
        <v>1781</v>
      </c>
      <c r="Z548" s="7">
        <v>4</v>
      </c>
      <c r="AA548" s="7">
        <v>13</v>
      </c>
      <c r="AB548" s="108">
        <v>1.8</v>
      </c>
      <c r="AC548" s="108">
        <v>0.1</v>
      </c>
      <c r="AD548" s="7">
        <v>11</v>
      </c>
      <c r="AE548" s="7">
        <v>4.4000000000000004</v>
      </c>
      <c r="AF548" s="7">
        <v>0.2</v>
      </c>
      <c r="AG548" s="7">
        <v>11</v>
      </c>
      <c r="AH548" s="7">
        <v>0.95</v>
      </c>
      <c r="AI548" s="7">
        <v>0.1</v>
      </c>
      <c r="AJ548" s="7">
        <v>11</v>
      </c>
      <c r="AK548" s="108">
        <v>4.9000000000000004</v>
      </c>
      <c r="AL548" s="108">
        <v>0.1</v>
      </c>
      <c r="AM548" s="108">
        <v>10</v>
      </c>
      <c r="AN548" s="108"/>
      <c r="AO548" s="108"/>
      <c r="AP548" s="108"/>
      <c r="AQ548" s="108"/>
      <c r="AR548" s="108"/>
      <c r="AS548" s="108"/>
      <c r="AT548" s="186"/>
      <c r="AU548" s="108"/>
      <c r="AV548" s="7"/>
      <c r="AW548" s="7"/>
      <c r="AX548" s="7" t="s">
        <v>2802</v>
      </c>
      <c r="AY548" s="7" t="s">
        <v>4124</v>
      </c>
    </row>
    <row r="549" spans="1:51">
      <c r="A549" s="7" t="s">
        <v>91</v>
      </c>
      <c r="B549" s="7" t="s">
        <v>212</v>
      </c>
      <c r="C549" s="7" t="s">
        <v>2747</v>
      </c>
      <c r="D549" s="7" t="s">
        <v>2753</v>
      </c>
      <c r="E549" s="7" t="s">
        <v>2754</v>
      </c>
      <c r="F549" s="7" t="s">
        <v>2594</v>
      </c>
      <c r="G549" s="7"/>
      <c r="H549" s="7" t="s">
        <v>212</v>
      </c>
      <c r="I549" s="100"/>
      <c r="J549" s="100"/>
      <c r="K549" s="100"/>
      <c r="M549" s="7"/>
      <c r="N549" s="7" t="s">
        <v>1504</v>
      </c>
      <c r="O549" s="7" t="s">
        <v>1505</v>
      </c>
      <c r="P549" s="108" t="s">
        <v>1492</v>
      </c>
      <c r="Q549" s="7" t="s">
        <v>1519</v>
      </c>
      <c r="R549" s="7">
        <v>54.15</v>
      </c>
      <c r="S549" s="7">
        <f t="shared" si="99"/>
        <v>54.15</v>
      </c>
      <c r="T549" s="7">
        <v>7.9</v>
      </c>
      <c r="U549" s="7">
        <v>1</v>
      </c>
      <c r="V549" s="7">
        <v>42</v>
      </c>
      <c r="W549" s="7">
        <f t="shared" si="98"/>
        <v>1.6232492903979006</v>
      </c>
      <c r="X549" s="7" t="s">
        <v>1779</v>
      </c>
      <c r="Y549" s="7" t="s">
        <v>1781</v>
      </c>
      <c r="Z549" s="7">
        <v>4</v>
      </c>
      <c r="AA549" s="7">
        <v>13</v>
      </c>
      <c r="AB549" s="108">
        <v>2.2000000000000002</v>
      </c>
      <c r="AC549" s="108">
        <v>0.2</v>
      </c>
      <c r="AD549" s="7">
        <v>11</v>
      </c>
      <c r="AE549" s="7">
        <v>4.8</v>
      </c>
      <c r="AF549" s="7">
        <v>0.2</v>
      </c>
      <c r="AG549" s="7">
        <v>11</v>
      </c>
      <c r="AH549" s="7">
        <v>1.3</v>
      </c>
      <c r="AI549" s="7">
        <v>0.05</v>
      </c>
      <c r="AJ549" s="7">
        <v>11</v>
      </c>
      <c r="AK549" s="108">
        <v>3.8</v>
      </c>
      <c r="AL549" s="108">
        <v>0.2</v>
      </c>
      <c r="AM549" s="108">
        <v>11</v>
      </c>
      <c r="AN549" s="108"/>
      <c r="AO549" s="108"/>
      <c r="AP549" s="108"/>
      <c r="AQ549" s="108"/>
      <c r="AR549" s="108"/>
      <c r="AS549" s="108"/>
      <c r="AT549" s="186"/>
      <c r="AU549" s="108"/>
      <c r="AV549" s="7"/>
      <c r="AW549" s="7"/>
      <c r="AX549" s="7" t="s">
        <v>2803</v>
      </c>
      <c r="AY549" s="7" t="s">
        <v>4124</v>
      </c>
    </row>
    <row r="550" spans="1:51">
      <c r="A550" s="7" t="s">
        <v>91</v>
      </c>
      <c r="B550" s="7" t="s">
        <v>212</v>
      </c>
      <c r="C550" s="7" t="s">
        <v>2804</v>
      </c>
      <c r="D550" s="7" t="s">
        <v>2805</v>
      </c>
      <c r="E550" s="7" t="s">
        <v>2806</v>
      </c>
      <c r="F550" s="7" t="s">
        <v>2807</v>
      </c>
      <c r="G550" s="7"/>
      <c r="H550" s="7" t="s">
        <v>212</v>
      </c>
      <c r="I550" s="100"/>
      <c r="J550" s="100"/>
      <c r="K550" s="100"/>
      <c r="M550" s="7"/>
      <c r="N550" s="110" t="s">
        <v>1504</v>
      </c>
      <c r="O550" s="110" t="s">
        <v>1494</v>
      </c>
      <c r="P550" s="108" t="s">
        <v>1492</v>
      </c>
      <c r="Q550" s="110" t="s">
        <v>2808</v>
      </c>
      <c r="R550" s="110">
        <v>34.6</v>
      </c>
      <c r="S550" s="7">
        <f t="shared" si="99"/>
        <v>34.6</v>
      </c>
      <c r="T550" s="110">
        <v>19.350000000000001</v>
      </c>
      <c r="U550" s="7">
        <v>1</v>
      </c>
      <c r="V550" s="7">
        <v>30</v>
      </c>
      <c r="W550" s="7">
        <f t="shared" si="98"/>
        <v>1.4771212547196624</v>
      </c>
      <c r="X550" s="7" t="s">
        <v>1779</v>
      </c>
      <c r="Y550" s="7" t="s">
        <v>1781</v>
      </c>
      <c r="Z550" s="7">
        <v>16</v>
      </c>
      <c r="AA550" s="7">
        <v>22</v>
      </c>
      <c r="AB550" s="108">
        <v>1.74</v>
      </c>
      <c r="AC550" s="108">
        <v>0.18</v>
      </c>
      <c r="AD550" s="7"/>
      <c r="AE550" s="7"/>
      <c r="AF550" s="7"/>
      <c r="AG550" s="7"/>
      <c r="AH550" s="7"/>
      <c r="AI550" s="7"/>
      <c r="AJ550" s="7"/>
      <c r="AK550" s="108">
        <v>2.46</v>
      </c>
      <c r="AL550" s="108">
        <v>0.18</v>
      </c>
      <c r="AM550" s="7"/>
      <c r="AN550" s="7"/>
      <c r="AO550" s="7"/>
      <c r="AP550" s="7"/>
      <c r="AQ550" s="7"/>
      <c r="AR550" s="7"/>
      <c r="AS550" s="7"/>
      <c r="AT550" s="184"/>
      <c r="AU550" s="7"/>
      <c r="AV550" s="7"/>
      <c r="AW550" s="7"/>
      <c r="AX550" s="7" t="s">
        <v>2809</v>
      </c>
      <c r="AY550" s="7" t="s">
        <v>4124</v>
      </c>
    </row>
    <row r="551" spans="1:51">
      <c r="A551" s="7" t="s">
        <v>91</v>
      </c>
      <c r="B551" s="7" t="s">
        <v>91</v>
      </c>
      <c r="C551" s="7" t="s">
        <v>2769</v>
      </c>
      <c r="D551" s="7" t="s">
        <v>2770</v>
      </c>
      <c r="E551" s="7" t="s">
        <v>2771</v>
      </c>
      <c r="F551" s="7" t="s">
        <v>2772</v>
      </c>
      <c r="G551" s="7"/>
      <c r="H551" s="7" t="s">
        <v>91</v>
      </c>
      <c r="I551" s="100"/>
      <c r="J551" s="100"/>
      <c r="K551" s="100"/>
      <c r="M551" s="7"/>
      <c r="N551" s="7" t="s">
        <v>1504</v>
      </c>
      <c r="O551" s="7" t="s">
        <v>1505</v>
      </c>
      <c r="P551" s="108" t="s">
        <v>1492</v>
      </c>
      <c r="Q551" s="7" t="s">
        <v>2773</v>
      </c>
      <c r="R551" s="7">
        <v>56.942777999999997</v>
      </c>
      <c r="S551" s="7">
        <f t="shared" si="99"/>
        <v>56.942777999999997</v>
      </c>
      <c r="T551" s="7">
        <v>9.0749999999999993</v>
      </c>
      <c r="U551" s="7">
        <v>1</v>
      </c>
      <c r="V551" s="7">
        <v>50</v>
      </c>
      <c r="W551" s="7">
        <f t="shared" si="98"/>
        <v>1.6989700043360187</v>
      </c>
      <c r="X551" s="7" t="s">
        <v>1779</v>
      </c>
      <c r="Y551" s="7" t="s">
        <v>2776</v>
      </c>
      <c r="Z551" s="7">
        <v>10</v>
      </c>
      <c r="AA551" s="7">
        <v>25</v>
      </c>
      <c r="AB551" s="7">
        <v>62.2</v>
      </c>
      <c r="AC551" s="7">
        <v>5.5</v>
      </c>
      <c r="AD551" s="7">
        <v>6</v>
      </c>
      <c r="AE551" s="7">
        <v>155</v>
      </c>
      <c r="AF551" s="7">
        <v>12.5</v>
      </c>
      <c r="AG551" s="7">
        <v>6</v>
      </c>
      <c r="AH551" s="7"/>
      <c r="AI551" s="7"/>
      <c r="AJ551" s="7"/>
      <c r="AK551" s="7">
        <v>75.3</v>
      </c>
      <c r="AL551" s="7">
        <v>10</v>
      </c>
      <c r="AM551" s="7">
        <v>6</v>
      </c>
      <c r="AN551" s="7"/>
      <c r="AO551" s="7"/>
      <c r="AP551" s="7"/>
      <c r="AQ551" s="7"/>
      <c r="AR551" s="7"/>
      <c r="AS551" s="7"/>
      <c r="AT551" s="184"/>
      <c r="AU551" s="7"/>
      <c r="AV551" s="7" t="s">
        <v>1796</v>
      </c>
      <c r="AW551" s="7"/>
      <c r="AX551" s="7" t="s">
        <v>2775</v>
      </c>
      <c r="AY551" s="7" t="s">
        <v>4124</v>
      </c>
    </row>
    <row r="552" spans="1:51">
      <c r="A552" s="7" t="s">
        <v>2810</v>
      </c>
      <c r="B552" s="7" t="s">
        <v>92</v>
      </c>
      <c r="C552" s="7" t="s">
        <v>160</v>
      </c>
      <c r="D552" s="7" t="s">
        <v>199</v>
      </c>
      <c r="E552" s="7" t="s">
        <v>2634</v>
      </c>
      <c r="F552" s="7" t="s">
        <v>2635</v>
      </c>
      <c r="G552" s="7"/>
      <c r="H552" s="7" t="s">
        <v>92</v>
      </c>
      <c r="I552" s="100"/>
      <c r="J552" s="100"/>
      <c r="K552" s="100"/>
      <c r="M552" s="7"/>
      <c r="N552" s="7" t="s">
        <v>1538</v>
      </c>
      <c r="O552" s="7" t="s">
        <v>1505</v>
      </c>
      <c r="P552" s="108" t="s">
        <v>1492</v>
      </c>
      <c r="Q552" s="7" t="s">
        <v>2811</v>
      </c>
      <c r="R552" s="7">
        <v>42.2</v>
      </c>
      <c r="S552" s="7">
        <f t="shared" si="99"/>
        <v>42.2</v>
      </c>
      <c r="T552" s="7">
        <v>-81.2</v>
      </c>
      <c r="U552" s="7">
        <v>1</v>
      </c>
      <c r="V552" s="7">
        <v>14</v>
      </c>
      <c r="W552" s="7">
        <f t="shared" si="98"/>
        <v>1.146128035678238</v>
      </c>
      <c r="X552" s="7" t="s">
        <v>1779</v>
      </c>
      <c r="Y552" s="7" t="s">
        <v>1781</v>
      </c>
      <c r="Z552" s="7">
        <v>10</v>
      </c>
      <c r="AA552" s="7">
        <v>18</v>
      </c>
      <c r="AB552" s="7">
        <v>0.65</v>
      </c>
      <c r="AC552" s="7">
        <v>0.01</v>
      </c>
      <c r="AD552" s="7">
        <v>10</v>
      </c>
      <c r="AE552" s="7"/>
      <c r="AF552" s="7"/>
      <c r="AG552" s="7"/>
      <c r="AH552" s="7"/>
      <c r="AI552" s="7"/>
      <c r="AJ552" s="7"/>
      <c r="AK552" s="7">
        <v>0.8</v>
      </c>
      <c r="AL552" s="7">
        <v>0.03</v>
      </c>
      <c r="AM552" s="7">
        <v>10</v>
      </c>
      <c r="AN552" s="7"/>
      <c r="AO552" s="7"/>
      <c r="AP552" s="7"/>
      <c r="AQ552" s="7"/>
      <c r="AR552" s="7"/>
      <c r="AS552" s="7"/>
      <c r="AT552" s="184"/>
      <c r="AU552" s="7"/>
      <c r="AV552" s="7" t="s">
        <v>1770</v>
      </c>
      <c r="AW552" s="7"/>
      <c r="AX552" s="7" t="s">
        <v>2812</v>
      </c>
      <c r="AY552" s="7" t="s">
        <v>4124</v>
      </c>
    </row>
    <row r="553" spans="1:51">
      <c r="A553" s="7" t="s">
        <v>2810</v>
      </c>
      <c r="B553" s="7" t="s">
        <v>92</v>
      </c>
      <c r="C553" s="7" t="s">
        <v>160</v>
      </c>
      <c r="D553" s="7" t="s">
        <v>199</v>
      </c>
      <c r="E553" s="7" t="s">
        <v>2634</v>
      </c>
      <c r="F553" s="7" t="s">
        <v>2635</v>
      </c>
      <c r="G553" s="7"/>
      <c r="H553" s="7" t="s">
        <v>92</v>
      </c>
      <c r="I553" s="100"/>
      <c r="J553" s="100"/>
      <c r="K553" s="100"/>
      <c r="M553" s="7"/>
      <c r="N553" s="7" t="s">
        <v>1538</v>
      </c>
      <c r="O553" s="7" t="s">
        <v>1505</v>
      </c>
      <c r="P553" s="108" t="s">
        <v>1492</v>
      </c>
      <c r="Q553" s="7" t="s">
        <v>2811</v>
      </c>
      <c r="R553" s="7">
        <v>42.2</v>
      </c>
      <c r="S553" s="7">
        <f t="shared" si="99"/>
        <v>42.2</v>
      </c>
      <c r="T553" s="7">
        <v>-81.2</v>
      </c>
      <c r="U553" s="7">
        <v>1</v>
      </c>
      <c r="V553" s="7">
        <v>14</v>
      </c>
      <c r="W553" s="7">
        <f t="shared" si="98"/>
        <v>1.146128035678238</v>
      </c>
      <c r="X553" s="7" t="s">
        <v>1779</v>
      </c>
      <c r="Y553" s="7" t="s">
        <v>1781</v>
      </c>
      <c r="Z553" s="7">
        <v>18</v>
      </c>
      <c r="AA553" s="7">
        <v>26</v>
      </c>
      <c r="AB553" s="7">
        <v>0.8</v>
      </c>
      <c r="AC553" s="7">
        <v>0.03</v>
      </c>
      <c r="AD553" s="7">
        <v>10</v>
      </c>
      <c r="AE553" s="7"/>
      <c r="AF553" s="7"/>
      <c r="AG553" s="7"/>
      <c r="AH553" s="7"/>
      <c r="AI553" s="7"/>
      <c r="AJ553" s="7"/>
      <c r="AK553" s="7">
        <v>1.75</v>
      </c>
      <c r="AL553" s="7">
        <v>0.12</v>
      </c>
      <c r="AM553" s="7">
        <v>10</v>
      </c>
      <c r="AN553" s="7"/>
      <c r="AO553" s="7"/>
      <c r="AP553" s="7"/>
      <c r="AQ553" s="7"/>
      <c r="AR553" s="7"/>
      <c r="AS553" s="7"/>
      <c r="AT553" s="184"/>
      <c r="AU553" s="7"/>
      <c r="AV553" s="7" t="s">
        <v>1770</v>
      </c>
      <c r="AW553" s="7"/>
      <c r="AX553" s="7" t="s">
        <v>2812</v>
      </c>
      <c r="AY553" s="7" t="s">
        <v>4124</v>
      </c>
    </row>
    <row r="554" spans="1:51">
      <c r="A554" s="7" t="s">
        <v>2810</v>
      </c>
      <c r="B554" s="7" t="s">
        <v>92</v>
      </c>
      <c r="C554" s="7" t="s">
        <v>160</v>
      </c>
      <c r="D554" s="7" t="s">
        <v>199</v>
      </c>
      <c r="E554" s="7" t="s">
        <v>2634</v>
      </c>
      <c r="F554" s="7" t="s">
        <v>2635</v>
      </c>
      <c r="G554" s="7"/>
      <c r="H554" s="7" t="s">
        <v>92</v>
      </c>
      <c r="I554" s="100"/>
      <c r="J554" s="100"/>
      <c r="K554" s="100"/>
      <c r="M554" s="7"/>
      <c r="N554" s="7" t="s">
        <v>1538</v>
      </c>
      <c r="O554" s="7" t="s">
        <v>1505</v>
      </c>
      <c r="P554" s="108" t="s">
        <v>1492</v>
      </c>
      <c r="Q554" s="7" t="s">
        <v>2811</v>
      </c>
      <c r="R554" s="7">
        <v>42.2</v>
      </c>
      <c r="S554" s="7">
        <f t="shared" si="99"/>
        <v>42.2</v>
      </c>
      <c r="T554" s="7">
        <v>-81.2</v>
      </c>
      <c r="U554" s="7">
        <v>1</v>
      </c>
      <c r="V554" s="7">
        <v>14</v>
      </c>
      <c r="W554" s="7">
        <f t="shared" si="98"/>
        <v>1.146128035678238</v>
      </c>
      <c r="X554" s="7" t="s">
        <v>1779</v>
      </c>
      <c r="Y554" s="7" t="s">
        <v>1781</v>
      </c>
      <c r="Z554" s="7">
        <v>10</v>
      </c>
      <c r="AA554" s="7">
        <v>26</v>
      </c>
      <c r="AB554" s="7">
        <v>0.65</v>
      </c>
      <c r="AC554" s="7">
        <v>0.01</v>
      </c>
      <c r="AD554" s="7">
        <v>10</v>
      </c>
      <c r="AE554" s="7"/>
      <c r="AF554" s="7"/>
      <c r="AG554" s="7"/>
      <c r="AH554" s="7"/>
      <c r="AI554" s="7"/>
      <c r="AJ554" s="7"/>
      <c r="AK554" s="7">
        <v>1.75</v>
      </c>
      <c r="AL554" s="7">
        <v>0.12</v>
      </c>
      <c r="AM554" s="7">
        <v>10</v>
      </c>
      <c r="AN554" s="7"/>
      <c r="AO554" s="7"/>
      <c r="AP554" s="7"/>
      <c r="AQ554" s="7"/>
      <c r="AR554" s="7"/>
      <c r="AS554" s="7"/>
      <c r="AT554" s="184"/>
      <c r="AU554" s="7"/>
      <c r="AV554" s="7" t="s">
        <v>1770</v>
      </c>
      <c r="AW554" s="7"/>
      <c r="AX554" s="7" t="s">
        <v>2812</v>
      </c>
      <c r="AY554" s="7" t="s">
        <v>4124</v>
      </c>
    </row>
    <row r="555" spans="1:51">
      <c r="A555" s="7" t="s">
        <v>33</v>
      </c>
      <c r="B555" s="7" t="s">
        <v>34</v>
      </c>
      <c r="C555" s="7" t="s">
        <v>282</v>
      </c>
      <c r="D555" s="7" t="s">
        <v>2138</v>
      </c>
      <c r="E555" s="7" t="s">
        <v>2178</v>
      </c>
      <c r="F555" s="7" t="s">
        <v>2813</v>
      </c>
      <c r="G555" s="7" t="s">
        <v>2814</v>
      </c>
      <c r="H555" s="7" t="s">
        <v>4180</v>
      </c>
      <c r="I555" s="100">
        <f>26/1000</f>
        <v>2.5999999999999999E-2</v>
      </c>
      <c r="J555" s="100">
        <f t="shared" ref="J555:J618" si="100">I555*1000</f>
        <v>26</v>
      </c>
      <c r="K555" s="100">
        <f t="shared" ref="K555:K618" si="101">LOG(J555)</f>
        <v>1.414973347970818</v>
      </c>
      <c r="L555" s="73" t="s">
        <v>1517</v>
      </c>
      <c r="M555" s="7" t="s">
        <v>2815</v>
      </c>
      <c r="N555" s="7" t="s">
        <v>1538</v>
      </c>
      <c r="O555" s="7" t="s">
        <v>1505</v>
      </c>
      <c r="P555" s="108" t="s">
        <v>1492</v>
      </c>
      <c r="Q555" s="7" t="s">
        <v>2816</v>
      </c>
      <c r="R555" s="7">
        <v>30.61</v>
      </c>
      <c r="S555" s="7">
        <f t="shared" si="99"/>
        <v>30.61</v>
      </c>
      <c r="T555" s="7">
        <v>95.53</v>
      </c>
      <c r="U555" s="7">
        <v>1</v>
      </c>
      <c r="V555" s="7">
        <v>14</v>
      </c>
      <c r="W555" s="7">
        <f t="shared" si="98"/>
        <v>1.146128035678238</v>
      </c>
      <c r="X555" s="7" t="s">
        <v>1779</v>
      </c>
      <c r="Y555" s="7" t="s">
        <v>2029</v>
      </c>
      <c r="Z555" s="7">
        <v>10</v>
      </c>
      <c r="AA555" s="7">
        <v>30</v>
      </c>
      <c r="AB555" s="7">
        <v>131.19999999999999</v>
      </c>
      <c r="AC555" s="7">
        <v>12.34</v>
      </c>
      <c r="AD555" s="7">
        <v>6</v>
      </c>
      <c r="AE555" s="7"/>
      <c r="AF555" s="7"/>
      <c r="AG555" s="7"/>
      <c r="AH555" s="7"/>
      <c r="AI555" s="7"/>
      <c r="AJ555" s="7"/>
      <c r="AK555" s="108">
        <v>187.67</v>
      </c>
      <c r="AL555" s="108">
        <v>25.73</v>
      </c>
      <c r="AM555" s="7">
        <v>10</v>
      </c>
      <c r="AN555" s="7"/>
      <c r="AO555" s="7"/>
      <c r="AP555" s="7"/>
      <c r="AQ555" s="7"/>
      <c r="AR555" s="7"/>
      <c r="AS555" s="7"/>
      <c r="AT555" s="184"/>
      <c r="AU555" s="7"/>
      <c r="AV555" s="7"/>
      <c r="AW555" s="7"/>
      <c r="AX555" s="7" t="s">
        <v>2815</v>
      </c>
      <c r="AY555" s="7" t="s">
        <v>1488</v>
      </c>
    </row>
    <row r="556" spans="1:51">
      <c r="A556" s="7" t="s">
        <v>33</v>
      </c>
      <c r="B556" s="7" t="s">
        <v>34</v>
      </c>
      <c r="C556" s="7" t="s">
        <v>282</v>
      </c>
      <c r="D556" s="7" t="s">
        <v>2138</v>
      </c>
      <c r="E556" s="7" t="s">
        <v>2178</v>
      </c>
      <c r="F556" s="7" t="s">
        <v>2184</v>
      </c>
      <c r="G556" s="7" t="s">
        <v>2185</v>
      </c>
      <c r="H556" s="7" t="s">
        <v>4180</v>
      </c>
      <c r="I556" s="100">
        <f>33/1000</f>
        <v>3.3000000000000002E-2</v>
      </c>
      <c r="J556" s="100">
        <f t="shared" si="100"/>
        <v>33</v>
      </c>
      <c r="K556" s="100">
        <f t="shared" si="101"/>
        <v>1.5185139398778875</v>
      </c>
      <c r="L556" s="73" t="s">
        <v>1517</v>
      </c>
      <c r="M556" s="7" t="s">
        <v>2815</v>
      </c>
      <c r="N556" s="7" t="s">
        <v>1538</v>
      </c>
      <c r="O556" s="7" t="s">
        <v>1505</v>
      </c>
      <c r="P556" s="108" t="s">
        <v>1492</v>
      </c>
      <c r="Q556" s="7" t="s">
        <v>2816</v>
      </c>
      <c r="R556" s="7">
        <v>30.61</v>
      </c>
      <c r="S556" s="7">
        <f t="shared" si="99"/>
        <v>30.61</v>
      </c>
      <c r="T556" s="7">
        <v>95.53</v>
      </c>
      <c r="U556" s="7">
        <v>1</v>
      </c>
      <c r="V556" s="7">
        <v>14</v>
      </c>
      <c r="W556" s="7">
        <f t="shared" si="98"/>
        <v>1.146128035678238</v>
      </c>
      <c r="X556" s="7" t="s">
        <v>1779</v>
      </c>
      <c r="Y556" s="7" t="s">
        <v>2029</v>
      </c>
      <c r="Z556" s="7">
        <v>10</v>
      </c>
      <c r="AA556" s="7">
        <v>30</v>
      </c>
      <c r="AB556" s="7">
        <v>73.92</v>
      </c>
      <c r="AC556" s="7">
        <v>4.17</v>
      </c>
      <c r="AD556" s="7">
        <v>2</v>
      </c>
      <c r="AE556" s="7"/>
      <c r="AF556" s="7"/>
      <c r="AG556" s="7"/>
      <c r="AH556" s="7"/>
      <c r="AI556" s="7"/>
      <c r="AJ556" s="7"/>
      <c r="AK556" s="108">
        <v>223.4</v>
      </c>
      <c r="AL556" s="108">
        <v>25.48</v>
      </c>
      <c r="AM556" s="7">
        <v>10</v>
      </c>
      <c r="AN556" s="7"/>
      <c r="AO556" s="7"/>
      <c r="AP556" s="7"/>
      <c r="AQ556" s="7"/>
      <c r="AR556" s="7"/>
      <c r="AS556" s="7"/>
      <c r="AT556" s="184"/>
      <c r="AU556" s="7"/>
      <c r="AV556" s="7"/>
      <c r="AW556" s="7"/>
      <c r="AX556" s="7" t="s">
        <v>2817</v>
      </c>
      <c r="AY556" s="7" t="s">
        <v>1488</v>
      </c>
    </row>
    <row r="557" spans="1:51">
      <c r="A557" s="7" t="s">
        <v>33</v>
      </c>
      <c r="B557" s="7" t="s">
        <v>34</v>
      </c>
      <c r="C557" s="7" t="s">
        <v>282</v>
      </c>
      <c r="D557" s="7" t="s">
        <v>2818</v>
      </c>
      <c r="E557" s="7" t="s">
        <v>2819</v>
      </c>
      <c r="F557" s="7" t="s">
        <v>2820</v>
      </c>
      <c r="G557" s="7" t="s">
        <v>2821</v>
      </c>
      <c r="H557" s="7" t="s">
        <v>4180</v>
      </c>
      <c r="I557" s="100">
        <f>(AVERAGE(34, 179, 26, 156))/1000</f>
        <v>9.8750000000000004E-2</v>
      </c>
      <c r="J557" s="100">
        <f t="shared" si="100"/>
        <v>98.75</v>
      </c>
      <c r="K557" s="100">
        <f t="shared" si="101"/>
        <v>1.9945371042984978</v>
      </c>
      <c r="L557" s="73" t="s">
        <v>1517</v>
      </c>
      <c r="M557" s="7" t="s">
        <v>2822</v>
      </c>
      <c r="N557" s="7" t="s">
        <v>1504</v>
      </c>
      <c r="O557" s="7" t="s">
        <v>1505</v>
      </c>
      <c r="P557" s="108" t="s">
        <v>1492</v>
      </c>
      <c r="Q557" s="7" t="s">
        <v>2823</v>
      </c>
      <c r="R557" s="7">
        <v>33.85</v>
      </c>
      <c r="S557" s="7">
        <f t="shared" si="99"/>
        <v>33.85</v>
      </c>
      <c r="T557" s="7">
        <v>117.7</v>
      </c>
      <c r="U557" s="7">
        <v>1</v>
      </c>
      <c r="V557" s="7">
        <v>14</v>
      </c>
      <c r="W557" s="7">
        <f t="shared" si="98"/>
        <v>1.146128035678238</v>
      </c>
      <c r="X557" s="7" t="s">
        <v>1779</v>
      </c>
      <c r="Y557" s="7" t="s">
        <v>2029</v>
      </c>
      <c r="Z557" s="7">
        <v>18</v>
      </c>
      <c r="AA557" s="7">
        <v>24</v>
      </c>
      <c r="AB557" s="7">
        <v>3.95</v>
      </c>
      <c r="AC557" s="7">
        <v>2.1</v>
      </c>
      <c r="AD557" s="7">
        <v>12</v>
      </c>
      <c r="AE557" s="7"/>
      <c r="AF557" s="7"/>
      <c r="AG557" s="7"/>
      <c r="AH557" s="7"/>
      <c r="AI557" s="7"/>
      <c r="AJ557" s="7"/>
      <c r="AK557" s="108">
        <v>4.47</v>
      </c>
      <c r="AL557" s="108">
        <v>2.5099999999999998</v>
      </c>
      <c r="AM557" s="7">
        <v>12</v>
      </c>
      <c r="AN557" s="7"/>
      <c r="AO557" s="7"/>
      <c r="AP557" s="7"/>
      <c r="AQ557" s="7"/>
      <c r="AR557" s="7"/>
      <c r="AS557" s="7"/>
      <c r="AT557" s="184"/>
      <c r="AU557" s="7"/>
      <c r="AV557" s="7"/>
      <c r="AW557" s="7"/>
      <c r="AX557" s="7" t="s">
        <v>2822</v>
      </c>
      <c r="AY557" s="7" t="s">
        <v>1488</v>
      </c>
    </row>
    <row r="558" spans="1:51">
      <c r="A558" s="7" t="s">
        <v>33</v>
      </c>
      <c r="B558" s="7" t="s">
        <v>34</v>
      </c>
      <c r="C558" s="7" t="s">
        <v>282</v>
      </c>
      <c r="D558" s="7" t="s">
        <v>2818</v>
      </c>
      <c r="E558" s="7" t="s">
        <v>2819</v>
      </c>
      <c r="F558" s="7" t="s">
        <v>2820</v>
      </c>
      <c r="G558" s="7" t="s">
        <v>2821</v>
      </c>
      <c r="H558" s="7" t="s">
        <v>4180</v>
      </c>
      <c r="I558" s="100">
        <f>(AVERAGE(34, 179, 26, 156))/1000</f>
        <v>9.8750000000000004E-2</v>
      </c>
      <c r="J558" s="100">
        <f t="shared" si="100"/>
        <v>98.75</v>
      </c>
      <c r="K558" s="100">
        <f t="shared" si="101"/>
        <v>1.9945371042984978</v>
      </c>
      <c r="L558" s="73" t="s">
        <v>1517</v>
      </c>
      <c r="M558" s="7" t="s">
        <v>2822</v>
      </c>
      <c r="N558" s="7" t="s">
        <v>1504</v>
      </c>
      <c r="O558" s="7" t="s">
        <v>1505</v>
      </c>
      <c r="P558" s="108" t="s">
        <v>1492</v>
      </c>
      <c r="Q558" s="7" t="s">
        <v>2823</v>
      </c>
      <c r="R558" s="7">
        <v>33.85</v>
      </c>
      <c r="S558" s="7">
        <f t="shared" si="99"/>
        <v>33.85</v>
      </c>
      <c r="T558" s="7">
        <v>117.7</v>
      </c>
      <c r="U558" s="7">
        <v>1</v>
      </c>
      <c r="V558" s="7">
        <v>14</v>
      </c>
      <c r="W558" s="7">
        <f t="shared" si="98"/>
        <v>1.146128035678238</v>
      </c>
      <c r="X558" s="7" t="s">
        <v>1520</v>
      </c>
      <c r="Y558" s="7" t="s">
        <v>1521</v>
      </c>
      <c r="Z558" s="7">
        <v>18</v>
      </c>
      <c r="AA558" s="7">
        <v>24</v>
      </c>
      <c r="AB558" s="7">
        <v>3.5033886920246911</v>
      </c>
      <c r="AC558" s="7">
        <v>0.16585202333608312</v>
      </c>
      <c r="AD558" s="7">
        <v>12</v>
      </c>
      <c r="AE558" s="7"/>
      <c r="AF558" s="7"/>
      <c r="AG558" s="7"/>
      <c r="AH558" s="7"/>
      <c r="AI558" s="7"/>
      <c r="AJ558" s="7"/>
      <c r="AK558" s="7">
        <v>4.7218993765787731</v>
      </c>
      <c r="AL558" s="7">
        <v>0.19734736121289059</v>
      </c>
      <c r="AM558" s="7">
        <v>10</v>
      </c>
      <c r="AN558" s="7"/>
      <c r="AO558" s="7"/>
      <c r="AP558" s="7"/>
      <c r="AQ558" s="7"/>
      <c r="AR558" s="7"/>
      <c r="AS558" s="7"/>
      <c r="AT558" s="184"/>
      <c r="AU558" s="7"/>
      <c r="AV558" s="7"/>
      <c r="AW558" s="7"/>
      <c r="AX558" s="7" t="s">
        <v>2824</v>
      </c>
      <c r="AY558" s="7" t="s">
        <v>1488</v>
      </c>
    </row>
    <row r="559" spans="1:51">
      <c r="A559" s="7" t="s">
        <v>33</v>
      </c>
      <c r="B559" s="7" t="s">
        <v>75</v>
      </c>
      <c r="C559" s="7" t="s">
        <v>348</v>
      </c>
      <c r="D559" s="7" t="s">
        <v>349</v>
      </c>
      <c r="E559" s="7" t="s">
        <v>393</v>
      </c>
      <c r="F559" s="7" t="s">
        <v>2068</v>
      </c>
      <c r="G559" s="7" t="s">
        <v>2069</v>
      </c>
      <c r="H559" s="7" t="s">
        <v>4181</v>
      </c>
      <c r="I559" s="100">
        <f>0.63/1000</f>
        <v>6.3000000000000003E-4</v>
      </c>
      <c r="J559" s="100">
        <f t="shared" si="100"/>
        <v>0.63</v>
      </c>
      <c r="K559" s="100">
        <f t="shared" si="101"/>
        <v>-0.20065945054641829</v>
      </c>
      <c r="L559" s="73" t="s">
        <v>1517</v>
      </c>
      <c r="M559" s="107" t="s">
        <v>2070</v>
      </c>
      <c r="N559" s="7" t="s">
        <v>1538</v>
      </c>
      <c r="O559" s="7" t="s">
        <v>1505</v>
      </c>
      <c r="P559" s="108" t="s">
        <v>1492</v>
      </c>
      <c r="Q559" s="7" t="s">
        <v>2071</v>
      </c>
      <c r="R559" s="7">
        <v>36.07638</v>
      </c>
      <c r="S559" s="7">
        <f t="shared" si="99"/>
        <v>36.07638</v>
      </c>
      <c r="T559" s="7">
        <v>-94.16</v>
      </c>
      <c r="U559" s="7">
        <v>1</v>
      </c>
      <c r="V559" s="7">
        <v>14</v>
      </c>
      <c r="W559" s="7">
        <f t="shared" si="98"/>
        <v>1.146128035678238</v>
      </c>
      <c r="X559" s="7" t="s">
        <v>1779</v>
      </c>
      <c r="Y559" s="7" t="s">
        <v>1781</v>
      </c>
      <c r="Z559" s="7">
        <v>10</v>
      </c>
      <c r="AA559" s="7">
        <v>20</v>
      </c>
      <c r="AB559" s="7">
        <v>14.8</v>
      </c>
      <c r="AC559" s="7">
        <v>0.38</v>
      </c>
      <c r="AD559" s="7">
        <v>15</v>
      </c>
      <c r="AE559" s="7"/>
      <c r="AF559" s="7"/>
      <c r="AG559" s="7"/>
      <c r="AH559" s="7"/>
      <c r="AI559" s="7"/>
      <c r="AJ559" s="7"/>
      <c r="AK559" s="7">
        <v>46.5</v>
      </c>
      <c r="AL559" s="7">
        <v>1.1299999999999999</v>
      </c>
      <c r="AM559" s="7">
        <v>15</v>
      </c>
      <c r="AN559" s="7"/>
      <c r="AO559" s="7"/>
      <c r="AP559" s="7"/>
      <c r="AQ559" s="7"/>
      <c r="AR559" s="7"/>
      <c r="AS559" s="7"/>
      <c r="AT559" s="184"/>
      <c r="AU559" s="7"/>
      <c r="AV559" s="7" t="s">
        <v>2072</v>
      </c>
      <c r="AW559" s="7"/>
      <c r="AX559" s="107" t="s">
        <v>2070</v>
      </c>
      <c r="AY559" s="7" t="s">
        <v>1488</v>
      </c>
    </row>
    <row r="560" spans="1:51">
      <c r="A560" s="7" t="s">
        <v>33</v>
      </c>
      <c r="B560" s="7" t="s">
        <v>34</v>
      </c>
      <c r="C560" s="7" t="s">
        <v>66</v>
      </c>
      <c r="D560" s="7" t="s">
        <v>67</v>
      </c>
      <c r="E560" s="7" t="s">
        <v>2825</v>
      </c>
      <c r="F560" s="7" t="s">
        <v>2826</v>
      </c>
      <c r="G560" s="7" t="s">
        <v>2827</v>
      </c>
      <c r="H560" s="7" t="s">
        <v>4180</v>
      </c>
      <c r="I560" s="100">
        <f>AVERAGE(2.6,6.2)/1000</f>
        <v>4.4000000000000003E-3</v>
      </c>
      <c r="J560" s="100">
        <f t="shared" si="100"/>
        <v>4.4000000000000004</v>
      </c>
      <c r="K560" s="100">
        <f t="shared" si="101"/>
        <v>0.64345267648618742</v>
      </c>
      <c r="L560" s="73" t="s">
        <v>1517</v>
      </c>
      <c r="M560" s="7" t="s">
        <v>2828</v>
      </c>
      <c r="N560" s="7" t="s">
        <v>1538</v>
      </c>
      <c r="O560" s="7" t="s">
        <v>1505</v>
      </c>
      <c r="P560" s="108" t="s">
        <v>1492</v>
      </c>
      <c r="Q560" s="7" t="s">
        <v>2829</v>
      </c>
      <c r="R560" s="7">
        <v>42.24</v>
      </c>
      <c r="S560" s="7">
        <f t="shared" si="99"/>
        <v>42.24</v>
      </c>
      <c r="T560" s="7">
        <v>78.680000000000007</v>
      </c>
      <c r="U560" s="7">
        <v>1</v>
      </c>
      <c r="V560" s="7">
        <v>14</v>
      </c>
      <c r="W560" s="7">
        <f t="shared" si="98"/>
        <v>1.146128035678238</v>
      </c>
      <c r="X560" s="7" t="s">
        <v>1779</v>
      </c>
      <c r="Y560" s="7" t="s">
        <v>1781</v>
      </c>
      <c r="Z560" s="7">
        <v>6</v>
      </c>
      <c r="AA560" s="7">
        <v>20</v>
      </c>
      <c r="AB560" s="7">
        <v>6.8000000000000005E-2</v>
      </c>
      <c r="AC560" s="7">
        <v>0.01</v>
      </c>
      <c r="AD560" s="7">
        <v>16</v>
      </c>
      <c r="AE560" s="7"/>
      <c r="AF560" s="7"/>
      <c r="AG560" s="7"/>
      <c r="AH560" s="7"/>
      <c r="AI560" s="7"/>
      <c r="AJ560" s="7"/>
      <c r="AK560" s="108">
        <v>0.22700000000000001</v>
      </c>
      <c r="AL560" s="108">
        <v>0.01</v>
      </c>
      <c r="AM560" s="108">
        <v>31</v>
      </c>
      <c r="AN560" s="7"/>
      <c r="AO560" s="7"/>
      <c r="AP560" s="7"/>
      <c r="AQ560" s="7"/>
      <c r="AR560" s="7"/>
      <c r="AS560" s="7"/>
      <c r="AT560" s="184"/>
      <c r="AU560" s="108"/>
      <c r="AV560" s="7"/>
      <c r="AW560" s="7"/>
      <c r="AX560" s="7" t="s">
        <v>2828</v>
      </c>
      <c r="AY560" s="7" t="s">
        <v>1488</v>
      </c>
    </row>
    <row r="561" spans="1:51">
      <c r="A561" s="7" t="s">
        <v>33</v>
      </c>
      <c r="B561" s="7" t="s">
        <v>34</v>
      </c>
      <c r="C561" s="7" t="s">
        <v>282</v>
      </c>
      <c r="D561" s="7" t="s">
        <v>2446</v>
      </c>
      <c r="E561" s="7" t="s">
        <v>2830</v>
      </c>
      <c r="F561" s="7" t="s">
        <v>2831</v>
      </c>
      <c r="G561" s="7" t="s">
        <v>2832</v>
      </c>
      <c r="H561" s="7" t="s">
        <v>4180</v>
      </c>
      <c r="I561" s="100">
        <f>147/1000</f>
        <v>0.14699999999999999</v>
      </c>
      <c r="J561" s="100">
        <f t="shared" si="100"/>
        <v>147</v>
      </c>
      <c r="K561" s="100">
        <f t="shared" si="101"/>
        <v>2.167317334748176</v>
      </c>
      <c r="L561" s="73" t="s">
        <v>1517</v>
      </c>
      <c r="M561" s="7" t="s">
        <v>2833</v>
      </c>
      <c r="N561" s="7" t="s">
        <v>1504</v>
      </c>
      <c r="O561" s="7" t="s">
        <v>1494</v>
      </c>
      <c r="P561" s="108" t="s">
        <v>1539</v>
      </c>
      <c r="Q561" s="7" t="s">
        <v>2834</v>
      </c>
      <c r="R561" s="7">
        <v>46.2</v>
      </c>
      <c r="S561" s="7">
        <f t="shared" si="99"/>
        <v>46.2</v>
      </c>
      <c r="T561" s="7">
        <v>1.6</v>
      </c>
      <c r="U561" s="7">
        <v>1</v>
      </c>
      <c r="V561" s="7">
        <v>18</v>
      </c>
      <c r="W561" s="7">
        <f t="shared" si="98"/>
        <v>1.255272505103306</v>
      </c>
      <c r="X561" s="7" t="s">
        <v>1779</v>
      </c>
      <c r="Y561" s="7" t="s">
        <v>2029</v>
      </c>
      <c r="Z561" s="7">
        <v>7</v>
      </c>
      <c r="AA561" s="7">
        <v>30</v>
      </c>
      <c r="AB561" s="108">
        <v>1.38</v>
      </c>
      <c r="AC561" s="108">
        <v>0.32</v>
      </c>
      <c r="AD561" s="7"/>
      <c r="AE561" s="7"/>
      <c r="AF561" s="7"/>
      <c r="AG561" s="7"/>
      <c r="AH561" s="7"/>
      <c r="AI561" s="7"/>
      <c r="AJ561" s="7"/>
      <c r="AK561" s="108">
        <v>4.72</v>
      </c>
      <c r="AL561" s="108">
        <v>0.26</v>
      </c>
      <c r="AM561" s="7"/>
      <c r="AN561" s="7"/>
      <c r="AO561" s="7"/>
      <c r="AP561" s="7"/>
      <c r="AQ561" s="7"/>
      <c r="AR561" s="7"/>
      <c r="AS561" s="7"/>
      <c r="AT561" s="184"/>
      <c r="AU561" s="7"/>
      <c r="AV561" s="7"/>
      <c r="AW561" s="7"/>
      <c r="AX561" s="7" t="s">
        <v>2833</v>
      </c>
      <c r="AY561" s="7" t="s">
        <v>1488</v>
      </c>
    </row>
    <row r="562" spans="1:51">
      <c r="A562" s="7" t="s">
        <v>33</v>
      </c>
      <c r="B562" s="7" t="s">
        <v>34</v>
      </c>
      <c r="C562" s="7" t="s">
        <v>282</v>
      </c>
      <c r="D562" s="7" t="s">
        <v>2446</v>
      </c>
      <c r="E562" s="7" t="s">
        <v>2830</v>
      </c>
      <c r="F562" s="7" t="s">
        <v>2831</v>
      </c>
      <c r="G562" s="7" t="s">
        <v>2832</v>
      </c>
      <c r="H562" s="7" t="s">
        <v>4180</v>
      </c>
      <c r="I562" s="100">
        <f>147/1000</f>
        <v>0.14699999999999999</v>
      </c>
      <c r="J562" s="100">
        <f t="shared" si="100"/>
        <v>147</v>
      </c>
      <c r="K562" s="100">
        <f t="shared" si="101"/>
        <v>2.167317334748176</v>
      </c>
      <c r="L562" s="73" t="s">
        <v>1517</v>
      </c>
      <c r="M562" s="7" t="s">
        <v>2833</v>
      </c>
      <c r="N562" s="7" t="s">
        <v>1504</v>
      </c>
      <c r="O562" s="7" t="s">
        <v>1494</v>
      </c>
      <c r="P562" s="108" t="s">
        <v>1539</v>
      </c>
      <c r="Q562" s="7" t="s">
        <v>2834</v>
      </c>
      <c r="R562" s="7">
        <v>46.2</v>
      </c>
      <c r="S562" s="7">
        <f t="shared" si="99"/>
        <v>46.2</v>
      </c>
      <c r="T562" s="7">
        <v>1.6</v>
      </c>
      <c r="U562" s="7">
        <v>1</v>
      </c>
      <c r="V562" s="7">
        <v>18</v>
      </c>
      <c r="W562" s="7">
        <f t="shared" si="98"/>
        <v>1.255272505103306</v>
      </c>
      <c r="X562" s="7" t="s">
        <v>1779</v>
      </c>
      <c r="Y562" s="7" t="s">
        <v>2029</v>
      </c>
      <c r="Z562" s="7">
        <v>7</v>
      </c>
      <c r="AA562" s="7">
        <v>30</v>
      </c>
      <c r="AB562" s="108">
        <v>6.17</v>
      </c>
      <c r="AC562" s="108">
        <v>0.52</v>
      </c>
      <c r="AD562" s="7"/>
      <c r="AE562" s="7"/>
      <c r="AF562" s="7"/>
      <c r="AG562" s="7"/>
      <c r="AH562" s="7"/>
      <c r="AI562" s="7"/>
      <c r="AJ562" s="7"/>
      <c r="AK562" s="108">
        <v>19.05</v>
      </c>
      <c r="AL562" s="108">
        <v>1.2</v>
      </c>
      <c r="AM562" s="7"/>
      <c r="AN562" s="7"/>
      <c r="AO562" s="7"/>
      <c r="AP562" s="7"/>
      <c r="AQ562" s="7"/>
      <c r="AR562" s="7"/>
      <c r="AS562" s="7"/>
      <c r="AT562" s="184"/>
      <c r="AU562" s="7"/>
      <c r="AV562" s="7"/>
      <c r="AW562" s="7"/>
      <c r="AX562" s="7" t="s">
        <v>2835</v>
      </c>
      <c r="AY562" s="7" t="s">
        <v>1488</v>
      </c>
    </row>
    <row r="563" spans="1:51">
      <c r="A563" s="7" t="s">
        <v>33</v>
      </c>
      <c r="B563" s="7" t="s">
        <v>34</v>
      </c>
      <c r="C563" s="7" t="s">
        <v>282</v>
      </c>
      <c r="D563" s="7" t="s">
        <v>2446</v>
      </c>
      <c r="E563" s="7" t="s">
        <v>2830</v>
      </c>
      <c r="F563" s="7" t="s">
        <v>2831</v>
      </c>
      <c r="G563" s="7" t="s">
        <v>2832</v>
      </c>
      <c r="H563" s="7" t="s">
        <v>4180</v>
      </c>
      <c r="I563" s="100">
        <f>147/1000</f>
        <v>0.14699999999999999</v>
      </c>
      <c r="J563" s="100">
        <f t="shared" si="100"/>
        <v>147</v>
      </c>
      <c r="K563" s="100">
        <f t="shared" si="101"/>
        <v>2.167317334748176</v>
      </c>
      <c r="L563" s="73" t="s">
        <v>1517</v>
      </c>
      <c r="M563" s="7" t="s">
        <v>2833</v>
      </c>
      <c r="N563" s="7" t="s">
        <v>1504</v>
      </c>
      <c r="O563" s="7" t="s">
        <v>1494</v>
      </c>
      <c r="P563" s="108" t="s">
        <v>1539</v>
      </c>
      <c r="Q563" s="7" t="s">
        <v>2834</v>
      </c>
      <c r="R563" s="7">
        <v>46.2</v>
      </c>
      <c r="S563" s="7">
        <f t="shared" si="99"/>
        <v>46.2</v>
      </c>
      <c r="T563" s="7">
        <v>1.6</v>
      </c>
      <c r="U563" s="7">
        <v>1</v>
      </c>
      <c r="V563" s="7">
        <v>18</v>
      </c>
      <c r="W563" s="7">
        <f t="shared" si="98"/>
        <v>1.255272505103306</v>
      </c>
      <c r="X563" s="7" t="s">
        <v>1520</v>
      </c>
      <c r="Y563" s="7" t="s">
        <v>1521</v>
      </c>
      <c r="Z563" s="7">
        <v>7</v>
      </c>
      <c r="AA563" s="7">
        <v>30</v>
      </c>
      <c r="AB563" s="108">
        <v>0.67</v>
      </c>
      <c r="AC563" s="108">
        <v>0.01</v>
      </c>
      <c r="AD563" s="7"/>
      <c r="AE563" s="7"/>
      <c r="AF563" s="7"/>
      <c r="AG563" s="7"/>
      <c r="AH563" s="7"/>
      <c r="AI563" s="7"/>
      <c r="AJ563" s="7"/>
      <c r="AK563" s="108">
        <v>1.1200000000000001</v>
      </c>
      <c r="AL563" s="108">
        <v>0.04</v>
      </c>
      <c r="AM563" s="7"/>
      <c r="AN563" s="7"/>
      <c r="AO563" s="7"/>
      <c r="AP563" s="7"/>
      <c r="AQ563" s="7"/>
      <c r="AR563" s="7"/>
      <c r="AS563" s="7"/>
      <c r="AT563" s="184"/>
      <c r="AU563" s="7"/>
      <c r="AV563" s="7" t="s">
        <v>1558</v>
      </c>
      <c r="AW563" s="7"/>
      <c r="AX563" s="7" t="s">
        <v>2836</v>
      </c>
      <c r="AY563" s="7" t="s">
        <v>1488</v>
      </c>
    </row>
    <row r="564" spans="1:51">
      <c r="A564" s="7" t="s">
        <v>33</v>
      </c>
      <c r="B564" s="7" t="s">
        <v>34</v>
      </c>
      <c r="C564" s="7" t="s">
        <v>282</v>
      </c>
      <c r="D564" s="7" t="s">
        <v>1954</v>
      </c>
      <c r="E564" s="7" t="s">
        <v>2837</v>
      </c>
      <c r="F564" s="7" t="s">
        <v>2838</v>
      </c>
      <c r="G564" s="7" t="s">
        <v>2839</v>
      </c>
      <c r="H564" s="7" t="s">
        <v>4180</v>
      </c>
      <c r="I564" s="100">
        <f t="shared" ref="I564:I593" si="102">1/1000</f>
        <v>1E-3</v>
      </c>
      <c r="J564" s="100">
        <f t="shared" si="100"/>
        <v>1</v>
      </c>
      <c r="K564" s="100">
        <f t="shared" si="101"/>
        <v>0</v>
      </c>
      <c r="L564" s="73" t="s">
        <v>1517</v>
      </c>
      <c r="M564" s="7" t="s">
        <v>1745</v>
      </c>
      <c r="N564" s="7" t="s">
        <v>1504</v>
      </c>
      <c r="O564" s="7" t="s">
        <v>1505</v>
      </c>
      <c r="P564" s="108" t="s">
        <v>1492</v>
      </c>
      <c r="Q564" s="7" t="s">
        <v>2024</v>
      </c>
      <c r="R564" s="7">
        <v>14.65</v>
      </c>
      <c r="S564" s="7">
        <f t="shared" si="99"/>
        <v>14.65</v>
      </c>
      <c r="T564" s="7">
        <v>145.44999999999999</v>
      </c>
      <c r="U564" s="7">
        <v>1</v>
      </c>
      <c r="V564" s="7">
        <v>21</v>
      </c>
      <c r="W564" s="7">
        <f t="shared" si="98"/>
        <v>1.3222192947339193</v>
      </c>
      <c r="X564" s="7" t="s">
        <v>1520</v>
      </c>
      <c r="Y564" s="7" t="s">
        <v>1521</v>
      </c>
      <c r="Z564" s="7">
        <v>29</v>
      </c>
      <c r="AA564" s="7">
        <v>32</v>
      </c>
      <c r="AB564" s="108">
        <v>9.75</v>
      </c>
      <c r="AC564" s="7">
        <f t="shared" ref="AC564:AC573" si="103">AB564*0.1</f>
        <v>0.97500000000000009</v>
      </c>
      <c r="AD564" s="108">
        <v>5</v>
      </c>
      <c r="AE564" s="7"/>
      <c r="AF564" s="7"/>
      <c r="AG564" s="7"/>
      <c r="AH564" s="7"/>
      <c r="AI564" s="7"/>
      <c r="AJ564" s="7"/>
      <c r="AK564" s="108">
        <v>9.06</v>
      </c>
      <c r="AL564" s="7">
        <f t="shared" ref="AL564:AL573" si="104">AK564*0.1</f>
        <v>0.90600000000000014</v>
      </c>
      <c r="AM564" s="108">
        <v>5</v>
      </c>
      <c r="AN564" s="7"/>
      <c r="AO564" s="7"/>
      <c r="AP564" s="7"/>
      <c r="AQ564" s="7"/>
      <c r="AR564" s="7"/>
      <c r="AS564" s="7"/>
      <c r="AT564" s="184"/>
      <c r="AU564" s="108"/>
      <c r="AV564" s="7"/>
      <c r="AW564" s="7"/>
      <c r="AX564" s="7" t="s">
        <v>2840</v>
      </c>
      <c r="AY564" s="7" t="s">
        <v>1488</v>
      </c>
    </row>
    <row r="565" spans="1:51">
      <c r="A565" s="7" t="s">
        <v>33</v>
      </c>
      <c r="B565" s="7" t="s">
        <v>34</v>
      </c>
      <c r="C565" s="7" t="s">
        <v>282</v>
      </c>
      <c r="D565" s="7" t="s">
        <v>1954</v>
      </c>
      <c r="E565" s="7" t="s">
        <v>2837</v>
      </c>
      <c r="F565" s="7" t="s">
        <v>2841</v>
      </c>
      <c r="G565" s="7" t="s">
        <v>2842</v>
      </c>
      <c r="H565" s="7" t="s">
        <v>4180</v>
      </c>
      <c r="I565" s="100">
        <f t="shared" si="102"/>
        <v>1E-3</v>
      </c>
      <c r="J565" s="100">
        <f t="shared" si="100"/>
        <v>1</v>
      </c>
      <c r="K565" s="100">
        <f t="shared" si="101"/>
        <v>0</v>
      </c>
      <c r="L565" s="73" t="s">
        <v>1517</v>
      </c>
      <c r="M565" s="7" t="s">
        <v>1745</v>
      </c>
      <c r="N565" s="7" t="s">
        <v>1504</v>
      </c>
      <c r="O565" s="7" t="s">
        <v>1505</v>
      </c>
      <c r="P565" s="108" t="s">
        <v>1492</v>
      </c>
      <c r="Q565" s="7" t="s">
        <v>2024</v>
      </c>
      <c r="R565" s="7">
        <v>14.65</v>
      </c>
      <c r="S565" s="7">
        <f t="shared" si="99"/>
        <v>14.65</v>
      </c>
      <c r="T565" s="7">
        <v>145.44999999999999</v>
      </c>
      <c r="U565" s="7">
        <v>1</v>
      </c>
      <c r="V565" s="7">
        <v>21</v>
      </c>
      <c r="W565" s="7">
        <f t="shared" si="98"/>
        <v>1.3222192947339193</v>
      </c>
      <c r="X565" s="7" t="s">
        <v>1520</v>
      </c>
      <c r="Y565" s="7" t="s">
        <v>1521</v>
      </c>
      <c r="Z565" s="7">
        <v>29</v>
      </c>
      <c r="AA565" s="7">
        <v>32</v>
      </c>
      <c r="AB565" s="108">
        <v>7.07</v>
      </c>
      <c r="AC565" s="7">
        <f t="shared" si="103"/>
        <v>0.70700000000000007</v>
      </c>
      <c r="AD565" s="108">
        <v>5</v>
      </c>
      <c r="AE565" s="7"/>
      <c r="AF565" s="7"/>
      <c r="AG565" s="7"/>
      <c r="AH565" s="7"/>
      <c r="AI565" s="7"/>
      <c r="AJ565" s="7"/>
      <c r="AK565" s="108">
        <v>6.28</v>
      </c>
      <c r="AL565" s="7">
        <f t="shared" si="104"/>
        <v>0.62800000000000011</v>
      </c>
      <c r="AM565" s="108">
        <v>5</v>
      </c>
      <c r="AN565" s="7"/>
      <c r="AO565" s="7"/>
      <c r="AP565" s="7"/>
      <c r="AQ565" s="7"/>
      <c r="AR565" s="7"/>
      <c r="AS565" s="7"/>
      <c r="AT565" s="184"/>
      <c r="AU565" s="108"/>
      <c r="AV565" s="7"/>
      <c r="AW565" s="7"/>
      <c r="AX565" s="7" t="s">
        <v>2843</v>
      </c>
      <c r="AY565" s="7" t="s">
        <v>1488</v>
      </c>
    </row>
    <row r="566" spans="1:51">
      <c r="A566" s="7" t="s">
        <v>33</v>
      </c>
      <c r="B566" s="7" t="s">
        <v>34</v>
      </c>
      <c r="C566" s="7" t="s">
        <v>282</v>
      </c>
      <c r="D566" s="7" t="s">
        <v>1954</v>
      </c>
      <c r="E566" s="7" t="s">
        <v>2844</v>
      </c>
      <c r="F566" s="7" t="s">
        <v>2845</v>
      </c>
      <c r="G566" s="7" t="s">
        <v>2846</v>
      </c>
      <c r="H566" s="7" t="s">
        <v>4180</v>
      </c>
      <c r="I566" s="100">
        <f t="shared" si="102"/>
        <v>1E-3</v>
      </c>
      <c r="J566" s="100">
        <f t="shared" si="100"/>
        <v>1</v>
      </c>
      <c r="K566" s="100">
        <f t="shared" si="101"/>
        <v>0</v>
      </c>
      <c r="L566" s="73" t="s">
        <v>1517</v>
      </c>
      <c r="M566" s="7" t="s">
        <v>1745</v>
      </c>
      <c r="N566" s="7" t="s">
        <v>1504</v>
      </c>
      <c r="O566" s="7" t="s">
        <v>1505</v>
      </c>
      <c r="P566" s="108" t="s">
        <v>1492</v>
      </c>
      <c r="Q566" s="7" t="s">
        <v>2024</v>
      </c>
      <c r="R566" s="7">
        <v>14.65</v>
      </c>
      <c r="S566" s="7">
        <f t="shared" si="99"/>
        <v>14.65</v>
      </c>
      <c r="T566" s="7">
        <v>145.44999999999999</v>
      </c>
      <c r="U566" s="7">
        <v>1</v>
      </c>
      <c r="V566" s="7">
        <v>21</v>
      </c>
      <c r="W566" s="7">
        <f t="shared" si="98"/>
        <v>1.3222192947339193</v>
      </c>
      <c r="X566" s="7" t="s">
        <v>1520</v>
      </c>
      <c r="Y566" s="7" t="s">
        <v>1521</v>
      </c>
      <c r="Z566" s="7">
        <v>29</v>
      </c>
      <c r="AA566" s="7">
        <v>32</v>
      </c>
      <c r="AB566" s="108">
        <v>7.77</v>
      </c>
      <c r="AC566" s="7">
        <f t="shared" si="103"/>
        <v>0.77700000000000002</v>
      </c>
      <c r="AD566" s="108">
        <v>5</v>
      </c>
      <c r="AE566" s="7"/>
      <c r="AF566" s="7"/>
      <c r="AG566" s="7"/>
      <c r="AH566" s="7"/>
      <c r="AI566" s="7"/>
      <c r="AJ566" s="7"/>
      <c r="AK566" s="108">
        <v>7.23</v>
      </c>
      <c r="AL566" s="7">
        <f t="shared" si="104"/>
        <v>0.72300000000000009</v>
      </c>
      <c r="AM566" s="108">
        <v>5</v>
      </c>
      <c r="AN566" s="7"/>
      <c r="AO566" s="7"/>
      <c r="AP566" s="7"/>
      <c r="AQ566" s="7"/>
      <c r="AR566" s="7"/>
      <c r="AS566" s="7"/>
      <c r="AT566" s="184"/>
      <c r="AU566" s="108"/>
      <c r="AV566" s="7"/>
      <c r="AW566" s="7"/>
      <c r="AX566" s="7" t="s">
        <v>2847</v>
      </c>
      <c r="AY566" s="7" t="s">
        <v>1488</v>
      </c>
    </row>
    <row r="567" spans="1:51">
      <c r="A567" s="7" t="s">
        <v>33</v>
      </c>
      <c r="B567" s="7" t="s">
        <v>34</v>
      </c>
      <c r="C567" s="7" t="s">
        <v>282</v>
      </c>
      <c r="D567" s="7" t="s">
        <v>1954</v>
      </c>
      <c r="E567" s="7" t="s">
        <v>2844</v>
      </c>
      <c r="F567" s="7" t="s">
        <v>2848</v>
      </c>
      <c r="G567" s="7" t="s">
        <v>2849</v>
      </c>
      <c r="H567" s="7" t="s">
        <v>4180</v>
      </c>
      <c r="I567" s="100">
        <f t="shared" si="102"/>
        <v>1E-3</v>
      </c>
      <c r="J567" s="100">
        <f t="shared" si="100"/>
        <v>1</v>
      </c>
      <c r="K567" s="100">
        <f t="shared" si="101"/>
        <v>0</v>
      </c>
      <c r="L567" s="73" t="s">
        <v>1517</v>
      </c>
      <c r="M567" s="7" t="s">
        <v>1745</v>
      </c>
      <c r="N567" s="7" t="s">
        <v>1504</v>
      </c>
      <c r="O567" s="7" t="s">
        <v>1505</v>
      </c>
      <c r="P567" s="108" t="s">
        <v>1492</v>
      </c>
      <c r="Q567" s="7" t="s">
        <v>2024</v>
      </c>
      <c r="R567" s="7">
        <v>14.65</v>
      </c>
      <c r="S567" s="7">
        <f t="shared" si="99"/>
        <v>14.65</v>
      </c>
      <c r="T567" s="7">
        <v>145.44999999999999</v>
      </c>
      <c r="U567" s="7">
        <v>1</v>
      </c>
      <c r="V567" s="7">
        <v>21</v>
      </c>
      <c r="W567" s="7">
        <f t="shared" si="98"/>
        <v>1.3222192947339193</v>
      </c>
      <c r="X567" s="7" t="s">
        <v>1520</v>
      </c>
      <c r="Y567" s="7" t="s">
        <v>1521</v>
      </c>
      <c r="Z567" s="7">
        <v>29</v>
      </c>
      <c r="AA567" s="7">
        <v>32</v>
      </c>
      <c r="AB567" s="108">
        <v>9.35</v>
      </c>
      <c r="AC567" s="7">
        <f t="shared" si="103"/>
        <v>0.93500000000000005</v>
      </c>
      <c r="AD567" s="108">
        <v>5</v>
      </c>
      <c r="AE567" s="7"/>
      <c r="AF567" s="7"/>
      <c r="AG567" s="7"/>
      <c r="AH567" s="7"/>
      <c r="AI567" s="7"/>
      <c r="AJ567" s="7"/>
      <c r="AK567" s="108">
        <v>6.74</v>
      </c>
      <c r="AL567" s="7">
        <f t="shared" si="104"/>
        <v>0.67400000000000004</v>
      </c>
      <c r="AM567" s="108">
        <v>5</v>
      </c>
      <c r="AN567" s="7"/>
      <c r="AO567" s="7"/>
      <c r="AP567" s="7"/>
      <c r="AQ567" s="7"/>
      <c r="AR567" s="7"/>
      <c r="AS567" s="7"/>
      <c r="AT567" s="184"/>
      <c r="AU567" s="108"/>
      <c r="AV567" s="7"/>
      <c r="AW567" s="7"/>
      <c r="AX567" s="7" t="s">
        <v>2850</v>
      </c>
      <c r="AY567" s="7" t="s">
        <v>1488</v>
      </c>
    </row>
    <row r="568" spans="1:51">
      <c r="A568" s="7" t="s">
        <v>33</v>
      </c>
      <c r="B568" s="7" t="s">
        <v>34</v>
      </c>
      <c r="C568" s="7" t="s">
        <v>282</v>
      </c>
      <c r="D568" s="7" t="s">
        <v>1954</v>
      </c>
      <c r="E568" s="7" t="s">
        <v>2851</v>
      </c>
      <c r="F568" s="7" t="s">
        <v>2852</v>
      </c>
      <c r="G568" s="7" t="s">
        <v>2853</v>
      </c>
      <c r="H568" s="7" t="s">
        <v>4180</v>
      </c>
      <c r="I568" s="100">
        <f t="shared" si="102"/>
        <v>1E-3</v>
      </c>
      <c r="J568" s="100">
        <f t="shared" si="100"/>
        <v>1</v>
      </c>
      <c r="K568" s="100">
        <f t="shared" si="101"/>
        <v>0</v>
      </c>
      <c r="L568" s="73" t="s">
        <v>1517</v>
      </c>
      <c r="M568" s="7" t="s">
        <v>1745</v>
      </c>
      <c r="N568" s="7" t="s">
        <v>1504</v>
      </c>
      <c r="O568" s="7" t="s">
        <v>1505</v>
      </c>
      <c r="P568" s="108" t="s">
        <v>1492</v>
      </c>
      <c r="Q568" s="7" t="s">
        <v>2024</v>
      </c>
      <c r="R568" s="7">
        <v>14.65</v>
      </c>
      <c r="S568" s="7">
        <f t="shared" si="99"/>
        <v>14.65</v>
      </c>
      <c r="T568" s="7">
        <v>145.44999999999999</v>
      </c>
      <c r="U568" s="7">
        <v>1</v>
      </c>
      <c r="V568" s="7">
        <v>21</v>
      </c>
      <c r="W568" s="7">
        <f t="shared" si="98"/>
        <v>1.3222192947339193</v>
      </c>
      <c r="X568" s="7" t="s">
        <v>1520</v>
      </c>
      <c r="Y568" s="7" t="s">
        <v>1521</v>
      </c>
      <c r="Z568" s="7">
        <v>29</v>
      </c>
      <c r="AA568" s="7">
        <v>32</v>
      </c>
      <c r="AB568" s="108">
        <v>6.12</v>
      </c>
      <c r="AC568" s="7">
        <f t="shared" si="103"/>
        <v>0.6120000000000001</v>
      </c>
      <c r="AD568" s="108">
        <v>5</v>
      </c>
      <c r="AE568" s="7"/>
      <c r="AF568" s="7"/>
      <c r="AG568" s="7"/>
      <c r="AH568" s="7"/>
      <c r="AI568" s="7"/>
      <c r="AJ568" s="7"/>
      <c r="AK568" s="108">
        <v>6.71</v>
      </c>
      <c r="AL568" s="7">
        <f t="shared" si="104"/>
        <v>0.67100000000000004</v>
      </c>
      <c r="AM568" s="108">
        <v>5</v>
      </c>
      <c r="AN568" s="7"/>
      <c r="AO568" s="7"/>
      <c r="AP568" s="7"/>
      <c r="AQ568" s="7"/>
      <c r="AR568" s="7"/>
      <c r="AS568" s="7"/>
      <c r="AT568" s="184"/>
      <c r="AU568" s="108"/>
      <c r="AV568" s="7"/>
      <c r="AW568" s="7"/>
      <c r="AX568" s="7" t="s">
        <v>2854</v>
      </c>
      <c r="AY568" s="7" t="s">
        <v>1488</v>
      </c>
    </row>
    <row r="569" spans="1:51">
      <c r="A569" s="7" t="s">
        <v>33</v>
      </c>
      <c r="B569" s="7" t="s">
        <v>34</v>
      </c>
      <c r="C569" s="7" t="s">
        <v>282</v>
      </c>
      <c r="D569" s="7" t="s">
        <v>1954</v>
      </c>
      <c r="E569" s="7" t="s">
        <v>2851</v>
      </c>
      <c r="F569" s="7" t="s">
        <v>2855</v>
      </c>
      <c r="G569" s="7" t="s">
        <v>2856</v>
      </c>
      <c r="H569" s="7" t="s">
        <v>4180</v>
      </c>
      <c r="I569" s="100">
        <f t="shared" si="102"/>
        <v>1E-3</v>
      </c>
      <c r="J569" s="100">
        <f t="shared" si="100"/>
        <v>1</v>
      </c>
      <c r="K569" s="100">
        <f t="shared" si="101"/>
        <v>0</v>
      </c>
      <c r="L569" s="73" t="s">
        <v>1517</v>
      </c>
      <c r="M569" s="7" t="s">
        <v>1745</v>
      </c>
      <c r="N569" s="7" t="s">
        <v>1504</v>
      </c>
      <c r="O569" s="7" t="s">
        <v>1505</v>
      </c>
      <c r="P569" s="108" t="s">
        <v>1492</v>
      </c>
      <c r="Q569" s="7" t="s">
        <v>2024</v>
      </c>
      <c r="R569" s="7">
        <v>14.65</v>
      </c>
      <c r="S569" s="7">
        <f t="shared" si="99"/>
        <v>14.65</v>
      </c>
      <c r="T569" s="7">
        <v>145.44999999999999</v>
      </c>
      <c r="U569" s="7">
        <v>1</v>
      </c>
      <c r="V569" s="7">
        <v>21</v>
      </c>
      <c r="W569" s="7">
        <f t="shared" si="98"/>
        <v>1.3222192947339193</v>
      </c>
      <c r="X569" s="7" t="s">
        <v>1520</v>
      </c>
      <c r="Y569" s="7" t="s">
        <v>1521</v>
      </c>
      <c r="Z569" s="7">
        <v>29</v>
      </c>
      <c r="AA569" s="7">
        <v>32</v>
      </c>
      <c r="AB569" s="108">
        <v>7.65</v>
      </c>
      <c r="AC569" s="7">
        <f t="shared" si="103"/>
        <v>0.76500000000000012</v>
      </c>
      <c r="AD569" s="108">
        <v>5</v>
      </c>
      <c r="AE569" s="7"/>
      <c r="AF569" s="7"/>
      <c r="AG569" s="7"/>
      <c r="AH569" s="7"/>
      <c r="AI569" s="7"/>
      <c r="AJ569" s="7"/>
      <c r="AK569" s="108">
        <v>6.85</v>
      </c>
      <c r="AL569" s="7">
        <f t="shared" si="104"/>
        <v>0.68500000000000005</v>
      </c>
      <c r="AM569" s="108">
        <v>5</v>
      </c>
      <c r="AN569" s="7"/>
      <c r="AO569" s="7"/>
      <c r="AP569" s="7"/>
      <c r="AQ569" s="7"/>
      <c r="AR569" s="7"/>
      <c r="AS569" s="7"/>
      <c r="AT569" s="184"/>
      <c r="AU569" s="108"/>
      <c r="AV569" s="7"/>
      <c r="AW569" s="7"/>
      <c r="AX569" s="7" t="s">
        <v>2857</v>
      </c>
      <c r="AY569" s="7" t="s">
        <v>1488</v>
      </c>
    </row>
    <row r="570" spans="1:51">
      <c r="A570" s="7" t="s">
        <v>33</v>
      </c>
      <c r="B570" s="7" t="s">
        <v>34</v>
      </c>
      <c r="C570" s="7" t="s">
        <v>282</v>
      </c>
      <c r="D570" s="7" t="s">
        <v>1954</v>
      </c>
      <c r="E570" s="7" t="s">
        <v>2851</v>
      </c>
      <c r="F570" s="7" t="s">
        <v>2858</v>
      </c>
      <c r="G570" s="7" t="s">
        <v>2859</v>
      </c>
      <c r="H570" s="7" t="s">
        <v>4180</v>
      </c>
      <c r="I570" s="100">
        <f t="shared" si="102"/>
        <v>1E-3</v>
      </c>
      <c r="J570" s="100">
        <f t="shared" si="100"/>
        <v>1</v>
      </c>
      <c r="K570" s="100">
        <f t="shared" si="101"/>
        <v>0</v>
      </c>
      <c r="L570" s="73" t="s">
        <v>1517</v>
      </c>
      <c r="M570" s="7" t="s">
        <v>1745</v>
      </c>
      <c r="N570" s="7" t="s">
        <v>1504</v>
      </c>
      <c r="O570" s="7" t="s">
        <v>1505</v>
      </c>
      <c r="P570" s="108" t="s">
        <v>1492</v>
      </c>
      <c r="Q570" s="7" t="s">
        <v>2024</v>
      </c>
      <c r="R570" s="7">
        <v>14.65</v>
      </c>
      <c r="S570" s="7">
        <f t="shared" si="99"/>
        <v>14.65</v>
      </c>
      <c r="T570" s="7">
        <v>145.44999999999999</v>
      </c>
      <c r="U570" s="7">
        <v>1</v>
      </c>
      <c r="V570" s="7">
        <v>21</v>
      </c>
      <c r="W570" s="7">
        <f t="shared" si="98"/>
        <v>1.3222192947339193</v>
      </c>
      <c r="X570" s="7" t="s">
        <v>1520</v>
      </c>
      <c r="Y570" s="7" t="s">
        <v>1521</v>
      </c>
      <c r="Z570" s="7">
        <v>29</v>
      </c>
      <c r="AA570" s="7">
        <v>32</v>
      </c>
      <c r="AB570" s="108">
        <v>6.59</v>
      </c>
      <c r="AC570" s="7">
        <f t="shared" si="103"/>
        <v>0.65900000000000003</v>
      </c>
      <c r="AD570" s="108">
        <v>5</v>
      </c>
      <c r="AE570" s="7"/>
      <c r="AF570" s="7"/>
      <c r="AG570" s="7"/>
      <c r="AH570" s="7"/>
      <c r="AI570" s="7"/>
      <c r="AJ570" s="7"/>
      <c r="AK570" s="108">
        <v>5.0199999999999996</v>
      </c>
      <c r="AL570" s="7">
        <f t="shared" si="104"/>
        <v>0.502</v>
      </c>
      <c r="AM570" s="108">
        <v>5</v>
      </c>
      <c r="AN570" s="7"/>
      <c r="AO570" s="7"/>
      <c r="AP570" s="7"/>
      <c r="AQ570" s="7"/>
      <c r="AR570" s="7"/>
      <c r="AS570" s="7"/>
      <c r="AT570" s="184"/>
      <c r="AU570" s="108"/>
      <c r="AV570" s="7"/>
      <c r="AW570" s="7"/>
      <c r="AX570" s="7" t="s">
        <v>2860</v>
      </c>
      <c r="AY570" s="7" t="s">
        <v>1488</v>
      </c>
    </row>
    <row r="571" spans="1:51">
      <c r="A571" s="7" t="s">
        <v>33</v>
      </c>
      <c r="B571" s="7" t="s">
        <v>34</v>
      </c>
      <c r="C571" s="7" t="s">
        <v>282</v>
      </c>
      <c r="D571" s="7" t="s">
        <v>1954</v>
      </c>
      <c r="E571" s="7" t="s">
        <v>2020</v>
      </c>
      <c r="F571" s="7" t="s">
        <v>2861</v>
      </c>
      <c r="G571" s="7" t="s">
        <v>2862</v>
      </c>
      <c r="H571" s="7" t="s">
        <v>4180</v>
      </c>
      <c r="I571" s="100">
        <f t="shared" si="102"/>
        <v>1E-3</v>
      </c>
      <c r="J571" s="100">
        <f t="shared" si="100"/>
        <v>1</v>
      </c>
      <c r="K571" s="100">
        <f t="shared" si="101"/>
        <v>0</v>
      </c>
      <c r="L571" s="73" t="s">
        <v>1517</v>
      </c>
      <c r="M571" s="7" t="s">
        <v>1745</v>
      </c>
      <c r="N571" s="7" t="s">
        <v>1504</v>
      </c>
      <c r="O571" s="7" t="s">
        <v>1505</v>
      </c>
      <c r="P571" s="108" t="s">
        <v>1492</v>
      </c>
      <c r="Q571" s="7" t="s">
        <v>2024</v>
      </c>
      <c r="R571" s="7">
        <v>14.65</v>
      </c>
      <c r="S571" s="7">
        <f t="shared" si="99"/>
        <v>14.65</v>
      </c>
      <c r="T571" s="7">
        <v>145.44999999999999</v>
      </c>
      <c r="U571" s="7">
        <v>1</v>
      </c>
      <c r="V571" s="7">
        <v>21</v>
      </c>
      <c r="W571" s="7">
        <f t="shared" si="98"/>
        <v>1.3222192947339193</v>
      </c>
      <c r="X571" s="7" t="s">
        <v>1520</v>
      </c>
      <c r="Y571" s="7" t="s">
        <v>1521</v>
      </c>
      <c r="Z571" s="7">
        <v>29</v>
      </c>
      <c r="AA571" s="7">
        <v>32</v>
      </c>
      <c r="AB571" s="108">
        <v>9.1199999999999992</v>
      </c>
      <c r="AC571" s="7">
        <f t="shared" si="103"/>
        <v>0.91199999999999992</v>
      </c>
      <c r="AD571" s="108">
        <v>5</v>
      </c>
      <c r="AE571" s="7"/>
      <c r="AF571" s="7"/>
      <c r="AG571" s="7"/>
      <c r="AH571" s="7"/>
      <c r="AI571" s="7"/>
      <c r="AJ571" s="7"/>
      <c r="AK571" s="108">
        <v>6.46</v>
      </c>
      <c r="AL571" s="7">
        <f t="shared" si="104"/>
        <v>0.64600000000000002</v>
      </c>
      <c r="AM571" s="108">
        <v>5</v>
      </c>
      <c r="AN571" s="7"/>
      <c r="AO571" s="7"/>
      <c r="AP571" s="7"/>
      <c r="AQ571" s="7"/>
      <c r="AR571" s="7"/>
      <c r="AS571" s="7"/>
      <c r="AT571" s="184"/>
      <c r="AU571" s="108"/>
      <c r="AV571" s="7"/>
      <c r="AW571" s="7"/>
      <c r="AX571" s="7" t="s">
        <v>2863</v>
      </c>
      <c r="AY571" s="7" t="s">
        <v>1488</v>
      </c>
    </row>
    <row r="572" spans="1:51">
      <c r="A572" s="7" t="s">
        <v>33</v>
      </c>
      <c r="B572" s="7" t="s">
        <v>34</v>
      </c>
      <c r="C572" s="7" t="s">
        <v>282</v>
      </c>
      <c r="D572" s="7" t="s">
        <v>1954</v>
      </c>
      <c r="E572" s="7" t="s">
        <v>2020</v>
      </c>
      <c r="F572" s="7" t="s">
        <v>2864</v>
      </c>
      <c r="G572" s="7" t="s">
        <v>2865</v>
      </c>
      <c r="H572" s="7" t="s">
        <v>4180</v>
      </c>
      <c r="I572" s="100">
        <f t="shared" si="102"/>
        <v>1E-3</v>
      </c>
      <c r="J572" s="100">
        <f t="shared" si="100"/>
        <v>1</v>
      </c>
      <c r="K572" s="100">
        <f t="shared" si="101"/>
        <v>0</v>
      </c>
      <c r="L572" s="73" t="s">
        <v>1517</v>
      </c>
      <c r="M572" s="7" t="s">
        <v>1745</v>
      </c>
      <c r="N572" s="7" t="s">
        <v>1504</v>
      </c>
      <c r="O572" s="7" t="s">
        <v>1505</v>
      </c>
      <c r="P572" s="108" t="s">
        <v>1492</v>
      </c>
      <c r="Q572" s="7" t="s">
        <v>2024</v>
      </c>
      <c r="R572" s="7">
        <v>14.65</v>
      </c>
      <c r="S572" s="7">
        <f t="shared" si="99"/>
        <v>14.65</v>
      </c>
      <c r="T572" s="7">
        <v>145.44999999999999</v>
      </c>
      <c r="U572" s="7">
        <v>1</v>
      </c>
      <c r="V572" s="7">
        <v>21</v>
      </c>
      <c r="W572" s="7">
        <f t="shared" ref="W572:W635" si="105">LOG(V572)</f>
        <v>1.3222192947339193</v>
      </c>
      <c r="X572" s="7" t="s">
        <v>1520</v>
      </c>
      <c r="Y572" s="7" t="s">
        <v>1521</v>
      </c>
      <c r="Z572" s="7">
        <v>29</v>
      </c>
      <c r="AA572" s="7">
        <v>32</v>
      </c>
      <c r="AB572" s="108">
        <v>5.34</v>
      </c>
      <c r="AC572" s="7">
        <f t="shared" si="103"/>
        <v>0.53400000000000003</v>
      </c>
      <c r="AD572" s="108">
        <v>5</v>
      </c>
      <c r="AE572" s="7"/>
      <c r="AF572" s="7"/>
      <c r="AG572" s="7"/>
      <c r="AH572" s="7"/>
      <c r="AI572" s="7"/>
      <c r="AJ572" s="7"/>
      <c r="AK572" s="108">
        <v>4.2</v>
      </c>
      <c r="AL572" s="7">
        <f t="shared" si="104"/>
        <v>0.42000000000000004</v>
      </c>
      <c r="AM572" s="108">
        <v>5</v>
      </c>
      <c r="AN572" s="7"/>
      <c r="AO572" s="7"/>
      <c r="AP572" s="7"/>
      <c r="AQ572" s="7"/>
      <c r="AR572" s="7"/>
      <c r="AS572" s="7"/>
      <c r="AT572" s="184"/>
      <c r="AU572" s="108"/>
      <c r="AV572" s="7"/>
      <c r="AW572" s="7"/>
      <c r="AX572" s="7" t="s">
        <v>2866</v>
      </c>
      <c r="AY572" s="7" t="s">
        <v>1488</v>
      </c>
    </row>
    <row r="573" spans="1:51">
      <c r="A573" s="7" t="s">
        <v>33</v>
      </c>
      <c r="B573" s="7" t="s">
        <v>34</v>
      </c>
      <c r="C573" s="7" t="s">
        <v>282</v>
      </c>
      <c r="D573" s="7" t="s">
        <v>1954</v>
      </c>
      <c r="E573" s="7" t="s">
        <v>2020</v>
      </c>
      <c r="F573" s="7" t="s">
        <v>2021</v>
      </c>
      <c r="G573" s="7" t="s">
        <v>2022</v>
      </c>
      <c r="H573" s="7" t="s">
        <v>4180</v>
      </c>
      <c r="I573" s="100">
        <f t="shared" si="102"/>
        <v>1E-3</v>
      </c>
      <c r="J573" s="100">
        <f t="shared" si="100"/>
        <v>1</v>
      </c>
      <c r="K573" s="100">
        <f t="shared" si="101"/>
        <v>0</v>
      </c>
      <c r="L573" s="73" t="s">
        <v>1517</v>
      </c>
      <c r="M573" s="7" t="s">
        <v>1745</v>
      </c>
      <c r="N573" s="7" t="s">
        <v>1504</v>
      </c>
      <c r="O573" s="7" t="s">
        <v>1505</v>
      </c>
      <c r="P573" s="108" t="s">
        <v>1492</v>
      </c>
      <c r="Q573" s="7" t="s">
        <v>2024</v>
      </c>
      <c r="R573" s="7">
        <v>14.65</v>
      </c>
      <c r="S573" s="7">
        <f t="shared" si="99"/>
        <v>14.65</v>
      </c>
      <c r="T573" s="7">
        <v>145.44999999999999</v>
      </c>
      <c r="U573" s="7">
        <v>1</v>
      </c>
      <c r="V573" s="7">
        <v>21</v>
      </c>
      <c r="W573" s="7">
        <f t="shared" si="105"/>
        <v>1.3222192947339193</v>
      </c>
      <c r="X573" s="7" t="s">
        <v>1520</v>
      </c>
      <c r="Y573" s="7" t="s">
        <v>1521</v>
      </c>
      <c r="Z573" s="7">
        <v>29</v>
      </c>
      <c r="AA573" s="7">
        <v>32</v>
      </c>
      <c r="AB573" s="108">
        <v>5.64</v>
      </c>
      <c r="AC573" s="7">
        <f t="shared" si="103"/>
        <v>0.56399999999999995</v>
      </c>
      <c r="AD573" s="108">
        <v>5</v>
      </c>
      <c r="AE573" s="7"/>
      <c r="AF573" s="7"/>
      <c r="AG573" s="7"/>
      <c r="AH573" s="7"/>
      <c r="AI573" s="7"/>
      <c r="AJ573" s="7"/>
      <c r="AK573" s="108">
        <v>5.52</v>
      </c>
      <c r="AL573" s="7">
        <f t="shared" si="104"/>
        <v>0.55199999999999994</v>
      </c>
      <c r="AM573" s="108">
        <v>5</v>
      </c>
      <c r="AN573" s="7"/>
      <c r="AO573" s="7"/>
      <c r="AP573" s="7"/>
      <c r="AQ573" s="7"/>
      <c r="AR573" s="7"/>
      <c r="AS573" s="7"/>
      <c r="AT573" s="184"/>
      <c r="AU573" s="108"/>
      <c r="AV573" s="7"/>
      <c r="AW573" s="7"/>
      <c r="AX573" s="7" t="s">
        <v>2867</v>
      </c>
      <c r="AY573" s="7" t="s">
        <v>1488</v>
      </c>
    </row>
    <row r="574" spans="1:51">
      <c r="A574" s="7" t="s">
        <v>33</v>
      </c>
      <c r="B574" s="7" t="s">
        <v>34</v>
      </c>
      <c r="C574" s="7" t="s">
        <v>282</v>
      </c>
      <c r="D574" s="7" t="s">
        <v>1954</v>
      </c>
      <c r="E574" s="7" t="s">
        <v>2837</v>
      </c>
      <c r="F574" s="7" t="s">
        <v>2838</v>
      </c>
      <c r="G574" s="7" t="s">
        <v>2839</v>
      </c>
      <c r="H574" s="7" t="s">
        <v>4180</v>
      </c>
      <c r="I574" s="100">
        <f t="shared" si="102"/>
        <v>1E-3</v>
      </c>
      <c r="J574" s="100">
        <f t="shared" si="100"/>
        <v>1</v>
      </c>
      <c r="K574" s="100">
        <f t="shared" si="101"/>
        <v>0</v>
      </c>
      <c r="L574" s="73" t="s">
        <v>1517</v>
      </c>
      <c r="M574" s="7" t="s">
        <v>1745</v>
      </c>
      <c r="N574" s="7" t="s">
        <v>1504</v>
      </c>
      <c r="O574" s="7" t="s">
        <v>1505</v>
      </c>
      <c r="P574" s="108" t="s">
        <v>1492</v>
      </c>
      <c r="Q574" s="7" t="s">
        <v>2024</v>
      </c>
      <c r="R574" s="7">
        <v>14.65</v>
      </c>
      <c r="S574" s="7">
        <f t="shared" ref="S574:S605" si="106">ABS(R574)</f>
        <v>14.65</v>
      </c>
      <c r="T574" s="7">
        <v>145.44999999999999</v>
      </c>
      <c r="U574" s="7">
        <v>1</v>
      </c>
      <c r="V574" s="7">
        <v>21</v>
      </c>
      <c r="W574" s="7">
        <f t="shared" si="105"/>
        <v>1.3222192947339193</v>
      </c>
      <c r="X574" s="7" t="s">
        <v>1779</v>
      </c>
      <c r="Y574" s="7" t="s">
        <v>1778</v>
      </c>
      <c r="Z574" s="7">
        <v>29</v>
      </c>
      <c r="AA574" s="7">
        <v>32</v>
      </c>
      <c r="AB574" s="108">
        <v>63.150249999999993</v>
      </c>
      <c r="AC574" s="108">
        <v>9.4725374999999996</v>
      </c>
      <c r="AD574" s="108">
        <v>5</v>
      </c>
      <c r="AE574" s="7"/>
      <c r="AF574" s="7"/>
      <c r="AG574" s="7"/>
      <c r="AH574" s="7"/>
      <c r="AI574" s="7"/>
      <c r="AJ574" s="7"/>
      <c r="AK574" s="108">
        <v>75.342625000000012</v>
      </c>
      <c r="AL574" s="108">
        <v>11.301393750000001</v>
      </c>
      <c r="AM574" s="108">
        <v>5</v>
      </c>
      <c r="AN574" s="7"/>
      <c r="AO574" s="7"/>
      <c r="AP574" s="7"/>
      <c r="AQ574" s="7"/>
      <c r="AR574" s="7"/>
      <c r="AS574" s="7"/>
      <c r="AT574" s="184"/>
      <c r="AU574" s="108"/>
      <c r="AV574" s="7"/>
      <c r="AW574" s="7"/>
      <c r="AX574" s="7" t="s">
        <v>2868</v>
      </c>
      <c r="AY574" s="7" t="s">
        <v>1488</v>
      </c>
    </row>
    <row r="575" spans="1:51">
      <c r="A575" s="7" t="s">
        <v>33</v>
      </c>
      <c r="B575" s="7" t="s">
        <v>34</v>
      </c>
      <c r="C575" s="7" t="s">
        <v>282</v>
      </c>
      <c r="D575" s="7" t="s">
        <v>1954</v>
      </c>
      <c r="E575" s="7" t="s">
        <v>2837</v>
      </c>
      <c r="F575" s="7" t="s">
        <v>2838</v>
      </c>
      <c r="G575" s="7" t="s">
        <v>2839</v>
      </c>
      <c r="H575" s="7" t="s">
        <v>4180</v>
      </c>
      <c r="I575" s="100">
        <f t="shared" si="102"/>
        <v>1E-3</v>
      </c>
      <c r="J575" s="100">
        <f t="shared" si="100"/>
        <v>1</v>
      </c>
      <c r="K575" s="100">
        <f t="shared" si="101"/>
        <v>0</v>
      </c>
      <c r="L575" s="73" t="s">
        <v>1517</v>
      </c>
      <c r="M575" s="7" t="s">
        <v>1745</v>
      </c>
      <c r="N575" s="7" t="s">
        <v>1504</v>
      </c>
      <c r="O575" s="7" t="s">
        <v>1505</v>
      </c>
      <c r="P575" s="108" t="s">
        <v>1492</v>
      </c>
      <c r="Q575" s="7" t="s">
        <v>2024</v>
      </c>
      <c r="R575" s="7">
        <v>14.65</v>
      </c>
      <c r="S575" s="7">
        <f t="shared" si="106"/>
        <v>14.65</v>
      </c>
      <c r="T575" s="7">
        <v>145.44999999999999</v>
      </c>
      <c r="U575" s="7">
        <v>1</v>
      </c>
      <c r="V575" s="7">
        <v>21</v>
      </c>
      <c r="W575" s="7">
        <f t="shared" si="105"/>
        <v>1.3222192947339193</v>
      </c>
      <c r="X575" s="7" t="s">
        <v>1779</v>
      </c>
      <c r="Y575" s="7" t="s">
        <v>1781</v>
      </c>
      <c r="Z575" s="7">
        <v>29</v>
      </c>
      <c r="AA575" s="7">
        <v>32</v>
      </c>
      <c r="AB575" s="108">
        <v>9.0661249999999995</v>
      </c>
      <c r="AC575" s="108">
        <v>0.72528999999999999</v>
      </c>
      <c r="AD575" s="108">
        <v>5</v>
      </c>
      <c r="AE575" s="7"/>
      <c r="AF575" s="7"/>
      <c r="AG575" s="7"/>
      <c r="AH575" s="7"/>
      <c r="AI575" s="7"/>
      <c r="AJ575" s="7"/>
      <c r="AK575" s="108">
        <v>9.6913750000000007</v>
      </c>
      <c r="AL575" s="108">
        <v>0.77530999999999994</v>
      </c>
      <c r="AM575" s="108">
        <v>5</v>
      </c>
      <c r="AN575" s="7"/>
      <c r="AO575" s="7"/>
      <c r="AP575" s="7"/>
      <c r="AQ575" s="7"/>
      <c r="AR575" s="7"/>
      <c r="AS575" s="7"/>
      <c r="AT575" s="184"/>
      <c r="AU575" s="108"/>
      <c r="AV575" s="7"/>
      <c r="AW575" s="7"/>
      <c r="AX575" s="7" t="s">
        <v>2868</v>
      </c>
      <c r="AY575" s="7" t="s">
        <v>1488</v>
      </c>
    </row>
    <row r="576" spans="1:51">
      <c r="A576" s="7" t="s">
        <v>33</v>
      </c>
      <c r="B576" s="7" t="s">
        <v>34</v>
      </c>
      <c r="C576" s="7" t="s">
        <v>282</v>
      </c>
      <c r="D576" s="7" t="s">
        <v>1954</v>
      </c>
      <c r="E576" s="7" t="s">
        <v>2837</v>
      </c>
      <c r="F576" s="7" t="s">
        <v>2841</v>
      </c>
      <c r="G576" s="7" t="s">
        <v>2842</v>
      </c>
      <c r="H576" s="7" t="s">
        <v>4180</v>
      </c>
      <c r="I576" s="100">
        <f t="shared" si="102"/>
        <v>1E-3</v>
      </c>
      <c r="J576" s="100">
        <f t="shared" si="100"/>
        <v>1</v>
      </c>
      <c r="K576" s="100">
        <f t="shared" si="101"/>
        <v>0</v>
      </c>
      <c r="L576" s="73" t="s">
        <v>1517</v>
      </c>
      <c r="M576" s="7" t="s">
        <v>1745</v>
      </c>
      <c r="N576" s="7" t="s">
        <v>1504</v>
      </c>
      <c r="O576" s="7" t="s">
        <v>1505</v>
      </c>
      <c r="P576" s="108" t="s">
        <v>1492</v>
      </c>
      <c r="Q576" s="7" t="s">
        <v>2024</v>
      </c>
      <c r="R576" s="7">
        <v>14.65</v>
      </c>
      <c r="S576" s="7">
        <f t="shared" si="106"/>
        <v>14.65</v>
      </c>
      <c r="T576" s="7">
        <v>145.44999999999999</v>
      </c>
      <c r="U576" s="7">
        <v>1</v>
      </c>
      <c r="V576" s="7">
        <v>21</v>
      </c>
      <c r="W576" s="7">
        <f t="shared" si="105"/>
        <v>1.3222192947339193</v>
      </c>
      <c r="X576" s="7" t="s">
        <v>1779</v>
      </c>
      <c r="Y576" s="7" t="s">
        <v>1778</v>
      </c>
      <c r="Z576" s="7">
        <v>29</v>
      </c>
      <c r="AA576" s="7">
        <v>32</v>
      </c>
      <c r="AB576" s="108">
        <v>46.581124999999993</v>
      </c>
      <c r="AC576" s="108">
        <v>6.9871687500000004</v>
      </c>
      <c r="AD576" s="108">
        <v>5</v>
      </c>
      <c r="AE576" s="7"/>
      <c r="AF576" s="7"/>
      <c r="AG576" s="7"/>
      <c r="AH576" s="7"/>
      <c r="AI576" s="7"/>
      <c r="AJ576" s="7"/>
      <c r="AK576" s="108">
        <v>45.018000000000001</v>
      </c>
      <c r="AL576" s="108">
        <v>6.7526999999999999</v>
      </c>
      <c r="AM576" s="108">
        <v>5</v>
      </c>
      <c r="AN576" s="7"/>
      <c r="AO576" s="7"/>
      <c r="AP576" s="7"/>
      <c r="AQ576" s="7"/>
      <c r="AR576" s="7"/>
      <c r="AS576" s="7"/>
      <c r="AT576" s="184"/>
      <c r="AU576" s="108"/>
      <c r="AV576" s="7"/>
      <c r="AW576" s="7"/>
      <c r="AX576" s="7" t="s">
        <v>2869</v>
      </c>
      <c r="AY576" s="7" t="s">
        <v>1488</v>
      </c>
    </row>
    <row r="577" spans="1:51">
      <c r="A577" s="7" t="s">
        <v>33</v>
      </c>
      <c r="B577" s="7" t="s">
        <v>34</v>
      </c>
      <c r="C577" s="7" t="s">
        <v>282</v>
      </c>
      <c r="D577" s="7" t="s">
        <v>1954</v>
      </c>
      <c r="E577" s="7" t="s">
        <v>2837</v>
      </c>
      <c r="F577" s="7" t="s">
        <v>2841</v>
      </c>
      <c r="G577" s="7" t="s">
        <v>2842</v>
      </c>
      <c r="H577" s="7" t="s">
        <v>4180</v>
      </c>
      <c r="I577" s="100">
        <f t="shared" si="102"/>
        <v>1E-3</v>
      </c>
      <c r="J577" s="100">
        <f t="shared" si="100"/>
        <v>1</v>
      </c>
      <c r="K577" s="100">
        <f t="shared" si="101"/>
        <v>0</v>
      </c>
      <c r="L577" s="73" t="s">
        <v>1517</v>
      </c>
      <c r="M577" s="7" t="s">
        <v>1745</v>
      </c>
      <c r="N577" s="7" t="s">
        <v>1504</v>
      </c>
      <c r="O577" s="7" t="s">
        <v>1505</v>
      </c>
      <c r="P577" s="108" t="s">
        <v>1492</v>
      </c>
      <c r="Q577" s="7" t="s">
        <v>2024</v>
      </c>
      <c r="R577" s="7">
        <v>14.65</v>
      </c>
      <c r="S577" s="7">
        <f t="shared" si="106"/>
        <v>14.65</v>
      </c>
      <c r="T577" s="7">
        <v>145.44999999999999</v>
      </c>
      <c r="U577" s="7">
        <v>1</v>
      </c>
      <c r="V577" s="7">
        <v>21</v>
      </c>
      <c r="W577" s="7">
        <f t="shared" si="105"/>
        <v>1.3222192947339193</v>
      </c>
      <c r="X577" s="7" t="s">
        <v>1779</v>
      </c>
      <c r="Y577" s="7" t="s">
        <v>1781</v>
      </c>
      <c r="Z577" s="7">
        <v>29</v>
      </c>
      <c r="AA577" s="7">
        <v>32</v>
      </c>
      <c r="AB577" s="108">
        <v>5.6272500000000001</v>
      </c>
      <c r="AC577" s="108">
        <v>0.45017999999999997</v>
      </c>
      <c r="AD577" s="108">
        <v>5</v>
      </c>
      <c r="AE577" s="7"/>
      <c r="AF577" s="7"/>
      <c r="AG577" s="7"/>
      <c r="AH577" s="7"/>
      <c r="AI577" s="7"/>
      <c r="AJ577" s="7"/>
      <c r="AK577" s="108">
        <v>6.8777499999999998</v>
      </c>
      <c r="AL577" s="108">
        <v>0.55022000000000004</v>
      </c>
      <c r="AM577" s="108">
        <v>5</v>
      </c>
      <c r="AN577" s="7"/>
      <c r="AO577" s="7"/>
      <c r="AP577" s="7"/>
      <c r="AQ577" s="7"/>
      <c r="AR577" s="7"/>
      <c r="AS577" s="7"/>
      <c r="AT577" s="184"/>
      <c r="AU577" s="108"/>
      <c r="AV577" s="7"/>
      <c r="AW577" s="7"/>
      <c r="AX577" s="7" t="s">
        <v>2869</v>
      </c>
      <c r="AY577" s="7" t="s">
        <v>1488</v>
      </c>
    </row>
    <row r="578" spans="1:51">
      <c r="A578" s="7" t="s">
        <v>33</v>
      </c>
      <c r="B578" s="7" t="s">
        <v>34</v>
      </c>
      <c r="C578" s="7" t="s">
        <v>282</v>
      </c>
      <c r="D578" s="7" t="s">
        <v>1954</v>
      </c>
      <c r="E578" s="7" t="s">
        <v>2844</v>
      </c>
      <c r="F578" s="7" t="s">
        <v>2845</v>
      </c>
      <c r="G578" s="7" t="s">
        <v>2846</v>
      </c>
      <c r="H578" s="7" t="s">
        <v>4180</v>
      </c>
      <c r="I578" s="100">
        <f t="shared" si="102"/>
        <v>1E-3</v>
      </c>
      <c r="J578" s="100">
        <f t="shared" si="100"/>
        <v>1</v>
      </c>
      <c r="K578" s="100">
        <f t="shared" si="101"/>
        <v>0</v>
      </c>
      <c r="L578" s="73" t="s">
        <v>1517</v>
      </c>
      <c r="M578" s="7" t="s">
        <v>1745</v>
      </c>
      <c r="N578" s="7" t="s">
        <v>1504</v>
      </c>
      <c r="O578" s="7" t="s">
        <v>1505</v>
      </c>
      <c r="P578" s="108" t="s">
        <v>1492</v>
      </c>
      <c r="Q578" s="7" t="s">
        <v>2024</v>
      </c>
      <c r="R578" s="7">
        <v>14.65</v>
      </c>
      <c r="S578" s="7">
        <f t="shared" si="106"/>
        <v>14.65</v>
      </c>
      <c r="T578" s="7">
        <v>145.44999999999999</v>
      </c>
      <c r="U578" s="7">
        <v>1</v>
      </c>
      <c r="V578" s="7">
        <v>21</v>
      </c>
      <c r="W578" s="7">
        <f t="shared" si="105"/>
        <v>1.3222192947339193</v>
      </c>
      <c r="X578" s="7" t="s">
        <v>1779</v>
      </c>
      <c r="Y578" s="7" t="s">
        <v>1778</v>
      </c>
      <c r="Z578" s="7">
        <v>29</v>
      </c>
      <c r="AA578" s="7">
        <v>32</v>
      </c>
      <c r="AB578" s="108">
        <v>52.833624999999998</v>
      </c>
      <c r="AC578" s="108">
        <v>7.9250437499999995</v>
      </c>
      <c r="AD578" s="108">
        <v>5</v>
      </c>
      <c r="AE578" s="7"/>
      <c r="AF578" s="7"/>
      <c r="AG578" s="7"/>
      <c r="AH578" s="7"/>
      <c r="AI578" s="7"/>
      <c r="AJ578" s="7"/>
      <c r="AK578" s="108">
        <v>58.148250000000004</v>
      </c>
      <c r="AL578" s="108">
        <v>8.7222375000000003</v>
      </c>
      <c r="AM578" s="108">
        <v>5</v>
      </c>
      <c r="AN578" s="7"/>
      <c r="AO578" s="7"/>
      <c r="AP578" s="7"/>
      <c r="AQ578" s="7"/>
      <c r="AR578" s="7"/>
      <c r="AS578" s="7"/>
      <c r="AT578" s="184"/>
      <c r="AU578" s="108"/>
      <c r="AV578" s="7"/>
      <c r="AW578" s="7"/>
      <c r="AX578" s="7" t="s">
        <v>2870</v>
      </c>
      <c r="AY578" s="7" t="s">
        <v>1488</v>
      </c>
    </row>
    <row r="579" spans="1:51">
      <c r="A579" s="7" t="s">
        <v>33</v>
      </c>
      <c r="B579" s="7" t="s">
        <v>34</v>
      </c>
      <c r="C579" s="7" t="s">
        <v>282</v>
      </c>
      <c r="D579" s="7" t="s">
        <v>1954</v>
      </c>
      <c r="E579" s="7" t="s">
        <v>2844</v>
      </c>
      <c r="F579" s="7" t="s">
        <v>2845</v>
      </c>
      <c r="G579" s="7" t="s">
        <v>2846</v>
      </c>
      <c r="H579" s="7" t="s">
        <v>4180</v>
      </c>
      <c r="I579" s="100">
        <f t="shared" si="102"/>
        <v>1E-3</v>
      </c>
      <c r="J579" s="100">
        <f t="shared" si="100"/>
        <v>1</v>
      </c>
      <c r="K579" s="100">
        <f t="shared" si="101"/>
        <v>0</v>
      </c>
      <c r="L579" s="73" t="s">
        <v>1517</v>
      </c>
      <c r="M579" s="7" t="s">
        <v>1745</v>
      </c>
      <c r="N579" s="7" t="s">
        <v>1504</v>
      </c>
      <c r="O579" s="7" t="s">
        <v>1505</v>
      </c>
      <c r="P579" s="108" t="s">
        <v>1492</v>
      </c>
      <c r="Q579" s="7" t="s">
        <v>2024</v>
      </c>
      <c r="R579" s="7">
        <v>14.65</v>
      </c>
      <c r="S579" s="7">
        <f t="shared" si="106"/>
        <v>14.65</v>
      </c>
      <c r="T579" s="7">
        <v>145.44999999999999</v>
      </c>
      <c r="U579" s="7">
        <v>1</v>
      </c>
      <c r="V579" s="7">
        <v>21</v>
      </c>
      <c r="W579" s="7">
        <f t="shared" si="105"/>
        <v>1.3222192947339193</v>
      </c>
      <c r="X579" s="7" t="s">
        <v>1779</v>
      </c>
      <c r="Y579" s="7" t="s">
        <v>1781</v>
      </c>
      <c r="Z579" s="7">
        <v>29</v>
      </c>
      <c r="AA579" s="7">
        <v>32</v>
      </c>
      <c r="AB579" s="108">
        <v>6.8777499999999998</v>
      </c>
      <c r="AC579" s="108">
        <v>0.55022000000000004</v>
      </c>
      <c r="AD579" s="108">
        <v>5</v>
      </c>
      <c r="AE579" s="7"/>
      <c r="AF579" s="7"/>
      <c r="AG579" s="7"/>
      <c r="AH579" s="7"/>
      <c r="AI579" s="7"/>
      <c r="AJ579" s="7"/>
      <c r="AK579" s="108">
        <v>8.1282499999999995</v>
      </c>
      <c r="AL579" s="108">
        <v>0.65026000000000006</v>
      </c>
      <c r="AM579" s="108">
        <v>5</v>
      </c>
      <c r="AN579" s="7"/>
      <c r="AO579" s="7"/>
      <c r="AP579" s="7"/>
      <c r="AQ579" s="7"/>
      <c r="AR579" s="7"/>
      <c r="AS579" s="7"/>
      <c r="AT579" s="184"/>
      <c r="AU579" s="108"/>
      <c r="AV579" s="7"/>
      <c r="AW579" s="7"/>
      <c r="AX579" s="7" t="s">
        <v>2870</v>
      </c>
      <c r="AY579" s="7" t="s">
        <v>1488</v>
      </c>
    </row>
    <row r="580" spans="1:51">
      <c r="A580" s="7" t="s">
        <v>33</v>
      </c>
      <c r="B580" s="7" t="s">
        <v>34</v>
      </c>
      <c r="C580" s="7" t="s">
        <v>282</v>
      </c>
      <c r="D580" s="7" t="s">
        <v>1954</v>
      </c>
      <c r="E580" s="7" t="s">
        <v>2844</v>
      </c>
      <c r="F580" s="7" t="s">
        <v>2848</v>
      </c>
      <c r="G580" s="7" t="s">
        <v>2849</v>
      </c>
      <c r="H580" s="7" t="s">
        <v>4180</v>
      </c>
      <c r="I580" s="100">
        <f t="shared" si="102"/>
        <v>1E-3</v>
      </c>
      <c r="J580" s="100">
        <f t="shared" si="100"/>
        <v>1</v>
      </c>
      <c r="K580" s="100">
        <f t="shared" si="101"/>
        <v>0</v>
      </c>
      <c r="L580" s="73" t="s">
        <v>1517</v>
      </c>
      <c r="M580" s="7" t="s">
        <v>1745</v>
      </c>
      <c r="N580" s="7" t="s">
        <v>1504</v>
      </c>
      <c r="O580" s="7" t="s">
        <v>1505</v>
      </c>
      <c r="P580" s="108" t="s">
        <v>1492</v>
      </c>
      <c r="Q580" s="7" t="s">
        <v>2024</v>
      </c>
      <c r="R580" s="7">
        <v>14.65</v>
      </c>
      <c r="S580" s="7">
        <f t="shared" si="106"/>
        <v>14.65</v>
      </c>
      <c r="T580" s="7">
        <v>145.44999999999999</v>
      </c>
      <c r="U580" s="7">
        <v>1</v>
      </c>
      <c r="V580" s="7">
        <v>21</v>
      </c>
      <c r="W580" s="7">
        <f t="shared" si="105"/>
        <v>1.3222192947339193</v>
      </c>
      <c r="X580" s="7" t="s">
        <v>1779</v>
      </c>
      <c r="Y580" s="7" t="s">
        <v>1778</v>
      </c>
      <c r="Z580" s="7">
        <v>29</v>
      </c>
      <c r="AA580" s="7">
        <v>32</v>
      </c>
      <c r="AB580" s="108">
        <v>65.338624999999993</v>
      </c>
      <c r="AC580" s="108">
        <v>9.8007937499999986</v>
      </c>
      <c r="AD580" s="108">
        <v>5</v>
      </c>
      <c r="AE580" s="7"/>
      <c r="AF580" s="7"/>
      <c r="AG580" s="7"/>
      <c r="AH580" s="7"/>
      <c r="AI580" s="7"/>
      <c r="AJ580" s="7"/>
      <c r="AK580" s="108">
        <v>37.202374999999996</v>
      </c>
      <c r="AL580" s="108">
        <v>5.5803562499999995</v>
      </c>
      <c r="AM580" s="108">
        <v>5</v>
      </c>
      <c r="AN580" s="7"/>
      <c r="AO580" s="7"/>
      <c r="AP580" s="7"/>
      <c r="AQ580" s="7"/>
      <c r="AR580" s="7"/>
      <c r="AS580" s="7"/>
      <c r="AT580" s="184"/>
      <c r="AU580" s="108"/>
      <c r="AV580" s="7"/>
      <c r="AW580" s="7"/>
      <c r="AX580" s="7" t="s">
        <v>2871</v>
      </c>
      <c r="AY580" s="7" t="s">
        <v>1488</v>
      </c>
    </row>
    <row r="581" spans="1:51">
      <c r="A581" s="7" t="s">
        <v>33</v>
      </c>
      <c r="B581" s="7" t="s">
        <v>34</v>
      </c>
      <c r="C581" s="7" t="s">
        <v>282</v>
      </c>
      <c r="D581" s="7" t="s">
        <v>1954</v>
      </c>
      <c r="E581" s="7" t="s">
        <v>2844</v>
      </c>
      <c r="F581" s="7" t="s">
        <v>2848</v>
      </c>
      <c r="G581" s="7" t="s">
        <v>2849</v>
      </c>
      <c r="H581" s="7" t="s">
        <v>4180</v>
      </c>
      <c r="I581" s="100">
        <f t="shared" si="102"/>
        <v>1E-3</v>
      </c>
      <c r="J581" s="100">
        <f t="shared" si="100"/>
        <v>1</v>
      </c>
      <c r="K581" s="100">
        <f t="shared" si="101"/>
        <v>0</v>
      </c>
      <c r="L581" s="73" t="s">
        <v>1517</v>
      </c>
      <c r="M581" s="7" t="s">
        <v>1745</v>
      </c>
      <c r="N581" s="7" t="s">
        <v>1504</v>
      </c>
      <c r="O581" s="7" t="s">
        <v>1505</v>
      </c>
      <c r="P581" s="108" t="s">
        <v>1492</v>
      </c>
      <c r="Q581" s="7" t="s">
        <v>2024</v>
      </c>
      <c r="R581" s="7">
        <v>14.65</v>
      </c>
      <c r="S581" s="7">
        <f t="shared" si="106"/>
        <v>14.65</v>
      </c>
      <c r="T581" s="7">
        <v>145.44999999999999</v>
      </c>
      <c r="U581" s="7">
        <v>1</v>
      </c>
      <c r="V581" s="7">
        <v>21</v>
      </c>
      <c r="W581" s="7">
        <f t="shared" si="105"/>
        <v>1.3222192947339193</v>
      </c>
      <c r="X581" s="7" t="s">
        <v>1779</v>
      </c>
      <c r="Y581" s="7" t="s">
        <v>1781</v>
      </c>
      <c r="Z581" s="7">
        <v>29</v>
      </c>
      <c r="AA581" s="7">
        <v>32</v>
      </c>
      <c r="AB581" s="108">
        <v>7.8156249999999998</v>
      </c>
      <c r="AC581" s="108">
        <v>0.62524999999999997</v>
      </c>
      <c r="AD581" s="108">
        <v>5</v>
      </c>
      <c r="AE581" s="7"/>
      <c r="AF581" s="7"/>
      <c r="AG581" s="7"/>
      <c r="AH581" s="7"/>
      <c r="AI581" s="7"/>
      <c r="AJ581" s="7"/>
      <c r="AK581" s="108">
        <v>7.8156249999999998</v>
      </c>
      <c r="AL581" s="108">
        <v>0.62524999999999997</v>
      </c>
      <c r="AM581" s="108">
        <v>5</v>
      </c>
      <c r="AN581" s="7"/>
      <c r="AO581" s="7"/>
      <c r="AP581" s="7"/>
      <c r="AQ581" s="7"/>
      <c r="AR581" s="7"/>
      <c r="AS581" s="7"/>
      <c r="AT581" s="184"/>
      <c r="AU581" s="108"/>
      <c r="AV581" s="7"/>
      <c r="AW581" s="7"/>
      <c r="AX581" s="7" t="s">
        <v>2871</v>
      </c>
      <c r="AY581" s="7" t="s">
        <v>1488</v>
      </c>
    </row>
    <row r="582" spans="1:51">
      <c r="A582" s="7" t="s">
        <v>33</v>
      </c>
      <c r="B582" s="7" t="s">
        <v>34</v>
      </c>
      <c r="C582" s="7" t="s">
        <v>282</v>
      </c>
      <c r="D582" s="7" t="s">
        <v>1954</v>
      </c>
      <c r="E582" s="7" t="s">
        <v>2851</v>
      </c>
      <c r="F582" s="7" t="s">
        <v>2852</v>
      </c>
      <c r="G582" s="7" t="s">
        <v>2853</v>
      </c>
      <c r="H582" s="7" t="s">
        <v>4180</v>
      </c>
      <c r="I582" s="100">
        <f t="shared" si="102"/>
        <v>1E-3</v>
      </c>
      <c r="J582" s="100">
        <f t="shared" si="100"/>
        <v>1</v>
      </c>
      <c r="K582" s="100">
        <f t="shared" si="101"/>
        <v>0</v>
      </c>
      <c r="L582" s="73" t="s">
        <v>1517</v>
      </c>
      <c r="M582" s="7" t="s">
        <v>1745</v>
      </c>
      <c r="N582" s="7" t="s">
        <v>1504</v>
      </c>
      <c r="O582" s="7" t="s">
        <v>1505</v>
      </c>
      <c r="P582" s="108" t="s">
        <v>1492</v>
      </c>
      <c r="Q582" s="7" t="s">
        <v>2024</v>
      </c>
      <c r="R582" s="7">
        <v>14.65</v>
      </c>
      <c r="S582" s="7">
        <f t="shared" si="106"/>
        <v>14.65</v>
      </c>
      <c r="T582" s="7">
        <v>145.44999999999999</v>
      </c>
      <c r="U582" s="7">
        <v>1</v>
      </c>
      <c r="V582" s="7">
        <v>21</v>
      </c>
      <c r="W582" s="7">
        <f t="shared" si="105"/>
        <v>1.3222192947339193</v>
      </c>
      <c r="X582" s="7" t="s">
        <v>1779</v>
      </c>
      <c r="Y582" s="7" t="s">
        <v>1778</v>
      </c>
      <c r="Z582" s="7">
        <v>29</v>
      </c>
      <c r="AA582" s="7">
        <v>32</v>
      </c>
      <c r="AB582" s="108">
        <v>41.266500000000001</v>
      </c>
      <c r="AC582" s="108">
        <v>6.1899750000000004</v>
      </c>
      <c r="AD582" s="108">
        <v>5</v>
      </c>
      <c r="AE582" s="7"/>
      <c r="AF582" s="7"/>
      <c r="AG582" s="7"/>
      <c r="AH582" s="7"/>
      <c r="AI582" s="7"/>
      <c r="AJ582" s="7"/>
      <c r="AK582" s="108">
        <v>33.763500000000001</v>
      </c>
      <c r="AL582" s="108">
        <v>5.0645250000000006</v>
      </c>
      <c r="AM582" s="108">
        <v>5</v>
      </c>
      <c r="AN582" s="7"/>
      <c r="AO582" s="7"/>
      <c r="AP582" s="7"/>
      <c r="AQ582" s="7"/>
      <c r="AR582" s="7"/>
      <c r="AS582" s="7"/>
      <c r="AT582" s="184"/>
      <c r="AU582" s="108"/>
      <c r="AV582" s="7"/>
      <c r="AW582" s="7"/>
      <c r="AX582" s="7" t="s">
        <v>2872</v>
      </c>
      <c r="AY582" s="7" t="s">
        <v>1488</v>
      </c>
    </row>
    <row r="583" spans="1:51">
      <c r="A583" s="7" t="s">
        <v>33</v>
      </c>
      <c r="B583" s="7" t="s">
        <v>34</v>
      </c>
      <c r="C583" s="7" t="s">
        <v>282</v>
      </c>
      <c r="D583" s="7" t="s">
        <v>1954</v>
      </c>
      <c r="E583" s="7" t="s">
        <v>2851</v>
      </c>
      <c r="F583" s="7" t="s">
        <v>2852</v>
      </c>
      <c r="G583" s="7" t="s">
        <v>2853</v>
      </c>
      <c r="H583" s="7" t="s">
        <v>4180</v>
      </c>
      <c r="I583" s="100">
        <f t="shared" si="102"/>
        <v>1E-3</v>
      </c>
      <c r="J583" s="100">
        <f t="shared" si="100"/>
        <v>1</v>
      </c>
      <c r="K583" s="100">
        <f t="shared" si="101"/>
        <v>0</v>
      </c>
      <c r="L583" s="73" t="s">
        <v>1517</v>
      </c>
      <c r="M583" s="7" t="s">
        <v>1745</v>
      </c>
      <c r="N583" s="7" t="s">
        <v>1504</v>
      </c>
      <c r="O583" s="7" t="s">
        <v>1505</v>
      </c>
      <c r="P583" s="108" t="s">
        <v>1492</v>
      </c>
      <c r="Q583" s="7" t="s">
        <v>2024</v>
      </c>
      <c r="R583" s="7">
        <v>14.65</v>
      </c>
      <c r="S583" s="7">
        <f t="shared" si="106"/>
        <v>14.65</v>
      </c>
      <c r="T583" s="7">
        <v>145.44999999999999</v>
      </c>
      <c r="U583" s="7">
        <v>1</v>
      </c>
      <c r="V583" s="7">
        <v>21</v>
      </c>
      <c r="W583" s="7">
        <f t="shared" si="105"/>
        <v>1.3222192947339193</v>
      </c>
      <c r="X583" s="7" t="s">
        <v>1779</v>
      </c>
      <c r="Y583" s="7" t="s">
        <v>1781</v>
      </c>
      <c r="Z583" s="7">
        <v>29</v>
      </c>
      <c r="AA583" s="7">
        <v>32</v>
      </c>
      <c r="AB583" s="108">
        <v>7.8156249999999998</v>
      </c>
      <c r="AC583" s="108">
        <v>0.62524999999999997</v>
      </c>
      <c r="AD583" s="108">
        <v>5</v>
      </c>
      <c r="AE583" s="7"/>
      <c r="AF583" s="7"/>
      <c r="AG583" s="7"/>
      <c r="AH583" s="7"/>
      <c r="AI583" s="7"/>
      <c r="AJ583" s="7"/>
      <c r="AK583" s="108">
        <v>7.8156249999999998</v>
      </c>
      <c r="AL583" s="108">
        <v>0.62524999999999997</v>
      </c>
      <c r="AM583" s="108">
        <v>5</v>
      </c>
      <c r="AN583" s="7"/>
      <c r="AO583" s="7"/>
      <c r="AP583" s="7"/>
      <c r="AQ583" s="7"/>
      <c r="AR583" s="7"/>
      <c r="AS583" s="7"/>
      <c r="AT583" s="184"/>
      <c r="AU583" s="108"/>
      <c r="AV583" s="7"/>
      <c r="AW583" s="7"/>
      <c r="AX583" s="7" t="s">
        <v>2872</v>
      </c>
      <c r="AY583" s="7" t="s">
        <v>1488</v>
      </c>
    </row>
    <row r="584" spans="1:51">
      <c r="A584" s="7" t="s">
        <v>33</v>
      </c>
      <c r="B584" s="7" t="s">
        <v>34</v>
      </c>
      <c r="C584" s="7" t="s">
        <v>282</v>
      </c>
      <c r="D584" s="7" t="s">
        <v>1954</v>
      </c>
      <c r="E584" s="7" t="s">
        <v>2851</v>
      </c>
      <c r="F584" s="7" t="s">
        <v>2855</v>
      </c>
      <c r="G584" s="7" t="s">
        <v>2856</v>
      </c>
      <c r="H584" s="7" t="s">
        <v>4180</v>
      </c>
      <c r="I584" s="100">
        <f t="shared" si="102"/>
        <v>1E-3</v>
      </c>
      <c r="J584" s="100">
        <f t="shared" si="100"/>
        <v>1</v>
      </c>
      <c r="K584" s="100">
        <f t="shared" si="101"/>
        <v>0</v>
      </c>
      <c r="L584" s="73" t="s">
        <v>1517</v>
      </c>
      <c r="M584" s="7" t="s">
        <v>1745</v>
      </c>
      <c r="N584" s="7" t="s">
        <v>1504</v>
      </c>
      <c r="O584" s="7" t="s">
        <v>1505</v>
      </c>
      <c r="P584" s="108" t="s">
        <v>1492</v>
      </c>
      <c r="Q584" s="7" t="s">
        <v>2024</v>
      </c>
      <c r="R584" s="7">
        <v>14.65</v>
      </c>
      <c r="S584" s="7">
        <f t="shared" si="106"/>
        <v>14.65</v>
      </c>
      <c r="T584" s="7">
        <v>145.44999999999999</v>
      </c>
      <c r="U584" s="7">
        <v>1</v>
      </c>
      <c r="V584" s="7">
        <v>21</v>
      </c>
      <c r="W584" s="7">
        <f t="shared" si="105"/>
        <v>1.3222192947339193</v>
      </c>
      <c r="X584" s="7" t="s">
        <v>1779</v>
      </c>
      <c r="Y584" s="7" t="s">
        <v>1778</v>
      </c>
      <c r="Z584" s="7">
        <v>29</v>
      </c>
      <c r="AA584" s="7">
        <v>32</v>
      </c>
      <c r="AB584" s="108">
        <v>52.208374999999997</v>
      </c>
      <c r="AC584" s="108">
        <v>7.8312562499999991</v>
      </c>
      <c r="AD584" s="108">
        <v>5</v>
      </c>
      <c r="AE584" s="7"/>
      <c r="AF584" s="7"/>
      <c r="AG584" s="7"/>
      <c r="AH584" s="7"/>
      <c r="AI584" s="7"/>
      <c r="AJ584" s="7"/>
      <c r="AK584" s="108">
        <v>57.522999999999996</v>
      </c>
      <c r="AL584" s="108">
        <v>8.6284500000000008</v>
      </c>
      <c r="AM584" s="108">
        <v>5</v>
      </c>
      <c r="AN584" s="7"/>
      <c r="AO584" s="7"/>
      <c r="AP584" s="7"/>
      <c r="AQ584" s="7"/>
      <c r="AR584" s="7"/>
      <c r="AS584" s="7"/>
      <c r="AT584" s="184"/>
      <c r="AU584" s="108"/>
      <c r="AV584" s="7"/>
      <c r="AW584" s="7"/>
      <c r="AX584" s="7" t="s">
        <v>2873</v>
      </c>
      <c r="AY584" s="7" t="s">
        <v>1488</v>
      </c>
    </row>
    <row r="585" spans="1:51">
      <c r="A585" s="7" t="s">
        <v>33</v>
      </c>
      <c r="B585" s="7" t="s">
        <v>34</v>
      </c>
      <c r="C585" s="7" t="s">
        <v>282</v>
      </c>
      <c r="D585" s="7" t="s">
        <v>1954</v>
      </c>
      <c r="E585" s="7" t="s">
        <v>2851</v>
      </c>
      <c r="F585" s="7" t="s">
        <v>2855</v>
      </c>
      <c r="G585" s="7" t="s">
        <v>2856</v>
      </c>
      <c r="H585" s="7" t="s">
        <v>4180</v>
      </c>
      <c r="I585" s="100">
        <f t="shared" si="102"/>
        <v>1E-3</v>
      </c>
      <c r="J585" s="100">
        <f t="shared" si="100"/>
        <v>1</v>
      </c>
      <c r="K585" s="100">
        <f t="shared" si="101"/>
        <v>0</v>
      </c>
      <c r="L585" s="73" t="s">
        <v>1517</v>
      </c>
      <c r="M585" s="7" t="s">
        <v>1745</v>
      </c>
      <c r="N585" s="7" t="s">
        <v>1504</v>
      </c>
      <c r="O585" s="7" t="s">
        <v>1505</v>
      </c>
      <c r="P585" s="108" t="s">
        <v>1492</v>
      </c>
      <c r="Q585" s="7" t="s">
        <v>2024</v>
      </c>
      <c r="R585" s="7">
        <v>14.65</v>
      </c>
      <c r="S585" s="7">
        <f t="shared" si="106"/>
        <v>14.65</v>
      </c>
      <c r="T585" s="7">
        <v>145.44999999999999</v>
      </c>
      <c r="U585" s="7">
        <v>1</v>
      </c>
      <c r="V585" s="7">
        <v>21</v>
      </c>
      <c r="W585" s="7">
        <f t="shared" si="105"/>
        <v>1.3222192947339193</v>
      </c>
      <c r="X585" s="7" t="s">
        <v>1779</v>
      </c>
      <c r="Y585" s="7" t="s">
        <v>1781</v>
      </c>
      <c r="Z585" s="7">
        <v>29</v>
      </c>
      <c r="AA585" s="7">
        <v>32</v>
      </c>
      <c r="AB585" s="108">
        <v>6.8777499999999998</v>
      </c>
      <c r="AC585" s="108">
        <v>0.55022000000000004</v>
      </c>
      <c r="AD585" s="108">
        <v>5</v>
      </c>
      <c r="AE585" s="7"/>
      <c r="AF585" s="7"/>
      <c r="AG585" s="7"/>
      <c r="AH585" s="7"/>
      <c r="AI585" s="7"/>
      <c r="AJ585" s="7"/>
      <c r="AK585" s="108">
        <v>8.4408750000000001</v>
      </c>
      <c r="AL585" s="108">
        <v>0.67527000000000004</v>
      </c>
      <c r="AM585" s="108">
        <v>5</v>
      </c>
      <c r="AN585" s="7"/>
      <c r="AO585" s="7"/>
      <c r="AP585" s="7"/>
      <c r="AQ585" s="7"/>
      <c r="AR585" s="7"/>
      <c r="AS585" s="7"/>
      <c r="AT585" s="184"/>
      <c r="AU585" s="108"/>
      <c r="AV585" s="7"/>
      <c r="AW585" s="7"/>
      <c r="AX585" s="7" t="s">
        <v>2873</v>
      </c>
      <c r="AY585" s="7" t="s">
        <v>1488</v>
      </c>
    </row>
    <row r="586" spans="1:51">
      <c r="A586" s="7" t="s">
        <v>33</v>
      </c>
      <c r="B586" s="7" t="s">
        <v>34</v>
      </c>
      <c r="C586" s="7" t="s">
        <v>282</v>
      </c>
      <c r="D586" s="7" t="s">
        <v>1954</v>
      </c>
      <c r="E586" s="7" t="s">
        <v>2851</v>
      </c>
      <c r="F586" s="7" t="s">
        <v>2858</v>
      </c>
      <c r="G586" s="7" t="s">
        <v>2859</v>
      </c>
      <c r="H586" s="7" t="s">
        <v>4180</v>
      </c>
      <c r="I586" s="100">
        <f t="shared" si="102"/>
        <v>1E-3</v>
      </c>
      <c r="J586" s="100">
        <f t="shared" si="100"/>
        <v>1</v>
      </c>
      <c r="K586" s="100">
        <f t="shared" si="101"/>
        <v>0</v>
      </c>
      <c r="L586" s="73" t="s">
        <v>1517</v>
      </c>
      <c r="M586" s="7" t="s">
        <v>1745</v>
      </c>
      <c r="N586" s="7" t="s">
        <v>1504</v>
      </c>
      <c r="O586" s="7" t="s">
        <v>1505</v>
      </c>
      <c r="P586" s="108" t="s">
        <v>1492</v>
      </c>
      <c r="Q586" s="7" t="s">
        <v>2024</v>
      </c>
      <c r="R586" s="7">
        <v>14.65</v>
      </c>
      <c r="S586" s="7">
        <f t="shared" si="106"/>
        <v>14.65</v>
      </c>
      <c r="T586" s="7">
        <v>145.44999999999999</v>
      </c>
      <c r="U586" s="7">
        <v>1</v>
      </c>
      <c r="V586" s="7">
        <v>21</v>
      </c>
      <c r="W586" s="7">
        <f t="shared" si="105"/>
        <v>1.3222192947339193</v>
      </c>
      <c r="X586" s="7" t="s">
        <v>1779</v>
      </c>
      <c r="Y586" s="7" t="s">
        <v>1778</v>
      </c>
      <c r="Z586" s="7">
        <v>29</v>
      </c>
      <c r="AA586" s="7">
        <v>32</v>
      </c>
      <c r="AB586" s="108">
        <v>39.078125</v>
      </c>
      <c r="AC586" s="108">
        <v>5.8617187499999996</v>
      </c>
      <c r="AD586" s="108">
        <v>5</v>
      </c>
      <c r="AE586" s="7"/>
      <c r="AF586" s="7"/>
      <c r="AG586" s="7"/>
      <c r="AH586" s="7"/>
      <c r="AI586" s="7"/>
      <c r="AJ586" s="7"/>
      <c r="AK586" s="108">
        <v>29.699375</v>
      </c>
      <c r="AL586" s="108">
        <v>4.4549062499999987</v>
      </c>
      <c r="AM586" s="108">
        <v>5</v>
      </c>
      <c r="AN586" s="7"/>
      <c r="AO586" s="7"/>
      <c r="AP586" s="7"/>
      <c r="AQ586" s="7"/>
      <c r="AR586" s="7"/>
      <c r="AS586" s="7"/>
      <c r="AT586" s="184"/>
      <c r="AU586" s="108"/>
      <c r="AV586" s="7"/>
      <c r="AW586" s="7"/>
      <c r="AX586" s="7" t="s">
        <v>2874</v>
      </c>
      <c r="AY586" s="7" t="s">
        <v>1488</v>
      </c>
    </row>
    <row r="587" spans="1:51">
      <c r="A587" s="7" t="s">
        <v>33</v>
      </c>
      <c r="B587" s="7" t="s">
        <v>34</v>
      </c>
      <c r="C587" s="7" t="s">
        <v>282</v>
      </c>
      <c r="D587" s="7" t="s">
        <v>1954</v>
      </c>
      <c r="E587" s="7" t="s">
        <v>2851</v>
      </c>
      <c r="F587" s="7" t="s">
        <v>2858</v>
      </c>
      <c r="G587" s="7" t="s">
        <v>2859</v>
      </c>
      <c r="H587" s="7" t="s">
        <v>4180</v>
      </c>
      <c r="I587" s="100">
        <f t="shared" si="102"/>
        <v>1E-3</v>
      </c>
      <c r="J587" s="100">
        <f t="shared" si="100"/>
        <v>1</v>
      </c>
      <c r="K587" s="100">
        <f t="shared" si="101"/>
        <v>0</v>
      </c>
      <c r="L587" s="73" t="s">
        <v>1517</v>
      </c>
      <c r="M587" s="7" t="s">
        <v>1745</v>
      </c>
      <c r="N587" s="7" t="s">
        <v>1504</v>
      </c>
      <c r="O587" s="7" t="s">
        <v>1505</v>
      </c>
      <c r="P587" s="108" t="s">
        <v>1492</v>
      </c>
      <c r="Q587" s="7" t="s">
        <v>2024</v>
      </c>
      <c r="R587" s="7">
        <v>14.65</v>
      </c>
      <c r="S587" s="7">
        <f t="shared" si="106"/>
        <v>14.65</v>
      </c>
      <c r="T587" s="7">
        <v>145.44999999999999</v>
      </c>
      <c r="U587" s="7">
        <v>1</v>
      </c>
      <c r="V587" s="7">
        <v>21</v>
      </c>
      <c r="W587" s="7">
        <f t="shared" si="105"/>
        <v>1.3222192947339193</v>
      </c>
      <c r="X587" s="7" t="s">
        <v>1779</v>
      </c>
      <c r="Y587" s="7" t="s">
        <v>1781</v>
      </c>
      <c r="Z587" s="7">
        <v>29</v>
      </c>
      <c r="AA587" s="7">
        <v>32</v>
      </c>
      <c r="AB587" s="108">
        <v>4.6893749999999992</v>
      </c>
      <c r="AC587" s="108">
        <v>0.37515000000000004</v>
      </c>
      <c r="AD587" s="108">
        <v>5</v>
      </c>
      <c r="AE587" s="7"/>
      <c r="AF587" s="7"/>
      <c r="AG587" s="7"/>
      <c r="AH587" s="7"/>
      <c r="AI587" s="7"/>
      <c r="AJ587" s="7"/>
      <c r="AK587" s="108">
        <v>8.1282499999999995</v>
      </c>
      <c r="AL587" s="108">
        <v>0.65026000000000006</v>
      </c>
      <c r="AM587" s="108">
        <v>5</v>
      </c>
      <c r="AN587" s="7"/>
      <c r="AO587" s="7"/>
      <c r="AP587" s="7"/>
      <c r="AQ587" s="7"/>
      <c r="AR587" s="7"/>
      <c r="AS587" s="7"/>
      <c r="AT587" s="184"/>
      <c r="AU587" s="108"/>
      <c r="AV587" s="7"/>
      <c r="AW587" s="7"/>
      <c r="AX587" s="7" t="s">
        <v>2874</v>
      </c>
      <c r="AY587" s="7" t="s">
        <v>1488</v>
      </c>
    </row>
    <row r="588" spans="1:51">
      <c r="A588" s="7" t="s">
        <v>33</v>
      </c>
      <c r="B588" s="7" t="s">
        <v>34</v>
      </c>
      <c r="C588" s="7" t="s">
        <v>282</v>
      </c>
      <c r="D588" s="7" t="s">
        <v>1954</v>
      </c>
      <c r="E588" s="7" t="s">
        <v>2020</v>
      </c>
      <c r="F588" s="7" t="s">
        <v>2861</v>
      </c>
      <c r="G588" s="7" t="s">
        <v>2862</v>
      </c>
      <c r="H588" s="7" t="s">
        <v>4180</v>
      </c>
      <c r="I588" s="100">
        <f t="shared" si="102"/>
        <v>1E-3</v>
      </c>
      <c r="J588" s="100">
        <f t="shared" si="100"/>
        <v>1</v>
      </c>
      <c r="K588" s="100">
        <f t="shared" si="101"/>
        <v>0</v>
      </c>
      <c r="L588" s="73" t="s">
        <v>1517</v>
      </c>
      <c r="M588" s="7" t="s">
        <v>1745</v>
      </c>
      <c r="N588" s="7" t="s">
        <v>1504</v>
      </c>
      <c r="O588" s="7" t="s">
        <v>1505</v>
      </c>
      <c r="P588" s="108" t="s">
        <v>1492</v>
      </c>
      <c r="Q588" s="7" t="s">
        <v>2024</v>
      </c>
      <c r="R588" s="7">
        <v>14.65</v>
      </c>
      <c r="S588" s="7">
        <f t="shared" si="106"/>
        <v>14.65</v>
      </c>
      <c r="T588" s="7">
        <v>145.44999999999999</v>
      </c>
      <c r="U588" s="7">
        <v>1</v>
      </c>
      <c r="V588" s="7">
        <v>21</v>
      </c>
      <c r="W588" s="7">
        <f t="shared" si="105"/>
        <v>1.3222192947339193</v>
      </c>
      <c r="X588" s="7" t="s">
        <v>1779</v>
      </c>
      <c r="Y588" s="7" t="s">
        <v>1778</v>
      </c>
      <c r="Z588" s="7">
        <v>29</v>
      </c>
      <c r="AA588" s="7">
        <v>32</v>
      </c>
      <c r="AB588" s="108">
        <v>70.965874999999997</v>
      </c>
      <c r="AC588" s="108">
        <v>10.644881249999999</v>
      </c>
      <c r="AD588" s="108">
        <v>5</v>
      </c>
      <c r="AE588" s="7"/>
      <c r="AF588" s="7"/>
      <c r="AG588" s="7"/>
      <c r="AH588" s="7"/>
      <c r="AI588" s="7"/>
      <c r="AJ588" s="7"/>
      <c r="AK588" s="108">
        <v>66.276500000000013</v>
      </c>
      <c r="AL588" s="108">
        <v>9.9414749999999987</v>
      </c>
      <c r="AM588" s="108">
        <v>5</v>
      </c>
      <c r="AN588" s="7"/>
      <c r="AO588" s="7"/>
      <c r="AP588" s="7"/>
      <c r="AQ588" s="7"/>
      <c r="AR588" s="7"/>
      <c r="AS588" s="7"/>
      <c r="AT588" s="184"/>
      <c r="AU588" s="108"/>
      <c r="AV588" s="7"/>
      <c r="AW588" s="7"/>
      <c r="AX588" s="7" t="s">
        <v>2875</v>
      </c>
      <c r="AY588" s="7" t="s">
        <v>1488</v>
      </c>
    </row>
    <row r="589" spans="1:51">
      <c r="A589" s="7" t="s">
        <v>33</v>
      </c>
      <c r="B589" s="7" t="s">
        <v>34</v>
      </c>
      <c r="C589" s="7" t="s">
        <v>282</v>
      </c>
      <c r="D589" s="7" t="s">
        <v>1954</v>
      </c>
      <c r="E589" s="7" t="s">
        <v>2020</v>
      </c>
      <c r="F589" s="7" t="s">
        <v>2861</v>
      </c>
      <c r="G589" s="7" t="s">
        <v>2862</v>
      </c>
      <c r="H589" s="7" t="s">
        <v>4180</v>
      </c>
      <c r="I589" s="100">
        <f t="shared" si="102"/>
        <v>1E-3</v>
      </c>
      <c r="J589" s="100">
        <f t="shared" si="100"/>
        <v>1</v>
      </c>
      <c r="K589" s="100">
        <f t="shared" si="101"/>
        <v>0</v>
      </c>
      <c r="L589" s="73" t="s">
        <v>1517</v>
      </c>
      <c r="M589" s="7" t="s">
        <v>1745</v>
      </c>
      <c r="N589" s="7" t="s">
        <v>1504</v>
      </c>
      <c r="O589" s="7" t="s">
        <v>1505</v>
      </c>
      <c r="P589" s="108" t="s">
        <v>1492</v>
      </c>
      <c r="Q589" s="7" t="s">
        <v>2024</v>
      </c>
      <c r="R589" s="7">
        <v>14.65</v>
      </c>
      <c r="S589" s="7">
        <f t="shared" si="106"/>
        <v>14.65</v>
      </c>
      <c r="T589" s="7">
        <v>145.44999999999999</v>
      </c>
      <c r="U589" s="7">
        <v>1</v>
      </c>
      <c r="V589" s="7">
        <v>21</v>
      </c>
      <c r="W589" s="7">
        <f t="shared" si="105"/>
        <v>1.3222192947339193</v>
      </c>
      <c r="X589" s="7" t="s">
        <v>1779</v>
      </c>
      <c r="Y589" s="7" t="s">
        <v>1781</v>
      </c>
      <c r="Z589" s="7">
        <v>29</v>
      </c>
      <c r="AA589" s="7">
        <v>32</v>
      </c>
      <c r="AB589" s="108">
        <v>8.1282499999999995</v>
      </c>
      <c r="AC589" s="108">
        <v>0.65026000000000006</v>
      </c>
      <c r="AD589" s="108">
        <v>5</v>
      </c>
      <c r="AE589" s="7"/>
      <c r="AF589" s="7"/>
      <c r="AG589" s="7"/>
      <c r="AH589" s="7"/>
      <c r="AI589" s="7"/>
      <c r="AJ589" s="7"/>
      <c r="AK589" s="108">
        <v>11.567124999999999</v>
      </c>
      <c r="AL589" s="108">
        <v>0.92537000000000014</v>
      </c>
      <c r="AM589" s="108">
        <v>5</v>
      </c>
      <c r="AN589" s="7"/>
      <c r="AO589" s="7"/>
      <c r="AP589" s="7"/>
      <c r="AQ589" s="7"/>
      <c r="AR589" s="7"/>
      <c r="AS589" s="7"/>
      <c r="AT589" s="184"/>
      <c r="AU589" s="108"/>
      <c r="AV589" s="7"/>
      <c r="AW589" s="7"/>
      <c r="AX589" s="7" t="s">
        <v>2875</v>
      </c>
      <c r="AY589" s="7" t="s">
        <v>1488</v>
      </c>
    </row>
    <row r="590" spans="1:51">
      <c r="A590" s="7" t="s">
        <v>33</v>
      </c>
      <c r="B590" s="7" t="s">
        <v>34</v>
      </c>
      <c r="C590" s="7" t="s">
        <v>282</v>
      </c>
      <c r="D590" s="7" t="s">
        <v>1954</v>
      </c>
      <c r="E590" s="7" t="s">
        <v>2020</v>
      </c>
      <c r="F590" s="7" t="s">
        <v>2864</v>
      </c>
      <c r="G590" s="7" t="s">
        <v>2865</v>
      </c>
      <c r="H590" s="7" t="s">
        <v>4180</v>
      </c>
      <c r="I590" s="100">
        <f t="shared" si="102"/>
        <v>1E-3</v>
      </c>
      <c r="J590" s="100">
        <f t="shared" si="100"/>
        <v>1</v>
      </c>
      <c r="K590" s="100">
        <f t="shared" si="101"/>
        <v>0</v>
      </c>
      <c r="L590" s="73" t="s">
        <v>1517</v>
      </c>
      <c r="M590" s="7" t="s">
        <v>1745</v>
      </c>
      <c r="N590" s="7" t="s">
        <v>1504</v>
      </c>
      <c r="O590" s="7" t="s">
        <v>1505</v>
      </c>
      <c r="P590" s="108" t="s">
        <v>1492</v>
      </c>
      <c r="Q590" s="7" t="s">
        <v>2024</v>
      </c>
      <c r="R590" s="7">
        <v>14.65</v>
      </c>
      <c r="S590" s="7">
        <f t="shared" si="106"/>
        <v>14.65</v>
      </c>
      <c r="T590" s="7">
        <v>145.44999999999999</v>
      </c>
      <c r="U590" s="7">
        <v>1</v>
      </c>
      <c r="V590" s="7">
        <v>21</v>
      </c>
      <c r="W590" s="7">
        <f t="shared" si="105"/>
        <v>1.3222192947339193</v>
      </c>
      <c r="X590" s="7" t="s">
        <v>1779</v>
      </c>
      <c r="Y590" s="7" t="s">
        <v>1778</v>
      </c>
      <c r="Z590" s="7">
        <v>29</v>
      </c>
      <c r="AA590" s="7">
        <v>32</v>
      </c>
      <c r="AB590" s="108">
        <v>22.821625000000001</v>
      </c>
      <c r="AC590" s="108">
        <v>3.4232437499999997</v>
      </c>
      <c r="AD590" s="108">
        <v>5</v>
      </c>
      <c r="AE590" s="7"/>
      <c r="AF590" s="7"/>
      <c r="AG590" s="7"/>
      <c r="AH590" s="7"/>
      <c r="AI590" s="7"/>
      <c r="AJ590" s="7"/>
      <c r="AK590" s="108">
        <v>23.134249999999998</v>
      </c>
      <c r="AL590" s="108">
        <v>3.4701375000000003</v>
      </c>
      <c r="AM590" s="108">
        <v>5</v>
      </c>
      <c r="AN590" s="7"/>
      <c r="AO590" s="7"/>
      <c r="AP590" s="7"/>
      <c r="AQ590" s="7"/>
      <c r="AR590" s="7"/>
      <c r="AS590" s="7"/>
      <c r="AT590" s="184"/>
      <c r="AU590" s="108"/>
      <c r="AV590" s="7"/>
      <c r="AW590" s="7"/>
      <c r="AX590" s="7" t="s">
        <v>2876</v>
      </c>
      <c r="AY590" s="7" t="s">
        <v>1488</v>
      </c>
    </row>
    <row r="591" spans="1:51">
      <c r="A591" s="7" t="s">
        <v>33</v>
      </c>
      <c r="B591" s="7" t="s">
        <v>34</v>
      </c>
      <c r="C591" s="7" t="s">
        <v>282</v>
      </c>
      <c r="D591" s="7" t="s">
        <v>1954</v>
      </c>
      <c r="E591" s="7" t="s">
        <v>2020</v>
      </c>
      <c r="F591" s="7" t="s">
        <v>2864</v>
      </c>
      <c r="G591" s="7" t="s">
        <v>2865</v>
      </c>
      <c r="H591" s="7" t="s">
        <v>4180</v>
      </c>
      <c r="I591" s="100">
        <f t="shared" si="102"/>
        <v>1E-3</v>
      </c>
      <c r="J591" s="100">
        <f t="shared" si="100"/>
        <v>1</v>
      </c>
      <c r="K591" s="100">
        <f t="shared" si="101"/>
        <v>0</v>
      </c>
      <c r="L591" s="73" t="s">
        <v>1517</v>
      </c>
      <c r="M591" s="7" t="s">
        <v>1745</v>
      </c>
      <c r="N591" s="7" t="s">
        <v>1504</v>
      </c>
      <c r="O591" s="7" t="s">
        <v>1505</v>
      </c>
      <c r="P591" s="108" t="s">
        <v>1492</v>
      </c>
      <c r="Q591" s="7" t="s">
        <v>2024</v>
      </c>
      <c r="R591" s="7">
        <v>14.65</v>
      </c>
      <c r="S591" s="7">
        <f t="shared" si="106"/>
        <v>14.65</v>
      </c>
      <c r="T591" s="7">
        <v>145.44999999999999</v>
      </c>
      <c r="U591" s="7">
        <v>1</v>
      </c>
      <c r="V591" s="7">
        <v>21</v>
      </c>
      <c r="W591" s="7">
        <f t="shared" si="105"/>
        <v>1.3222192947339193</v>
      </c>
      <c r="X591" s="7" t="s">
        <v>1779</v>
      </c>
      <c r="Y591" s="7" t="s">
        <v>1781</v>
      </c>
      <c r="Z591" s="7">
        <v>29</v>
      </c>
      <c r="AA591" s="7">
        <v>32</v>
      </c>
      <c r="AB591" s="108">
        <v>4.3767500000000004</v>
      </c>
      <c r="AC591" s="108">
        <v>0.35014000000000006</v>
      </c>
      <c r="AD591" s="108">
        <v>5</v>
      </c>
      <c r="AE591" s="7"/>
      <c r="AF591" s="7"/>
      <c r="AG591" s="7"/>
      <c r="AH591" s="7"/>
      <c r="AI591" s="7"/>
      <c r="AJ591" s="7"/>
      <c r="AK591" s="108">
        <v>5.6272500000000001</v>
      </c>
      <c r="AL591" s="108">
        <v>0.45017999999999997</v>
      </c>
      <c r="AM591" s="108">
        <v>5</v>
      </c>
      <c r="AN591" s="7"/>
      <c r="AO591" s="7"/>
      <c r="AP591" s="7"/>
      <c r="AQ591" s="7"/>
      <c r="AR591" s="7"/>
      <c r="AS591" s="7"/>
      <c r="AT591" s="184"/>
      <c r="AU591" s="108"/>
      <c r="AV591" s="7"/>
      <c r="AW591" s="7"/>
      <c r="AX591" s="7" t="s">
        <v>2876</v>
      </c>
      <c r="AY591" s="7" t="s">
        <v>1488</v>
      </c>
    </row>
    <row r="592" spans="1:51">
      <c r="A592" s="7" t="s">
        <v>33</v>
      </c>
      <c r="B592" s="7" t="s">
        <v>34</v>
      </c>
      <c r="C592" s="7" t="s">
        <v>282</v>
      </c>
      <c r="D592" s="7" t="s">
        <v>1954</v>
      </c>
      <c r="E592" s="7" t="s">
        <v>2020</v>
      </c>
      <c r="F592" s="7" t="s">
        <v>2021</v>
      </c>
      <c r="G592" s="7" t="s">
        <v>2022</v>
      </c>
      <c r="H592" s="7" t="s">
        <v>4180</v>
      </c>
      <c r="I592" s="100">
        <f t="shared" si="102"/>
        <v>1E-3</v>
      </c>
      <c r="J592" s="100">
        <f t="shared" si="100"/>
        <v>1</v>
      </c>
      <c r="K592" s="100">
        <f t="shared" si="101"/>
        <v>0</v>
      </c>
      <c r="L592" s="73" t="s">
        <v>1517</v>
      </c>
      <c r="M592" s="7" t="s">
        <v>1745</v>
      </c>
      <c r="N592" s="7" t="s">
        <v>1504</v>
      </c>
      <c r="O592" s="7" t="s">
        <v>1505</v>
      </c>
      <c r="P592" s="108" t="s">
        <v>1492</v>
      </c>
      <c r="Q592" s="7" t="s">
        <v>2024</v>
      </c>
      <c r="R592" s="7">
        <v>14.65</v>
      </c>
      <c r="S592" s="7">
        <f t="shared" si="106"/>
        <v>14.65</v>
      </c>
      <c r="T592" s="7">
        <v>145.44999999999999</v>
      </c>
      <c r="U592" s="7">
        <v>1</v>
      </c>
      <c r="V592" s="7">
        <v>21</v>
      </c>
      <c r="W592" s="7">
        <f t="shared" si="105"/>
        <v>1.3222192947339193</v>
      </c>
      <c r="X592" s="7" t="s">
        <v>1779</v>
      </c>
      <c r="Y592" s="7" t="s">
        <v>1778</v>
      </c>
      <c r="Z592" s="7">
        <v>29</v>
      </c>
      <c r="AA592" s="7">
        <v>32</v>
      </c>
      <c r="AB592" s="108">
        <v>36.577124999999995</v>
      </c>
      <c r="AC592" s="108">
        <v>5.48656875</v>
      </c>
      <c r="AD592" s="108">
        <v>5</v>
      </c>
      <c r="AE592" s="7"/>
      <c r="AF592" s="7"/>
      <c r="AG592" s="7"/>
      <c r="AH592" s="7"/>
      <c r="AI592" s="7"/>
      <c r="AJ592" s="7"/>
      <c r="AK592" s="108">
        <v>31.887750000000008</v>
      </c>
      <c r="AL592" s="108">
        <v>4.7831625000000004</v>
      </c>
      <c r="AM592" s="108">
        <v>5</v>
      </c>
      <c r="AN592" s="7"/>
      <c r="AO592" s="7"/>
      <c r="AP592" s="7"/>
      <c r="AQ592" s="7"/>
      <c r="AR592" s="7"/>
      <c r="AS592" s="7"/>
      <c r="AT592" s="184"/>
      <c r="AU592" s="108"/>
      <c r="AV592" s="7"/>
      <c r="AW592" s="7"/>
      <c r="AX592" s="7" t="s">
        <v>2877</v>
      </c>
      <c r="AY592" s="7" t="s">
        <v>1488</v>
      </c>
    </row>
    <row r="593" spans="1:51">
      <c r="A593" s="7" t="s">
        <v>33</v>
      </c>
      <c r="B593" s="7" t="s">
        <v>34</v>
      </c>
      <c r="C593" s="7" t="s">
        <v>282</v>
      </c>
      <c r="D593" s="7" t="s">
        <v>1954</v>
      </c>
      <c r="E593" s="7" t="s">
        <v>2020</v>
      </c>
      <c r="F593" s="7" t="s">
        <v>2021</v>
      </c>
      <c r="G593" s="7" t="s">
        <v>2022</v>
      </c>
      <c r="H593" s="7" t="s">
        <v>4180</v>
      </c>
      <c r="I593" s="100">
        <f t="shared" si="102"/>
        <v>1E-3</v>
      </c>
      <c r="J593" s="100">
        <f t="shared" si="100"/>
        <v>1</v>
      </c>
      <c r="K593" s="100">
        <f t="shared" si="101"/>
        <v>0</v>
      </c>
      <c r="L593" s="73" t="s">
        <v>1517</v>
      </c>
      <c r="M593" s="7" t="s">
        <v>1745</v>
      </c>
      <c r="N593" s="7" t="s">
        <v>1504</v>
      </c>
      <c r="O593" s="7" t="s">
        <v>1505</v>
      </c>
      <c r="P593" s="108" t="s">
        <v>1492</v>
      </c>
      <c r="Q593" s="7" t="s">
        <v>2024</v>
      </c>
      <c r="R593" s="7">
        <v>14.65</v>
      </c>
      <c r="S593" s="7">
        <f t="shared" si="106"/>
        <v>14.65</v>
      </c>
      <c r="T593" s="7">
        <v>145.44999999999999</v>
      </c>
      <c r="U593" s="7">
        <v>1</v>
      </c>
      <c r="V593" s="7">
        <v>21</v>
      </c>
      <c r="W593" s="7">
        <f t="shared" si="105"/>
        <v>1.3222192947339193</v>
      </c>
      <c r="X593" s="7" t="s">
        <v>1779</v>
      </c>
      <c r="Y593" s="7" t="s">
        <v>1781</v>
      </c>
      <c r="Z593" s="7">
        <v>29</v>
      </c>
      <c r="AA593" s="7">
        <v>32</v>
      </c>
      <c r="AB593" s="108">
        <v>7.1903749999999995</v>
      </c>
      <c r="AC593" s="108">
        <v>0.57523000000000002</v>
      </c>
      <c r="AD593" s="108">
        <v>5</v>
      </c>
      <c r="AE593" s="7"/>
      <c r="AF593" s="7"/>
      <c r="AG593" s="7"/>
      <c r="AH593" s="7"/>
      <c r="AI593" s="7"/>
      <c r="AJ593" s="7"/>
      <c r="AK593" s="108">
        <v>7.8156249999999998</v>
      </c>
      <c r="AL593" s="108">
        <v>0.62524999999999997</v>
      </c>
      <c r="AM593" s="108">
        <v>5</v>
      </c>
      <c r="AN593" s="7"/>
      <c r="AO593" s="7"/>
      <c r="AP593" s="7"/>
      <c r="AQ593" s="7"/>
      <c r="AR593" s="7"/>
      <c r="AS593" s="7"/>
      <c r="AT593" s="184"/>
      <c r="AU593" s="108"/>
      <c r="AV593" s="7"/>
      <c r="AW593" s="7"/>
      <c r="AX593" s="7" t="s">
        <v>2877</v>
      </c>
      <c r="AY593" s="7" t="s">
        <v>1488</v>
      </c>
    </row>
    <row r="594" spans="1:51">
      <c r="A594" s="7" t="s">
        <v>33</v>
      </c>
      <c r="B594" s="7" t="s">
        <v>34</v>
      </c>
      <c r="C594" s="7" t="s">
        <v>1621</v>
      </c>
      <c r="D594" s="7" t="s">
        <v>2878</v>
      </c>
      <c r="E594" s="7" t="s">
        <v>1751</v>
      </c>
      <c r="F594" s="7" t="s">
        <v>2879</v>
      </c>
      <c r="G594" s="7" t="s">
        <v>2880</v>
      </c>
      <c r="H594" s="7" t="s">
        <v>4180</v>
      </c>
      <c r="I594" s="100">
        <f>5.94/1000</f>
        <v>5.94E-3</v>
      </c>
      <c r="J594" s="100">
        <f t="shared" si="100"/>
        <v>5.94</v>
      </c>
      <c r="K594" s="100">
        <f t="shared" si="101"/>
        <v>0.77378644498119353</v>
      </c>
      <c r="L594" s="73" t="s">
        <v>1517</v>
      </c>
      <c r="M594" s="7" t="s">
        <v>2881</v>
      </c>
      <c r="N594" s="7" t="s">
        <v>1504</v>
      </c>
      <c r="O594" s="7" t="s">
        <v>1505</v>
      </c>
      <c r="P594" s="108" t="s">
        <v>1492</v>
      </c>
      <c r="Q594" s="7" t="s">
        <v>2882</v>
      </c>
      <c r="R594" s="7">
        <v>31.16</v>
      </c>
      <c r="S594" s="7">
        <f t="shared" si="106"/>
        <v>31.16</v>
      </c>
      <c r="T594" s="7">
        <v>81.489999999999995</v>
      </c>
      <c r="U594" s="7">
        <v>1</v>
      </c>
      <c r="V594" s="7">
        <v>21</v>
      </c>
      <c r="W594" s="7">
        <f t="shared" si="105"/>
        <v>1.3222192947339193</v>
      </c>
      <c r="X594" s="7" t="s">
        <v>1520</v>
      </c>
      <c r="Y594" s="7" t="s">
        <v>1521</v>
      </c>
      <c r="Z594" s="7">
        <v>10.4</v>
      </c>
      <c r="AA594" s="7">
        <v>28.7</v>
      </c>
      <c r="AB594" s="7">
        <v>3.4</v>
      </c>
      <c r="AC594" s="7">
        <v>0.4</v>
      </c>
      <c r="AD594" s="7">
        <v>6</v>
      </c>
      <c r="AE594" s="7"/>
      <c r="AF594" s="7"/>
      <c r="AG594" s="7"/>
      <c r="AH594" s="7"/>
      <c r="AI594" s="7"/>
      <c r="AJ594" s="7"/>
      <c r="AK594" s="108">
        <v>5.0999999999999996</v>
      </c>
      <c r="AL594" s="7">
        <v>0.2</v>
      </c>
      <c r="AM594" s="7">
        <v>6</v>
      </c>
      <c r="AN594" s="7"/>
      <c r="AO594" s="7"/>
      <c r="AP594" s="7"/>
      <c r="AQ594" s="7"/>
      <c r="AR594" s="7"/>
      <c r="AS594" s="7"/>
      <c r="AT594" s="184"/>
      <c r="AU594" s="7"/>
      <c r="AV594" s="7"/>
      <c r="AW594" s="7"/>
      <c r="AX594" s="7" t="s">
        <v>2883</v>
      </c>
      <c r="AY594" s="7" t="s">
        <v>1488</v>
      </c>
    </row>
    <row r="595" spans="1:51">
      <c r="A595" s="7" t="s">
        <v>33</v>
      </c>
      <c r="B595" s="7" t="s">
        <v>34</v>
      </c>
      <c r="C595" s="7" t="s">
        <v>1621</v>
      </c>
      <c r="D595" s="7" t="s">
        <v>2878</v>
      </c>
      <c r="E595" s="7" t="s">
        <v>1751</v>
      </c>
      <c r="F595" s="7" t="s">
        <v>2879</v>
      </c>
      <c r="G595" s="7" t="s">
        <v>2880</v>
      </c>
      <c r="H595" s="7" t="s">
        <v>4180</v>
      </c>
      <c r="I595" s="100">
        <f>3.77/1000</f>
        <v>3.7699999999999999E-3</v>
      </c>
      <c r="J595" s="100">
        <f t="shared" si="100"/>
        <v>3.77</v>
      </c>
      <c r="K595" s="100">
        <f t="shared" si="101"/>
        <v>0.57634135020579291</v>
      </c>
      <c r="L595" s="73" t="s">
        <v>1502</v>
      </c>
      <c r="M595" s="7" t="s">
        <v>2884</v>
      </c>
      <c r="N595" s="7" t="s">
        <v>1504</v>
      </c>
      <c r="O595" s="7" t="s">
        <v>1505</v>
      </c>
      <c r="P595" s="108" t="s">
        <v>1492</v>
      </c>
      <c r="Q595" s="7" t="s">
        <v>2885</v>
      </c>
      <c r="R595" s="7">
        <v>34.700000000000003</v>
      </c>
      <c r="S595" s="7">
        <f t="shared" si="106"/>
        <v>34.700000000000003</v>
      </c>
      <c r="T595" s="7">
        <v>76.75</v>
      </c>
      <c r="U595" s="7">
        <v>1</v>
      </c>
      <c r="V595" s="7">
        <v>21</v>
      </c>
      <c r="W595" s="7">
        <f t="shared" si="105"/>
        <v>1.3222192947339193</v>
      </c>
      <c r="X595" s="7" t="s">
        <v>2131</v>
      </c>
      <c r="Y595" s="7" t="s">
        <v>2210</v>
      </c>
      <c r="Z595" s="7">
        <v>5</v>
      </c>
      <c r="AA595" s="7">
        <v>25</v>
      </c>
      <c r="AB595" s="7">
        <v>76.459999999999994</v>
      </c>
      <c r="AC595" s="7">
        <v>3.57</v>
      </c>
      <c r="AD595" s="7">
        <v>8</v>
      </c>
      <c r="AE595" s="7"/>
      <c r="AF595" s="7"/>
      <c r="AG595" s="7"/>
      <c r="AH595" s="7"/>
      <c r="AI595" s="7"/>
      <c r="AJ595" s="7"/>
      <c r="AK595" s="108">
        <v>78.239999999999995</v>
      </c>
      <c r="AL595" s="108">
        <v>3.16</v>
      </c>
      <c r="AM595" s="7">
        <v>8</v>
      </c>
      <c r="AN595" s="7"/>
      <c r="AO595" s="7"/>
      <c r="AP595" s="7"/>
      <c r="AQ595" s="7"/>
      <c r="AR595" s="7"/>
      <c r="AS595" s="7"/>
      <c r="AT595" s="184"/>
      <c r="AU595" s="7"/>
      <c r="AV595" s="7"/>
      <c r="AW595" s="7"/>
      <c r="AX595" s="7" t="s">
        <v>2886</v>
      </c>
      <c r="AY595" s="7" t="s">
        <v>1488</v>
      </c>
    </row>
    <row r="596" spans="1:51">
      <c r="A596" s="7" t="s">
        <v>33</v>
      </c>
      <c r="B596" s="7" t="s">
        <v>34</v>
      </c>
      <c r="C596" s="7" t="s">
        <v>1621</v>
      </c>
      <c r="D596" s="7" t="s">
        <v>2878</v>
      </c>
      <c r="E596" s="7" t="s">
        <v>1751</v>
      </c>
      <c r="F596" s="7" t="s">
        <v>2879</v>
      </c>
      <c r="G596" s="7" t="s">
        <v>2880</v>
      </c>
      <c r="H596" s="7" t="s">
        <v>4180</v>
      </c>
      <c r="I596" s="100">
        <f>3.77/1000</f>
        <v>3.7699999999999999E-3</v>
      </c>
      <c r="J596" s="100">
        <f t="shared" si="100"/>
        <v>3.77</v>
      </c>
      <c r="K596" s="100">
        <f t="shared" si="101"/>
        <v>0.57634135020579291</v>
      </c>
      <c r="L596" s="73" t="s">
        <v>1502</v>
      </c>
      <c r="M596" s="7" t="s">
        <v>2884</v>
      </c>
      <c r="N596" s="7" t="s">
        <v>1504</v>
      </c>
      <c r="O596" s="7" t="s">
        <v>1505</v>
      </c>
      <c r="P596" s="108" t="s">
        <v>1492</v>
      </c>
      <c r="Q596" s="7" t="s">
        <v>2885</v>
      </c>
      <c r="R596" s="7">
        <v>34.700000000000003</v>
      </c>
      <c r="S596" s="7">
        <f t="shared" si="106"/>
        <v>34.700000000000003</v>
      </c>
      <c r="T596" s="7">
        <v>76.75</v>
      </c>
      <c r="U596" s="7">
        <v>1</v>
      </c>
      <c r="V596" s="7">
        <v>21</v>
      </c>
      <c r="W596" s="7">
        <f t="shared" si="105"/>
        <v>1.3222192947339193</v>
      </c>
      <c r="X596" s="7" t="s">
        <v>2351</v>
      </c>
      <c r="Y596" s="7" t="s">
        <v>2210</v>
      </c>
      <c r="Z596" s="7">
        <v>5</v>
      </c>
      <c r="AA596" s="7">
        <v>25</v>
      </c>
      <c r="AB596" s="7">
        <v>33.56</v>
      </c>
      <c r="AC596" s="7">
        <v>1.25</v>
      </c>
      <c r="AD596" s="7">
        <v>8</v>
      </c>
      <c r="AE596" s="7"/>
      <c r="AF596" s="7"/>
      <c r="AG596" s="7"/>
      <c r="AH596" s="7"/>
      <c r="AI596" s="7"/>
      <c r="AJ596" s="7"/>
      <c r="AK596" s="108">
        <v>35.01</v>
      </c>
      <c r="AL596" s="108">
        <v>2.4700000000000002</v>
      </c>
      <c r="AM596" s="7">
        <v>8</v>
      </c>
      <c r="AN596" s="7"/>
      <c r="AO596" s="7"/>
      <c r="AP596" s="7"/>
      <c r="AQ596" s="7"/>
      <c r="AR596" s="7"/>
      <c r="AS596" s="7"/>
      <c r="AT596" s="184"/>
      <c r="AU596" s="7"/>
      <c r="AV596" s="7"/>
      <c r="AW596" s="7"/>
      <c r="AX596" s="7" t="s">
        <v>2887</v>
      </c>
      <c r="AY596" s="7" t="s">
        <v>1488</v>
      </c>
    </row>
    <row r="597" spans="1:51">
      <c r="A597" s="7" t="s">
        <v>33</v>
      </c>
      <c r="B597" s="7" t="s">
        <v>34</v>
      </c>
      <c r="C597" s="7" t="s">
        <v>1621</v>
      </c>
      <c r="D597" s="7" t="s">
        <v>2878</v>
      </c>
      <c r="E597" s="7" t="s">
        <v>1751</v>
      </c>
      <c r="F597" s="7" t="s">
        <v>2879</v>
      </c>
      <c r="G597" s="7" t="s">
        <v>2880</v>
      </c>
      <c r="H597" s="7" t="s">
        <v>4180</v>
      </c>
      <c r="I597" s="100">
        <f>3.77/1000</f>
        <v>3.7699999999999999E-3</v>
      </c>
      <c r="J597" s="100">
        <f t="shared" si="100"/>
        <v>3.77</v>
      </c>
      <c r="K597" s="100">
        <f t="shared" si="101"/>
        <v>0.57634135020579291</v>
      </c>
      <c r="L597" s="73" t="s">
        <v>1502</v>
      </c>
      <c r="M597" s="7" t="s">
        <v>2884</v>
      </c>
      <c r="N597" s="7" t="s">
        <v>1504</v>
      </c>
      <c r="O597" s="7" t="s">
        <v>1505</v>
      </c>
      <c r="P597" s="108" t="s">
        <v>1492</v>
      </c>
      <c r="Q597" s="7" t="s">
        <v>2885</v>
      </c>
      <c r="R597" s="7">
        <v>34.700000000000003</v>
      </c>
      <c r="S597" s="7">
        <f t="shared" si="106"/>
        <v>34.700000000000003</v>
      </c>
      <c r="T597" s="7">
        <v>76.75</v>
      </c>
      <c r="U597" s="7">
        <v>1</v>
      </c>
      <c r="V597" s="7">
        <v>21</v>
      </c>
      <c r="W597" s="7">
        <f t="shared" si="105"/>
        <v>1.3222192947339193</v>
      </c>
      <c r="X597" s="7" t="s">
        <v>2284</v>
      </c>
      <c r="Y597" s="7" t="s">
        <v>2210</v>
      </c>
      <c r="Z597" s="7">
        <v>5</v>
      </c>
      <c r="AA597" s="7">
        <v>25</v>
      </c>
      <c r="AB597" s="7">
        <v>1.05</v>
      </c>
      <c r="AC597" s="7">
        <v>7.0000000000000007E-2</v>
      </c>
      <c r="AD597" s="7">
        <v>8</v>
      </c>
      <c r="AE597" s="7"/>
      <c r="AF597" s="7"/>
      <c r="AG597" s="7"/>
      <c r="AH597" s="7"/>
      <c r="AI597" s="7"/>
      <c r="AJ597" s="7"/>
      <c r="AK597" s="108">
        <v>0.87</v>
      </c>
      <c r="AL597" s="108">
        <v>0.08</v>
      </c>
      <c r="AM597" s="7">
        <v>8</v>
      </c>
      <c r="AN597" s="7"/>
      <c r="AO597" s="7"/>
      <c r="AP597" s="7"/>
      <c r="AQ597" s="7"/>
      <c r="AR597" s="7"/>
      <c r="AS597" s="7"/>
      <c r="AT597" s="184"/>
      <c r="AU597" s="7"/>
      <c r="AV597" s="7"/>
      <c r="AW597" s="7"/>
      <c r="AX597" s="7" t="s">
        <v>2888</v>
      </c>
      <c r="AY597" s="7" t="s">
        <v>1488</v>
      </c>
    </row>
    <row r="598" spans="1:51">
      <c r="A598" s="7" t="s">
        <v>33</v>
      </c>
      <c r="B598" s="7" t="s">
        <v>34</v>
      </c>
      <c r="C598" s="7" t="s">
        <v>2561</v>
      </c>
      <c r="D598" s="7" t="s">
        <v>2600</v>
      </c>
      <c r="E598" s="7" t="s">
        <v>2601</v>
      </c>
      <c r="F598" s="7" t="s">
        <v>2889</v>
      </c>
      <c r="G598" s="7" t="s">
        <v>2890</v>
      </c>
      <c r="H598" s="7" t="s">
        <v>4180</v>
      </c>
      <c r="I598" s="100">
        <f>69/1000</f>
        <v>6.9000000000000006E-2</v>
      </c>
      <c r="J598" s="100">
        <f t="shared" si="100"/>
        <v>69</v>
      </c>
      <c r="K598" s="100">
        <f t="shared" si="101"/>
        <v>1.8388490907372552</v>
      </c>
      <c r="L598" s="73" t="s">
        <v>1502</v>
      </c>
      <c r="M598" s="7" t="s">
        <v>2892</v>
      </c>
      <c r="N598" s="7" t="s">
        <v>1504</v>
      </c>
      <c r="O598" s="7" t="s">
        <v>1505</v>
      </c>
      <c r="P598" s="108" t="s">
        <v>1539</v>
      </c>
      <c r="Q598" s="7" t="s">
        <v>2893</v>
      </c>
      <c r="R598" s="7">
        <v>36.520000000000003</v>
      </c>
      <c r="S598" s="7">
        <f t="shared" si="106"/>
        <v>36.520000000000003</v>
      </c>
      <c r="T598" s="7">
        <v>6.28</v>
      </c>
      <c r="U598" s="7">
        <v>1</v>
      </c>
      <c r="V598" s="7">
        <v>21</v>
      </c>
      <c r="W598" s="7">
        <f t="shared" si="105"/>
        <v>1.3222192947339193</v>
      </c>
      <c r="X598" s="7" t="s">
        <v>2891</v>
      </c>
      <c r="Y598" s="7" t="s">
        <v>1728</v>
      </c>
      <c r="Z598" s="7">
        <v>12</v>
      </c>
      <c r="AA598" s="7">
        <v>26</v>
      </c>
      <c r="AB598" s="7">
        <v>2.8</v>
      </c>
      <c r="AC598" s="7">
        <v>0.3</v>
      </c>
      <c r="AD598" s="7">
        <v>10</v>
      </c>
      <c r="AE598" s="7"/>
      <c r="AF598" s="7"/>
      <c r="AG598" s="7"/>
      <c r="AH598" s="7"/>
      <c r="AI598" s="7"/>
      <c r="AJ598" s="7"/>
      <c r="AK598" s="7">
        <v>13</v>
      </c>
      <c r="AL598" s="7">
        <v>1</v>
      </c>
      <c r="AM598" s="7">
        <v>10</v>
      </c>
      <c r="AN598" s="7"/>
      <c r="AO598" s="7"/>
      <c r="AP598" s="7"/>
      <c r="AQ598" s="7"/>
      <c r="AR598" s="7"/>
      <c r="AS598" s="7"/>
      <c r="AT598" s="184">
        <f>AVERAGE(AC598,AF598,AL598)</f>
        <v>0.65</v>
      </c>
      <c r="AU598" s="7"/>
      <c r="AV598" s="7"/>
      <c r="AW598" s="7"/>
      <c r="AX598" s="7" t="s">
        <v>2892</v>
      </c>
      <c r="AY598" s="7" t="s">
        <v>1488</v>
      </c>
    </row>
    <row r="599" spans="1:51">
      <c r="A599" s="7" t="s">
        <v>33</v>
      </c>
      <c r="B599" s="7" t="s">
        <v>34</v>
      </c>
      <c r="C599" s="7" t="s">
        <v>2561</v>
      </c>
      <c r="D599" s="7" t="s">
        <v>2600</v>
      </c>
      <c r="E599" s="7" t="s">
        <v>2601</v>
      </c>
      <c r="F599" s="7" t="s">
        <v>2889</v>
      </c>
      <c r="G599" s="7" t="s">
        <v>2890</v>
      </c>
      <c r="H599" s="7" t="s">
        <v>4180</v>
      </c>
      <c r="I599" s="100">
        <f>69/1000</f>
        <v>6.9000000000000006E-2</v>
      </c>
      <c r="J599" s="100">
        <f t="shared" si="100"/>
        <v>69</v>
      </c>
      <c r="K599" s="100">
        <f t="shared" si="101"/>
        <v>1.8388490907372552</v>
      </c>
      <c r="L599" s="73" t="s">
        <v>1502</v>
      </c>
      <c r="M599" s="7" t="s">
        <v>2892</v>
      </c>
      <c r="N599" s="7" t="s">
        <v>1504</v>
      </c>
      <c r="O599" s="7" t="s">
        <v>1505</v>
      </c>
      <c r="P599" s="108" t="s">
        <v>1539</v>
      </c>
      <c r="Q599" s="7" t="s">
        <v>2893</v>
      </c>
      <c r="R599" s="7">
        <v>36.520000000000003</v>
      </c>
      <c r="S599" s="7">
        <f t="shared" si="106"/>
        <v>36.520000000000003</v>
      </c>
      <c r="T599" s="7">
        <v>6.28</v>
      </c>
      <c r="U599" s="7">
        <v>1</v>
      </c>
      <c r="V599" s="7">
        <v>21</v>
      </c>
      <c r="W599" s="7">
        <f t="shared" si="105"/>
        <v>1.3222192947339193</v>
      </c>
      <c r="X599" s="7" t="s">
        <v>2891</v>
      </c>
      <c r="Y599" s="7" t="s">
        <v>2582</v>
      </c>
      <c r="Z599" s="7">
        <v>12</v>
      </c>
      <c r="AA599" s="7">
        <v>26</v>
      </c>
      <c r="AB599" s="7">
        <v>2</v>
      </c>
      <c r="AC599" s="7">
        <v>0.2</v>
      </c>
      <c r="AD599" s="7">
        <v>10</v>
      </c>
      <c r="AE599" s="7"/>
      <c r="AF599" s="7"/>
      <c r="AG599" s="7"/>
      <c r="AH599" s="7"/>
      <c r="AI599" s="7"/>
      <c r="AJ599" s="7"/>
      <c r="AK599" s="7">
        <v>6.2</v>
      </c>
      <c r="AL599" s="7">
        <v>0.2</v>
      </c>
      <c r="AM599" s="7">
        <v>10</v>
      </c>
      <c r="AN599" s="7"/>
      <c r="AO599" s="7"/>
      <c r="AP599" s="7"/>
      <c r="AQ599" s="7"/>
      <c r="AR599" s="7"/>
      <c r="AS599" s="7"/>
      <c r="AT599" s="184">
        <f>AVERAGE(AC599,AF599,AL599)</f>
        <v>0.2</v>
      </c>
      <c r="AU599" s="7"/>
      <c r="AV599" s="7"/>
      <c r="AW599" s="7"/>
      <c r="AX599" s="7" t="s">
        <v>2894</v>
      </c>
      <c r="AY599" s="7" t="s">
        <v>1488</v>
      </c>
    </row>
    <row r="600" spans="1:51">
      <c r="A600" s="7" t="s">
        <v>33</v>
      </c>
      <c r="B600" s="7" t="s">
        <v>34</v>
      </c>
      <c r="C600" s="7" t="s">
        <v>282</v>
      </c>
      <c r="D600" s="7" t="s">
        <v>2895</v>
      </c>
      <c r="E600" s="7" t="s">
        <v>2896</v>
      </c>
      <c r="F600" s="7" t="s">
        <v>2897</v>
      </c>
      <c r="G600" s="7" t="s">
        <v>2898</v>
      </c>
      <c r="H600" s="7" t="s">
        <v>4180</v>
      </c>
      <c r="I600" s="100">
        <f>98.8/1000</f>
        <v>9.8799999999999999E-2</v>
      </c>
      <c r="J600" s="100">
        <f t="shared" si="100"/>
        <v>98.8</v>
      </c>
      <c r="K600" s="100">
        <f t="shared" si="101"/>
        <v>1.9947569445876281</v>
      </c>
      <c r="L600" s="73" t="s">
        <v>1517</v>
      </c>
      <c r="M600" s="7" t="s">
        <v>2899</v>
      </c>
      <c r="N600" s="7" t="s">
        <v>1504</v>
      </c>
      <c r="O600" s="7" t="s">
        <v>1494</v>
      </c>
      <c r="P600" s="108" t="s">
        <v>1492</v>
      </c>
      <c r="Q600" s="7" t="s">
        <v>2900</v>
      </c>
      <c r="R600" s="7">
        <v>40.9</v>
      </c>
      <c r="S600" s="7">
        <f t="shared" si="106"/>
        <v>40.9</v>
      </c>
      <c r="T600" s="7">
        <v>48.2</v>
      </c>
      <c r="U600" s="7">
        <v>1</v>
      </c>
      <c r="V600" s="7">
        <v>21</v>
      </c>
      <c r="W600" s="7">
        <f t="shared" si="105"/>
        <v>1.3222192947339193</v>
      </c>
      <c r="X600" s="7" t="s">
        <v>1779</v>
      </c>
      <c r="Y600" s="7" t="s">
        <v>1781</v>
      </c>
      <c r="Z600" s="7">
        <v>8</v>
      </c>
      <c r="AA600" s="7">
        <v>12</v>
      </c>
      <c r="AB600" s="108">
        <v>4</v>
      </c>
      <c r="AC600" s="108">
        <v>0.19</v>
      </c>
      <c r="AD600" s="7">
        <v>7</v>
      </c>
      <c r="AE600" s="7"/>
      <c r="AF600" s="7"/>
      <c r="AG600" s="7"/>
      <c r="AH600" s="7"/>
      <c r="AI600" s="7"/>
      <c r="AJ600" s="7"/>
      <c r="AK600" s="108">
        <v>5.56</v>
      </c>
      <c r="AL600" s="108">
        <v>0.24</v>
      </c>
      <c r="AM600" s="7">
        <v>6</v>
      </c>
      <c r="AN600" s="7"/>
      <c r="AO600" s="7"/>
      <c r="AP600" s="7"/>
      <c r="AQ600" s="7"/>
      <c r="AR600" s="7"/>
      <c r="AS600" s="7"/>
      <c r="AT600" s="184"/>
      <c r="AU600" s="7"/>
      <c r="AV600" s="7"/>
      <c r="AW600" s="7"/>
      <c r="AX600" s="7" t="s">
        <v>2901</v>
      </c>
      <c r="AY600" s="7" t="s">
        <v>1488</v>
      </c>
    </row>
    <row r="601" spans="1:51">
      <c r="A601" s="7" t="s">
        <v>33</v>
      </c>
      <c r="B601" s="7" t="s">
        <v>34</v>
      </c>
      <c r="C601" s="7" t="s">
        <v>1621</v>
      </c>
      <c r="D601" s="7" t="s">
        <v>2878</v>
      </c>
      <c r="E601" s="7" t="s">
        <v>1751</v>
      </c>
      <c r="F601" s="7" t="s">
        <v>2902</v>
      </c>
      <c r="G601" s="7" t="s">
        <v>2903</v>
      </c>
      <c r="H601" s="7" t="s">
        <v>4180</v>
      </c>
      <c r="I601" s="100">
        <f>3.6/1000</f>
        <v>3.5999999999999999E-3</v>
      </c>
      <c r="J601" s="100">
        <f t="shared" si="100"/>
        <v>3.6</v>
      </c>
      <c r="K601" s="100">
        <f t="shared" si="101"/>
        <v>0.55630250076728727</v>
      </c>
      <c r="L601" s="73" t="s">
        <v>1502</v>
      </c>
      <c r="M601" s="7" t="s">
        <v>2884</v>
      </c>
      <c r="N601" s="7" t="s">
        <v>1504</v>
      </c>
      <c r="O601" s="7" t="s">
        <v>1505</v>
      </c>
      <c r="P601" s="108" t="s">
        <v>1492</v>
      </c>
      <c r="Q601" s="7" t="s">
        <v>2904</v>
      </c>
      <c r="R601" s="7">
        <v>42.9</v>
      </c>
      <c r="S601" s="7">
        <f t="shared" si="106"/>
        <v>42.9</v>
      </c>
      <c r="T601" s="7">
        <v>70.849999999999994</v>
      </c>
      <c r="U601" s="7">
        <v>1</v>
      </c>
      <c r="V601" s="7">
        <v>21</v>
      </c>
      <c r="W601" s="7">
        <f t="shared" si="105"/>
        <v>1.3222192947339193</v>
      </c>
      <c r="X601" s="7" t="s">
        <v>2131</v>
      </c>
      <c r="Y601" s="7" t="s">
        <v>2210</v>
      </c>
      <c r="Z601" s="7">
        <v>5</v>
      </c>
      <c r="AA601" s="7">
        <v>25</v>
      </c>
      <c r="AB601" s="7">
        <v>93.31</v>
      </c>
      <c r="AC601" s="7">
        <v>5.83</v>
      </c>
      <c r="AD601" s="7">
        <v>8</v>
      </c>
      <c r="AE601" s="7"/>
      <c r="AF601" s="7"/>
      <c r="AG601" s="7"/>
      <c r="AH601" s="7"/>
      <c r="AI601" s="7"/>
      <c r="AJ601" s="7"/>
      <c r="AK601" s="108">
        <v>89.03</v>
      </c>
      <c r="AL601" s="108">
        <v>5.13</v>
      </c>
      <c r="AM601" s="7">
        <v>8</v>
      </c>
      <c r="AN601" s="7"/>
      <c r="AO601" s="7"/>
      <c r="AP601" s="7"/>
      <c r="AQ601" s="7"/>
      <c r="AR601" s="7"/>
      <c r="AS601" s="7"/>
      <c r="AT601" s="184"/>
      <c r="AU601" s="7"/>
      <c r="AV601" s="7"/>
      <c r="AW601" s="7"/>
      <c r="AX601" s="7" t="s">
        <v>2884</v>
      </c>
      <c r="AY601" s="7" t="s">
        <v>1488</v>
      </c>
    </row>
    <row r="602" spans="1:51">
      <c r="A602" s="7" t="s">
        <v>33</v>
      </c>
      <c r="B602" s="7" t="s">
        <v>34</v>
      </c>
      <c r="C602" s="7" t="s">
        <v>1621</v>
      </c>
      <c r="D602" s="7" t="s">
        <v>2878</v>
      </c>
      <c r="E602" s="7" t="s">
        <v>1751</v>
      </c>
      <c r="F602" s="7" t="s">
        <v>2902</v>
      </c>
      <c r="G602" s="7" t="s">
        <v>2903</v>
      </c>
      <c r="H602" s="7" t="s">
        <v>4180</v>
      </c>
      <c r="I602" s="100">
        <f>3.6/1000</f>
        <v>3.5999999999999999E-3</v>
      </c>
      <c r="J602" s="100">
        <f t="shared" si="100"/>
        <v>3.6</v>
      </c>
      <c r="K602" s="100">
        <f t="shared" si="101"/>
        <v>0.55630250076728727</v>
      </c>
      <c r="L602" s="73" t="s">
        <v>1502</v>
      </c>
      <c r="M602" s="7" t="s">
        <v>2884</v>
      </c>
      <c r="N602" s="7" t="s">
        <v>1504</v>
      </c>
      <c r="O602" s="7" t="s">
        <v>1505</v>
      </c>
      <c r="P602" s="108" t="s">
        <v>1492</v>
      </c>
      <c r="Q602" s="7" t="s">
        <v>2904</v>
      </c>
      <c r="R602" s="7">
        <v>42.9</v>
      </c>
      <c r="S602" s="7">
        <f t="shared" si="106"/>
        <v>42.9</v>
      </c>
      <c r="T602" s="7">
        <v>70.849999999999994</v>
      </c>
      <c r="U602" s="7">
        <v>1</v>
      </c>
      <c r="V602" s="7">
        <v>21</v>
      </c>
      <c r="W602" s="7">
        <f t="shared" si="105"/>
        <v>1.3222192947339193</v>
      </c>
      <c r="X602" s="7" t="s">
        <v>2351</v>
      </c>
      <c r="Y602" s="7" t="s">
        <v>2210</v>
      </c>
      <c r="Z602" s="7">
        <v>5</v>
      </c>
      <c r="AA602" s="7">
        <v>25</v>
      </c>
      <c r="AB602" s="7">
        <v>41.45</v>
      </c>
      <c r="AC602" s="7">
        <v>3.61</v>
      </c>
      <c r="AD602" s="7">
        <v>8</v>
      </c>
      <c r="AE602" s="7"/>
      <c r="AF602" s="7"/>
      <c r="AG602" s="7"/>
      <c r="AH602" s="7"/>
      <c r="AI602" s="7"/>
      <c r="AJ602" s="7"/>
      <c r="AK602" s="108">
        <v>26.93</v>
      </c>
      <c r="AL602" s="108">
        <v>2.58</v>
      </c>
      <c r="AM602" s="7">
        <v>8</v>
      </c>
      <c r="AN602" s="7"/>
      <c r="AO602" s="7"/>
      <c r="AP602" s="7"/>
      <c r="AQ602" s="7"/>
      <c r="AR602" s="7"/>
      <c r="AS602" s="7"/>
      <c r="AT602" s="184"/>
      <c r="AU602" s="7"/>
      <c r="AV602" s="7"/>
      <c r="AW602" s="7"/>
      <c r="AX602" s="7" t="s">
        <v>2905</v>
      </c>
      <c r="AY602" s="7" t="s">
        <v>1488</v>
      </c>
    </row>
    <row r="603" spans="1:51">
      <c r="A603" s="7" t="s">
        <v>33</v>
      </c>
      <c r="B603" s="7" t="s">
        <v>34</v>
      </c>
      <c r="C603" s="7" t="s">
        <v>1621</v>
      </c>
      <c r="D603" s="7" t="s">
        <v>2878</v>
      </c>
      <c r="E603" s="7" t="s">
        <v>1751</v>
      </c>
      <c r="F603" s="7" t="s">
        <v>2902</v>
      </c>
      <c r="G603" s="7" t="s">
        <v>2903</v>
      </c>
      <c r="H603" s="7" t="s">
        <v>4180</v>
      </c>
      <c r="I603" s="100">
        <f>3.6/1000</f>
        <v>3.5999999999999999E-3</v>
      </c>
      <c r="J603" s="100">
        <f t="shared" si="100"/>
        <v>3.6</v>
      </c>
      <c r="K603" s="100">
        <f t="shared" si="101"/>
        <v>0.55630250076728727</v>
      </c>
      <c r="L603" s="73" t="s">
        <v>1502</v>
      </c>
      <c r="M603" s="7" t="s">
        <v>2884</v>
      </c>
      <c r="N603" s="7" t="s">
        <v>1504</v>
      </c>
      <c r="O603" s="7" t="s">
        <v>1505</v>
      </c>
      <c r="P603" s="108" t="s">
        <v>1492</v>
      </c>
      <c r="Q603" s="7" t="s">
        <v>2904</v>
      </c>
      <c r="R603" s="7">
        <v>42.9</v>
      </c>
      <c r="S603" s="7">
        <f t="shared" si="106"/>
        <v>42.9</v>
      </c>
      <c r="T603" s="7">
        <v>70.849999999999994</v>
      </c>
      <c r="U603" s="7">
        <v>1</v>
      </c>
      <c r="V603" s="7">
        <v>21</v>
      </c>
      <c r="W603" s="7">
        <f t="shared" si="105"/>
        <v>1.3222192947339193</v>
      </c>
      <c r="X603" s="7" t="s">
        <v>2284</v>
      </c>
      <c r="Y603" s="7" t="s">
        <v>2210</v>
      </c>
      <c r="Z603" s="7">
        <v>5</v>
      </c>
      <c r="AA603" s="7">
        <v>25</v>
      </c>
      <c r="AB603" s="7">
        <v>1.44</v>
      </c>
      <c r="AC603" s="7">
        <v>0.12</v>
      </c>
      <c r="AD603" s="7">
        <v>8</v>
      </c>
      <c r="AE603" s="7"/>
      <c r="AF603" s="7"/>
      <c r="AG603" s="7"/>
      <c r="AH603" s="7"/>
      <c r="AI603" s="7"/>
      <c r="AJ603" s="7"/>
      <c r="AK603" s="108">
        <v>0.86</v>
      </c>
      <c r="AL603" s="108">
        <v>0.08</v>
      </c>
      <c r="AM603" s="7">
        <v>8</v>
      </c>
      <c r="AN603" s="7"/>
      <c r="AO603" s="7"/>
      <c r="AP603" s="7"/>
      <c r="AQ603" s="7"/>
      <c r="AR603" s="7"/>
      <c r="AS603" s="7"/>
      <c r="AT603" s="184"/>
      <c r="AU603" s="7"/>
      <c r="AV603" s="7"/>
      <c r="AW603" s="7"/>
      <c r="AX603" s="7" t="s">
        <v>2906</v>
      </c>
      <c r="AY603" s="7" t="s">
        <v>1488</v>
      </c>
    </row>
    <row r="604" spans="1:51">
      <c r="A604" s="7" t="s">
        <v>33</v>
      </c>
      <c r="B604" s="7" t="s">
        <v>34</v>
      </c>
      <c r="C604" s="7" t="s">
        <v>1621</v>
      </c>
      <c r="D604" s="7" t="s">
        <v>2878</v>
      </c>
      <c r="E604" s="7" t="s">
        <v>1751</v>
      </c>
      <c r="F604" s="7" t="s">
        <v>2902</v>
      </c>
      <c r="G604" s="7" t="s">
        <v>2903</v>
      </c>
      <c r="H604" s="7" t="s">
        <v>4180</v>
      </c>
      <c r="I604" s="100">
        <f>5.39/1000</f>
        <v>5.3899999999999998E-3</v>
      </c>
      <c r="J604" s="100">
        <f t="shared" si="100"/>
        <v>5.39</v>
      </c>
      <c r="K604" s="100">
        <f t="shared" si="101"/>
        <v>0.73158876518673865</v>
      </c>
      <c r="L604" s="73" t="s">
        <v>1517</v>
      </c>
      <c r="M604" s="7" t="s">
        <v>2881</v>
      </c>
      <c r="N604" s="7" t="s">
        <v>1504</v>
      </c>
      <c r="O604" s="7" t="s">
        <v>1505</v>
      </c>
      <c r="P604" s="108" t="s">
        <v>1492</v>
      </c>
      <c r="Q604" s="7" t="s">
        <v>2904</v>
      </c>
      <c r="R604" s="7">
        <v>42.9</v>
      </c>
      <c r="S604" s="7">
        <f t="shared" si="106"/>
        <v>42.9</v>
      </c>
      <c r="T604" s="7">
        <v>70.849999999999994</v>
      </c>
      <c r="U604" s="7">
        <v>1</v>
      </c>
      <c r="V604" s="7">
        <v>21</v>
      </c>
      <c r="W604" s="7">
        <f t="shared" si="105"/>
        <v>1.3222192947339193</v>
      </c>
      <c r="X604" s="7" t="s">
        <v>1520</v>
      </c>
      <c r="Y604" s="7" t="s">
        <v>1521</v>
      </c>
      <c r="Z604" s="7">
        <v>10.4</v>
      </c>
      <c r="AA604" s="7">
        <v>28.7</v>
      </c>
      <c r="AB604" s="7">
        <v>5.8</v>
      </c>
      <c r="AC604" s="7">
        <v>0.3</v>
      </c>
      <c r="AD604" s="7">
        <v>6</v>
      </c>
      <c r="AE604" s="7"/>
      <c r="AF604" s="7"/>
      <c r="AG604" s="7"/>
      <c r="AH604" s="7"/>
      <c r="AI604" s="7"/>
      <c r="AJ604" s="7"/>
      <c r="AK604" s="108">
        <v>6.8</v>
      </c>
      <c r="AL604" s="108">
        <v>0.5</v>
      </c>
      <c r="AM604" s="7">
        <v>6</v>
      </c>
      <c r="AN604" s="7"/>
      <c r="AO604" s="7"/>
      <c r="AP604" s="7"/>
      <c r="AQ604" s="7"/>
      <c r="AR604" s="7"/>
      <c r="AS604" s="7"/>
      <c r="AT604" s="184"/>
      <c r="AU604" s="7"/>
      <c r="AV604" s="7"/>
      <c r="AW604" s="7"/>
      <c r="AX604" s="7" t="s">
        <v>2881</v>
      </c>
      <c r="AY604" s="7" t="s">
        <v>1488</v>
      </c>
    </row>
    <row r="605" spans="1:51">
      <c r="A605" s="7" t="s">
        <v>33</v>
      </c>
      <c r="B605" s="7" t="s">
        <v>34</v>
      </c>
      <c r="C605" s="7" t="s">
        <v>66</v>
      </c>
      <c r="D605" s="7" t="s">
        <v>67</v>
      </c>
      <c r="E605" s="7" t="s">
        <v>1616</v>
      </c>
      <c r="F605" s="7" t="s">
        <v>1611</v>
      </c>
      <c r="G605" s="7" t="s">
        <v>68</v>
      </c>
      <c r="H605" s="7" t="s">
        <v>4180</v>
      </c>
      <c r="I605" s="100">
        <f>AVERAGE(0.55, 0.41, 0.58, 0.52, 0.48, 0.54)/1000</f>
        <v>5.1333333333333331E-4</v>
      </c>
      <c r="J605" s="100">
        <f t="shared" si="100"/>
        <v>0.51333333333333331</v>
      </c>
      <c r="K605" s="100">
        <f t="shared" si="101"/>
        <v>-0.2896005338831994</v>
      </c>
      <c r="L605" s="73" t="s">
        <v>1502</v>
      </c>
      <c r="M605" s="7" t="s">
        <v>1617</v>
      </c>
      <c r="N605" s="7" t="s">
        <v>1538</v>
      </c>
      <c r="O605" s="7" t="s">
        <v>1494</v>
      </c>
      <c r="P605" s="108" t="s">
        <v>1492</v>
      </c>
      <c r="Q605" s="7" t="s">
        <v>1618</v>
      </c>
      <c r="R605" s="7">
        <v>43.2</v>
      </c>
      <c r="S605" s="7">
        <f t="shared" si="106"/>
        <v>43.2</v>
      </c>
      <c r="T605" s="7">
        <v>80</v>
      </c>
      <c r="U605" s="7">
        <v>1</v>
      </c>
      <c r="V605" s="7">
        <v>21</v>
      </c>
      <c r="W605" s="7">
        <f t="shared" si="105"/>
        <v>1.3222192947339193</v>
      </c>
      <c r="X605" s="7" t="s">
        <v>2284</v>
      </c>
      <c r="Y605" s="7" t="s">
        <v>2134</v>
      </c>
      <c r="Z605" s="7">
        <v>18</v>
      </c>
      <c r="AA605" s="7">
        <v>28</v>
      </c>
      <c r="AB605" s="7"/>
      <c r="AC605" s="7"/>
      <c r="AD605" s="7"/>
      <c r="AE605" s="108">
        <v>12.4</v>
      </c>
      <c r="AF605" s="108">
        <v>0.6</v>
      </c>
      <c r="AG605" s="108">
        <v>10</v>
      </c>
      <c r="AH605" s="7"/>
      <c r="AI605" s="7"/>
      <c r="AJ605" s="7"/>
      <c r="AK605" s="108">
        <v>8.3000000000000007</v>
      </c>
      <c r="AL605" s="108">
        <v>0.8</v>
      </c>
      <c r="AM605" s="108">
        <v>10</v>
      </c>
      <c r="AN605" s="7"/>
      <c r="AO605" s="7"/>
      <c r="AP605" s="7"/>
      <c r="AQ605" s="7"/>
      <c r="AR605" s="7"/>
      <c r="AS605" s="7"/>
      <c r="AT605" s="184"/>
      <c r="AU605" s="108"/>
      <c r="AV605" s="7"/>
      <c r="AW605" s="7"/>
      <c r="AX605" s="7" t="s">
        <v>1617</v>
      </c>
      <c r="AY605" s="7" t="s">
        <v>1488</v>
      </c>
    </row>
    <row r="606" spans="1:51">
      <c r="A606" s="7" t="s">
        <v>33</v>
      </c>
      <c r="B606" s="7" t="s">
        <v>34</v>
      </c>
      <c r="C606" s="7" t="s">
        <v>66</v>
      </c>
      <c r="D606" s="7" t="s">
        <v>67</v>
      </c>
      <c r="E606" s="7" t="s">
        <v>1616</v>
      </c>
      <c r="F606" s="7" t="s">
        <v>1611</v>
      </c>
      <c r="G606" s="7" t="s">
        <v>68</v>
      </c>
      <c r="H606" s="7" t="s">
        <v>4180</v>
      </c>
      <c r="I606" s="100">
        <f>AVERAGE(0.55, 0.41, 0.58, 0.52, 0.48, 0.54)/1000</f>
        <v>5.1333333333333331E-4</v>
      </c>
      <c r="J606" s="100">
        <f t="shared" si="100"/>
        <v>0.51333333333333331</v>
      </c>
      <c r="K606" s="100">
        <f t="shared" si="101"/>
        <v>-0.2896005338831994</v>
      </c>
      <c r="L606" s="73" t="s">
        <v>1502</v>
      </c>
      <c r="M606" s="7" t="s">
        <v>1617</v>
      </c>
      <c r="N606" s="7" t="s">
        <v>1538</v>
      </c>
      <c r="O606" s="7" t="s">
        <v>1494</v>
      </c>
      <c r="P606" s="108" t="s">
        <v>1492</v>
      </c>
      <c r="Q606" s="7" t="s">
        <v>1618</v>
      </c>
      <c r="R606" s="7">
        <v>43.2</v>
      </c>
      <c r="S606" s="7">
        <f t="shared" ref="S606:S637" si="107">ABS(R606)</f>
        <v>43.2</v>
      </c>
      <c r="T606" s="7">
        <v>80</v>
      </c>
      <c r="U606" s="7">
        <v>1</v>
      </c>
      <c r="V606" s="7">
        <v>21</v>
      </c>
      <c r="W606" s="7">
        <f t="shared" si="105"/>
        <v>1.3222192947339193</v>
      </c>
      <c r="X606" s="7" t="s">
        <v>2320</v>
      </c>
      <c r="Y606" s="7" t="s">
        <v>2134</v>
      </c>
      <c r="Z606" s="7">
        <v>18</v>
      </c>
      <c r="AA606" s="7">
        <v>28</v>
      </c>
      <c r="AB606" s="7"/>
      <c r="AC606" s="7"/>
      <c r="AD606" s="7"/>
      <c r="AE606" s="108">
        <v>6.05</v>
      </c>
      <c r="AF606" s="108">
        <v>0.4</v>
      </c>
      <c r="AG606" s="108">
        <v>10</v>
      </c>
      <c r="AH606" s="7"/>
      <c r="AI606" s="7"/>
      <c r="AJ606" s="7"/>
      <c r="AK606" s="108">
        <v>5.05</v>
      </c>
      <c r="AL606" s="108">
        <v>0.3</v>
      </c>
      <c r="AM606" s="108">
        <v>10</v>
      </c>
      <c r="AN606" s="7"/>
      <c r="AO606" s="7"/>
      <c r="AP606" s="7"/>
      <c r="AQ606" s="7"/>
      <c r="AR606" s="7"/>
      <c r="AS606" s="7"/>
      <c r="AT606" s="184"/>
      <c r="AU606" s="108"/>
      <c r="AV606" s="7"/>
      <c r="AW606" s="7"/>
      <c r="AX606" s="7" t="s">
        <v>2907</v>
      </c>
      <c r="AY606" s="7" t="s">
        <v>1488</v>
      </c>
    </row>
    <row r="607" spans="1:51">
      <c r="A607" s="7" t="s">
        <v>33</v>
      </c>
      <c r="B607" s="7" t="s">
        <v>34</v>
      </c>
      <c r="C607" s="7" t="s">
        <v>66</v>
      </c>
      <c r="D607" s="7" t="s">
        <v>67</v>
      </c>
      <c r="E607" s="7" t="s">
        <v>1616</v>
      </c>
      <c r="F607" s="7" t="s">
        <v>1611</v>
      </c>
      <c r="G607" s="7" t="s">
        <v>68</v>
      </c>
      <c r="H607" s="7" t="s">
        <v>4180</v>
      </c>
      <c r="I607" s="100">
        <f>AVERAGE(0.55, 0.41, 0.58, 0.52, 0.48, 0.54)/1000</f>
        <v>5.1333333333333331E-4</v>
      </c>
      <c r="J607" s="100">
        <f t="shared" si="100"/>
        <v>0.51333333333333331</v>
      </c>
      <c r="K607" s="100">
        <f t="shared" si="101"/>
        <v>-0.2896005338831994</v>
      </c>
      <c r="L607" s="73" t="s">
        <v>1502</v>
      </c>
      <c r="M607" s="7" t="s">
        <v>1617</v>
      </c>
      <c r="N607" s="7" t="s">
        <v>1538</v>
      </c>
      <c r="O607" s="7" t="s">
        <v>1494</v>
      </c>
      <c r="P607" s="108" t="s">
        <v>1492</v>
      </c>
      <c r="Q607" s="7" t="s">
        <v>1618</v>
      </c>
      <c r="R607" s="7">
        <v>43.2</v>
      </c>
      <c r="S607" s="7">
        <f t="shared" si="107"/>
        <v>43.2</v>
      </c>
      <c r="T607" s="7">
        <v>80</v>
      </c>
      <c r="U607" s="7">
        <v>1</v>
      </c>
      <c r="V607" s="7">
        <v>21</v>
      </c>
      <c r="W607" s="7">
        <f t="shared" si="105"/>
        <v>1.3222192947339193</v>
      </c>
      <c r="X607" s="7" t="s">
        <v>2251</v>
      </c>
      <c r="Y607" s="7" t="s">
        <v>2134</v>
      </c>
      <c r="Z607" s="7">
        <v>18</v>
      </c>
      <c r="AA607" s="7">
        <v>28</v>
      </c>
      <c r="AB607" s="7"/>
      <c r="AC607" s="7"/>
      <c r="AD607" s="7"/>
      <c r="AE607" s="108">
        <v>7.4</v>
      </c>
      <c r="AF607" s="108">
        <v>0.4</v>
      </c>
      <c r="AG607" s="108">
        <v>5</v>
      </c>
      <c r="AH607" s="7"/>
      <c r="AI607" s="7"/>
      <c r="AJ607" s="7"/>
      <c r="AK607" s="108">
        <v>6.25</v>
      </c>
      <c r="AL607" s="108">
        <v>0.2</v>
      </c>
      <c r="AM607" s="108">
        <v>5</v>
      </c>
      <c r="AN607" s="7"/>
      <c r="AO607" s="7"/>
      <c r="AP607" s="7"/>
      <c r="AQ607" s="7"/>
      <c r="AR607" s="7"/>
      <c r="AS607" s="7"/>
      <c r="AT607" s="184"/>
      <c r="AU607" s="108"/>
      <c r="AV607" s="7"/>
      <c r="AW607" s="7"/>
      <c r="AX607" s="7" t="s">
        <v>2908</v>
      </c>
      <c r="AY607" s="7" t="s">
        <v>1488</v>
      </c>
    </row>
    <row r="608" spans="1:51">
      <c r="A608" s="7" t="s">
        <v>33</v>
      </c>
      <c r="B608" s="7" t="s">
        <v>34</v>
      </c>
      <c r="C608" s="7" t="s">
        <v>66</v>
      </c>
      <c r="D608" s="7" t="s">
        <v>67</v>
      </c>
      <c r="E608" s="7" t="s">
        <v>1616</v>
      </c>
      <c r="F608" s="7" t="s">
        <v>1611</v>
      </c>
      <c r="G608" s="7" t="s">
        <v>68</v>
      </c>
      <c r="H608" s="7" t="s">
        <v>4180</v>
      </c>
      <c r="I608" s="100">
        <f>AVERAGE(0.55, 0.41, 0.58, 0.52, 0.48, 0.54)/1000</f>
        <v>5.1333333333333331E-4</v>
      </c>
      <c r="J608" s="100">
        <f t="shared" si="100"/>
        <v>0.51333333333333331</v>
      </c>
      <c r="K608" s="100">
        <f t="shared" si="101"/>
        <v>-0.2896005338831994</v>
      </c>
      <c r="L608" s="73" t="s">
        <v>1502</v>
      </c>
      <c r="M608" s="7" t="s">
        <v>1617</v>
      </c>
      <c r="N608" s="7" t="s">
        <v>1538</v>
      </c>
      <c r="O608" s="7" t="s">
        <v>1494</v>
      </c>
      <c r="P608" s="108" t="s">
        <v>1492</v>
      </c>
      <c r="Q608" s="7" t="s">
        <v>1618</v>
      </c>
      <c r="R608" s="7">
        <v>43.2</v>
      </c>
      <c r="S608" s="7">
        <f t="shared" si="107"/>
        <v>43.2</v>
      </c>
      <c r="T608" s="7">
        <v>80</v>
      </c>
      <c r="U608" s="7">
        <v>1</v>
      </c>
      <c r="V608" s="7">
        <v>21</v>
      </c>
      <c r="W608" s="7">
        <f t="shared" si="105"/>
        <v>1.3222192947339193</v>
      </c>
      <c r="X608" s="7" t="s">
        <v>2131</v>
      </c>
      <c r="Y608" s="7" t="s">
        <v>2134</v>
      </c>
      <c r="Z608" s="7">
        <v>18</v>
      </c>
      <c r="AA608" s="7">
        <v>28</v>
      </c>
      <c r="AB608" s="7"/>
      <c r="AC608" s="7"/>
      <c r="AD608" s="7"/>
      <c r="AE608" s="108">
        <v>180</v>
      </c>
      <c r="AF608" s="108">
        <v>5</v>
      </c>
      <c r="AG608" s="108">
        <v>10</v>
      </c>
      <c r="AH608" s="7"/>
      <c r="AI608" s="7"/>
      <c r="AJ608" s="7"/>
      <c r="AK608" s="108">
        <v>88</v>
      </c>
      <c r="AL608" s="108">
        <v>10</v>
      </c>
      <c r="AM608" s="108">
        <v>10</v>
      </c>
      <c r="AN608" s="7"/>
      <c r="AO608" s="7"/>
      <c r="AP608" s="7"/>
      <c r="AQ608" s="7"/>
      <c r="AR608" s="7"/>
      <c r="AS608" s="7"/>
      <c r="AT608" s="184"/>
      <c r="AU608" s="108"/>
      <c r="AV608" s="7"/>
      <c r="AW608" s="7"/>
      <c r="AX608" s="7" t="s">
        <v>2909</v>
      </c>
      <c r="AY608" s="7" t="s">
        <v>1488</v>
      </c>
    </row>
    <row r="609" spans="1:51">
      <c r="A609" s="7" t="s">
        <v>33</v>
      </c>
      <c r="B609" s="7" t="s">
        <v>34</v>
      </c>
      <c r="C609" s="7" t="s">
        <v>66</v>
      </c>
      <c r="D609" s="7" t="s">
        <v>67</v>
      </c>
      <c r="E609" s="7" t="s">
        <v>1616</v>
      </c>
      <c r="F609" s="7" t="s">
        <v>1611</v>
      </c>
      <c r="G609" s="7" t="s">
        <v>68</v>
      </c>
      <c r="H609" s="7" t="s">
        <v>4180</v>
      </c>
      <c r="I609" s="100">
        <f>AVERAGE(0.55, 0.41, 0.58, 0.52, 0.48, 0.54)/1000</f>
        <v>5.1333333333333331E-4</v>
      </c>
      <c r="J609" s="100">
        <f t="shared" si="100"/>
        <v>0.51333333333333331</v>
      </c>
      <c r="K609" s="100">
        <f t="shared" si="101"/>
        <v>-0.2896005338831994</v>
      </c>
      <c r="L609" s="73" t="s">
        <v>1502</v>
      </c>
      <c r="M609" s="7" t="s">
        <v>1617</v>
      </c>
      <c r="N609" s="7" t="s">
        <v>1538</v>
      </c>
      <c r="O609" s="7" t="s">
        <v>1494</v>
      </c>
      <c r="P609" s="108" t="s">
        <v>1492</v>
      </c>
      <c r="Q609" s="7" t="s">
        <v>1618</v>
      </c>
      <c r="R609" s="7">
        <v>43.2</v>
      </c>
      <c r="S609" s="7">
        <f t="shared" si="107"/>
        <v>43.2</v>
      </c>
      <c r="T609" s="7">
        <v>80</v>
      </c>
      <c r="U609" s="7">
        <v>1</v>
      </c>
      <c r="V609" s="7">
        <v>21</v>
      </c>
      <c r="W609" s="7">
        <f t="shared" si="105"/>
        <v>1.3222192947339193</v>
      </c>
      <c r="X609" s="7" t="s">
        <v>1703</v>
      </c>
      <c r="Y609" s="7" t="s">
        <v>2134</v>
      </c>
      <c r="Z609" s="7">
        <v>18</v>
      </c>
      <c r="AA609" s="7">
        <v>28</v>
      </c>
      <c r="AB609" s="7"/>
      <c r="AC609" s="7"/>
      <c r="AD609" s="7"/>
      <c r="AE609" s="108">
        <v>45</v>
      </c>
      <c r="AF609" s="108">
        <v>2</v>
      </c>
      <c r="AG609" s="108">
        <v>10</v>
      </c>
      <c r="AH609" s="7"/>
      <c r="AI609" s="7"/>
      <c r="AJ609" s="7"/>
      <c r="AK609" s="108">
        <v>34.5</v>
      </c>
      <c r="AL609" s="108">
        <v>4</v>
      </c>
      <c r="AM609" s="108">
        <v>10</v>
      </c>
      <c r="AN609" s="7"/>
      <c r="AO609" s="7"/>
      <c r="AP609" s="7"/>
      <c r="AQ609" s="7"/>
      <c r="AR609" s="7"/>
      <c r="AS609" s="7"/>
      <c r="AT609" s="184"/>
      <c r="AU609" s="108"/>
      <c r="AV609" s="7"/>
      <c r="AW609" s="7"/>
      <c r="AX609" s="7" t="s">
        <v>2910</v>
      </c>
      <c r="AY609" s="7" t="s">
        <v>1488</v>
      </c>
    </row>
    <row r="610" spans="1:51">
      <c r="A610" s="7" t="s">
        <v>33</v>
      </c>
      <c r="B610" s="7" t="s">
        <v>34</v>
      </c>
      <c r="C610" s="7" t="s">
        <v>66</v>
      </c>
      <c r="D610" s="7" t="s">
        <v>67</v>
      </c>
      <c r="E610" s="7" t="s">
        <v>2911</v>
      </c>
      <c r="F610" s="7" t="s">
        <v>2912</v>
      </c>
      <c r="G610" s="7" t="s">
        <v>2913</v>
      </c>
      <c r="H610" s="7" t="s">
        <v>4180</v>
      </c>
      <c r="I610" s="100">
        <f>AVERAGE(0.361,1.973)</f>
        <v>1.167</v>
      </c>
      <c r="J610" s="100">
        <f t="shared" si="100"/>
        <v>1167</v>
      </c>
      <c r="K610" s="100">
        <f t="shared" si="101"/>
        <v>3.0670708560453703</v>
      </c>
      <c r="L610" s="73" t="s">
        <v>1517</v>
      </c>
      <c r="M610" s="7" t="s">
        <v>2914</v>
      </c>
      <c r="N610" s="7" t="s">
        <v>1538</v>
      </c>
      <c r="O610" s="7" t="s">
        <v>1505</v>
      </c>
      <c r="P610" s="108" t="s">
        <v>1492</v>
      </c>
      <c r="Q610" s="7" t="s">
        <v>2915</v>
      </c>
      <c r="R610" s="7">
        <v>45.644167000000003</v>
      </c>
      <c r="S610" s="7">
        <f t="shared" si="107"/>
        <v>45.644167000000003</v>
      </c>
      <c r="T610" s="7">
        <v>-121.940556</v>
      </c>
      <c r="U610" s="7">
        <v>1</v>
      </c>
      <c r="V610" s="7">
        <v>21</v>
      </c>
      <c r="W610" s="7">
        <f t="shared" si="105"/>
        <v>1.3222192947339193</v>
      </c>
      <c r="X610" s="7" t="s">
        <v>1779</v>
      </c>
      <c r="Y610" s="7" t="s">
        <v>1781</v>
      </c>
      <c r="Z610" s="7">
        <v>9</v>
      </c>
      <c r="AA610" s="7">
        <v>15</v>
      </c>
      <c r="AB610" s="7">
        <v>24.3</v>
      </c>
      <c r="AC610" s="7">
        <v>2.2000000000000002</v>
      </c>
      <c r="AD610" s="7">
        <v>18</v>
      </c>
      <c r="AE610" s="7"/>
      <c r="AF610" s="7"/>
      <c r="AG610" s="7"/>
      <c r="AH610" s="7"/>
      <c r="AI610" s="7"/>
      <c r="AJ610" s="7"/>
      <c r="AK610" s="7">
        <v>49.1</v>
      </c>
      <c r="AL610" s="7">
        <v>6.6</v>
      </c>
      <c r="AM610" s="7">
        <v>16</v>
      </c>
      <c r="AN610" s="7"/>
      <c r="AO610" s="7"/>
      <c r="AP610" s="7"/>
      <c r="AQ610" s="7"/>
      <c r="AR610" s="7"/>
      <c r="AS610" s="7"/>
      <c r="AT610" s="184"/>
      <c r="AU610" s="7"/>
      <c r="AV610" s="7" t="s">
        <v>2916</v>
      </c>
      <c r="AW610" s="7"/>
      <c r="AX610" s="7" t="s">
        <v>2914</v>
      </c>
      <c r="AY610" s="7" t="s">
        <v>1488</v>
      </c>
    </row>
    <row r="611" spans="1:51">
      <c r="A611" s="7" t="s">
        <v>33</v>
      </c>
      <c r="B611" s="7" t="s">
        <v>34</v>
      </c>
      <c r="C611" s="7" t="s">
        <v>66</v>
      </c>
      <c r="D611" s="7" t="s">
        <v>67</v>
      </c>
      <c r="E611" s="7" t="s">
        <v>2911</v>
      </c>
      <c r="F611" s="7" t="s">
        <v>2912</v>
      </c>
      <c r="G611" s="7" t="s">
        <v>2913</v>
      </c>
      <c r="H611" s="7" t="s">
        <v>4180</v>
      </c>
      <c r="I611" s="100">
        <f>AVERAGE(0.361,1.973)</f>
        <v>1.167</v>
      </c>
      <c r="J611" s="100">
        <f t="shared" si="100"/>
        <v>1167</v>
      </c>
      <c r="K611" s="100">
        <f t="shared" si="101"/>
        <v>3.0670708560453703</v>
      </c>
      <c r="L611" s="73" t="s">
        <v>1517</v>
      </c>
      <c r="M611" s="7" t="s">
        <v>2914</v>
      </c>
      <c r="N611" s="7" t="s">
        <v>1538</v>
      </c>
      <c r="O611" s="7" t="s">
        <v>1505</v>
      </c>
      <c r="P611" s="108" t="s">
        <v>1492</v>
      </c>
      <c r="Q611" s="7" t="s">
        <v>2915</v>
      </c>
      <c r="R611" s="7">
        <v>45.644167000000003</v>
      </c>
      <c r="S611" s="7">
        <f t="shared" si="107"/>
        <v>45.644167000000003</v>
      </c>
      <c r="T611" s="7">
        <v>-121.940556</v>
      </c>
      <c r="U611" s="7">
        <v>1</v>
      </c>
      <c r="V611" s="7">
        <v>21</v>
      </c>
      <c r="W611" s="7">
        <f t="shared" si="105"/>
        <v>1.3222192947339193</v>
      </c>
      <c r="X611" s="7" t="s">
        <v>1779</v>
      </c>
      <c r="Y611" s="7" t="s">
        <v>1781</v>
      </c>
      <c r="Z611" s="7">
        <v>9</v>
      </c>
      <c r="AA611" s="7">
        <v>21</v>
      </c>
      <c r="AB611" s="7">
        <v>24.3</v>
      </c>
      <c r="AC611" s="7">
        <v>2.2000000000000002</v>
      </c>
      <c r="AD611" s="7">
        <v>18</v>
      </c>
      <c r="AE611" s="7"/>
      <c r="AF611" s="7"/>
      <c r="AG611" s="7"/>
      <c r="AH611" s="7"/>
      <c r="AI611" s="7"/>
      <c r="AJ611" s="7"/>
      <c r="AK611" s="7">
        <v>89.4</v>
      </c>
      <c r="AL611" s="7">
        <v>28.6</v>
      </c>
      <c r="AM611" s="7">
        <v>14</v>
      </c>
      <c r="AN611" s="7"/>
      <c r="AO611" s="7"/>
      <c r="AP611" s="7"/>
      <c r="AQ611" s="7"/>
      <c r="AR611" s="7"/>
      <c r="AS611" s="7"/>
      <c r="AT611" s="184"/>
      <c r="AU611" s="7"/>
      <c r="AV611" s="7" t="s">
        <v>2917</v>
      </c>
      <c r="AW611" s="7"/>
      <c r="AX611" s="7" t="s">
        <v>2914</v>
      </c>
      <c r="AY611" s="7" t="s">
        <v>1488</v>
      </c>
    </row>
    <row r="612" spans="1:51">
      <c r="A612" s="7" t="s">
        <v>33</v>
      </c>
      <c r="B612" s="7" t="s">
        <v>34</v>
      </c>
      <c r="C612" s="7" t="s">
        <v>66</v>
      </c>
      <c r="D612" s="7" t="s">
        <v>67</v>
      </c>
      <c r="E612" s="7" t="s">
        <v>2911</v>
      </c>
      <c r="F612" s="7" t="s">
        <v>2912</v>
      </c>
      <c r="G612" s="7" t="s">
        <v>2913</v>
      </c>
      <c r="H612" s="7" t="s">
        <v>4180</v>
      </c>
      <c r="I612" s="100">
        <f>AVERAGE(0.361,1.973)</f>
        <v>1.167</v>
      </c>
      <c r="J612" s="100">
        <f t="shared" si="100"/>
        <v>1167</v>
      </c>
      <c r="K612" s="100">
        <f t="shared" si="101"/>
        <v>3.0670708560453703</v>
      </c>
      <c r="L612" s="73" t="s">
        <v>1517</v>
      </c>
      <c r="M612" s="7" t="s">
        <v>2914</v>
      </c>
      <c r="N612" s="7" t="s">
        <v>1538</v>
      </c>
      <c r="O612" s="7" t="s">
        <v>1505</v>
      </c>
      <c r="P612" s="108" t="s">
        <v>1492</v>
      </c>
      <c r="Q612" s="7" t="s">
        <v>2915</v>
      </c>
      <c r="R612" s="7">
        <v>45.644167000000003</v>
      </c>
      <c r="S612" s="7">
        <f t="shared" si="107"/>
        <v>45.644167000000003</v>
      </c>
      <c r="T612" s="7">
        <v>-121.940556</v>
      </c>
      <c r="U612" s="7">
        <v>1</v>
      </c>
      <c r="V612" s="7">
        <v>21</v>
      </c>
      <c r="W612" s="7">
        <f t="shared" si="105"/>
        <v>1.3222192947339193</v>
      </c>
      <c r="X612" s="7" t="s">
        <v>1779</v>
      </c>
      <c r="Y612" s="7" t="s">
        <v>1781</v>
      </c>
      <c r="Z612" s="7">
        <v>9</v>
      </c>
      <c r="AA612" s="7">
        <v>18</v>
      </c>
      <c r="AB612" s="7">
        <v>24.3</v>
      </c>
      <c r="AC612" s="7">
        <v>2.2000000000000002</v>
      </c>
      <c r="AD612" s="7">
        <v>18</v>
      </c>
      <c r="AE612" s="7"/>
      <c r="AF612" s="7"/>
      <c r="AG612" s="7"/>
      <c r="AH612" s="7"/>
      <c r="AI612" s="7"/>
      <c r="AJ612" s="7"/>
      <c r="AK612" s="7">
        <v>75</v>
      </c>
      <c r="AL612" s="7">
        <v>8.6999999999999993</v>
      </c>
      <c r="AM612" s="7">
        <v>16</v>
      </c>
      <c r="AN612" s="7"/>
      <c r="AO612" s="7"/>
      <c r="AP612" s="7"/>
      <c r="AQ612" s="7"/>
      <c r="AR612" s="7"/>
      <c r="AS612" s="7"/>
      <c r="AT612" s="184"/>
      <c r="AU612" s="7"/>
      <c r="AV612" s="7" t="s">
        <v>2918</v>
      </c>
      <c r="AW612" s="7"/>
      <c r="AX612" s="7" t="s">
        <v>2914</v>
      </c>
      <c r="AY612" s="7" t="s">
        <v>1488</v>
      </c>
    </row>
    <row r="613" spans="1:51">
      <c r="A613" s="7" t="s">
        <v>33</v>
      </c>
      <c r="B613" s="7" t="s">
        <v>34</v>
      </c>
      <c r="C613" s="7" t="s">
        <v>61</v>
      </c>
      <c r="D613" s="7" t="s">
        <v>62</v>
      </c>
      <c r="E613" s="7" t="s">
        <v>1732</v>
      </c>
      <c r="F613" s="7" t="s">
        <v>2919</v>
      </c>
      <c r="G613" s="7" t="s">
        <v>2920</v>
      </c>
      <c r="H613" s="7" t="s">
        <v>4180</v>
      </c>
      <c r="I613" s="100">
        <f>550/1000</f>
        <v>0.55000000000000004</v>
      </c>
      <c r="J613" s="100">
        <f t="shared" si="100"/>
        <v>550</v>
      </c>
      <c r="K613" s="100">
        <f t="shared" si="101"/>
        <v>2.7403626894942437</v>
      </c>
      <c r="L613" s="73" t="s">
        <v>1517</v>
      </c>
      <c r="M613" s="7" t="s">
        <v>2921</v>
      </c>
      <c r="N613" s="7" t="s">
        <v>1538</v>
      </c>
      <c r="O613" s="7" t="s">
        <v>1494</v>
      </c>
      <c r="P613" s="108" t="s">
        <v>1492</v>
      </c>
      <c r="Q613" s="7" t="s">
        <v>2922</v>
      </c>
      <c r="R613" s="7">
        <v>49.05</v>
      </c>
      <c r="S613" s="7">
        <f t="shared" si="107"/>
        <v>49.05</v>
      </c>
      <c r="T613" s="7">
        <v>122.3</v>
      </c>
      <c r="U613" s="7">
        <v>1</v>
      </c>
      <c r="V613" s="7">
        <v>21</v>
      </c>
      <c r="W613" s="7">
        <f t="shared" si="105"/>
        <v>1.3222192947339193</v>
      </c>
      <c r="X613" s="7" t="s">
        <v>1520</v>
      </c>
      <c r="Y613" s="7" t="s">
        <v>1521</v>
      </c>
      <c r="Z613" s="7">
        <v>7</v>
      </c>
      <c r="AA613" s="7">
        <v>14</v>
      </c>
      <c r="AB613" s="108">
        <v>2.96</v>
      </c>
      <c r="AC613" s="108">
        <v>0.69</v>
      </c>
      <c r="AD613" s="108">
        <v>3</v>
      </c>
      <c r="AE613" s="7"/>
      <c r="AF613" s="7"/>
      <c r="AG613" s="7"/>
      <c r="AH613" s="7"/>
      <c r="AI613" s="7"/>
      <c r="AJ613" s="7"/>
      <c r="AK613" s="108">
        <v>4.8099999999999996</v>
      </c>
      <c r="AL613" s="108">
        <v>0.22</v>
      </c>
      <c r="AM613" s="108">
        <v>4</v>
      </c>
      <c r="AN613" s="7"/>
      <c r="AO613" s="7"/>
      <c r="AP613" s="7"/>
      <c r="AQ613" s="7"/>
      <c r="AR613" s="7"/>
      <c r="AS613" s="7"/>
      <c r="AT613" s="184"/>
      <c r="AU613" s="108"/>
      <c r="AV613" s="7"/>
      <c r="AW613" s="7"/>
      <c r="AX613" s="7" t="s">
        <v>2921</v>
      </c>
      <c r="AY613" s="7" t="s">
        <v>1488</v>
      </c>
    </row>
    <row r="614" spans="1:51">
      <c r="A614" s="7" t="s">
        <v>33</v>
      </c>
      <c r="B614" s="7" t="s">
        <v>34</v>
      </c>
      <c r="C614" s="7" t="s">
        <v>1621</v>
      </c>
      <c r="D614" s="7" t="s">
        <v>2878</v>
      </c>
      <c r="E614" s="7" t="s">
        <v>1751</v>
      </c>
      <c r="F614" s="7" t="s">
        <v>2879</v>
      </c>
      <c r="G614" s="7" t="s">
        <v>2880</v>
      </c>
      <c r="H614" s="7" t="s">
        <v>4180</v>
      </c>
      <c r="I614" s="100">
        <f>(AVERAGE(3.3,8.4)/1000)</f>
        <v>5.8499999999999993E-3</v>
      </c>
      <c r="J614" s="100">
        <f t="shared" si="100"/>
        <v>5.85</v>
      </c>
      <c r="K614" s="100">
        <f t="shared" si="101"/>
        <v>0.76715586608218045</v>
      </c>
      <c r="L614" s="73" t="s">
        <v>1517</v>
      </c>
      <c r="M614" s="7" t="s">
        <v>2923</v>
      </c>
      <c r="N614" s="7" t="s">
        <v>1504</v>
      </c>
      <c r="O614" s="7" t="s">
        <v>1505</v>
      </c>
      <c r="P614" s="108" t="s">
        <v>1492</v>
      </c>
      <c r="Q614" s="7" t="s">
        <v>2885</v>
      </c>
      <c r="R614" s="7">
        <v>34.700000000000003</v>
      </c>
      <c r="S614" s="7">
        <f t="shared" si="107"/>
        <v>34.700000000000003</v>
      </c>
      <c r="T614" s="7">
        <v>76.75</v>
      </c>
      <c r="U614" s="7">
        <v>1</v>
      </c>
      <c r="V614" s="7">
        <v>28</v>
      </c>
      <c r="W614" s="7">
        <f t="shared" si="105"/>
        <v>1.4471580313422192</v>
      </c>
      <c r="X614" s="7" t="s">
        <v>1779</v>
      </c>
      <c r="Y614" s="7" t="s">
        <v>1781</v>
      </c>
      <c r="Z614" s="7">
        <v>5</v>
      </c>
      <c r="AA614" s="7">
        <v>30</v>
      </c>
      <c r="AB614" s="108">
        <v>1.5</v>
      </c>
      <c r="AC614" s="108">
        <v>0.5</v>
      </c>
      <c r="AD614" s="7">
        <v>6</v>
      </c>
      <c r="AE614" s="7"/>
      <c r="AF614" s="7"/>
      <c r="AG614" s="7"/>
      <c r="AH614" s="7"/>
      <c r="AI614" s="7"/>
      <c r="AJ614" s="7"/>
      <c r="AK614" s="108">
        <v>23</v>
      </c>
      <c r="AL614" s="108">
        <v>2.5</v>
      </c>
      <c r="AM614" s="7">
        <v>6</v>
      </c>
      <c r="AN614" s="7"/>
      <c r="AO614" s="7"/>
      <c r="AP614" s="7"/>
      <c r="AQ614" s="7"/>
      <c r="AR614" s="7"/>
      <c r="AS614" s="7"/>
      <c r="AT614" s="184"/>
      <c r="AU614" s="7"/>
      <c r="AV614" s="7"/>
      <c r="AW614" s="7"/>
      <c r="AX614" s="7" t="s">
        <v>2924</v>
      </c>
      <c r="AY614" s="7" t="s">
        <v>1488</v>
      </c>
    </row>
    <row r="615" spans="1:51">
      <c r="A615" s="7" t="s">
        <v>33</v>
      </c>
      <c r="B615" s="7" t="s">
        <v>34</v>
      </c>
      <c r="C615" s="7" t="s">
        <v>1621</v>
      </c>
      <c r="D615" s="7" t="s">
        <v>2878</v>
      </c>
      <c r="E615" s="7" t="s">
        <v>1751</v>
      </c>
      <c r="F615" s="7" t="s">
        <v>2879</v>
      </c>
      <c r="G615" s="7" t="s">
        <v>2880</v>
      </c>
      <c r="H615" s="7" t="s">
        <v>4180</v>
      </c>
      <c r="I615" s="100">
        <f>(AVERAGE(3.3,8.4)/1000)</f>
        <v>5.8499999999999993E-3</v>
      </c>
      <c r="J615" s="100">
        <f t="shared" si="100"/>
        <v>5.85</v>
      </c>
      <c r="K615" s="100">
        <f t="shared" si="101"/>
        <v>0.76715586608218045</v>
      </c>
      <c r="L615" s="73" t="s">
        <v>1517</v>
      </c>
      <c r="M615" s="7" t="s">
        <v>2923</v>
      </c>
      <c r="N615" s="7" t="s">
        <v>1504</v>
      </c>
      <c r="O615" s="7" t="s">
        <v>1505</v>
      </c>
      <c r="P615" s="108" t="s">
        <v>1492</v>
      </c>
      <c r="Q615" s="7" t="s">
        <v>2885</v>
      </c>
      <c r="R615" s="7">
        <v>34.700000000000003</v>
      </c>
      <c r="S615" s="7">
        <f t="shared" si="107"/>
        <v>34.700000000000003</v>
      </c>
      <c r="T615" s="7">
        <v>76.75</v>
      </c>
      <c r="U615" s="7">
        <v>1</v>
      </c>
      <c r="V615" s="7">
        <v>28</v>
      </c>
      <c r="W615" s="7">
        <f t="shared" si="105"/>
        <v>1.4471580313422192</v>
      </c>
      <c r="X615" s="7" t="s">
        <v>1779</v>
      </c>
      <c r="Y615" s="7" t="s">
        <v>1778</v>
      </c>
      <c r="Z615" s="7">
        <v>5</v>
      </c>
      <c r="AA615" s="7">
        <v>30</v>
      </c>
      <c r="AB615" s="108">
        <v>5</v>
      </c>
      <c r="AC615" s="108">
        <v>1</v>
      </c>
      <c r="AD615" s="7">
        <v>6</v>
      </c>
      <c r="AE615" s="7"/>
      <c r="AF615" s="7"/>
      <c r="AG615" s="7"/>
      <c r="AH615" s="7"/>
      <c r="AI615" s="7"/>
      <c r="AJ615" s="7"/>
      <c r="AK615" s="108">
        <v>37.5</v>
      </c>
      <c r="AL615" s="108">
        <v>5</v>
      </c>
      <c r="AM615" s="7">
        <v>6</v>
      </c>
      <c r="AN615" s="7"/>
      <c r="AO615" s="7"/>
      <c r="AP615" s="7"/>
      <c r="AQ615" s="7"/>
      <c r="AR615" s="7"/>
      <c r="AS615" s="7"/>
      <c r="AT615" s="184"/>
      <c r="AU615" s="7"/>
      <c r="AV615" s="7"/>
      <c r="AW615" s="7"/>
      <c r="AX615" s="7" t="s">
        <v>2923</v>
      </c>
      <c r="AY615" s="7" t="s">
        <v>1488</v>
      </c>
    </row>
    <row r="616" spans="1:51">
      <c r="A616" s="7" t="s">
        <v>33</v>
      </c>
      <c r="B616" s="7" t="s">
        <v>34</v>
      </c>
      <c r="C616" s="7" t="s">
        <v>1621</v>
      </c>
      <c r="D616" s="7" t="s">
        <v>2878</v>
      </c>
      <c r="E616" s="7" t="s">
        <v>1751</v>
      </c>
      <c r="F616" s="7" t="s">
        <v>2902</v>
      </c>
      <c r="G616" s="7" t="s">
        <v>2903</v>
      </c>
      <c r="H616" s="7" t="s">
        <v>4180</v>
      </c>
      <c r="I616" s="100">
        <f>(AVERAGE(3.3,8.4)/1000)</f>
        <v>5.8499999999999993E-3</v>
      </c>
      <c r="J616" s="100">
        <f t="shared" si="100"/>
        <v>5.85</v>
      </c>
      <c r="K616" s="100">
        <f t="shared" si="101"/>
        <v>0.76715586608218045</v>
      </c>
      <c r="L616" s="73" t="s">
        <v>1517</v>
      </c>
      <c r="M616" s="7" t="s">
        <v>2923</v>
      </c>
      <c r="N616" s="7" t="s">
        <v>1504</v>
      </c>
      <c r="O616" s="7" t="s">
        <v>1505</v>
      </c>
      <c r="P616" s="108" t="s">
        <v>1492</v>
      </c>
      <c r="Q616" s="7" t="s">
        <v>2904</v>
      </c>
      <c r="R616" s="7">
        <v>42.9</v>
      </c>
      <c r="S616" s="7">
        <f t="shared" si="107"/>
        <v>42.9</v>
      </c>
      <c r="T616" s="7">
        <v>70.849999999999994</v>
      </c>
      <c r="U616" s="7">
        <v>1</v>
      </c>
      <c r="V616" s="7">
        <v>28</v>
      </c>
      <c r="W616" s="7">
        <f t="shared" si="105"/>
        <v>1.4471580313422192</v>
      </c>
      <c r="X616" s="7" t="s">
        <v>1779</v>
      </c>
      <c r="Y616" s="7" t="s">
        <v>1781</v>
      </c>
      <c r="Z616" s="7">
        <v>5</v>
      </c>
      <c r="AA616" s="7">
        <v>30</v>
      </c>
      <c r="AB616" s="108">
        <v>2.5</v>
      </c>
      <c r="AC616" s="108">
        <v>0.5</v>
      </c>
      <c r="AD616" s="7">
        <v>13</v>
      </c>
      <c r="AE616" s="7"/>
      <c r="AF616" s="7"/>
      <c r="AG616" s="7"/>
      <c r="AH616" s="7"/>
      <c r="AI616" s="7"/>
      <c r="AJ616" s="7"/>
      <c r="AK616" s="108">
        <v>24</v>
      </c>
      <c r="AL616" s="108">
        <v>3</v>
      </c>
      <c r="AM616" s="7">
        <v>10</v>
      </c>
      <c r="AN616" s="7"/>
      <c r="AO616" s="7"/>
      <c r="AP616" s="7"/>
      <c r="AQ616" s="7"/>
      <c r="AR616" s="7"/>
      <c r="AS616" s="7"/>
      <c r="AT616" s="184"/>
      <c r="AU616" s="7"/>
      <c r="AV616" s="7"/>
      <c r="AW616" s="7"/>
      <c r="AX616" s="7" t="s">
        <v>2925</v>
      </c>
      <c r="AY616" s="7" t="s">
        <v>1488</v>
      </c>
    </row>
    <row r="617" spans="1:51">
      <c r="A617" s="7" t="s">
        <v>33</v>
      </c>
      <c r="B617" s="7" t="s">
        <v>34</v>
      </c>
      <c r="C617" s="7" t="s">
        <v>1621</v>
      </c>
      <c r="D617" s="7" t="s">
        <v>2878</v>
      </c>
      <c r="E617" s="7" t="s">
        <v>1751</v>
      </c>
      <c r="F617" s="7" t="s">
        <v>2902</v>
      </c>
      <c r="G617" s="7" t="s">
        <v>2903</v>
      </c>
      <c r="H617" s="7" t="s">
        <v>4180</v>
      </c>
      <c r="I617" s="100">
        <f>(AVERAGE(3.3,8.4)/1000)</f>
        <v>5.8499999999999993E-3</v>
      </c>
      <c r="J617" s="100">
        <f t="shared" si="100"/>
        <v>5.85</v>
      </c>
      <c r="K617" s="100">
        <f t="shared" si="101"/>
        <v>0.76715586608218045</v>
      </c>
      <c r="L617" s="73" t="s">
        <v>1517</v>
      </c>
      <c r="M617" s="7" t="s">
        <v>2923</v>
      </c>
      <c r="N617" s="7" t="s">
        <v>1504</v>
      </c>
      <c r="O617" s="7" t="s">
        <v>1505</v>
      </c>
      <c r="P617" s="108" t="s">
        <v>1492</v>
      </c>
      <c r="Q617" s="7" t="s">
        <v>2904</v>
      </c>
      <c r="R617" s="7">
        <v>42.9</v>
      </c>
      <c r="S617" s="7">
        <f t="shared" si="107"/>
        <v>42.9</v>
      </c>
      <c r="T617" s="7">
        <v>70.849999999999994</v>
      </c>
      <c r="U617" s="7">
        <v>1</v>
      </c>
      <c r="V617" s="7">
        <v>28</v>
      </c>
      <c r="W617" s="7">
        <f t="shared" si="105"/>
        <v>1.4471580313422192</v>
      </c>
      <c r="X617" s="7" t="s">
        <v>1779</v>
      </c>
      <c r="Y617" s="7" t="s">
        <v>1778</v>
      </c>
      <c r="Z617" s="7">
        <v>5</v>
      </c>
      <c r="AA617" s="7">
        <v>30</v>
      </c>
      <c r="AB617" s="108">
        <v>7.5</v>
      </c>
      <c r="AC617" s="108">
        <v>1</v>
      </c>
      <c r="AD617" s="7">
        <v>13</v>
      </c>
      <c r="AE617" s="7"/>
      <c r="AF617" s="7"/>
      <c r="AG617" s="7"/>
      <c r="AH617" s="7"/>
      <c r="AI617" s="7"/>
      <c r="AJ617" s="7"/>
      <c r="AK617" s="108">
        <v>44</v>
      </c>
      <c r="AL617" s="108">
        <v>4</v>
      </c>
      <c r="AM617" s="7">
        <v>10</v>
      </c>
      <c r="AN617" s="7"/>
      <c r="AO617" s="7"/>
      <c r="AP617" s="7"/>
      <c r="AQ617" s="7"/>
      <c r="AR617" s="7"/>
      <c r="AS617" s="7"/>
      <c r="AT617" s="184"/>
      <c r="AU617" s="7"/>
      <c r="AV617" s="7"/>
      <c r="AW617" s="7"/>
      <c r="AX617" s="7" t="s">
        <v>2926</v>
      </c>
      <c r="AY617" s="7" t="s">
        <v>1488</v>
      </c>
    </row>
    <row r="618" spans="1:51">
      <c r="A618" s="7" t="s">
        <v>33</v>
      </c>
      <c r="B618" s="7" t="s">
        <v>34</v>
      </c>
      <c r="C618" s="7" t="s">
        <v>282</v>
      </c>
      <c r="D618" s="7" t="s">
        <v>1840</v>
      </c>
      <c r="E618" s="7" t="s">
        <v>1841</v>
      </c>
      <c r="F618" s="7" t="s">
        <v>1842</v>
      </c>
      <c r="G618" s="7" t="s">
        <v>1843</v>
      </c>
      <c r="H618" s="7" t="s">
        <v>4180</v>
      </c>
      <c r="I618" s="100">
        <f>46.1/1000</f>
        <v>4.6100000000000002E-2</v>
      </c>
      <c r="J618" s="100">
        <f t="shared" si="100"/>
        <v>46.1</v>
      </c>
      <c r="K618" s="100">
        <f t="shared" si="101"/>
        <v>1.6637009253896482</v>
      </c>
      <c r="L618" s="73" t="s">
        <v>1502</v>
      </c>
      <c r="M618" s="7" t="s">
        <v>2927</v>
      </c>
      <c r="N618" s="7" t="s">
        <v>1504</v>
      </c>
      <c r="O618" s="7" t="s">
        <v>1505</v>
      </c>
      <c r="P618" s="108" t="s">
        <v>1492</v>
      </c>
      <c r="Q618" s="7" t="s">
        <v>1519</v>
      </c>
      <c r="R618" s="7">
        <v>54.15</v>
      </c>
      <c r="S618" s="7">
        <f t="shared" si="107"/>
        <v>54.15</v>
      </c>
      <c r="T618" s="7">
        <v>7.9</v>
      </c>
      <c r="U618" s="7">
        <v>1</v>
      </c>
      <c r="V618" s="7">
        <v>28</v>
      </c>
      <c r="W618" s="7">
        <f t="shared" si="105"/>
        <v>1.4471580313422192</v>
      </c>
      <c r="X618" s="7" t="s">
        <v>2284</v>
      </c>
      <c r="Y618" s="7" t="s">
        <v>2144</v>
      </c>
      <c r="Z618" s="7">
        <v>3.5</v>
      </c>
      <c r="AA618" s="7">
        <v>10</v>
      </c>
      <c r="AB618" s="108">
        <v>1.23</v>
      </c>
      <c r="AC618" s="7">
        <v>0.1</v>
      </c>
      <c r="AD618" s="108">
        <v>5</v>
      </c>
      <c r="AE618" s="7"/>
      <c r="AF618" s="7"/>
      <c r="AG618" s="7"/>
      <c r="AH618" s="7"/>
      <c r="AI618" s="7"/>
      <c r="AJ618" s="7"/>
      <c r="AK618" s="108">
        <v>0.66</v>
      </c>
      <c r="AL618" s="108">
        <v>7.0000000000000007E-2</v>
      </c>
      <c r="AM618" s="108">
        <v>5</v>
      </c>
      <c r="AN618" s="7"/>
      <c r="AO618" s="7"/>
      <c r="AP618" s="7"/>
      <c r="AQ618" s="7"/>
      <c r="AR618" s="7"/>
      <c r="AS618" s="7"/>
      <c r="AT618" s="184"/>
      <c r="AU618" s="108"/>
      <c r="AV618" s="7"/>
      <c r="AW618" s="7"/>
      <c r="AX618" s="7" t="s">
        <v>2928</v>
      </c>
      <c r="AY618" s="7" t="s">
        <v>1488</v>
      </c>
    </row>
    <row r="619" spans="1:51">
      <c r="A619" s="7" t="s">
        <v>33</v>
      </c>
      <c r="B619" s="7" t="s">
        <v>34</v>
      </c>
      <c r="C619" s="7" t="s">
        <v>282</v>
      </c>
      <c r="D619" s="7" t="s">
        <v>1840</v>
      </c>
      <c r="E619" s="7" t="s">
        <v>1841</v>
      </c>
      <c r="F619" s="7" t="s">
        <v>1842</v>
      </c>
      <c r="G619" s="7" t="s">
        <v>1843</v>
      </c>
      <c r="H619" s="7" t="s">
        <v>4180</v>
      </c>
      <c r="I619" s="100">
        <f>46.1/1000</f>
        <v>4.6100000000000002E-2</v>
      </c>
      <c r="J619" s="100">
        <f t="shared" ref="J619:J664" si="108">I619*1000</f>
        <v>46.1</v>
      </c>
      <c r="K619" s="100">
        <f t="shared" ref="K619:K664" si="109">LOG(J619)</f>
        <v>1.6637009253896482</v>
      </c>
      <c r="L619" s="73" t="s">
        <v>1502</v>
      </c>
      <c r="M619" s="7" t="s">
        <v>2927</v>
      </c>
      <c r="N619" s="7" t="s">
        <v>1504</v>
      </c>
      <c r="O619" s="7" t="s">
        <v>1505</v>
      </c>
      <c r="P619" s="108" t="s">
        <v>1492</v>
      </c>
      <c r="Q619" s="7" t="s">
        <v>1519</v>
      </c>
      <c r="R619" s="7">
        <v>54.15</v>
      </c>
      <c r="S619" s="7">
        <f t="shared" si="107"/>
        <v>54.15</v>
      </c>
      <c r="T619" s="7">
        <v>7.9</v>
      </c>
      <c r="U619" s="7">
        <v>1</v>
      </c>
      <c r="V619" s="7">
        <v>28</v>
      </c>
      <c r="W619" s="7">
        <f t="shared" si="105"/>
        <v>1.4471580313422192</v>
      </c>
      <c r="X619" s="7" t="s">
        <v>2320</v>
      </c>
      <c r="Y619" s="7" t="s">
        <v>2144</v>
      </c>
      <c r="Z619" s="7">
        <v>3.5</v>
      </c>
      <c r="AA619" s="7">
        <v>10</v>
      </c>
      <c r="AB619" s="108">
        <v>6.25</v>
      </c>
      <c r="AC619" s="7">
        <v>0.85</v>
      </c>
      <c r="AD619" s="108">
        <v>5</v>
      </c>
      <c r="AE619" s="7"/>
      <c r="AF619" s="7"/>
      <c r="AG619" s="7"/>
      <c r="AH619" s="7"/>
      <c r="AI619" s="7"/>
      <c r="AJ619" s="7"/>
      <c r="AK619" s="108">
        <v>5.35</v>
      </c>
      <c r="AL619" s="108">
        <v>0.27</v>
      </c>
      <c r="AM619" s="108">
        <v>5</v>
      </c>
      <c r="AN619" s="7"/>
      <c r="AO619" s="7"/>
      <c r="AP619" s="7"/>
      <c r="AQ619" s="7"/>
      <c r="AR619" s="7"/>
      <c r="AS619" s="7"/>
      <c r="AT619" s="184"/>
      <c r="AU619" s="108"/>
      <c r="AV619" s="7"/>
      <c r="AW619" s="7"/>
      <c r="AX619" s="7" t="s">
        <v>2929</v>
      </c>
      <c r="AY619" s="7" t="s">
        <v>1488</v>
      </c>
    </row>
    <row r="620" spans="1:51">
      <c r="A620" s="7" t="s">
        <v>33</v>
      </c>
      <c r="B620" s="7" t="s">
        <v>34</v>
      </c>
      <c r="C620" s="7" t="s">
        <v>282</v>
      </c>
      <c r="D620" s="7" t="s">
        <v>1541</v>
      </c>
      <c r="E620" s="7" t="s">
        <v>1542</v>
      </c>
      <c r="F620" s="7" t="s">
        <v>1543</v>
      </c>
      <c r="G620" s="7" t="s">
        <v>1544</v>
      </c>
      <c r="H620" s="7" t="s">
        <v>4180</v>
      </c>
      <c r="I620" s="100">
        <f>93.3/1000</f>
        <v>9.3299999999999994E-2</v>
      </c>
      <c r="J620" s="100">
        <f t="shared" si="108"/>
        <v>93.3</v>
      </c>
      <c r="K620" s="100">
        <f t="shared" si="109"/>
        <v>1.9698816437464999</v>
      </c>
      <c r="L620" s="73" t="s">
        <v>1517</v>
      </c>
      <c r="M620" s="7" t="s">
        <v>1545</v>
      </c>
      <c r="N620" s="7" t="s">
        <v>1504</v>
      </c>
      <c r="O620" s="7" t="s">
        <v>1505</v>
      </c>
      <c r="P620" s="108" t="s">
        <v>1492</v>
      </c>
      <c r="Q620" s="7" t="s">
        <v>1546</v>
      </c>
      <c r="R620" s="7">
        <v>77.849999999999994</v>
      </c>
      <c r="S620" s="7">
        <f t="shared" si="107"/>
        <v>77.849999999999994</v>
      </c>
      <c r="T620" s="7">
        <v>166.75</v>
      </c>
      <c r="U620" s="7">
        <v>1</v>
      </c>
      <c r="V620" s="7">
        <v>28</v>
      </c>
      <c r="W620" s="7">
        <f t="shared" si="105"/>
        <v>1.4471580313422192</v>
      </c>
      <c r="X620" s="7" t="s">
        <v>1779</v>
      </c>
      <c r="Y620" s="7" t="s">
        <v>1781</v>
      </c>
      <c r="Z620" s="7">
        <v>-1</v>
      </c>
      <c r="AA620" s="7">
        <v>4</v>
      </c>
      <c r="AB620" s="108">
        <v>1.1200000000000001</v>
      </c>
      <c r="AC620" s="108">
        <v>0.11</v>
      </c>
      <c r="AD620" s="7">
        <v>8</v>
      </c>
      <c r="AE620" s="7"/>
      <c r="AF620" s="7"/>
      <c r="AG620" s="7"/>
      <c r="AH620" s="7"/>
      <c r="AI620" s="7"/>
      <c r="AJ620" s="7"/>
      <c r="AK620" s="108">
        <v>1.05</v>
      </c>
      <c r="AL620" s="108">
        <v>9.0999999999999998E-2</v>
      </c>
      <c r="AM620" s="108">
        <v>8</v>
      </c>
      <c r="AN620" s="7"/>
      <c r="AO620" s="7"/>
      <c r="AP620" s="7"/>
      <c r="AQ620" s="7"/>
      <c r="AR620" s="7"/>
      <c r="AS620" s="7"/>
      <c r="AT620" s="184"/>
      <c r="AU620" s="108"/>
      <c r="AV620" s="7"/>
      <c r="AW620" s="7"/>
      <c r="AX620" s="7" t="s">
        <v>2930</v>
      </c>
      <c r="AY620" s="7" t="s">
        <v>1488</v>
      </c>
    </row>
    <row r="621" spans="1:51">
      <c r="A621" s="7" t="s">
        <v>33</v>
      </c>
      <c r="B621" s="7" t="s">
        <v>34</v>
      </c>
      <c r="C621" s="7" t="s">
        <v>66</v>
      </c>
      <c r="D621" s="7" t="s">
        <v>67</v>
      </c>
      <c r="E621" s="7" t="s">
        <v>1610</v>
      </c>
      <c r="F621" s="7" t="s">
        <v>1611</v>
      </c>
      <c r="G621" s="7" t="s">
        <v>1612</v>
      </c>
      <c r="H621" s="7" t="s">
        <v>4180</v>
      </c>
      <c r="I621" s="100">
        <f>AVERAGE(0.55, 0.41, 0.58, 0.52, 0.48, 0.54)/1000</f>
        <v>5.1333333333333331E-4</v>
      </c>
      <c r="J621" s="100">
        <f t="shared" si="108"/>
        <v>0.51333333333333331</v>
      </c>
      <c r="K621" s="100">
        <f t="shared" si="109"/>
        <v>-0.2896005338831994</v>
      </c>
      <c r="L621" s="73" t="s">
        <v>1517</v>
      </c>
      <c r="M621" s="7" t="s">
        <v>1617</v>
      </c>
      <c r="N621" s="7" t="s">
        <v>1538</v>
      </c>
      <c r="O621" s="7" t="s">
        <v>1494</v>
      </c>
      <c r="P621" s="108" t="s">
        <v>1492</v>
      </c>
      <c r="Q621" s="7" t="s">
        <v>2931</v>
      </c>
      <c r="R621" s="7">
        <v>24.75</v>
      </c>
      <c r="S621" s="7">
        <f t="shared" si="107"/>
        <v>24.75</v>
      </c>
      <c r="T621" s="7">
        <v>90.4</v>
      </c>
      <c r="U621" s="7">
        <v>1</v>
      </c>
      <c r="V621" s="7">
        <v>29</v>
      </c>
      <c r="W621" s="7">
        <f t="shared" si="105"/>
        <v>1.4623979978989561</v>
      </c>
      <c r="X621" s="7" t="s">
        <v>1520</v>
      </c>
      <c r="Y621" s="7" t="s">
        <v>1521</v>
      </c>
      <c r="Z621" s="7">
        <v>16</v>
      </c>
      <c r="AA621" s="7">
        <v>34</v>
      </c>
      <c r="AB621" s="108">
        <v>12</v>
      </c>
      <c r="AC621" s="108">
        <v>0.1</v>
      </c>
      <c r="AD621" s="7">
        <v>8</v>
      </c>
      <c r="AE621" s="7"/>
      <c r="AF621" s="7"/>
      <c r="AG621" s="7"/>
      <c r="AH621" s="7"/>
      <c r="AI621" s="7"/>
      <c r="AJ621" s="7"/>
      <c r="AK621" s="108">
        <v>13.2</v>
      </c>
      <c r="AL621" s="108">
        <v>0.5</v>
      </c>
      <c r="AM621" s="108">
        <v>8</v>
      </c>
      <c r="AN621" s="7"/>
      <c r="AO621" s="7"/>
      <c r="AP621" s="7"/>
      <c r="AQ621" s="7"/>
      <c r="AR621" s="7"/>
      <c r="AS621" s="7"/>
      <c r="AT621" s="184"/>
      <c r="AU621" s="108"/>
      <c r="AV621" s="7" t="s">
        <v>2932</v>
      </c>
      <c r="AW621" s="7"/>
      <c r="AX621" s="7" t="s">
        <v>2933</v>
      </c>
      <c r="AY621" s="7" t="s">
        <v>1488</v>
      </c>
    </row>
    <row r="622" spans="1:51">
      <c r="A622" s="7" t="s">
        <v>33</v>
      </c>
      <c r="B622" s="7" t="s">
        <v>34</v>
      </c>
      <c r="C622" s="7" t="s">
        <v>66</v>
      </c>
      <c r="D622" s="7" t="s">
        <v>67</v>
      </c>
      <c r="E622" s="7" t="s">
        <v>1610</v>
      </c>
      <c r="F622" s="7" t="s">
        <v>1611</v>
      </c>
      <c r="G622" s="7" t="s">
        <v>1612</v>
      </c>
      <c r="H622" s="7" t="s">
        <v>4180</v>
      </c>
      <c r="I622" s="100">
        <f>AVERAGE(0.55, 0.41, 0.58, 0.52, 0.48, 0.54)/1000</f>
        <v>5.1333333333333331E-4</v>
      </c>
      <c r="J622" s="100">
        <f t="shared" si="108"/>
        <v>0.51333333333333331</v>
      </c>
      <c r="K622" s="100">
        <f t="shared" si="109"/>
        <v>-0.2896005338831994</v>
      </c>
      <c r="L622" s="73" t="s">
        <v>1517</v>
      </c>
      <c r="M622" s="7" t="s">
        <v>1617</v>
      </c>
      <c r="N622" s="7" t="s">
        <v>1538</v>
      </c>
      <c r="O622" s="7" t="s">
        <v>1494</v>
      </c>
      <c r="P622" s="108" t="s">
        <v>1492</v>
      </c>
      <c r="Q622" s="7" t="s">
        <v>2931</v>
      </c>
      <c r="R622" s="7">
        <v>24.75</v>
      </c>
      <c r="S622" s="7">
        <f t="shared" si="107"/>
        <v>24.75</v>
      </c>
      <c r="T622" s="7">
        <v>90.4</v>
      </c>
      <c r="U622" s="7">
        <v>1</v>
      </c>
      <c r="V622" s="7">
        <v>29</v>
      </c>
      <c r="W622" s="7">
        <f t="shared" si="105"/>
        <v>1.4623979978989561</v>
      </c>
      <c r="X622" s="7" t="s">
        <v>1520</v>
      </c>
      <c r="Y622" s="7" t="s">
        <v>1521</v>
      </c>
      <c r="Z622" s="7">
        <v>16</v>
      </c>
      <c r="AA622" s="7">
        <v>34</v>
      </c>
      <c r="AB622" s="108">
        <v>10.1</v>
      </c>
      <c r="AC622" s="108">
        <v>0.3</v>
      </c>
      <c r="AD622" s="7">
        <v>8</v>
      </c>
      <c r="AE622" s="7"/>
      <c r="AF622" s="7"/>
      <c r="AG622" s="7"/>
      <c r="AH622" s="7"/>
      <c r="AI622" s="7"/>
      <c r="AJ622" s="7"/>
      <c r="AK622" s="108">
        <v>16.5</v>
      </c>
      <c r="AL622" s="108">
        <v>0.5</v>
      </c>
      <c r="AM622" s="108">
        <v>8</v>
      </c>
      <c r="AN622" s="7"/>
      <c r="AO622" s="7"/>
      <c r="AP622" s="7"/>
      <c r="AQ622" s="7"/>
      <c r="AR622" s="7"/>
      <c r="AS622" s="7"/>
      <c r="AT622" s="184"/>
      <c r="AU622" s="108"/>
      <c r="AV622" s="7" t="s">
        <v>2934</v>
      </c>
      <c r="AW622" s="7"/>
      <c r="AX622" s="7" t="s">
        <v>2935</v>
      </c>
      <c r="AY622" s="7" t="s">
        <v>1488</v>
      </c>
    </row>
    <row r="623" spans="1:51">
      <c r="A623" s="7" t="s">
        <v>33</v>
      </c>
      <c r="B623" s="7" t="s">
        <v>34</v>
      </c>
      <c r="C623" s="7" t="s">
        <v>66</v>
      </c>
      <c r="D623" s="7" t="s">
        <v>67</v>
      </c>
      <c r="E623" s="7" t="s">
        <v>1610</v>
      </c>
      <c r="F623" s="7" t="s">
        <v>1611</v>
      </c>
      <c r="G623" s="7" t="s">
        <v>1612</v>
      </c>
      <c r="H623" s="7" t="s">
        <v>4180</v>
      </c>
      <c r="I623" s="100">
        <f>AVERAGE(0.55, 0.41, 0.58, 0.52, 0.48, 0.54)/1000</f>
        <v>5.1333333333333331E-4</v>
      </c>
      <c r="J623" s="100">
        <f t="shared" si="108"/>
        <v>0.51333333333333331</v>
      </c>
      <c r="K623" s="100">
        <f t="shared" si="109"/>
        <v>-0.2896005338831994</v>
      </c>
      <c r="L623" s="73" t="s">
        <v>1517</v>
      </c>
      <c r="M623" s="7" t="s">
        <v>1617</v>
      </c>
      <c r="N623" s="7" t="s">
        <v>1538</v>
      </c>
      <c r="O623" s="7" t="s">
        <v>1494</v>
      </c>
      <c r="P623" s="108" t="s">
        <v>1492</v>
      </c>
      <c r="Q623" s="7" t="s">
        <v>2931</v>
      </c>
      <c r="R623" s="7">
        <v>24.75</v>
      </c>
      <c r="S623" s="7">
        <f t="shared" si="107"/>
        <v>24.75</v>
      </c>
      <c r="T623" s="7">
        <v>90.4</v>
      </c>
      <c r="U623" s="7">
        <v>1</v>
      </c>
      <c r="V623" s="7">
        <v>29</v>
      </c>
      <c r="W623" s="7">
        <f t="shared" si="105"/>
        <v>1.4623979978989561</v>
      </c>
      <c r="X623" s="7" t="s">
        <v>1520</v>
      </c>
      <c r="Y623" s="7" t="s">
        <v>1521</v>
      </c>
      <c r="Z623" s="7">
        <v>16</v>
      </c>
      <c r="AA623" s="7">
        <v>34</v>
      </c>
      <c r="AB623" s="108">
        <v>12.2</v>
      </c>
      <c r="AC623" s="108">
        <v>0.5</v>
      </c>
      <c r="AD623" s="7">
        <v>8</v>
      </c>
      <c r="AE623" s="7"/>
      <c r="AF623" s="7"/>
      <c r="AG623" s="7"/>
      <c r="AH623" s="7"/>
      <c r="AI623" s="7"/>
      <c r="AJ623" s="7"/>
      <c r="AK623" s="108">
        <v>16.399999999999999</v>
      </c>
      <c r="AL623" s="108">
        <v>0.4</v>
      </c>
      <c r="AM623" s="108">
        <v>8</v>
      </c>
      <c r="AN623" s="7"/>
      <c r="AO623" s="7"/>
      <c r="AP623" s="7"/>
      <c r="AQ623" s="7"/>
      <c r="AR623" s="7"/>
      <c r="AS623" s="7"/>
      <c r="AT623" s="184"/>
      <c r="AU623" s="108"/>
      <c r="AV623" s="7"/>
      <c r="AW623" s="7"/>
      <c r="AX623" s="7" t="s">
        <v>2936</v>
      </c>
      <c r="AY623" s="7" t="s">
        <v>1488</v>
      </c>
    </row>
    <row r="624" spans="1:51">
      <c r="A624" s="7" t="s">
        <v>33</v>
      </c>
      <c r="B624" s="7" t="s">
        <v>34</v>
      </c>
      <c r="C624" s="7" t="s">
        <v>66</v>
      </c>
      <c r="D624" s="7" t="s">
        <v>67</v>
      </c>
      <c r="E624" s="7" t="s">
        <v>1909</v>
      </c>
      <c r="F624" s="7" t="s">
        <v>1910</v>
      </c>
      <c r="G624" s="7" t="s">
        <v>1911</v>
      </c>
      <c r="H624" s="7" t="s">
        <v>4180</v>
      </c>
      <c r="I624" s="100">
        <f>10/1000</f>
        <v>0.01</v>
      </c>
      <c r="J624" s="100">
        <f t="shared" si="108"/>
        <v>10</v>
      </c>
      <c r="K624" s="100">
        <f t="shared" si="109"/>
        <v>1</v>
      </c>
      <c r="L624" s="73" t="s">
        <v>1517</v>
      </c>
      <c r="M624" s="7" t="s">
        <v>2937</v>
      </c>
      <c r="N624" s="7" t="s">
        <v>1538</v>
      </c>
      <c r="O624" s="7" t="s">
        <v>1494</v>
      </c>
      <c r="P624" s="108" t="s">
        <v>1539</v>
      </c>
      <c r="Q624" s="7" t="s">
        <v>2938</v>
      </c>
      <c r="R624" s="7">
        <v>18.8</v>
      </c>
      <c r="S624" s="7">
        <f t="shared" si="107"/>
        <v>18.8</v>
      </c>
      <c r="T624" s="7">
        <v>73.599999999999994</v>
      </c>
      <c r="U624" s="7">
        <v>1</v>
      </c>
      <c r="V624" s="7">
        <v>30</v>
      </c>
      <c r="W624" s="7">
        <f t="shared" si="105"/>
        <v>1.4771212547196624</v>
      </c>
      <c r="X624" s="7" t="s">
        <v>1779</v>
      </c>
      <c r="Y624" s="7" t="s">
        <v>1781</v>
      </c>
      <c r="Z624" s="7">
        <v>26</v>
      </c>
      <c r="AA624" s="7">
        <v>36</v>
      </c>
      <c r="AB624" s="108">
        <v>1.8138502500000002</v>
      </c>
      <c r="AC624" s="108">
        <v>7.5030000000000001E-3</v>
      </c>
      <c r="AD624" s="7">
        <v>6</v>
      </c>
      <c r="AE624" s="108"/>
      <c r="AF624" s="108"/>
      <c r="AG624" s="7"/>
      <c r="AH624" s="7"/>
      <c r="AI624" s="7"/>
      <c r="AJ624" s="7"/>
      <c r="AK624" s="108">
        <v>2.9158533749999997</v>
      </c>
      <c r="AL624" s="108">
        <v>7.5030000000000001E-3</v>
      </c>
      <c r="AM624" s="7">
        <v>6</v>
      </c>
      <c r="AN624" s="7"/>
      <c r="AO624" s="7"/>
      <c r="AP624" s="7"/>
      <c r="AQ624" s="7"/>
      <c r="AR624" s="7"/>
      <c r="AS624" s="7"/>
      <c r="AT624" s="184"/>
      <c r="AU624" s="7"/>
      <c r="AV624" s="7"/>
      <c r="AW624" s="7"/>
      <c r="AX624" s="7" t="s">
        <v>2937</v>
      </c>
      <c r="AY624" s="7" t="s">
        <v>1488</v>
      </c>
    </row>
    <row r="625" spans="1:51">
      <c r="A625" s="7" t="s">
        <v>33</v>
      </c>
      <c r="B625" s="7" t="s">
        <v>34</v>
      </c>
      <c r="C625" s="7" t="s">
        <v>1834</v>
      </c>
      <c r="D625" s="7" t="s">
        <v>2939</v>
      </c>
      <c r="E625" s="7" t="s">
        <v>2940</v>
      </c>
      <c r="F625" s="7" t="s">
        <v>2941</v>
      </c>
      <c r="G625" s="7" t="s">
        <v>2942</v>
      </c>
      <c r="H625" s="7" t="s">
        <v>4180</v>
      </c>
      <c r="I625" s="100">
        <f>23/1000</f>
        <v>2.3E-2</v>
      </c>
      <c r="J625" s="100">
        <f t="shared" si="108"/>
        <v>23</v>
      </c>
      <c r="K625" s="100">
        <f t="shared" si="109"/>
        <v>1.3617278360175928</v>
      </c>
      <c r="L625" s="73" t="s">
        <v>1517</v>
      </c>
      <c r="M625" s="7" t="s">
        <v>2943</v>
      </c>
      <c r="N625" s="7" t="s">
        <v>1538</v>
      </c>
      <c r="O625" s="7" t="s">
        <v>1494</v>
      </c>
      <c r="P625" s="108" t="s">
        <v>1539</v>
      </c>
      <c r="Q625" s="7" t="s">
        <v>1897</v>
      </c>
      <c r="R625" s="7">
        <v>18.95</v>
      </c>
      <c r="S625" s="7">
        <f t="shared" si="107"/>
        <v>18.95</v>
      </c>
      <c r="T625" s="7">
        <v>72.8</v>
      </c>
      <c r="U625" s="7">
        <v>1</v>
      </c>
      <c r="V625" s="7">
        <v>30</v>
      </c>
      <c r="W625" s="7">
        <f t="shared" si="105"/>
        <v>1.4771212547196624</v>
      </c>
      <c r="X625" s="7" t="s">
        <v>1779</v>
      </c>
      <c r="Y625" s="7" t="s">
        <v>1781</v>
      </c>
      <c r="Z625" s="7">
        <v>15</v>
      </c>
      <c r="AA625" s="7">
        <v>36</v>
      </c>
      <c r="AB625" s="108">
        <v>2.0299999999999998</v>
      </c>
      <c r="AC625" s="108">
        <v>0.38</v>
      </c>
      <c r="AD625" s="7">
        <v>6</v>
      </c>
      <c r="AE625" s="7"/>
      <c r="AF625" s="7"/>
      <c r="AG625" s="7"/>
      <c r="AH625" s="7"/>
      <c r="AI625" s="7"/>
      <c r="AJ625" s="7"/>
      <c r="AK625" s="108">
        <v>7.5</v>
      </c>
      <c r="AL625" s="108">
        <v>0.47</v>
      </c>
      <c r="AM625" s="7">
        <v>6</v>
      </c>
      <c r="AN625" s="7"/>
      <c r="AO625" s="7"/>
      <c r="AP625" s="7"/>
      <c r="AQ625" s="7"/>
      <c r="AR625" s="7"/>
      <c r="AS625" s="7"/>
      <c r="AT625" s="184"/>
      <c r="AU625" s="7"/>
      <c r="AV625" s="7"/>
      <c r="AW625" s="7"/>
      <c r="AX625" s="7" t="s">
        <v>2943</v>
      </c>
      <c r="AY625" s="7" t="s">
        <v>1488</v>
      </c>
    </row>
    <row r="626" spans="1:51">
      <c r="A626" s="7" t="s">
        <v>23</v>
      </c>
      <c r="B626" s="7" t="s">
        <v>1713</v>
      </c>
      <c r="C626" s="7" t="s">
        <v>1698</v>
      </c>
      <c r="D626" s="7" t="s">
        <v>2043</v>
      </c>
      <c r="E626" s="7" t="s">
        <v>2944</v>
      </c>
      <c r="F626" s="7" t="s">
        <v>2945</v>
      </c>
      <c r="G626" s="7" t="s">
        <v>2946</v>
      </c>
      <c r="H626" s="7" t="s">
        <v>4185</v>
      </c>
      <c r="I626" s="100">
        <f>19/1000</f>
        <v>1.9E-2</v>
      </c>
      <c r="J626" s="100">
        <f t="shared" si="108"/>
        <v>19</v>
      </c>
      <c r="K626" s="100">
        <f t="shared" si="109"/>
        <v>1.2787536009528289</v>
      </c>
      <c r="L626" s="73" t="s">
        <v>1517</v>
      </c>
      <c r="M626" s="7" t="s">
        <v>2947</v>
      </c>
      <c r="N626" s="7" t="s">
        <v>1504</v>
      </c>
      <c r="O626" s="7" t="s">
        <v>1494</v>
      </c>
      <c r="P626" s="108" t="s">
        <v>1492</v>
      </c>
      <c r="Q626" s="7" t="s">
        <v>2948</v>
      </c>
      <c r="R626" s="7">
        <v>24.15</v>
      </c>
      <c r="S626" s="7">
        <f t="shared" si="107"/>
        <v>24.15</v>
      </c>
      <c r="T626" s="7">
        <v>110.3</v>
      </c>
      <c r="U626" s="7">
        <v>1</v>
      </c>
      <c r="V626" s="7">
        <v>30</v>
      </c>
      <c r="W626" s="7">
        <f t="shared" si="105"/>
        <v>1.4771212547196624</v>
      </c>
      <c r="X626" s="7" t="s">
        <v>1779</v>
      </c>
      <c r="Y626" s="7" t="s">
        <v>1781</v>
      </c>
      <c r="Z626" s="7">
        <v>20</v>
      </c>
      <c r="AA626" s="7">
        <v>32</v>
      </c>
      <c r="AB626" s="7">
        <v>1.25</v>
      </c>
      <c r="AC626" s="7"/>
      <c r="AD626" s="7">
        <v>20</v>
      </c>
      <c r="AE626" s="7"/>
      <c r="AF626" s="7"/>
      <c r="AG626" s="7"/>
      <c r="AH626" s="7"/>
      <c r="AI626" s="7"/>
      <c r="AJ626" s="7"/>
      <c r="AK626" s="108">
        <v>2.81</v>
      </c>
      <c r="AL626" s="7"/>
      <c r="AM626" s="7">
        <v>20</v>
      </c>
      <c r="AN626" s="7"/>
      <c r="AO626" s="7"/>
      <c r="AP626" s="7"/>
      <c r="AQ626" s="7"/>
      <c r="AR626" s="7"/>
      <c r="AS626" s="7"/>
      <c r="AT626" s="184"/>
      <c r="AU626" s="7"/>
      <c r="AV626" s="7"/>
      <c r="AW626" s="7"/>
      <c r="AX626" s="7" t="s">
        <v>2947</v>
      </c>
      <c r="AY626" s="7" t="s">
        <v>1488</v>
      </c>
    </row>
    <row r="627" spans="1:51">
      <c r="A627" s="7" t="s">
        <v>23</v>
      </c>
      <c r="B627" s="7" t="s">
        <v>1713</v>
      </c>
      <c r="C627" s="7" t="s">
        <v>1698</v>
      </c>
      <c r="D627" s="7" t="s">
        <v>2043</v>
      </c>
      <c r="E627" s="7" t="s">
        <v>2944</v>
      </c>
      <c r="F627" s="7" t="s">
        <v>2949</v>
      </c>
      <c r="G627" s="7" t="s">
        <v>2950</v>
      </c>
      <c r="H627" s="7" t="s">
        <v>4185</v>
      </c>
      <c r="I627" s="100">
        <f>14/1000</f>
        <v>1.4E-2</v>
      </c>
      <c r="J627" s="100">
        <f t="shared" si="108"/>
        <v>14</v>
      </c>
      <c r="K627" s="100">
        <f t="shared" si="109"/>
        <v>1.146128035678238</v>
      </c>
      <c r="L627" s="73" t="s">
        <v>1517</v>
      </c>
      <c r="M627" s="7" t="s">
        <v>2951</v>
      </c>
      <c r="N627" s="7" t="s">
        <v>1504</v>
      </c>
      <c r="O627" s="7" t="s">
        <v>1494</v>
      </c>
      <c r="P627" s="108" t="s">
        <v>1539</v>
      </c>
      <c r="Q627" s="7" t="s">
        <v>2952</v>
      </c>
      <c r="R627" s="7">
        <v>27.5</v>
      </c>
      <c r="S627" s="7">
        <f t="shared" si="107"/>
        <v>27.5</v>
      </c>
      <c r="T627" s="7">
        <v>109.9</v>
      </c>
      <c r="U627" s="7">
        <v>1</v>
      </c>
      <c r="V627" s="7">
        <v>30</v>
      </c>
      <c r="W627" s="7">
        <f t="shared" si="105"/>
        <v>1.4771212547196624</v>
      </c>
      <c r="X627" s="7" t="s">
        <v>1779</v>
      </c>
      <c r="Y627" s="7" t="s">
        <v>1781</v>
      </c>
      <c r="Z627" s="7">
        <v>23</v>
      </c>
      <c r="AA627" s="7">
        <v>33</v>
      </c>
      <c r="AB627" s="108">
        <v>334.5</v>
      </c>
      <c r="AC627" s="7"/>
      <c r="AD627" s="7">
        <v>20</v>
      </c>
      <c r="AE627" s="7"/>
      <c r="AF627" s="7"/>
      <c r="AG627" s="7"/>
      <c r="AH627" s="7"/>
      <c r="AI627" s="7"/>
      <c r="AJ627" s="7"/>
      <c r="AK627" s="108">
        <v>528.29999999999995</v>
      </c>
      <c r="AL627" s="7"/>
      <c r="AM627" s="108">
        <v>20</v>
      </c>
      <c r="AN627" s="7"/>
      <c r="AO627" s="7"/>
      <c r="AP627" s="7"/>
      <c r="AQ627" s="7"/>
      <c r="AR627" s="7"/>
      <c r="AS627" s="7"/>
      <c r="AT627" s="184"/>
      <c r="AU627" s="108"/>
      <c r="AV627" s="7" t="s">
        <v>2035</v>
      </c>
      <c r="AW627" s="7"/>
      <c r="AX627" s="7" t="s">
        <v>2953</v>
      </c>
      <c r="AY627" s="7" t="s">
        <v>1488</v>
      </c>
    </row>
    <row r="628" spans="1:51">
      <c r="A628" s="7" t="s">
        <v>33</v>
      </c>
      <c r="B628" s="7" t="s">
        <v>34</v>
      </c>
      <c r="C628" s="7" t="s">
        <v>2954</v>
      </c>
      <c r="D628" s="7" t="s">
        <v>2955</v>
      </c>
      <c r="E628" s="7" t="s">
        <v>2956</v>
      </c>
      <c r="F628" s="7" t="s">
        <v>2957</v>
      </c>
      <c r="G628" s="7" t="s">
        <v>2958</v>
      </c>
      <c r="H628" s="7" t="s">
        <v>4180</v>
      </c>
      <c r="I628" s="100">
        <f>41/1000</f>
        <v>4.1000000000000002E-2</v>
      </c>
      <c r="J628" s="100">
        <f t="shared" si="108"/>
        <v>41</v>
      </c>
      <c r="K628" s="100">
        <f t="shared" si="109"/>
        <v>1.6127838567197355</v>
      </c>
      <c r="L628" s="73" t="s">
        <v>1517</v>
      </c>
      <c r="M628" s="7" t="s">
        <v>2959</v>
      </c>
      <c r="N628" s="7" t="s">
        <v>1504</v>
      </c>
      <c r="O628" s="7" t="s">
        <v>1494</v>
      </c>
      <c r="P628" s="108" t="s">
        <v>1539</v>
      </c>
      <c r="Q628" s="7" t="s">
        <v>928</v>
      </c>
      <c r="R628" s="7">
        <v>27.5</v>
      </c>
      <c r="S628" s="7">
        <f t="shared" si="107"/>
        <v>27.5</v>
      </c>
      <c r="T628" s="7">
        <v>109.9</v>
      </c>
      <c r="U628" s="7">
        <v>1</v>
      </c>
      <c r="V628" s="7">
        <v>30</v>
      </c>
      <c r="W628" s="7">
        <f t="shared" si="105"/>
        <v>1.4771212547196624</v>
      </c>
      <c r="X628" s="7" t="s">
        <v>1779</v>
      </c>
      <c r="Y628" s="7" t="s">
        <v>1781</v>
      </c>
      <c r="Z628" s="7">
        <v>19</v>
      </c>
      <c r="AA628" s="7">
        <v>31</v>
      </c>
      <c r="AB628" s="108">
        <v>1.28</v>
      </c>
      <c r="AC628" s="7"/>
      <c r="AD628" s="7">
        <v>15</v>
      </c>
      <c r="AE628" s="7"/>
      <c r="AF628" s="7"/>
      <c r="AG628" s="7"/>
      <c r="AH628" s="7"/>
      <c r="AI628" s="7"/>
      <c r="AJ628" s="7"/>
      <c r="AK628" s="108">
        <v>2.5299999999999998</v>
      </c>
      <c r="AL628" s="7"/>
      <c r="AM628" s="108">
        <v>15</v>
      </c>
      <c r="AN628" s="7"/>
      <c r="AO628" s="7"/>
      <c r="AP628" s="7"/>
      <c r="AQ628" s="7"/>
      <c r="AR628" s="7"/>
      <c r="AS628" s="7"/>
      <c r="AT628" s="184"/>
      <c r="AU628" s="108"/>
      <c r="AV628" s="7"/>
      <c r="AW628" s="7"/>
      <c r="AX628" s="7" t="s">
        <v>2959</v>
      </c>
      <c r="AY628" s="7" t="s">
        <v>1488</v>
      </c>
    </row>
    <row r="629" spans="1:51">
      <c r="A629" s="7" t="s">
        <v>33</v>
      </c>
      <c r="B629" s="7" t="s">
        <v>34</v>
      </c>
      <c r="C629" s="7" t="s">
        <v>282</v>
      </c>
      <c r="D629" s="7" t="s">
        <v>2138</v>
      </c>
      <c r="E629" s="7" t="s">
        <v>2150</v>
      </c>
      <c r="F629" s="7" t="s">
        <v>2151</v>
      </c>
      <c r="G629" s="7" t="s">
        <v>2152</v>
      </c>
      <c r="H629" s="7" t="s">
        <v>4180</v>
      </c>
      <c r="I629" s="100">
        <f>(AVERAGE(2.3,3.7))/1000</f>
        <v>3.0000000000000001E-3</v>
      </c>
      <c r="J629" s="100">
        <f t="shared" si="108"/>
        <v>3</v>
      </c>
      <c r="K629" s="100">
        <f t="shared" si="109"/>
        <v>0.47712125471966244</v>
      </c>
      <c r="L629" s="73" t="s">
        <v>1517</v>
      </c>
      <c r="M629" s="7" t="s">
        <v>2960</v>
      </c>
      <c r="N629" s="7" t="s">
        <v>1538</v>
      </c>
      <c r="O629" s="7" t="s">
        <v>1494</v>
      </c>
      <c r="P629" s="108" t="s">
        <v>1539</v>
      </c>
      <c r="Q629" s="7" t="s">
        <v>2961</v>
      </c>
      <c r="R629" s="7">
        <v>29.6</v>
      </c>
      <c r="S629" s="7">
        <f t="shared" si="107"/>
        <v>29.6</v>
      </c>
      <c r="T629" s="7">
        <v>110.85</v>
      </c>
      <c r="U629" s="7">
        <v>1</v>
      </c>
      <c r="V629" s="7">
        <v>30</v>
      </c>
      <c r="W629" s="7">
        <f t="shared" si="105"/>
        <v>1.4771212547196624</v>
      </c>
      <c r="X629" s="7" t="s">
        <v>1779</v>
      </c>
      <c r="Y629" s="7" t="s">
        <v>1781</v>
      </c>
      <c r="Z629" s="7">
        <v>20</v>
      </c>
      <c r="AA629" s="7">
        <v>32</v>
      </c>
      <c r="AB629" s="7">
        <v>1.53</v>
      </c>
      <c r="AC629" s="7"/>
      <c r="AD629" s="7">
        <v>20</v>
      </c>
      <c r="AE629" s="7"/>
      <c r="AF629" s="7"/>
      <c r="AG629" s="7"/>
      <c r="AH629" s="7"/>
      <c r="AI629" s="7"/>
      <c r="AJ629" s="7"/>
      <c r="AK629" s="108">
        <v>2.7</v>
      </c>
      <c r="AL629" s="7"/>
      <c r="AM629" s="7">
        <v>20</v>
      </c>
      <c r="AN629" s="7"/>
      <c r="AO629" s="7"/>
      <c r="AP629" s="7"/>
      <c r="AQ629" s="7"/>
      <c r="AR629" s="7"/>
      <c r="AS629" s="7"/>
      <c r="AT629" s="184"/>
      <c r="AU629" s="7"/>
      <c r="AV629" s="7"/>
      <c r="AW629" s="7"/>
      <c r="AX629" s="7" t="s">
        <v>2960</v>
      </c>
      <c r="AY629" s="7" t="s">
        <v>1488</v>
      </c>
    </row>
    <row r="630" spans="1:51">
      <c r="A630" s="7" t="s">
        <v>33</v>
      </c>
      <c r="B630" s="7" t="s">
        <v>2962</v>
      </c>
      <c r="C630" s="7" t="s">
        <v>2963</v>
      </c>
      <c r="D630" s="7" t="s">
        <v>2964</v>
      </c>
      <c r="E630" s="7" t="s">
        <v>2965</v>
      </c>
      <c r="F630" s="7" t="s">
        <v>404</v>
      </c>
      <c r="G630" s="7" t="s">
        <v>2966</v>
      </c>
      <c r="H630" s="7" t="s">
        <v>2962</v>
      </c>
      <c r="I630" s="100">
        <f>2/1000</f>
        <v>2E-3</v>
      </c>
      <c r="J630" s="100">
        <f t="shared" si="108"/>
        <v>2</v>
      </c>
      <c r="K630" s="100">
        <f t="shared" si="109"/>
        <v>0.3010299956639812</v>
      </c>
      <c r="L630" s="73" t="s">
        <v>1517</v>
      </c>
      <c r="M630" s="7" t="s">
        <v>2967</v>
      </c>
      <c r="N630" s="7" t="s">
        <v>1504</v>
      </c>
      <c r="O630" s="7" t="s">
        <v>1505</v>
      </c>
      <c r="P630" s="108" t="s">
        <v>1539</v>
      </c>
      <c r="Q630" s="7" t="s">
        <v>2968</v>
      </c>
      <c r="R630" s="7">
        <v>43.7</v>
      </c>
      <c r="S630" s="7">
        <f t="shared" si="107"/>
        <v>43.7</v>
      </c>
      <c r="T630" s="7">
        <v>-77.900000000000006</v>
      </c>
      <c r="U630" s="7">
        <v>1</v>
      </c>
      <c r="V630" s="7">
        <v>30</v>
      </c>
      <c r="W630" s="7">
        <f t="shared" si="105"/>
        <v>1.4771212547196624</v>
      </c>
      <c r="X630" s="7" t="s">
        <v>1527</v>
      </c>
      <c r="Y630" s="7" t="s">
        <v>2415</v>
      </c>
      <c r="Z630" s="7">
        <v>10</v>
      </c>
      <c r="AA630" s="7">
        <v>20</v>
      </c>
      <c r="AB630" s="7">
        <v>1.02</v>
      </c>
      <c r="AC630" s="7">
        <v>3.2000000000000001E-2</v>
      </c>
      <c r="AD630" s="7">
        <v>6</v>
      </c>
      <c r="AE630" s="7"/>
      <c r="AF630" s="7"/>
      <c r="AG630" s="7"/>
      <c r="AH630" s="7"/>
      <c r="AI630" s="7"/>
      <c r="AJ630" s="7"/>
      <c r="AK630" s="7">
        <v>1.43</v>
      </c>
      <c r="AL630" s="7">
        <v>0.86</v>
      </c>
      <c r="AM630" s="7">
        <v>6</v>
      </c>
      <c r="AN630" s="7"/>
      <c r="AO630" s="7"/>
      <c r="AP630" s="7"/>
      <c r="AQ630" s="7"/>
      <c r="AR630" s="7"/>
      <c r="AS630" s="7">
        <f>AVERAGE(AD630,AG630,AM630)</f>
        <v>6</v>
      </c>
      <c r="AT630" s="184">
        <f>AVERAGE(AC630,AF630,AL630)</f>
        <v>0.44600000000000001</v>
      </c>
      <c r="AU630" s="7"/>
      <c r="AV630" s="7" t="s">
        <v>2412</v>
      </c>
      <c r="AW630" s="7"/>
      <c r="AX630" s="7" t="s">
        <v>2969</v>
      </c>
      <c r="AY630" s="7" t="s">
        <v>1488</v>
      </c>
    </row>
    <row r="631" spans="1:51">
      <c r="A631" s="7" t="s">
        <v>33</v>
      </c>
      <c r="B631" s="7" t="s">
        <v>2962</v>
      </c>
      <c r="C631" s="7" t="s">
        <v>2963</v>
      </c>
      <c r="D631" s="7" t="s">
        <v>2964</v>
      </c>
      <c r="E631" s="7" t="s">
        <v>2965</v>
      </c>
      <c r="F631" s="7" t="s">
        <v>404</v>
      </c>
      <c r="G631" s="7" t="s">
        <v>2966</v>
      </c>
      <c r="H631" s="7" t="s">
        <v>2962</v>
      </c>
      <c r="I631" s="100">
        <f>2/1000</f>
        <v>2E-3</v>
      </c>
      <c r="J631" s="100">
        <f t="shared" si="108"/>
        <v>2</v>
      </c>
      <c r="K631" s="100">
        <f t="shared" si="109"/>
        <v>0.3010299956639812</v>
      </c>
      <c r="L631" s="73" t="s">
        <v>1517</v>
      </c>
      <c r="M631" s="7" t="s">
        <v>2967</v>
      </c>
      <c r="N631" s="7" t="s">
        <v>1504</v>
      </c>
      <c r="O631" s="7" t="s">
        <v>1505</v>
      </c>
      <c r="P631" s="108" t="s">
        <v>1539</v>
      </c>
      <c r="Q631" s="7" t="s">
        <v>2968</v>
      </c>
      <c r="R631" s="7">
        <v>43.7</v>
      </c>
      <c r="S631" s="7">
        <f t="shared" si="107"/>
        <v>43.7</v>
      </c>
      <c r="T631" s="7">
        <v>-77.900000000000006</v>
      </c>
      <c r="U631" s="7">
        <v>1</v>
      </c>
      <c r="V631" s="7">
        <v>30</v>
      </c>
      <c r="W631" s="7">
        <f t="shared" si="105"/>
        <v>1.4771212547196624</v>
      </c>
      <c r="X631" s="7" t="s">
        <v>1779</v>
      </c>
      <c r="Y631" s="7" t="s">
        <v>1781</v>
      </c>
      <c r="Z631" s="7">
        <v>10</v>
      </c>
      <c r="AA631" s="7">
        <v>20</v>
      </c>
      <c r="AB631" s="7">
        <v>5.7000000000000002E-2</v>
      </c>
      <c r="AC631" s="7"/>
      <c r="AD631" s="7">
        <v>6</v>
      </c>
      <c r="AE631" s="7"/>
      <c r="AF631" s="7"/>
      <c r="AG631" s="7"/>
      <c r="AH631" s="7"/>
      <c r="AI631" s="7"/>
      <c r="AJ631" s="7"/>
      <c r="AK631" s="7">
        <v>0.06</v>
      </c>
      <c r="AL631" s="7"/>
      <c r="AM631" s="7">
        <v>6</v>
      </c>
      <c r="AN631" s="7"/>
      <c r="AO631" s="7"/>
      <c r="AP631" s="7"/>
      <c r="AQ631" s="7"/>
      <c r="AR631" s="7"/>
      <c r="AS631" s="7">
        <f>AVERAGE(AD631,AG631,AM631)</f>
        <v>6</v>
      </c>
      <c r="AT631" s="184"/>
      <c r="AU631" s="7"/>
      <c r="AV631" s="7" t="s">
        <v>2970</v>
      </c>
      <c r="AW631" s="7"/>
      <c r="AX631" s="7" t="s">
        <v>2969</v>
      </c>
      <c r="AY631" s="7" t="s">
        <v>1488</v>
      </c>
    </row>
    <row r="632" spans="1:51">
      <c r="A632" s="7" t="s">
        <v>33</v>
      </c>
      <c r="B632" s="7" t="s">
        <v>34</v>
      </c>
      <c r="C632" s="7" t="s">
        <v>61</v>
      </c>
      <c r="D632" s="7" t="s">
        <v>62</v>
      </c>
      <c r="E632" s="7" t="s">
        <v>1732</v>
      </c>
      <c r="F632" s="7" t="s">
        <v>1733</v>
      </c>
      <c r="G632" s="7" t="s">
        <v>1734</v>
      </c>
      <c r="H632" s="7" t="s">
        <v>4180</v>
      </c>
      <c r="I632" s="100">
        <f>452/1000</f>
        <v>0.45200000000000001</v>
      </c>
      <c r="J632" s="100">
        <f t="shared" si="108"/>
        <v>452</v>
      </c>
      <c r="K632" s="100">
        <f t="shared" si="109"/>
        <v>2.655138434811382</v>
      </c>
      <c r="L632" s="73" t="s">
        <v>1517</v>
      </c>
      <c r="M632" s="7" t="s">
        <v>2971</v>
      </c>
      <c r="N632" s="7" t="s">
        <v>1538</v>
      </c>
      <c r="O632" s="7" t="s">
        <v>1494</v>
      </c>
      <c r="P632" s="108" t="s">
        <v>1492</v>
      </c>
      <c r="Q632" s="7" t="s">
        <v>2972</v>
      </c>
      <c r="R632" s="7">
        <v>49.3</v>
      </c>
      <c r="S632" s="7">
        <f t="shared" si="107"/>
        <v>49.3</v>
      </c>
      <c r="T632" s="7">
        <v>122.95</v>
      </c>
      <c r="U632" s="7">
        <v>2</v>
      </c>
      <c r="V632" s="7">
        <v>30</v>
      </c>
      <c r="W632" s="7">
        <f t="shared" si="105"/>
        <v>1.4771212547196624</v>
      </c>
      <c r="X632" s="7" t="s">
        <v>1520</v>
      </c>
      <c r="Y632" s="7" t="s">
        <v>1521</v>
      </c>
      <c r="Z632" s="7">
        <v>6</v>
      </c>
      <c r="AA632" s="7">
        <v>12</v>
      </c>
      <c r="AB632" s="7">
        <v>59.6</v>
      </c>
      <c r="AC632" s="7">
        <v>1.4</v>
      </c>
      <c r="AD632" s="7">
        <v>27</v>
      </c>
      <c r="AE632" s="7"/>
      <c r="AF632" s="7"/>
      <c r="AG632" s="7"/>
      <c r="AH632" s="7"/>
      <c r="AI632" s="7"/>
      <c r="AJ632" s="7"/>
      <c r="AK632" s="108">
        <v>63.5</v>
      </c>
      <c r="AL632" s="108">
        <v>1.9</v>
      </c>
      <c r="AM632" s="7">
        <v>11</v>
      </c>
      <c r="AN632" s="7"/>
      <c r="AO632" s="7"/>
      <c r="AP632" s="7"/>
      <c r="AQ632" s="7"/>
      <c r="AR632" s="7"/>
      <c r="AS632" s="7"/>
      <c r="AT632" s="184"/>
      <c r="AU632" s="7"/>
      <c r="AV632" s="7" t="s">
        <v>1633</v>
      </c>
      <c r="AW632" s="7"/>
      <c r="AX632" s="7" t="s">
        <v>2971</v>
      </c>
      <c r="AY632" s="7" t="s">
        <v>1488</v>
      </c>
    </row>
    <row r="633" spans="1:51">
      <c r="A633" s="7" t="s">
        <v>33</v>
      </c>
      <c r="B633" s="7" t="s">
        <v>34</v>
      </c>
      <c r="C633" s="7" t="s">
        <v>282</v>
      </c>
      <c r="D633" s="7" t="s">
        <v>1541</v>
      </c>
      <c r="E633" s="7" t="s">
        <v>1542</v>
      </c>
      <c r="F633" s="7" t="s">
        <v>1543</v>
      </c>
      <c r="G633" s="7" t="s">
        <v>1544</v>
      </c>
      <c r="H633" s="7" t="s">
        <v>4180</v>
      </c>
      <c r="I633" s="100">
        <f>93.3/1000</f>
        <v>9.3299999999999994E-2</v>
      </c>
      <c r="J633" s="100">
        <f t="shared" si="108"/>
        <v>93.3</v>
      </c>
      <c r="K633" s="100">
        <f t="shared" si="109"/>
        <v>1.9698816437464999</v>
      </c>
      <c r="L633" s="73" t="s">
        <v>1517</v>
      </c>
      <c r="M633" s="7" t="s">
        <v>1545</v>
      </c>
      <c r="N633" s="7" t="s">
        <v>1504</v>
      </c>
      <c r="O633" s="7" t="s">
        <v>1505</v>
      </c>
      <c r="P633" s="108" t="s">
        <v>1492</v>
      </c>
      <c r="Q633" s="7" t="s">
        <v>1546</v>
      </c>
      <c r="R633" s="7">
        <v>77.849999999999994</v>
      </c>
      <c r="S633" s="7">
        <f t="shared" si="107"/>
        <v>77.849999999999994</v>
      </c>
      <c r="T633" s="7">
        <v>166.75</v>
      </c>
      <c r="U633" s="7">
        <v>1</v>
      </c>
      <c r="V633" s="7">
        <v>31</v>
      </c>
      <c r="W633" s="7">
        <f t="shared" si="105"/>
        <v>1.4913616938342726</v>
      </c>
      <c r="X633" s="7" t="s">
        <v>1779</v>
      </c>
      <c r="Y633" s="7" t="s">
        <v>1781</v>
      </c>
      <c r="Z633" s="7">
        <v>-1</v>
      </c>
      <c r="AA633" s="7">
        <v>4</v>
      </c>
      <c r="AB633" s="108">
        <v>0.72</v>
      </c>
      <c r="AC633" s="108">
        <v>0.24</v>
      </c>
      <c r="AD633" s="7">
        <v>4</v>
      </c>
      <c r="AE633" s="7"/>
      <c r="AF633" s="7"/>
      <c r="AG633" s="7"/>
      <c r="AH633" s="7"/>
      <c r="AI633" s="7"/>
      <c r="AJ633" s="7"/>
      <c r="AK633" s="108">
        <v>0.81</v>
      </c>
      <c r="AL633" s="108">
        <v>0.31</v>
      </c>
      <c r="AM633" s="108">
        <v>4</v>
      </c>
      <c r="AN633" s="7"/>
      <c r="AO633" s="7"/>
      <c r="AP633" s="7"/>
      <c r="AQ633" s="7"/>
      <c r="AR633" s="7"/>
      <c r="AS633" s="7"/>
      <c r="AT633" s="184"/>
      <c r="AU633" s="108"/>
      <c r="AV633" s="7"/>
      <c r="AW633" s="7"/>
      <c r="AX633" s="7" t="s">
        <v>1545</v>
      </c>
      <c r="AY633" s="7" t="s">
        <v>1488</v>
      </c>
    </row>
    <row r="634" spans="1:51">
      <c r="A634" s="7" t="s">
        <v>33</v>
      </c>
      <c r="B634" s="7" t="s">
        <v>34</v>
      </c>
      <c r="C634" s="7" t="s">
        <v>282</v>
      </c>
      <c r="D634" s="7" t="s">
        <v>1541</v>
      </c>
      <c r="E634" s="7" t="s">
        <v>2973</v>
      </c>
      <c r="F634" s="7" t="s">
        <v>2974</v>
      </c>
      <c r="G634" s="7" t="s">
        <v>2975</v>
      </c>
      <c r="H634" s="7" t="s">
        <v>4180</v>
      </c>
      <c r="I634" s="100">
        <f>AVERAGE(20,400)/1000</f>
        <v>0.21</v>
      </c>
      <c r="J634" s="100">
        <f t="shared" si="108"/>
        <v>210</v>
      </c>
      <c r="K634" s="100">
        <f t="shared" si="109"/>
        <v>2.3222192947339191</v>
      </c>
      <c r="L634" s="73" t="s">
        <v>1517</v>
      </c>
      <c r="M634" s="7" t="s">
        <v>2976</v>
      </c>
      <c r="N634" s="7" t="s">
        <v>1504</v>
      </c>
      <c r="O634" s="7" t="s">
        <v>1505</v>
      </c>
      <c r="P634" s="108" t="s">
        <v>1492</v>
      </c>
      <c r="Q634" s="7" t="s">
        <v>2977</v>
      </c>
      <c r="R634" s="7">
        <v>77.5</v>
      </c>
      <c r="S634" s="7">
        <f t="shared" si="107"/>
        <v>77.5</v>
      </c>
      <c r="T634" s="7">
        <v>165</v>
      </c>
      <c r="U634" s="7">
        <v>1</v>
      </c>
      <c r="V634" s="7">
        <v>35</v>
      </c>
      <c r="W634" s="7">
        <f t="shared" si="105"/>
        <v>1.5440680443502757</v>
      </c>
      <c r="X634" s="7" t="s">
        <v>1779</v>
      </c>
      <c r="Y634" s="7" t="s">
        <v>1781</v>
      </c>
      <c r="Z634" s="7">
        <v>-1.5</v>
      </c>
      <c r="AA634" s="7">
        <v>4</v>
      </c>
      <c r="AB634" s="7">
        <v>3.6</v>
      </c>
      <c r="AC634" s="7">
        <v>0.1</v>
      </c>
      <c r="AD634" s="7">
        <v>5</v>
      </c>
      <c r="AE634" s="7"/>
      <c r="AF634" s="7"/>
      <c r="AG634" s="7"/>
      <c r="AH634" s="7"/>
      <c r="AI634" s="7"/>
      <c r="AJ634" s="7"/>
      <c r="AK634" s="108">
        <v>4.2</v>
      </c>
      <c r="AL634" s="108">
        <v>0.3</v>
      </c>
      <c r="AM634" s="108">
        <v>7</v>
      </c>
      <c r="AN634" s="7"/>
      <c r="AO634" s="7"/>
      <c r="AP634" s="7"/>
      <c r="AQ634" s="7"/>
      <c r="AR634" s="7"/>
      <c r="AS634" s="7"/>
      <c r="AT634" s="184"/>
      <c r="AU634" s="108"/>
      <c r="AV634" s="7" t="s">
        <v>2978</v>
      </c>
      <c r="AW634" s="7"/>
      <c r="AX634" s="7" t="s">
        <v>2976</v>
      </c>
      <c r="AY634" s="7" t="s">
        <v>1488</v>
      </c>
    </row>
    <row r="635" spans="1:51">
      <c r="A635" s="7" t="s">
        <v>33</v>
      </c>
      <c r="B635" s="7" t="s">
        <v>34</v>
      </c>
      <c r="C635" s="7" t="s">
        <v>61</v>
      </c>
      <c r="D635" s="7" t="s">
        <v>62</v>
      </c>
      <c r="E635" s="7" t="s">
        <v>1732</v>
      </c>
      <c r="F635" s="7" t="s">
        <v>1733</v>
      </c>
      <c r="G635" s="7" t="s">
        <v>1734</v>
      </c>
      <c r="H635" s="7" t="s">
        <v>4180</v>
      </c>
      <c r="I635" s="100">
        <f>(17.5/1000)</f>
        <v>1.7500000000000002E-2</v>
      </c>
      <c r="J635" s="100">
        <f t="shared" si="108"/>
        <v>17.5</v>
      </c>
      <c r="K635" s="100">
        <f t="shared" si="109"/>
        <v>1.2430380486862944</v>
      </c>
      <c r="L635" s="73" t="s">
        <v>1517</v>
      </c>
      <c r="M635" s="7" t="s">
        <v>2979</v>
      </c>
      <c r="N635" s="7" t="s">
        <v>1538</v>
      </c>
      <c r="O635" s="7" t="s">
        <v>1494</v>
      </c>
      <c r="P635" s="108" t="s">
        <v>1539</v>
      </c>
      <c r="Q635" s="7" t="s">
        <v>2980</v>
      </c>
      <c r="R635" s="7">
        <v>43.15</v>
      </c>
      <c r="S635" s="7">
        <f t="shared" si="107"/>
        <v>43.15</v>
      </c>
      <c r="T635" s="7">
        <v>80.95</v>
      </c>
      <c r="U635" s="7">
        <v>1</v>
      </c>
      <c r="V635" s="7">
        <v>42</v>
      </c>
      <c r="W635" s="7">
        <f t="shared" si="105"/>
        <v>1.6232492903979006</v>
      </c>
      <c r="X635" s="7" t="s">
        <v>1520</v>
      </c>
      <c r="Y635" s="7" t="s">
        <v>1521</v>
      </c>
      <c r="Z635" s="7">
        <v>5</v>
      </c>
      <c r="AA635" s="7">
        <v>15</v>
      </c>
      <c r="AB635" s="108">
        <v>2</v>
      </c>
      <c r="AC635" s="108">
        <v>0.1</v>
      </c>
      <c r="AD635" s="108">
        <v>7</v>
      </c>
      <c r="AE635" s="7"/>
      <c r="AF635" s="7"/>
      <c r="AG635" s="7"/>
      <c r="AH635" s="7"/>
      <c r="AI635" s="7"/>
      <c r="AJ635" s="7"/>
      <c r="AK635" s="108">
        <v>3</v>
      </c>
      <c r="AL635" s="108">
        <v>0.2</v>
      </c>
      <c r="AM635" s="108">
        <v>7</v>
      </c>
      <c r="AN635" s="7"/>
      <c r="AO635" s="7"/>
      <c r="AP635" s="7"/>
      <c r="AQ635" s="7"/>
      <c r="AR635" s="7"/>
      <c r="AS635" s="7"/>
      <c r="AT635" s="184"/>
      <c r="AU635" s="108"/>
      <c r="AV635" s="7"/>
      <c r="AW635" s="7"/>
      <c r="AX635" s="7" t="s">
        <v>2979</v>
      </c>
      <c r="AY635" s="7" t="s">
        <v>1488</v>
      </c>
    </row>
    <row r="636" spans="1:51">
      <c r="A636" s="7" t="s">
        <v>33</v>
      </c>
      <c r="B636" s="7" t="s">
        <v>34</v>
      </c>
      <c r="C636" s="7" t="s">
        <v>61</v>
      </c>
      <c r="D636" s="7" t="s">
        <v>62</v>
      </c>
      <c r="E636" s="7" t="s">
        <v>1732</v>
      </c>
      <c r="F636" s="7" t="s">
        <v>1733</v>
      </c>
      <c r="G636" s="7" t="s">
        <v>1734</v>
      </c>
      <c r="H636" s="7" t="s">
        <v>4180</v>
      </c>
      <c r="I636" s="100">
        <f>(17.5/1000)</f>
        <v>1.7500000000000002E-2</v>
      </c>
      <c r="J636" s="100">
        <f t="shared" si="108"/>
        <v>17.5</v>
      </c>
      <c r="K636" s="100">
        <f t="shared" si="109"/>
        <v>1.2430380486862944</v>
      </c>
      <c r="L636" s="73" t="s">
        <v>1517</v>
      </c>
      <c r="M636" s="7" t="s">
        <v>2979</v>
      </c>
      <c r="N636" s="7" t="s">
        <v>1538</v>
      </c>
      <c r="O636" s="7" t="s">
        <v>1494</v>
      </c>
      <c r="P636" s="108" t="s">
        <v>1539</v>
      </c>
      <c r="Q636" s="7" t="s">
        <v>2980</v>
      </c>
      <c r="R636" s="7">
        <v>43.15</v>
      </c>
      <c r="S636" s="7">
        <f t="shared" si="107"/>
        <v>43.15</v>
      </c>
      <c r="T636" s="7">
        <v>80.95</v>
      </c>
      <c r="U636" s="7">
        <v>1</v>
      </c>
      <c r="V636" s="7">
        <v>42</v>
      </c>
      <c r="W636" s="7">
        <f t="shared" ref="W636:W664" si="110">LOG(V636)</f>
        <v>1.6232492903979006</v>
      </c>
      <c r="X636" s="7" t="s">
        <v>1779</v>
      </c>
      <c r="Y636" s="7" t="s">
        <v>1781</v>
      </c>
      <c r="Z636" s="7">
        <v>5</v>
      </c>
      <c r="AA636" s="7">
        <v>15</v>
      </c>
      <c r="AB636" s="108">
        <v>3.5</v>
      </c>
      <c r="AC636" s="108">
        <v>0.4</v>
      </c>
      <c r="AD636" s="108">
        <v>4</v>
      </c>
      <c r="AE636" s="7"/>
      <c r="AF636" s="7"/>
      <c r="AG636" s="7"/>
      <c r="AH636" s="7"/>
      <c r="AI636" s="7"/>
      <c r="AJ636" s="7"/>
      <c r="AK636" s="108">
        <v>4.5</v>
      </c>
      <c r="AL636" s="108">
        <v>0.2</v>
      </c>
      <c r="AM636" s="108">
        <v>7</v>
      </c>
      <c r="AN636" s="7"/>
      <c r="AO636" s="7"/>
      <c r="AP636" s="7"/>
      <c r="AQ636" s="7"/>
      <c r="AR636" s="7"/>
      <c r="AS636" s="7"/>
      <c r="AT636" s="184"/>
      <c r="AU636" s="108"/>
      <c r="AV636" s="7"/>
      <c r="AW636" s="7"/>
      <c r="AX636" s="7" t="s">
        <v>2981</v>
      </c>
      <c r="AY636" s="7" t="s">
        <v>1488</v>
      </c>
    </row>
    <row r="637" spans="1:51">
      <c r="A637" s="7" t="s">
        <v>33</v>
      </c>
      <c r="B637" s="7" t="s">
        <v>34</v>
      </c>
      <c r="C637" s="7" t="s">
        <v>61</v>
      </c>
      <c r="D637" s="7" t="s">
        <v>62</v>
      </c>
      <c r="E637" s="7" t="s">
        <v>1732</v>
      </c>
      <c r="F637" s="7" t="s">
        <v>1733</v>
      </c>
      <c r="G637" s="7" t="s">
        <v>1734</v>
      </c>
      <c r="H637" s="7" t="s">
        <v>4180</v>
      </c>
      <c r="I637" s="100">
        <f>(17.5/1000)</f>
        <v>1.7500000000000002E-2</v>
      </c>
      <c r="J637" s="100">
        <f t="shared" si="108"/>
        <v>17.5</v>
      </c>
      <c r="K637" s="100">
        <f t="shared" si="109"/>
        <v>1.2430380486862944</v>
      </c>
      <c r="L637" s="73" t="s">
        <v>1517</v>
      </c>
      <c r="M637" s="7" t="s">
        <v>2979</v>
      </c>
      <c r="N637" s="7" t="s">
        <v>1538</v>
      </c>
      <c r="O637" s="7" t="s">
        <v>1494</v>
      </c>
      <c r="P637" s="108" t="s">
        <v>1539</v>
      </c>
      <c r="Q637" s="7" t="s">
        <v>2980</v>
      </c>
      <c r="R637" s="7">
        <v>43.15</v>
      </c>
      <c r="S637" s="7">
        <f t="shared" si="107"/>
        <v>43.15</v>
      </c>
      <c r="T637" s="7">
        <v>80.95</v>
      </c>
      <c r="U637" s="7">
        <v>1</v>
      </c>
      <c r="V637" s="7">
        <v>42</v>
      </c>
      <c r="W637" s="7">
        <f t="shared" si="110"/>
        <v>1.6232492903979006</v>
      </c>
      <c r="X637" s="7" t="s">
        <v>1779</v>
      </c>
      <c r="Y637" s="7" t="s">
        <v>1778</v>
      </c>
      <c r="Z637" s="7">
        <v>5</v>
      </c>
      <c r="AA637" s="7">
        <v>15</v>
      </c>
      <c r="AB637" s="108">
        <v>5.7</v>
      </c>
      <c r="AC637" s="108">
        <v>0.4</v>
      </c>
      <c r="AD637" s="108">
        <v>8</v>
      </c>
      <c r="AE637" s="7"/>
      <c r="AF637" s="7"/>
      <c r="AG637" s="7"/>
      <c r="AH637" s="7"/>
      <c r="AI637" s="7"/>
      <c r="AJ637" s="7"/>
      <c r="AK637" s="108">
        <v>8.3000000000000007</v>
      </c>
      <c r="AL637" s="108">
        <v>0.4</v>
      </c>
      <c r="AM637" s="108">
        <v>9</v>
      </c>
      <c r="AN637" s="7"/>
      <c r="AO637" s="7"/>
      <c r="AP637" s="7"/>
      <c r="AQ637" s="7"/>
      <c r="AR637" s="7"/>
      <c r="AS637" s="7"/>
      <c r="AT637" s="184"/>
      <c r="AU637" s="108"/>
      <c r="AV637" s="7"/>
      <c r="AW637" s="7"/>
      <c r="AX637" s="7" t="s">
        <v>2982</v>
      </c>
      <c r="AY637" s="7" t="s">
        <v>1488</v>
      </c>
    </row>
    <row r="638" spans="1:51">
      <c r="A638" s="7" t="s">
        <v>33</v>
      </c>
      <c r="B638" s="7" t="s">
        <v>34</v>
      </c>
      <c r="C638" s="7" t="s">
        <v>61</v>
      </c>
      <c r="D638" s="7" t="s">
        <v>62</v>
      </c>
      <c r="E638" s="7" t="s">
        <v>2983</v>
      </c>
      <c r="F638" s="7" t="s">
        <v>2984</v>
      </c>
      <c r="G638" s="7" t="s">
        <v>2985</v>
      </c>
      <c r="H638" s="7" t="s">
        <v>4180</v>
      </c>
      <c r="I638" s="100">
        <f>(AVERAGE(450, 515))/1000</f>
        <v>0.48249999999999998</v>
      </c>
      <c r="J638" s="100">
        <f t="shared" si="108"/>
        <v>482.5</v>
      </c>
      <c r="K638" s="100">
        <f t="shared" si="109"/>
        <v>2.6834973176798114</v>
      </c>
      <c r="L638" s="73" t="s">
        <v>1517</v>
      </c>
      <c r="M638" s="7" t="s">
        <v>2986</v>
      </c>
      <c r="N638" s="7" t="s">
        <v>1538</v>
      </c>
      <c r="O638" s="7" t="s">
        <v>1494</v>
      </c>
      <c r="P638" s="108" t="s">
        <v>1492</v>
      </c>
      <c r="Q638" s="7" t="s">
        <v>2987</v>
      </c>
      <c r="R638" s="7">
        <v>53.33</v>
      </c>
      <c r="S638" s="7">
        <f t="shared" ref="S638:S665" si="111">ABS(R638)</f>
        <v>53.33</v>
      </c>
      <c r="T638" s="7">
        <v>1.66</v>
      </c>
      <c r="U638" s="7">
        <v>1</v>
      </c>
      <c r="V638" s="7">
        <v>42</v>
      </c>
      <c r="W638" s="7">
        <f t="shared" si="110"/>
        <v>1.6232492903979006</v>
      </c>
      <c r="X638" s="7" t="s">
        <v>1520</v>
      </c>
      <c r="Y638" s="7" t="s">
        <v>1521</v>
      </c>
      <c r="Z638" s="7">
        <v>5</v>
      </c>
      <c r="AA638" s="7">
        <v>15</v>
      </c>
      <c r="AB638" s="108">
        <v>1.95</v>
      </c>
      <c r="AC638" s="108">
        <v>7.0000000000000007E-2</v>
      </c>
      <c r="AD638" s="7">
        <v>12</v>
      </c>
      <c r="AE638" s="7"/>
      <c r="AF638" s="7"/>
      <c r="AG638" s="7"/>
      <c r="AH638" s="7"/>
      <c r="AI638" s="7"/>
      <c r="AJ638" s="7"/>
      <c r="AK638" s="108">
        <v>2.1</v>
      </c>
      <c r="AL638" s="108">
        <v>0.12</v>
      </c>
      <c r="AM638" s="7">
        <v>12</v>
      </c>
      <c r="AN638" s="7"/>
      <c r="AO638" s="7"/>
      <c r="AP638" s="7"/>
      <c r="AQ638" s="7"/>
      <c r="AR638" s="7"/>
      <c r="AS638" s="7"/>
      <c r="AT638" s="184"/>
      <c r="AU638" s="7"/>
      <c r="AV638" s="7"/>
      <c r="AW638" s="7"/>
      <c r="AX638" s="7" t="s">
        <v>2986</v>
      </c>
      <c r="AY638" s="7" t="s">
        <v>1488</v>
      </c>
    </row>
    <row r="639" spans="1:51">
      <c r="A639" s="7" t="s">
        <v>33</v>
      </c>
      <c r="B639" s="7" t="s">
        <v>34</v>
      </c>
      <c r="C639" s="7" t="s">
        <v>61</v>
      </c>
      <c r="D639" s="7" t="s">
        <v>62</v>
      </c>
      <c r="E639" s="7" t="s">
        <v>2983</v>
      </c>
      <c r="F639" s="7" t="s">
        <v>2984</v>
      </c>
      <c r="G639" s="7" t="s">
        <v>2985</v>
      </c>
      <c r="H639" s="7" t="s">
        <v>4180</v>
      </c>
      <c r="I639" s="100">
        <f>(AVERAGE(450, 515))/1000</f>
        <v>0.48249999999999998</v>
      </c>
      <c r="J639" s="100">
        <f t="shared" si="108"/>
        <v>482.5</v>
      </c>
      <c r="K639" s="100">
        <f t="shared" si="109"/>
        <v>2.6834973176798114</v>
      </c>
      <c r="L639" s="73" t="s">
        <v>1502</v>
      </c>
      <c r="M639" s="7" t="s">
        <v>2986</v>
      </c>
      <c r="N639" s="7" t="s">
        <v>1538</v>
      </c>
      <c r="O639" s="7" t="s">
        <v>1494</v>
      </c>
      <c r="P639" s="108" t="s">
        <v>1492</v>
      </c>
      <c r="Q639" s="7" t="s">
        <v>2987</v>
      </c>
      <c r="R639" s="7">
        <v>53.33</v>
      </c>
      <c r="S639" s="7">
        <f t="shared" si="111"/>
        <v>53.33</v>
      </c>
      <c r="T639" s="7">
        <v>1.66</v>
      </c>
      <c r="U639" s="7">
        <v>1</v>
      </c>
      <c r="V639" s="7">
        <v>42</v>
      </c>
      <c r="W639" s="7">
        <f t="shared" si="110"/>
        <v>1.6232492903979006</v>
      </c>
      <c r="X639" s="7" t="s">
        <v>2284</v>
      </c>
      <c r="Y639" s="7" t="s">
        <v>2213</v>
      </c>
      <c r="Z639" s="7">
        <v>5</v>
      </c>
      <c r="AA639" s="7">
        <v>15</v>
      </c>
      <c r="AB639" s="7"/>
      <c r="AC639" s="7"/>
      <c r="AD639" s="7"/>
      <c r="AE639" s="108">
        <v>22.35</v>
      </c>
      <c r="AF639" s="108">
        <v>2</v>
      </c>
      <c r="AG639" s="7">
        <v>12</v>
      </c>
      <c r="AH639" s="7"/>
      <c r="AI639" s="7"/>
      <c r="AJ639" s="7"/>
      <c r="AK639" s="108">
        <v>13.55</v>
      </c>
      <c r="AL639" s="108">
        <v>0.68</v>
      </c>
      <c r="AM639" s="7">
        <v>12</v>
      </c>
      <c r="AN639" s="7"/>
      <c r="AO639" s="7"/>
      <c r="AP639" s="7"/>
      <c r="AQ639" s="7"/>
      <c r="AR639" s="7"/>
      <c r="AS639" s="7"/>
      <c r="AT639" s="184"/>
      <c r="AU639" s="7"/>
      <c r="AV639" s="7"/>
      <c r="AW639" s="7"/>
      <c r="AX639" s="7" t="s">
        <v>2988</v>
      </c>
      <c r="AY639" s="7" t="s">
        <v>1488</v>
      </c>
    </row>
    <row r="640" spans="1:51">
      <c r="A640" s="7" t="s">
        <v>33</v>
      </c>
      <c r="B640" s="7" t="s">
        <v>34</v>
      </c>
      <c r="C640" s="7" t="s">
        <v>61</v>
      </c>
      <c r="D640" s="7" t="s">
        <v>62</v>
      </c>
      <c r="E640" s="7" t="s">
        <v>2983</v>
      </c>
      <c r="F640" s="7" t="s">
        <v>2984</v>
      </c>
      <c r="G640" s="7" t="s">
        <v>2985</v>
      </c>
      <c r="H640" s="7" t="s">
        <v>4180</v>
      </c>
      <c r="I640" s="100">
        <f>(AVERAGE(450, 515))/1000</f>
        <v>0.48249999999999998</v>
      </c>
      <c r="J640" s="100">
        <f t="shared" si="108"/>
        <v>482.5</v>
      </c>
      <c r="K640" s="100">
        <f t="shared" si="109"/>
        <v>2.6834973176798114</v>
      </c>
      <c r="L640" s="73" t="s">
        <v>1502</v>
      </c>
      <c r="M640" s="7" t="s">
        <v>2986</v>
      </c>
      <c r="N640" s="7" t="s">
        <v>1538</v>
      </c>
      <c r="O640" s="7" t="s">
        <v>1494</v>
      </c>
      <c r="P640" s="108" t="s">
        <v>1492</v>
      </c>
      <c r="Q640" s="7" t="s">
        <v>2987</v>
      </c>
      <c r="R640" s="7">
        <v>53.33</v>
      </c>
      <c r="S640" s="7">
        <f t="shared" si="111"/>
        <v>53.33</v>
      </c>
      <c r="T640" s="7">
        <v>1.66</v>
      </c>
      <c r="U640" s="7">
        <v>1</v>
      </c>
      <c r="V640" s="7">
        <v>42</v>
      </c>
      <c r="W640" s="7">
        <f t="shared" si="110"/>
        <v>1.6232492903979006</v>
      </c>
      <c r="X640" s="7" t="s">
        <v>1710</v>
      </c>
      <c r="Y640" s="7" t="s">
        <v>2213</v>
      </c>
      <c r="Z640" s="7">
        <v>5</v>
      </c>
      <c r="AA640" s="7">
        <v>15</v>
      </c>
      <c r="AB640" s="7"/>
      <c r="AC640" s="7"/>
      <c r="AD640" s="7"/>
      <c r="AE640" s="108">
        <v>4.01</v>
      </c>
      <c r="AF640" s="108">
        <v>0.48</v>
      </c>
      <c r="AG640" s="7">
        <v>12</v>
      </c>
      <c r="AH640" s="7"/>
      <c r="AI640" s="7"/>
      <c r="AJ640" s="7"/>
      <c r="AK640" s="108">
        <v>7.23</v>
      </c>
      <c r="AL640" s="108">
        <v>0.61</v>
      </c>
      <c r="AM640" s="7">
        <v>12</v>
      </c>
      <c r="AN640" s="7"/>
      <c r="AO640" s="7"/>
      <c r="AP640" s="7"/>
      <c r="AQ640" s="7"/>
      <c r="AR640" s="7"/>
      <c r="AS640" s="7"/>
      <c r="AT640" s="184"/>
      <c r="AU640" s="7"/>
      <c r="AV640" s="7"/>
      <c r="AW640" s="7"/>
      <c r="AX640" s="7" t="s">
        <v>2989</v>
      </c>
      <c r="AY640" s="7" t="s">
        <v>1488</v>
      </c>
    </row>
    <row r="641" spans="1:51">
      <c r="A641" s="7" t="s">
        <v>33</v>
      </c>
      <c r="B641" s="7" t="s">
        <v>34</v>
      </c>
      <c r="C641" s="7" t="s">
        <v>61</v>
      </c>
      <c r="D641" s="7" t="s">
        <v>62</v>
      </c>
      <c r="E641" s="7" t="s">
        <v>2983</v>
      </c>
      <c r="F641" s="7" t="s">
        <v>2984</v>
      </c>
      <c r="G641" s="7" t="s">
        <v>2985</v>
      </c>
      <c r="H641" s="7" t="s">
        <v>4180</v>
      </c>
      <c r="I641" s="100">
        <f>(AVERAGE(450, 515))/1000</f>
        <v>0.48249999999999998</v>
      </c>
      <c r="J641" s="100">
        <f t="shared" si="108"/>
        <v>482.5</v>
      </c>
      <c r="K641" s="100">
        <f t="shared" si="109"/>
        <v>2.6834973176798114</v>
      </c>
      <c r="L641" s="73" t="s">
        <v>1502</v>
      </c>
      <c r="M641" s="7" t="s">
        <v>2986</v>
      </c>
      <c r="N641" s="7" t="s">
        <v>1538</v>
      </c>
      <c r="O641" s="7" t="s">
        <v>1494</v>
      </c>
      <c r="P641" s="108" t="s">
        <v>1492</v>
      </c>
      <c r="Q641" s="7" t="s">
        <v>2987</v>
      </c>
      <c r="R641" s="7">
        <v>53.33</v>
      </c>
      <c r="S641" s="7">
        <f t="shared" si="111"/>
        <v>53.33</v>
      </c>
      <c r="T641" s="7">
        <v>1.66</v>
      </c>
      <c r="U641" s="7">
        <v>1</v>
      </c>
      <c r="V641" s="7">
        <v>42</v>
      </c>
      <c r="W641" s="7">
        <f t="shared" si="110"/>
        <v>1.6232492903979006</v>
      </c>
      <c r="X641" s="7" t="s">
        <v>2284</v>
      </c>
      <c r="Y641" s="7" t="s">
        <v>2210</v>
      </c>
      <c r="Z641" s="7">
        <v>5</v>
      </c>
      <c r="AA641" s="7">
        <v>15</v>
      </c>
      <c r="AB641" s="7"/>
      <c r="AC641" s="7"/>
      <c r="AD641" s="7"/>
      <c r="AE641" s="108">
        <v>4.12</v>
      </c>
      <c r="AF641" s="108">
        <v>0.11</v>
      </c>
      <c r="AG641" s="7">
        <v>12</v>
      </c>
      <c r="AH641" s="7"/>
      <c r="AI641" s="7"/>
      <c r="AJ641" s="7"/>
      <c r="AK641" s="108">
        <v>2.2599999999999998</v>
      </c>
      <c r="AL641" s="108">
        <v>0.15</v>
      </c>
      <c r="AM641" s="7">
        <v>12</v>
      </c>
      <c r="AN641" s="7"/>
      <c r="AO641" s="7"/>
      <c r="AP641" s="7"/>
      <c r="AQ641" s="7"/>
      <c r="AR641" s="7"/>
      <c r="AS641" s="7"/>
      <c r="AT641" s="184"/>
      <c r="AU641" s="7"/>
      <c r="AV641" s="7"/>
      <c r="AW641" s="7"/>
      <c r="AX641" s="7" t="s">
        <v>2990</v>
      </c>
      <c r="AY641" s="7" t="s">
        <v>1488</v>
      </c>
    </row>
    <row r="642" spans="1:51">
      <c r="A642" s="7" t="s">
        <v>33</v>
      </c>
      <c r="B642" s="7" t="s">
        <v>34</v>
      </c>
      <c r="C642" s="7" t="s">
        <v>61</v>
      </c>
      <c r="D642" s="7" t="s">
        <v>62</v>
      </c>
      <c r="E642" s="7" t="s">
        <v>2983</v>
      </c>
      <c r="F642" s="7" t="s">
        <v>2984</v>
      </c>
      <c r="G642" s="7" t="s">
        <v>2985</v>
      </c>
      <c r="H642" s="7" t="s">
        <v>4180</v>
      </c>
      <c r="I642" s="100">
        <f>(AVERAGE(450, 515))/1000</f>
        <v>0.48249999999999998</v>
      </c>
      <c r="J642" s="100">
        <f t="shared" si="108"/>
        <v>482.5</v>
      </c>
      <c r="K642" s="100">
        <f t="shared" si="109"/>
        <v>2.6834973176798114</v>
      </c>
      <c r="L642" s="73" t="s">
        <v>1502</v>
      </c>
      <c r="M642" s="7" t="s">
        <v>2986</v>
      </c>
      <c r="N642" s="7" t="s">
        <v>1538</v>
      </c>
      <c r="O642" s="7" t="s">
        <v>1494</v>
      </c>
      <c r="P642" s="108" t="s">
        <v>1492</v>
      </c>
      <c r="Q642" s="7" t="s">
        <v>2987</v>
      </c>
      <c r="R642" s="7">
        <v>53.33</v>
      </c>
      <c r="S642" s="7">
        <f t="shared" si="111"/>
        <v>53.33</v>
      </c>
      <c r="T642" s="7">
        <v>1.66</v>
      </c>
      <c r="U642" s="7">
        <v>1</v>
      </c>
      <c r="V642" s="7">
        <v>42</v>
      </c>
      <c r="W642" s="7">
        <f t="shared" si="110"/>
        <v>1.6232492903979006</v>
      </c>
      <c r="X642" s="7" t="s">
        <v>1710</v>
      </c>
      <c r="Y642" s="7" t="s">
        <v>2210</v>
      </c>
      <c r="Z642" s="7">
        <v>5</v>
      </c>
      <c r="AA642" s="7">
        <v>15</v>
      </c>
      <c r="AB642" s="7"/>
      <c r="AC642" s="7"/>
      <c r="AD642" s="7"/>
      <c r="AE642" s="108">
        <v>21.85</v>
      </c>
      <c r="AF642" s="108">
        <v>2.5</v>
      </c>
      <c r="AG642" s="7">
        <v>12</v>
      </c>
      <c r="AH642" s="7"/>
      <c r="AI642" s="7"/>
      <c r="AJ642" s="7"/>
      <c r="AK642" s="108">
        <v>35.520000000000003</v>
      </c>
      <c r="AL642" s="108">
        <v>3.45</v>
      </c>
      <c r="AM642" s="7">
        <v>12</v>
      </c>
      <c r="AN642" s="7"/>
      <c r="AO642" s="7"/>
      <c r="AP642" s="7"/>
      <c r="AQ642" s="7"/>
      <c r="AR642" s="7"/>
      <c r="AS642" s="7"/>
      <c r="AT642" s="184"/>
      <c r="AU642" s="7"/>
      <c r="AV642" s="7"/>
      <c r="AW642" s="7"/>
      <c r="AX642" s="7" t="s">
        <v>2991</v>
      </c>
      <c r="AY642" s="7" t="s">
        <v>1488</v>
      </c>
    </row>
    <row r="643" spans="1:51">
      <c r="A643" s="7" t="s">
        <v>33</v>
      </c>
      <c r="B643" s="7" t="s">
        <v>34</v>
      </c>
      <c r="C643" s="7" t="s">
        <v>282</v>
      </c>
      <c r="D643" s="7" t="s">
        <v>1961</v>
      </c>
      <c r="E643" s="7" t="s">
        <v>2992</v>
      </c>
      <c r="F643" s="7" t="s">
        <v>2442</v>
      </c>
      <c r="G643" s="7" t="s">
        <v>2993</v>
      </c>
      <c r="H643" s="7" t="s">
        <v>4180</v>
      </c>
      <c r="I643" s="100">
        <f>14/1000</f>
        <v>1.4E-2</v>
      </c>
      <c r="J643" s="100">
        <f t="shared" si="108"/>
        <v>14</v>
      </c>
      <c r="K643" s="100">
        <f t="shared" si="109"/>
        <v>1.146128035678238</v>
      </c>
      <c r="L643" s="73" t="s">
        <v>1517</v>
      </c>
      <c r="M643" s="7" t="s">
        <v>2994</v>
      </c>
      <c r="N643" s="7" t="s">
        <v>1504</v>
      </c>
      <c r="O643" s="7" t="s">
        <v>1505</v>
      </c>
      <c r="P643" s="108" t="s">
        <v>1492</v>
      </c>
      <c r="Q643" s="7" t="s">
        <v>2995</v>
      </c>
      <c r="R643" s="7">
        <v>33.450000000000003</v>
      </c>
      <c r="S643" s="7">
        <f t="shared" si="111"/>
        <v>33.450000000000003</v>
      </c>
      <c r="T643" s="7">
        <v>71.7</v>
      </c>
      <c r="U643" s="7">
        <v>1</v>
      </c>
      <c r="V643" s="7">
        <v>45</v>
      </c>
      <c r="W643" s="7">
        <f t="shared" si="110"/>
        <v>1.6532125137753437</v>
      </c>
      <c r="X643" s="7" t="s">
        <v>1779</v>
      </c>
      <c r="Y643" s="7" t="s">
        <v>1781</v>
      </c>
      <c r="Z643" s="7">
        <v>15</v>
      </c>
      <c r="AA643" s="7">
        <v>25</v>
      </c>
      <c r="AB643" s="108">
        <v>3.1262500000000002</v>
      </c>
      <c r="AC643" s="108">
        <v>0.15631249999999999</v>
      </c>
      <c r="AD643" s="7">
        <v>10</v>
      </c>
      <c r="AE643" s="7"/>
      <c r="AF643" s="7"/>
      <c r="AG643" s="7"/>
      <c r="AH643" s="7"/>
      <c r="AI643" s="7"/>
      <c r="AJ643" s="7"/>
      <c r="AK643" s="108">
        <v>23.446874999999999</v>
      </c>
      <c r="AL643" s="108">
        <v>2.5009999999999999</v>
      </c>
      <c r="AM643" s="108">
        <v>12</v>
      </c>
      <c r="AN643" s="7"/>
      <c r="AO643" s="7"/>
      <c r="AP643" s="7"/>
      <c r="AQ643" s="7"/>
      <c r="AR643" s="7"/>
      <c r="AS643" s="7"/>
      <c r="AT643" s="184"/>
      <c r="AU643" s="108"/>
      <c r="AV643" s="7"/>
      <c r="AW643" s="7"/>
      <c r="AX643" s="7" t="s">
        <v>2996</v>
      </c>
      <c r="AY643" s="7" t="s">
        <v>1488</v>
      </c>
    </row>
    <row r="644" spans="1:51">
      <c r="A644" s="7" t="s">
        <v>33</v>
      </c>
      <c r="B644" s="7" t="s">
        <v>34</v>
      </c>
      <c r="C644" s="7" t="s">
        <v>282</v>
      </c>
      <c r="D644" s="7" t="s">
        <v>1961</v>
      </c>
      <c r="E644" s="7" t="s">
        <v>2992</v>
      </c>
      <c r="F644" s="7" t="s">
        <v>2442</v>
      </c>
      <c r="G644" s="7" t="s">
        <v>2993</v>
      </c>
      <c r="H644" s="7" t="s">
        <v>4180</v>
      </c>
      <c r="I644" s="100">
        <f>17/1000</f>
        <v>1.7000000000000001E-2</v>
      </c>
      <c r="J644" s="100">
        <f t="shared" si="108"/>
        <v>17</v>
      </c>
      <c r="K644" s="100">
        <f t="shared" si="109"/>
        <v>1.2304489213782739</v>
      </c>
      <c r="L644" s="73" t="s">
        <v>1517</v>
      </c>
      <c r="M644" s="7" t="s">
        <v>2994</v>
      </c>
      <c r="N644" s="7" t="s">
        <v>1504</v>
      </c>
      <c r="O644" s="7" t="s">
        <v>1505</v>
      </c>
      <c r="P644" s="108" t="s">
        <v>1492</v>
      </c>
      <c r="Q644" s="7" t="s">
        <v>2997</v>
      </c>
      <c r="R644" s="7">
        <v>28.05</v>
      </c>
      <c r="S644" s="7">
        <f t="shared" si="111"/>
        <v>28.05</v>
      </c>
      <c r="T644" s="7">
        <v>71.150000000000006</v>
      </c>
      <c r="U644" s="7">
        <v>1</v>
      </c>
      <c r="V644" s="7">
        <v>46</v>
      </c>
      <c r="W644" s="7">
        <f t="shared" si="110"/>
        <v>1.6627578316815741</v>
      </c>
      <c r="X644" s="7" t="s">
        <v>1779</v>
      </c>
      <c r="Y644" s="7" t="s">
        <v>1781</v>
      </c>
      <c r="Z644" s="7">
        <v>15</v>
      </c>
      <c r="AA644" s="7">
        <v>25</v>
      </c>
      <c r="AB644" s="108">
        <v>11.2545</v>
      </c>
      <c r="AC644" s="108">
        <v>1.5631250000000001</v>
      </c>
      <c r="AD644" s="7">
        <v>13</v>
      </c>
      <c r="AE644" s="7"/>
      <c r="AF644" s="7"/>
      <c r="AG644" s="7"/>
      <c r="AH644" s="7"/>
      <c r="AI644" s="7"/>
      <c r="AJ644" s="7"/>
      <c r="AK644" s="108">
        <v>6.2525000000000004</v>
      </c>
      <c r="AL644" s="108">
        <v>0.62524999999999997</v>
      </c>
      <c r="AM644" s="108">
        <v>13</v>
      </c>
      <c r="AN644" s="7"/>
      <c r="AO644" s="7"/>
      <c r="AP644" s="7"/>
      <c r="AQ644" s="7"/>
      <c r="AR644" s="7"/>
      <c r="AS644" s="7"/>
      <c r="AT644" s="184"/>
      <c r="AU644" s="108"/>
      <c r="AV644" s="7"/>
      <c r="AW644" s="7"/>
      <c r="AX644" s="7" t="s">
        <v>2998</v>
      </c>
      <c r="AY644" s="7" t="s">
        <v>1488</v>
      </c>
    </row>
    <row r="645" spans="1:51">
      <c r="A645" s="7" t="s">
        <v>33</v>
      </c>
      <c r="B645" s="7" t="s">
        <v>34</v>
      </c>
      <c r="C645" s="7" t="s">
        <v>282</v>
      </c>
      <c r="D645" s="7" t="s">
        <v>1961</v>
      </c>
      <c r="E645" s="7" t="s">
        <v>2992</v>
      </c>
      <c r="F645" s="7" t="s">
        <v>2442</v>
      </c>
      <c r="G645" s="7" t="s">
        <v>2993</v>
      </c>
      <c r="H645" s="7" t="s">
        <v>4180</v>
      </c>
      <c r="I645" s="100">
        <f>20/1000</f>
        <v>0.02</v>
      </c>
      <c r="J645" s="100">
        <f t="shared" si="108"/>
        <v>20</v>
      </c>
      <c r="K645" s="100">
        <f t="shared" si="109"/>
        <v>1.3010299956639813</v>
      </c>
      <c r="L645" s="73" t="s">
        <v>1517</v>
      </c>
      <c r="M645" s="7" t="s">
        <v>2994</v>
      </c>
      <c r="N645" s="7" t="s">
        <v>1504</v>
      </c>
      <c r="O645" s="7" t="s">
        <v>1505</v>
      </c>
      <c r="P645" s="108" t="s">
        <v>1492</v>
      </c>
      <c r="Q645" s="7" t="s">
        <v>2999</v>
      </c>
      <c r="R645" s="7">
        <v>23.35</v>
      </c>
      <c r="S645" s="7">
        <f t="shared" si="111"/>
        <v>23.35</v>
      </c>
      <c r="T645" s="7">
        <v>70.650000000000006</v>
      </c>
      <c r="U645" s="7">
        <v>1</v>
      </c>
      <c r="V645" s="7">
        <v>47</v>
      </c>
      <c r="W645" s="7">
        <f t="shared" si="110"/>
        <v>1.6720978579357175</v>
      </c>
      <c r="X645" s="7" t="s">
        <v>1779</v>
      </c>
      <c r="Y645" s="7" t="s">
        <v>1781</v>
      </c>
      <c r="Z645" s="7">
        <v>15</v>
      </c>
      <c r="AA645" s="7">
        <v>25</v>
      </c>
      <c r="AB645" s="108">
        <v>10.316625</v>
      </c>
      <c r="AC645" s="108">
        <v>0.78156250000000005</v>
      </c>
      <c r="AD645" s="7">
        <v>10</v>
      </c>
      <c r="AE645" s="7"/>
      <c r="AF645" s="7"/>
      <c r="AG645" s="7"/>
      <c r="AH645" s="7"/>
      <c r="AI645" s="7"/>
      <c r="AJ645" s="7"/>
      <c r="AK645" s="108">
        <v>12.505000000000001</v>
      </c>
      <c r="AL645" s="108">
        <v>2.1883750000000002</v>
      </c>
      <c r="AM645" s="108">
        <v>11</v>
      </c>
      <c r="AN645" s="7"/>
      <c r="AO645" s="7"/>
      <c r="AP645" s="7"/>
      <c r="AQ645" s="7"/>
      <c r="AR645" s="7"/>
      <c r="AS645" s="7"/>
      <c r="AT645" s="184"/>
      <c r="AU645" s="108"/>
      <c r="AV645" s="7"/>
      <c r="AW645" s="7"/>
      <c r="AX645" s="7" t="s">
        <v>2994</v>
      </c>
      <c r="AY645" s="7" t="s">
        <v>1488</v>
      </c>
    </row>
    <row r="646" spans="1:51">
      <c r="A646" s="7" t="s">
        <v>33</v>
      </c>
      <c r="B646" s="7" t="s">
        <v>34</v>
      </c>
      <c r="C646" s="7" t="s">
        <v>1512</v>
      </c>
      <c r="D646" s="7" t="s">
        <v>1513</v>
      </c>
      <c r="E646" s="7" t="s">
        <v>1514</v>
      </c>
      <c r="F646" s="7" t="s">
        <v>3000</v>
      </c>
      <c r="G646" s="7" t="s">
        <v>3001</v>
      </c>
      <c r="H646" s="7" t="s">
        <v>4180</v>
      </c>
      <c r="I646" s="100">
        <v>1.5</v>
      </c>
      <c r="J646" s="100">
        <f t="shared" si="108"/>
        <v>1500</v>
      </c>
      <c r="K646" s="100">
        <f t="shared" si="109"/>
        <v>3.1760912590556813</v>
      </c>
      <c r="L646" s="73" t="s">
        <v>1517</v>
      </c>
      <c r="M646" s="7" t="s">
        <v>3002</v>
      </c>
      <c r="N646" s="7" t="s">
        <v>1504</v>
      </c>
      <c r="O646" s="7" t="s">
        <v>1505</v>
      </c>
      <c r="P646" s="108" t="s">
        <v>1492</v>
      </c>
      <c r="Q646" s="7" t="s">
        <v>3003</v>
      </c>
      <c r="R646" s="7">
        <v>57.75</v>
      </c>
      <c r="S646" s="7">
        <f t="shared" si="111"/>
        <v>57.75</v>
      </c>
      <c r="T646" s="7">
        <v>152.25</v>
      </c>
      <c r="U646" s="7">
        <v>1</v>
      </c>
      <c r="V646" s="7">
        <v>48</v>
      </c>
      <c r="W646" s="7">
        <f t="shared" si="110"/>
        <v>1.6812412373755872</v>
      </c>
      <c r="X646" s="7" t="s">
        <v>1779</v>
      </c>
      <c r="Y646" s="7" t="s">
        <v>1781</v>
      </c>
      <c r="Z646" s="7">
        <v>4</v>
      </c>
      <c r="AA646" s="7">
        <v>11</v>
      </c>
      <c r="AB646" s="108">
        <v>1.19</v>
      </c>
      <c r="AC646" s="108">
        <v>0.25</v>
      </c>
      <c r="AD646" s="7">
        <v>8</v>
      </c>
      <c r="AE646" s="7"/>
      <c r="AF646" s="7"/>
      <c r="AG646" s="7"/>
      <c r="AH646" s="7"/>
      <c r="AI646" s="7"/>
      <c r="AJ646" s="7"/>
      <c r="AK646" s="108">
        <v>1.53</v>
      </c>
      <c r="AL646" s="108">
        <v>0.22</v>
      </c>
      <c r="AM646" s="7">
        <v>8</v>
      </c>
      <c r="AN646" s="7"/>
      <c r="AO646" s="7"/>
      <c r="AP646" s="7"/>
      <c r="AQ646" s="7"/>
      <c r="AR646" s="7"/>
      <c r="AS646" s="7"/>
      <c r="AT646" s="184"/>
      <c r="AU646" s="7"/>
      <c r="AV646" s="7"/>
      <c r="AW646" s="7"/>
      <c r="AX646" s="7" t="s">
        <v>3002</v>
      </c>
      <c r="AY646" s="7" t="s">
        <v>1488</v>
      </c>
    </row>
    <row r="647" spans="1:51">
      <c r="A647" s="7" t="s">
        <v>33</v>
      </c>
      <c r="B647" s="7" t="s">
        <v>34</v>
      </c>
      <c r="C647" s="7" t="s">
        <v>282</v>
      </c>
      <c r="D647" s="7" t="s">
        <v>1840</v>
      </c>
      <c r="E647" s="7" t="s">
        <v>1841</v>
      </c>
      <c r="F647" s="7" t="s">
        <v>1842</v>
      </c>
      <c r="G647" s="7" t="s">
        <v>1843</v>
      </c>
      <c r="H647" s="7" t="s">
        <v>4180</v>
      </c>
      <c r="I647" s="100">
        <f>46.1/1000</f>
        <v>4.6100000000000002E-2</v>
      </c>
      <c r="J647" s="100">
        <f t="shared" si="108"/>
        <v>46.1</v>
      </c>
      <c r="K647" s="100">
        <f t="shared" si="109"/>
        <v>1.6637009253896482</v>
      </c>
      <c r="L647" s="73" t="s">
        <v>1502</v>
      </c>
      <c r="M647" s="7" t="s">
        <v>2927</v>
      </c>
      <c r="N647" s="7" t="s">
        <v>1504</v>
      </c>
      <c r="O647" s="7" t="s">
        <v>1505</v>
      </c>
      <c r="P647" s="108" t="s">
        <v>1492</v>
      </c>
      <c r="Q647" s="7" t="s">
        <v>1875</v>
      </c>
      <c r="R647" s="7">
        <v>54.5</v>
      </c>
      <c r="S647" s="7">
        <f t="shared" si="111"/>
        <v>54.5</v>
      </c>
      <c r="T647" s="7">
        <v>10.4</v>
      </c>
      <c r="U647" s="7">
        <v>1</v>
      </c>
      <c r="V647" s="7">
        <v>56</v>
      </c>
      <c r="W647" s="7">
        <f t="shared" si="110"/>
        <v>1.7481880270062005</v>
      </c>
      <c r="X647" s="7" t="s">
        <v>2284</v>
      </c>
      <c r="Y647" s="7" t="s">
        <v>2144</v>
      </c>
      <c r="Z647" s="7">
        <v>3.5</v>
      </c>
      <c r="AA647" s="7">
        <v>13.5</v>
      </c>
      <c r="AB647" s="108">
        <v>1.05</v>
      </c>
      <c r="AC647" s="7">
        <v>0.21</v>
      </c>
      <c r="AD647" s="108">
        <v>5</v>
      </c>
      <c r="AE647" s="7"/>
      <c r="AF647" s="7"/>
      <c r="AG647" s="7"/>
      <c r="AH647" s="7"/>
      <c r="AI647" s="7"/>
      <c r="AJ647" s="7"/>
      <c r="AK647" s="108">
        <v>0.8</v>
      </c>
      <c r="AL647" s="108">
        <v>0.13</v>
      </c>
      <c r="AM647" s="108">
        <v>5</v>
      </c>
      <c r="AN647" s="7"/>
      <c r="AO647" s="7"/>
      <c r="AP647" s="7"/>
      <c r="AQ647" s="7"/>
      <c r="AR647" s="7"/>
      <c r="AS647" s="7"/>
      <c r="AT647" s="184"/>
      <c r="AU647" s="108"/>
      <c r="AV647" s="7"/>
      <c r="AW647" s="7"/>
      <c r="AX647" s="7" t="s">
        <v>2927</v>
      </c>
      <c r="AY647" s="7" t="s">
        <v>1488</v>
      </c>
    </row>
    <row r="648" spans="1:51">
      <c r="A648" s="7" t="s">
        <v>33</v>
      </c>
      <c r="B648" s="7" t="s">
        <v>34</v>
      </c>
      <c r="C648" s="7" t="s">
        <v>282</v>
      </c>
      <c r="D648" s="7" t="s">
        <v>1840</v>
      </c>
      <c r="E648" s="7" t="s">
        <v>1841</v>
      </c>
      <c r="F648" s="7" t="s">
        <v>1842</v>
      </c>
      <c r="G648" s="7" t="s">
        <v>1843</v>
      </c>
      <c r="H648" s="7" t="s">
        <v>4180</v>
      </c>
      <c r="I648" s="100">
        <f>46.1/1000</f>
        <v>4.6100000000000002E-2</v>
      </c>
      <c r="J648" s="100">
        <f t="shared" si="108"/>
        <v>46.1</v>
      </c>
      <c r="K648" s="100">
        <f t="shared" si="109"/>
        <v>1.6637009253896482</v>
      </c>
      <c r="L648" s="73" t="s">
        <v>1502</v>
      </c>
      <c r="M648" s="7" t="s">
        <v>2927</v>
      </c>
      <c r="N648" s="7" t="s">
        <v>1504</v>
      </c>
      <c r="O648" s="7" t="s">
        <v>1505</v>
      </c>
      <c r="P648" s="108" t="s">
        <v>1492</v>
      </c>
      <c r="Q648" s="7" t="s">
        <v>1875</v>
      </c>
      <c r="R648" s="7">
        <v>54.5</v>
      </c>
      <c r="S648" s="7">
        <f t="shared" si="111"/>
        <v>54.5</v>
      </c>
      <c r="T648" s="7">
        <v>10.4</v>
      </c>
      <c r="U648" s="7">
        <v>1</v>
      </c>
      <c r="V648" s="7">
        <v>56</v>
      </c>
      <c r="W648" s="7">
        <f t="shared" si="110"/>
        <v>1.7481880270062005</v>
      </c>
      <c r="X648" s="7" t="s">
        <v>2320</v>
      </c>
      <c r="Y648" s="7" t="s">
        <v>2144</v>
      </c>
      <c r="Z648" s="7">
        <v>3.5</v>
      </c>
      <c r="AA648" s="7">
        <v>13.5</v>
      </c>
      <c r="AB648" s="108">
        <v>3.09</v>
      </c>
      <c r="AC648" s="7">
        <v>0.33</v>
      </c>
      <c r="AD648" s="108">
        <v>5</v>
      </c>
      <c r="AE648" s="7"/>
      <c r="AF648" s="7"/>
      <c r="AG648" s="7"/>
      <c r="AH648" s="7"/>
      <c r="AI648" s="7"/>
      <c r="AJ648" s="7"/>
      <c r="AK648" s="108">
        <v>3.49</v>
      </c>
      <c r="AL648" s="108">
        <v>0.2</v>
      </c>
      <c r="AM648" s="108">
        <v>5</v>
      </c>
      <c r="AN648" s="7"/>
      <c r="AO648" s="7"/>
      <c r="AP648" s="7"/>
      <c r="AQ648" s="7"/>
      <c r="AR648" s="7"/>
      <c r="AS648" s="7"/>
      <c r="AT648" s="184"/>
      <c r="AU648" s="108"/>
      <c r="AV648" s="7"/>
      <c r="AW648" s="7"/>
      <c r="AX648" s="7" t="s">
        <v>3004</v>
      </c>
      <c r="AY648" s="7" t="s">
        <v>1488</v>
      </c>
    </row>
    <row r="649" spans="1:51">
      <c r="A649" s="7" t="s">
        <v>33</v>
      </c>
      <c r="B649" s="7" t="s">
        <v>34</v>
      </c>
      <c r="C649" s="7" t="s">
        <v>1512</v>
      </c>
      <c r="D649" s="7" t="s">
        <v>1513</v>
      </c>
      <c r="E649" s="7" t="s">
        <v>1514</v>
      </c>
      <c r="F649" s="7" t="s">
        <v>3000</v>
      </c>
      <c r="G649" s="7" t="s">
        <v>3001</v>
      </c>
      <c r="H649" s="7" t="s">
        <v>4180</v>
      </c>
      <c r="I649" s="100">
        <f>302.5/1000</f>
        <v>0.30249999999999999</v>
      </c>
      <c r="J649" s="100">
        <f t="shared" si="108"/>
        <v>302.5</v>
      </c>
      <c r="K649" s="100">
        <f t="shared" si="109"/>
        <v>2.4807253789884878</v>
      </c>
      <c r="L649" s="73" t="s">
        <v>1502</v>
      </c>
      <c r="M649" s="7" t="s">
        <v>3005</v>
      </c>
      <c r="N649" s="7" t="s">
        <v>1504</v>
      </c>
      <c r="O649" s="7" t="s">
        <v>1494</v>
      </c>
      <c r="P649" s="108" t="s">
        <v>1492</v>
      </c>
      <c r="Q649" s="7" t="s">
        <v>3006</v>
      </c>
      <c r="R649" s="7">
        <v>62.5</v>
      </c>
      <c r="S649" s="7">
        <f t="shared" si="111"/>
        <v>62.5</v>
      </c>
      <c r="T649" s="7">
        <v>7.15</v>
      </c>
      <c r="U649" s="7">
        <v>1</v>
      </c>
      <c r="V649" s="7">
        <v>56</v>
      </c>
      <c r="W649" s="7">
        <f t="shared" si="110"/>
        <v>1.7481880270062005</v>
      </c>
      <c r="X649" s="7" t="s">
        <v>2131</v>
      </c>
      <c r="Y649" s="7" t="s">
        <v>2147</v>
      </c>
      <c r="Z649" s="7">
        <v>6</v>
      </c>
      <c r="AA649" s="7">
        <v>14</v>
      </c>
      <c r="AB649" s="108">
        <v>162.19999999999999</v>
      </c>
      <c r="AC649" s="108">
        <v>5</v>
      </c>
      <c r="AD649" s="108">
        <v>36</v>
      </c>
      <c r="AE649" s="7"/>
      <c r="AF649" s="7"/>
      <c r="AG649" s="7"/>
      <c r="AH649" s="7"/>
      <c r="AI649" s="7"/>
      <c r="AJ649" s="7"/>
      <c r="AK649" s="108">
        <v>275.89999999999998</v>
      </c>
      <c r="AL649" s="108">
        <v>6.4</v>
      </c>
      <c r="AM649" s="108">
        <v>54</v>
      </c>
      <c r="AN649" s="7"/>
      <c r="AO649" s="7"/>
      <c r="AP649" s="7"/>
      <c r="AQ649" s="7"/>
      <c r="AR649" s="7"/>
      <c r="AS649" s="7"/>
      <c r="AT649" s="184"/>
      <c r="AU649" s="108"/>
      <c r="AV649" s="7"/>
      <c r="AW649" s="7"/>
      <c r="AX649" s="7" t="s">
        <v>3005</v>
      </c>
      <c r="AY649" s="7" t="s">
        <v>1488</v>
      </c>
    </row>
    <row r="650" spans="1:51">
      <c r="A650" s="7" t="s">
        <v>33</v>
      </c>
      <c r="B650" s="7" t="s">
        <v>34</v>
      </c>
      <c r="C650" s="7" t="s">
        <v>282</v>
      </c>
      <c r="D650" s="7" t="s">
        <v>1840</v>
      </c>
      <c r="E650" s="7" t="s">
        <v>1841</v>
      </c>
      <c r="F650" s="7" t="s">
        <v>1842</v>
      </c>
      <c r="G650" s="7" t="s">
        <v>1843</v>
      </c>
      <c r="H650" s="7" t="s">
        <v>4180</v>
      </c>
      <c r="I650" s="100">
        <f>67.3/1000</f>
        <v>6.7299999999999999E-2</v>
      </c>
      <c r="J650" s="100">
        <f t="shared" si="108"/>
        <v>67.3</v>
      </c>
      <c r="K650" s="100">
        <f t="shared" si="109"/>
        <v>1.8280150642239767</v>
      </c>
      <c r="L650" s="73" t="s">
        <v>1502</v>
      </c>
      <c r="M650" s="7" t="s">
        <v>3007</v>
      </c>
      <c r="N650" s="7" t="s">
        <v>1504</v>
      </c>
      <c r="O650" s="7" t="s">
        <v>1505</v>
      </c>
      <c r="P650" s="108" t="s">
        <v>1539</v>
      </c>
      <c r="Q650" s="7" t="s">
        <v>3008</v>
      </c>
      <c r="R650" s="7">
        <v>54.45</v>
      </c>
      <c r="S650" s="7">
        <f t="shared" si="111"/>
        <v>54.45</v>
      </c>
      <c r="T650" s="7">
        <v>7.2</v>
      </c>
      <c r="U650" s="7">
        <v>1</v>
      </c>
      <c r="V650" s="7">
        <v>60</v>
      </c>
      <c r="W650" s="7">
        <f t="shared" si="110"/>
        <v>1.7781512503836436</v>
      </c>
      <c r="X650" s="7" t="s">
        <v>2284</v>
      </c>
      <c r="Y650" s="7" t="s">
        <v>3009</v>
      </c>
      <c r="Z650" s="7">
        <v>4</v>
      </c>
      <c r="AA650" s="7">
        <v>11</v>
      </c>
      <c r="AB650" s="7">
        <v>6.2</v>
      </c>
      <c r="AC650" s="7">
        <v>0.7</v>
      </c>
      <c r="AD650" s="7">
        <v>4</v>
      </c>
      <c r="AE650" s="7"/>
      <c r="AF650" s="7"/>
      <c r="AG650" s="7"/>
      <c r="AH650" s="7"/>
      <c r="AI650" s="7"/>
      <c r="AJ650" s="7"/>
      <c r="AK650" s="108">
        <v>4.2</v>
      </c>
      <c r="AL650" s="108">
        <v>0.2</v>
      </c>
      <c r="AM650" s="7">
        <v>4</v>
      </c>
      <c r="AN650" s="7"/>
      <c r="AO650" s="7"/>
      <c r="AP650" s="7"/>
      <c r="AQ650" s="7"/>
      <c r="AR650" s="7"/>
      <c r="AS650" s="7"/>
      <c r="AT650" s="184"/>
      <c r="AU650" s="7"/>
      <c r="AV650" s="7" t="s">
        <v>3010</v>
      </c>
      <c r="AW650" s="7"/>
      <c r="AX650" s="7" t="s">
        <v>3007</v>
      </c>
      <c r="AY650" s="7" t="s">
        <v>1488</v>
      </c>
    </row>
    <row r="651" spans="1:51">
      <c r="A651" s="7" t="s">
        <v>33</v>
      </c>
      <c r="B651" s="7" t="s">
        <v>34</v>
      </c>
      <c r="C651" s="7" t="s">
        <v>282</v>
      </c>
      <c r="D651" s="7" t="s">
        <v>1840</v>
      </c>
      <c r="E651" s="7" t="s">
        <v>1841</v>
      </c>
      <c r="F651" s="7" t="s">
        <v>1842</v>
      </c>
      <c r="G651" s="7" t="s">
        <v>1843</v>
      </c>
      <c r="H651" s="7" t="s">
        <v>4180</v>
      </c>
      <c r="I651" s="100">
        <f>67.3/1000</f>
        <v>6.7299999999999999E-2</v>
      </c>
      <c r="J651" s="100">
        <f t="shared" si="108"/>
        <v>67.3</v>
      </c>
      <c r="K651" s="100">
        <f t="shared" si="109"/>
        <v>1.8280150642239767</v>
      </c>
      <c r="L651" s="73" t="s">
        <v>1502</v>
      </c>
      <c r="M651" s="7" t="s">
        <v>3007</v>
      </c>
      <c r="N651" s="7" t="s">
        <v>1504</v>
      </c>
      <c r="O651" s="7" t="s">
        <v>1505</v>
      </c>
      <c r="P651" s="108" t="s">
        <v>1539</v>
      </c>
      <c r="Q651" s="7" t="s">
        <v>3008</v>
      </c>
      <c r="R651" s="7">
        <v>54.45</v>
      </c>
      <c r="S651" s="7">
        <f t="shared" si="111"/>
        <v>54.45</v>
      </c>
      <c r="T651" s="7">
        <v>7.2</v>
      </c>
      <c r="U651" s="7">
        <v>1</v>
      </c>
      <c r="V651" s="7">
        <v>60</v>
      </c>
      <c r="W651" s="7">
        <f t="shared" si="110"/>
        <v>1.7781512503836436</v>
      </c>
      <c r="X651" s="7" t="s">
        <v>2320</v>
      </c>
      <c r="Y651" s="7" t="s">
        <v>3009</v>
      </c>
      <c r="Z651" s="7">
        <v>4</v>
      </c>
      <c r="AA651" s="7">
        <v>11</v>
      </c>
      <c r="AB651" s="7">
        <v>22</v>
      </c>
      <c r="AC651" s="7">
        <v>4</v>
      </c>
      <c r="AD651" s="7">
        <v>4</v>
      </c>
      <c r="AE651" s="7"/>
      <c r="AF651" s="7"/>
      <c r="AG651" s="7"/>
      <c r="AH651" s="7"/>
      <c r="AI651" s="7"/>
      <c r="AJ651" s="7"/>
      <c r="AK651" s="108">
        <v>24</v>
      </c>
      <c r="AL651" s="7">
        <v>1</v>
      </c>
      <c r="AM651" s="7">
        <v>4</v>
      </c>
      <c r="AN651" s="7"/>
      <c r="AO651" s="7"/>
      <c r="AP651" s="7"/>
      <c r="AQ651" s="7"/>
      <c r="AR651" s="7"/>
      <c r="AS651" s="7"/>
      <c r="AT651" s="184"/>
      <c r="AU651" s="7"/>
      <c r="AV651" s="7" t="s">
        <v>3010</v>
      </c>
      <c r="AW651" s="7"/>
      <c r="AX651" s="7" t="s">
        <v>3011</v>
      </c>
      <c r="AY651" s="7" t="s">
        <v>1488</v>
      </c>
    </row>
    <row r="652" spans="1:51">
      <c r="A652" s="7" t="s">
        <v>33</v>
      </c>
      <c r="B652" s="7" t="s">
        <v>34</v>
      </c>
      <c r="C652" s="7" t="s">
        <v>1601</v>
      </c>
      <c r="D652" s="7" t="s">
        <v>1602</v>
      </c>
      <c r="E652" s="7" t="s">
        <v>1603</v>
      </c>
      <c r="F652" s="7" t="s">
        <v>1604</v>
      </c>
      <c r="G652" s="7" t="s">
        <v>1605</v>
      </c>
      <c r="H652" s="7" t="s">
        <v>4180</v>
      </c>
      <c r="I652" s="100">
        <f t="shared" ref="I652:I657" si="112">(AVERAGE(410, 465, 783, 788, 734, 725, 829, 807))/1000000</f>
        <v>6.9262499999999999E-4</v>
      </c>
      <c r="J652" s="100">
        <f t="shared" si="108"/>
        <v>0.69262499999999994</v>
      </c>
      <c r="K652" s="100">
        <f t="shared" si="109"/>
        <v>-0.15950183683203978</v>
      </c>
      <c r="L652" s="73" t="s">
        <v>1502</v>
      </c>
      <c r="M652" s="7" t="s">
        <v>1606</v>
      </c>
      <c r="N652" s="7" t="s">
        <v>1538</v>
      </c>
      <c r="O652" s="7" t="s">
        <v>1505</v>
      </c>
      <c r="P652" s="108" t="s">
        <v>1492</v>
      </c>
      <c r="Q652" s="7" t="s">
        <v>3012</v>
      </c>
      <c r="R652" s="7">
        <v>61.85</v>
      </c>
      <c r="S652" s="7">
        <f t="shared" si="111"/>
        <v>61.85</v>
      </c>
      <c r="T652" s="7">
        <v>150</v>
      </c>
      <c r="U652" s="7">
        <v>1</v>
      </c>
      <c r="V652" s="7">
        <v>63</v>
      </c>
      <c r="W652" s="7">
        <f t="shared" si="110"/>
        <v>1.7993405494535817</v>
      </c>
      <c r="X652" s="7" t="s">
        <v>2711</v>
      </c>
      <c r="Y652" s="7" t="s">
        <v>2285</v>
      </c>
      <c r="Z652" s="7">
        <v>8</v>
      </c>
      <c r="AA652" s="7">
        <v>20</v>
      </c>
      <c r="AB652" s="108">
        <v>6.3</v>
      </c>
      <c r="AC652" s="108">
        <v>0.15</v>
      </c>
      <c r="AD652" s="108">
        <v>5</v>
      </c>
      <c r="AE652" s="7"/>
      <c r="AF652" s="7"/>
      <c r="AG652" s="7"/>
      <c r="AH652" s="7"/>
      <c r="AI652" s="7"/>
      <c r="AJ652" s="7"/>
      <c r="AK652" s="108">
        <v>4.5999999999999996</v>
      </c>
      <c r="AL652" s="108">
        <v>0.1</v>
      </c>
      <c r="AM652" s="108">
        <v>5</v>
      </c>
      <c r="AN652" s="7"/>
      <c r="AO652" s="7"/>
      <c r="AP652" s="7"/>
      <c r="AQ652" s="7"/>
      <c r="AR652" s="7"/>
      <c r="AS652" s="7"/>
      <c r="AT652" s="184"/>
      <c r="AU652" s="108"/>
      <c r="AV652" s="7"/>
      <c r="AW652" s="7"/>
      <c r="AX652" s="7" t="s">
        <v>3013</v>
      </c>
      <c r="AY652" s="7" t="s">
        <v>1488</v>
      </c>
    </row>
    <row r="653" spans="1:51">
      <c r="A653" s="7" t="s">
        <v>33</v>
      </c>
      <c r="B653" s="7" t="s">
        <v>34</v>
      </c>
      <c r="C653" s="7" t="s">
        <v>1601</v>
      </c>
      <c r="D653" s="7" t="s">
        <v>1602</v>
      </c>
      <c r="E653" s="7" t="s">
        <v>1603</v>
      </c>
      <c r="F653" s="7" t="s">
        <v>1604</v>
      </c>
      <c r="G653" s="7" t="s">
        <v>1605</v>
      </c>
      <c r="H653" s="7" t="s">
        <v>4180</v>
      </c>
      <c r="I653" s="100">
        <f t="shared" si="112"/>
        <v>6.9262499999999999E-4</v>
      </c>
      <c r="J653" s="100">
        <f t="shared" si="108"/>
        <v>0.69262499999999994</v>
      </c>
      <c r="K653" s="100">
        <f t="shared" si="109"/>
        <v>-0.15950183683203978</v>
      </c>
      <c r="L653" s="73" t="s">
        <v>1502</v>
      </c>
      <c r="M653" s="7" t="s">
        <v>3014</v>
      </c>
      <c r="N653" s="7" t="s">
        <v>1538</v>
      </c>
      <c r="O653" s="7" t="s">
        <v>1505</v>
      </c>
      <c r="P653" s="108" t="s">
        <v>1492</v>
      </c>
      <c r="Q653" s="7" t="s">
        <v>3012</v>
      </c>
      <c r="R653" s="7">
        <v>61.85</v>
      </c>
      <c r="S653" s="7">
        <f t="shared" si="111"/>
        <v>61.85</v>
      </c>
      <c r="T653" s="7">
        <v>150</v>
      </c>
      <c r="U653" s="7">
        <v>1</v>
      </c>
      <c r="V653" s="7">
        <v>63</v>
      </c>
      <c r="W653" s="7">
        <f t="shared" si="110"/>
        <v>1.7993405494535817</v>
      </c>
      <c r="X653" s="7" t="s">
        <v>2711</v>
      </c>
      <c r="Y653" s="7" t="s">
        <v>2147</v>
      </c>
      <c r="Z653" s="7">
        <v>8</v>
      </c>
      <c r="AA653" s="7">
        <v>20</v>
      </c>
      <c r="AB653" s="108">
        <v>1.95</v>
      </c>
      <c r="AC653" s="108">
        <v>0.1</v>
      </c>
      <c r="AD653" s="108">
        <v>5</v>
      </c>
      <c r="AE653" s="7"/>
      <c r="AF653" s="7"/>
      <c r="AG653" s="7"/>
      <c r="AH653" s="7"/>
      <c r="AI653" s="7"/>
      <c r="AJ653" s="7"/>
      <c r="AK653" s="108">
        <v>1.9</v>
      </c>
      <c r="AL653" s="108">
        <v>0.08</v>
      </c>
      <c r="AM653" s="108">
        <v>5</v>
      </c>
      <c r="AN653" s="7"/>
      <c r="AO653" s="7"/>
      <c r="AP653" s="7"/>
      <c r="AQ653" s="7"/>
      <c r="AR653" s="7"/>
      <c r="AS653" s="7"/>
      <c r="AT653" s="184"/>
      <c r="AU653" s="108"/>
      <c r="AV653" s="7"/>
      <c r="AW653" s="7"/>
      <c r="AX653" s="7" t="s">
        <v>3015</v>
      </c>
      <c r="AY653" s="7" t="s">
        <v>1488</v>
      </c>
    </row>
    <row r="654" spans="1:51">
      <c r="A654" s="7" t="s">
        <v>33</v>
      </c>
      <c r="B654" s="7" t="s">
        <v>34</v>
      </c>
      <c r="C654" s="7" t="s">
        <v>1601</v>
      </c>
      <c r="D654" s="7" t="s">
        <v>1602</v>
      </c>
      <c r="E654" s="7" t="s">
        <v>1603</v>
      </c>
      <c r="F654" s="7" t="s">
        <v>1604</v>
      </c>
      <c r="G654" s="7" t="s">
        <v>1605</v>
      </c>
      <c r="H654" s="7" t="s">
        <v>4180</v>
      </c>
      <c r="I654" s="100">
        <f t="shared" si="112"/>
        <v>6.9262499999999999E-4</v>
      </c>
      <c r="J654" s="100">
        <f t="shared" si="108"/>
        <v>0.69262499999999994</v>
      </c>
      <c r="K654" s="100">
        <f t="shared" si="109"/>
        <v>-0.15950183683203978</v>
      </c>
      <c r="L654" s="73" t="s">
        <v>1502</v>
      </c>
      <c r="M654" s="7" t="s">
        <v>3016</v>
      </c>
      <c r="N654" s="7" t="s">
        <v>1538</v>
      </c>
      <c r="O654" s="7" t="s">
        <v>1505</v>
      </c>
      <c r="P654" s="108" t="s">
        <v>1492</v>
      </c>
      <c r="Q654" s="7" t="s">
        <v>3012</v>
      </c>
      <c r="R654" s="7">
        <v>61.85</v>
      </c>
      <c r="S654" s="7">
        <f t="shared" si="111"/>
        <v>61.85</v>
      </c>
      <c r="T654" s="7">
        <v>150</v>
      </c>
      <c r="U654" s="7">
        <v>1</v>
      </c>
      <c r="V654" s="7">
        <v>63</v>
      </c>
      <c r="W654" s="7">
        <f t="shared" si="110"/>
        <v>1.7993405494535817</v>
      </c>
      <c r="X654" s="7" t="s">
        <v>2711</v>
      </c>
      <c r="Y654" s="7" t="s">
        <v>2144</v>
      </c>
      <c r="Z654" s="7">
        <v>8</v>
      </c>
      <c r="AA654" s="7">
        <v>20</v>
      </c>
      <c r="AB654" s="108">
        <v>4.7</v>
      </c>
      <c r="AC654" s="108">
        <v>0.1</v>
      </c>
      <c r="AD654" s="108">
        <v>5</v>
      </c>
      <c r="AE654" s="7"/>
      <c r="AF654" s="7"/>
      <c r="AG654" s="7"/>
      <c r="AH654" s="7"/>
      <c r="AI654" s="7"/>
      <c r="AJ654" s="7"/>
      <c r="AK654" s="108">
        <v>5.0999999999999996</v>
      </c>
      <c r="AL654" s="108">
        <v>0.15</v>
      </c>
      <c r="AM654" s="108">
        <v>5</v>
      </c>
      <c r="AN654" s="7"/>
      <c r="AO654" s="7"/>
      <c r="AP654" s="7"/>
      <c r="AQ654" s="7"/>
      <c r="AR654" s="7"/>
      <c r="AS654" s="7"/>
      <c r="AT654" s="184"/>
      <c r="AU654" s="108"/>
      <c r="AV654" s="7"/>
      <c r="AW654" s="7"/>
      <c r="AX654" s="7" t="s">
        <v>3017</v>
      </c>
      <c r="AY654" s="7" t="s">
        <v>1488</v>
      </c>
    </row>
    <row r="655" spans="1:51">
      <c r="A655" s="7" t="s">
        <v>33</v>
      </c>
      <c r="B655" s="7" t="s">
        <v>34</v>
      </c>
      <c r="C655" s="7" t="s">
        <v>1601</v>
      </c>
      <c r="D655" s="7" t="s">
        <v>1602</v>
      </c>
      <c r="E655" s="7" t="s">
        <v>1603</v>
      </c>
      <c r="F655" s="7" t="s">
        <v>1604</v>
      </c>
      <c r="G655" s="7" t="s">
        <v>1605</v>
      </c>
      <c r="H655" s="7" t="s">
        <v>4180</v>
      </c>
      <c r="I655" s="100">
        <f t="shared" si="112"/>
        <v>6.9262499999999999E-4</v>
      </c>
      <c r="J655" s="100">
        <f t="shared" si="108"/>
        <v>0.69262499999999994</v>
      </c>
      <c r="K655" s="100">
        <f t="shared" si="109"/>
        <v>-0.15950183683203978</v>
      </c>
      <c r="L655" s="73" t="s">
        <v>1502</v>
      </c>
      <c r="M655" s="7" t="s">
        <v>3018</v>
      </c>
      <c r="N655" s="7" t="s">
        <v>1538</v>
      </c>
      <c r="O655" s="7" t="s">
        <v>1505</v>
      </c>
      <c r="P655" s="108" t="s">
        <v>1492</v>
      </c>
      <c r="Q655" s="7" t="s">
        <v>3012</v>
      </c>
      <c r="R655" s="7">
        <v>61.85</v>
      </c>
      <c r="S655" s="7">
        <f t="shared" si="111"/>
        <v>61.85</v>
      </c>
      <c r="T655" s="7">
        <v>150</v>
      </c>
      <c r="U655" s="7">
        <v>1</v>
      </c>
      <c r="V655" s="7">
        <v>63</v>
      </c>
      <c r="W655" s="7">
        <f t="shared" si="110"/>
        <v>1.7993405494535817</v>
      </c>
      <c r="X655" s="7" t="s">
        <v>3019</v>
      </c>
      <c r="Y655" s="7" t="s">
        <v>2285</v>
      </c>
      <c r="Z655" s="7">
        <v>8</v>
      </c>
      <c r="AA655" s="7">
        <v>20</v>
      </c>
      <c r="AB655" s="108">
        <v>1.8</v>
      </c>
      <c r="AC655" s="108">
        <v>0.08</v>
      </c>
      <c r="AD655" s="108">
        <v>3</v>
      </c>
      <c r="AE655" s="7"/>
      <c r="AF655" s="7"/>
      <c r="AG655" s="7"/>
      <c r="AH655" s="7"/>
      <c r="AI655" s="7"/>
      <c r="AJ655" s="7"/>
      <c r="AK655" s="108">
        <v>5.0999999999999996</v>
      </c>
      <c r="AL655" s="108">
        <v>0.15</v>
      </c>
      <c r="AM655" s="108">
        <v>3</v>
      </c>
      <c r="AN655" s="7"/>
      <c r="AO655" s="7"/>
      <c r="AP655" s="7"/>
      <c r="AQ655" s="7"/>
      <c r="AR655" s="7"/>
      <c r="AS655" s="7"/>
      <c r="AT655" s="184"/>
      <c r="AU655" s="108"/>
      <c r="AV655" s="7"/>
      <c r="AW655" s="7"/>
      <c r="AX655" s="7" t="s">
        <v>3020</v>
      </c>
      <c r="AY655" s="7" t="s">
        <v>1488</v>
      </c>
    </row>
    <row r="656" spans="1:51">
      <c r="A656" s="7" t="s">
        <v>33</v>
      </c>
      <c r="B656" s="7" t="s">
        <v>34</v>
      </c>
      <c r="C656" s="7" t="s">
        <v>1601</v>
      </c>
      <c r="D656" s="7" t="s">
        <v>1602</v>
      </c>
      <c r="E656" s="7" t="s">
        <v>1603</v>
      </c>
      <c r="F656" s="7" t="s">
        <v>1604</v>
      </c>
      <c r="G656" s="7" t="s">
        <v>1605</v>
      </c>
      <c r="H656" s="7" t="s">
        <v>4180</v>
      </c>
      <c r="I656" s="100">
        <f t="shared" si="112"/>
        <v>6.9262499999999999E-4</v>
      </c>
      <c r="J656" s="100">
        <f t="shared" si="108"/>
        <v>0.69262499999999994</v>
      </c>
      <c r="K656" s="100">
        <f t="shared" si="109"/>
        <v>-0.15950183683203978</v>
      </c>
      <c r="L656" s="73" t="s">
        <v>1502</v>
      </c>
      <c r="M656" s="7" t="s">
        <v>3021</v>
      </c>
      <c r="N656" s="7" t="s">
        <v>1538</v>
      </c>
      <c r="O656" s="7" t="s">
        <v>1505</v>
      </c>
      <c r="P656" s="108" t="s">
        <v>1492</v>
      </c>
      <c r="Q656" s="7" t="s">
        <v>3012</v>
      </c>
      <c r="R656" s="7">
        <v>61.85</v>
      </c>
      <c r="S656" s="7">
        <f t="shared" si="111"/>
        <v>61.85</v>
      </c>
      <c r="T656" s="7">
        <v>150</v>
      </c>
      <c r="U656" s="7">
        <v>1</v>
      </c>
      <c r="V656" s="7">
        <v>63</v>
      </c>
      <c r="W656" s="7">
        <f t="shared" si="110"/>
        <v>1.7993405494535817</v>
      </c>
      <c r="X656" s="7" t="s">
        <v>3019</v>
      </c>
      <c r="Y656" s="7" t="s">
        <v>2147</v>
      </c>
      <c r="Z656" s="7">
        <v>8</v>
      </c>
      <c r="AA656" s="7">
        <v>20</v>
      </c>
      <c r="AB656" s="108">
        <v>0.5</v>
      </c>
      <c r="AC656" s="108">
        <v>0.1</v>
      </c>
      <c r="AD656" s="108">
        <v>3</v>
      </c>
      <c r="AE656" s="7"/>
      <c r="AF656" s="7"/>
      <c r="AG656" s="7"/>
      <c r="AH656" s="7"/>
      <c r="AI656" s="7"/>
      <c r="AJ656" s="7"/>
      <c r="AK656" s="108">
        <v>0.65</v>
      </c>
      <c r="AL656" s="108">
        <v>0.08</v>
      </c>
      <c r="AM656" s="108">
        <v>3</v>
      </c>
      <c r="AN656" s="7"/>
      <c r="AO656" s="7"/>
      <c r="AP656" s="7"/>
      <c r="AQ656" s="7"/>
      <c r="AR656" s="7"/>
      <c r="AS656" s="7"/>
      <c r="AT656" s="184"/>
      <c r="AU656" s="108"/>
      <c r="AV656" s="7"/>
      <c r="AW656" s="7"/>
      <c r="AX656" s="7" t="s">
        <v>3022</v>
      </c>
      <c r="AY656" s="7" t="s">
        <v>1488</v>
      </c>
    </row>
    <row r="657" spans="1:56">
      <c r="A657" s="7" t="s">
        <v>33</v>
      </c>
      <c r="B657" s="7" t="s">
        <v>34</v>
      </c>
      <c r="C657" s="7" t="s">
        <v>1601</v>
      </c>
      <c r="D657" s="7" t="s">
        <v>1602</v>
      </c>
      <c r="E657" s="7" t="s">
        <v>1603</v>
      </c>
      <c r="F657" s="7" t="s">
        <v>1604</v>
      </c>
      <c r="G657" s="7" t="s">
        <v>1605</v>
      </c>
      <c r="H657" s="7" t="s">
        <v>4180</v>
      </c>
      <c r="I657" s="100">
        <f t="shared" si="112"/>
        <v>6.9262499999999999E-4</v>
      </c>
      <c r="J657" s="100">
        <f t="shared" si="108"/>
        <v>0.69262499999999994</v>
      </c>
      <c r="K657" s="100">
        <f t="shared" si="109"/>
        <v>-0.15950183683203978</v>
      </c>
      <c r="L657" s="73" t="s">
        <v>1502</v>
      </c>
      <c r="M657" s="7" t="s">
        <v>3023</v>
      </c>
      <c r="N657" s="7" t="s">
        <v>1538</v>
      </c>
      <c r="O657" s="7" t="s">
        <v>1505</v>
      </c>
      <c r="P657" s="108" t="s">
        <v>1492</v>
      </c>
      <c r="Q657" s="7" t="s">
        <v>3012</v>
      </c>
      <c r="R657" s="7">
        <v>61.85</v>
      </c>
      <c r="S657" s="7">
        <f t="shared" si="111"/>
        <v>61.85</v>
      </c>
      <c r="T657" s="7">
        <v>150</v>
      </c>
      <c r="U657" s="7">
        <v>1</v>
      </c>
      <c r="V657" s="7">
        <v>63</v>
      </c>
      <c r="W657" s="7">
        <f t="shared" si="110"/>
        <v>1.7993405494535817</v>
      </c>
      <c r="X657" s="7" t="s">
        <v>3019</v>
      </c>
      <c r="Y657" s="7" t="s">
        <v>2132</v>
      </c>
      <c r="Z657" s="7">
        <v>8</v>
      </c>
      <c r="AA657" s="7">
        <v>20</v>
      </c>
      <c r="AB657" s="108">
        <v>48</v>
      </c>
      <c r="AC657" s="108">
        <v>8</v>
      </c>
      <c r="AD657" s="108">
        <v>3</v>
      </c>
      <c r="AE657" s="7"/>
      <c r="AF657" s="7"/>
      <c r="AG657" s="7"/>
      <c r="AH657" s="7"/>
      <c r="AI657" s="7"/>
      <c r="AJ657" s="7"/>
      <c r="AK657" s="108">
        <v>100</v>
      </c>
      <c r="AL657" s="108">
        <v>10</v>
      </c>
      <c r="AM657" s="108">
        <v>3</v>
      </c>
      <c r="AN657" s="7"/>
      <c r="AO657" s="7"/>
      <c r="AP657" s="7"/>
      <c r="AQ657" s="7"/>
      <c r="AR657" s="7"/>
      <c r="AS657" s="7"/>
      <c r="AT657" s="184"/>
      <c r="AU657" s="108"/>
      <c r="AV657" s="7"/>
      <c r="AW657" s="7"/>
      <c r="AX657" s="7" t="s">
        <v>3024</v>
      </c>
      <c r="AY657" s="7" t="s">
        <v>1488</v>
      </c>
    </row>
    <row r="658" spans="1:56">
      <c r="A658" s="7" t="s">
        <v>33</v>
      </c>
      <c r="B658" s="7" t="s">
        <v>2197</v>
      </c>
      <c r="C658" s="7" t="s">
        <v>2198</v>
      </c>
      <c r="D658" s="7" t="s">
        <v>2199</v>
      </c>
      <c r="E658" s="7" t="s">
        <v>2200</v>
      </c>
      <c r="F658" s="7" t="s">
        <v>2201</v>
      </c>
      <c r="G658" s="7" t="s">
        <v>2202</v>
      </c>
      <c r="H658" s="7" t="s">
        <v>4180</v>
      </c>
      <c r="I658" s="100">
        <f>19.7/1000</f>
        <v>1.9699999999999999E-2</v>
      </c>
      <c r="J658" s="100">
        <f t="shared" si="108"/>
        <v>19.7</v>
      </c>
      <c r="K658" s="100">
        <f t="shared" si="109"/>
        <v>1.2944662261615929</v>
      </c>
      <c r="L658" s="73" t="s">
        <v>1517</v>
      </c>
      <c r="M658" s="7" t="s">
        <v>2203</v>
      </c>
      <c r="N658" s="110" t="s">
        <v>1504</v>
      </c>
      <c r="O658" s="110" t="s">
        <v>1494</v>
      </c>
      <c r="P658" s="108" t="s">
        <v>1539</v>
      </c>
      <c r="Q658" s="110" t="s">
        <v>2204</v>
      </c>
      <c r="R658" s="110">
        <v>10</v>
      </c>
      <c r="S658" s="7">
        <f t="shared" si="111"/>
        <v>10</v>
      </c>
      <c r="T658" s="110">
        <v>110</v>
      </c>
      <c r="U658" s="7">
        <v>1</v>
      </c>
      <c r="V658" s="7">
        <v>84</v>
      </c>
      <c r="W658" s="7">
        <f t="shared" si="110"/>
        <v>1.9242792860618816</v>
      </c>
      <c r="X658" s="7" t="s">
        <v>1779</v>
      </c>
      <c r="Y658" s="7" t="s">
        <v>1781</v>
      </c>
      <c r="Z658" s="7">
        <v>15</v>
      </c>
      <c r="AA658" s="7">
        <v>30</v>
      </c>
      <c r="AB658" s="108">
        <v>33</v>
      </c>
      <c r="AC658" s="108">
        <v>1</v>
      </c>
      <c r="AD658" s="110">
        <v>9</v>
      </c>
      <c r="AE658" s="7"/>
      <c r="AF658" s="7"/>
      <c r="AG658" s="7"/>
      <c r="AH658" s="7"/>
      <c r="AI658" s="7"/>
      <c r="AJ658" s="7"/>
      <c r="AK658" s="108">
        <v>149</v>
      </c>
      <c r="AL658" s="108">
        <v>10</v>
      </c>
      <c r="AM658" s="110">
        <v>5</v>
      </c>
      <c r="AN658" s="7"/>
      <c r="AO658" s="7"/>
      <c r="AP658" s="7"/>
      <c r="AQ658" s="7"/>
      <c r="AR658" s="7"/>
      <c r="AS658" s="7"/>
      <c r="AT658" s="184"/>
      <c r="AU658" s="110"/>
      <c r="AV658" s="7" t="s">
        <v>3025</v>
      </c>
      <c r="AW658" s="7"/>
      <c r="AX658" s="7" t="s">
        <v>2203</v>
      </c>
      <c r="AY658" s="7" t="s">
        <v>1488</v>
      </c>
    </row>
    <row r="659" spans="1:56">
      <c r="A659" s="7" t="s">
        <v>33</v>
      </c>
      <c r="B659" s="7" t="s">
        <v>34</v>
      </c>
      <c r="C659" s="7" t="s">
        <v>1512</v>
      </c>
      <c r="D659" s="7" t="s">
        <v>1513</v>
      </c>
      <c r="E659" s="7" t="s">
        <v>1514</v>
      </c>
      <c r="F659" s="7" t="s">
        <v>1515</v>
      </c>
      <c r="G659" s="7" t="s">
        <v>1516</v>
      </c>
      <c r="H659" s="7" t="s">
        <v>4180</v>
      </c>
      <c r="I659" s="100">
        <f>AVERAGE(800, 1600)/1000</f>
        <v>1.2</v>
      </c>
      <c r="J659" s="100">
        <f t="shared" si="108"/>
        <v>1200</v>
      </c>
      <c r="K659" s="100">
        <f t="shared" si="109"/>
        <v>3.0791812460476247</v>
      </c>
      <c r="L659" s="73" t="s">
        <v>1502</v>
      </c>
      <c r="M659" s="7" t="s">
        <v>3026</v>
      </c>
      <c r="N659" s="7" t="s">
        <v>1504</v>
      </c>
      <c r="O659" s="7" t="s">
        <v>1505</v>
      </c>
      <c r="P659" s="108" t="s">
        <v>1539</v>
      </c>
      <c r="Q659" s="7" t="s">
        <v>3027</v>
      </c>
      <c r="R659" s="7">
        <v>60.4</v>
      </c>
      <c r="S659" s="7">
        <f t="shared" si="111"/>
        <v>60.4</v>
      </c>
      <c r="T659" s="7">
        <v>5.3</v>
      </c>
      <c r="U659" s="7">
        <v>1</v>
      </c>
      <c r="V659" s="7">
        <v>408</v>
      </c>
      <c r="W659" s="7">
        <f t="shared" si="110"/>
        <v>2.61066016308988</v>
      </c>
      <c r="X659" s="7" t="s">
        <v>2131</v>
      </c>
      <c r="Y659" s="7" t="s">
        <v>1507</v>
      </c>
      <c r="Z659" s="7">
        <v>4</v>
      </c>
      <c r="AA659" s="7">
        <v>12</v>
      </c>
      <c r="AB659" s="108">
        <v>343</v>
      </c>
      <c r="AC659" s="108">
        <v>59</v>
      </c>
      <c r="AD659" s="110">
        <v>21</v>
      </c>
      <c r="AE659" s="7"/>
      <c r="AF659" s="7"/>
      <c r="AG659" s="7"/>
      <c r="AH659" s="7"/>
      <c r="AI659" s="7"/>
      <c r="AJ659" s="7"/>
      <c r="AK659" s="7">
        <v>829</v>
      </c>
      <c r="AL659" s="7">
        <v>155</v>
      </c>
      <c r="AM659" s="110">
        <v>15</v>
      </c>
      <c r="AN659" s="7"/>
      <c r="AO659" s="7"/>
      <c r="AP659" s="7"/>
      <c r="AQ659" s="7"/>
      <c r="AR659" s="7"/>
      <c r="AS659" s="7"/>
      <c r="AT659" s="184"/>
      <c r="AU659" s="110"/>
      <c r="AV659" s="7" t="s">
        <v>3028</v>
      </c>
      <c r="AW659" s="7"/>
      <c r="AX659" s="7" t="s">
        <v>3029</v>
      </c>
      <c r="AY659" s="7" t="s">
        <v>1488</v>
      </c>
    </row>
    <row r="660" spans="1:56">
      <c r="A660" s="7" t="s">
        <v>33</v>
      </c>
      <c r="B660" s="7" t="s">
        <v>34</v>
      </c>
      <c r="C660" s="7" t="s">
        <v>1512</v>
      </c>
      <c r="D660" s="7" t="s">
        <v>1513</v>
      </c>
      <c r="E660" s="7" t="s">
        <v>1514</v>
      </c>
      <c r="F660" s="7" t="s">
        <v>1515</v>
      </c>
      <c r="G660" s="7" t="s">
        <v>1516</v>
      </c>
      <c r="H660" s="7" t="s">
        <v>4180</v>
      </c>
      <c r="I660" s="100">
        <f>AVERAGE(800, 1600)/1000</f>
        <v>1.2</v>
      </c>
      <c r="J660" s="100">
        <f t="shared" si="108"/>
        <v>1200</v>
      </c>
      <c r="K660" s="100">
        <f t="shared" si="109"/>
        <v>3.0791812460476247</v>
      </c>
      <c r="L660" s="73" t="s">
        <v>1502</v>
      </c>
      <c r="M660" s="7" t="s">
        <v>3026</v>
      </c>
      <c r="N660" s="7" t="s">
        <v>1504</v>
      </c>
      <c r="O660" s="7" t="s">
        <v>1505</v>
      </c>
      <c r="P660" s="108" t="s">
        <v>1539</v>
      </c>
      <c r="Q660" s="7" t="s">
        <v>3027</v>
      </c>
      <c r="R660" s="7">
        <v>60.4</v>
      </c>
      <c r="S660" s="7">
        <f t="shared" si="111"/>
        <v>60.4</v>
      </c>
      <c r="T660" s="7">
        <v>5.3</v>
      </c>
      <c r="U660" s="7">
        <v>1</v>
      </c>
      <c r="V660" s="7">
        <v>408</v>
      </c>
      <c r="W660" s="7">
        <f t="shared" si="110"/>
        <v>2.61066016308988</v>
      </c>
      <c r="X660" s="7" t="s">
        <v>2131</v>
      </c>
      <c r="Y660" s="7" t="s">
        <v>2144</v>
      </c>
      <c r="Z660" s="7">
        <v>4</v>
      </c>
      <c r="AA660" s="7">
        <v>12</v>
      </c>
      <c r="AB660" s="108">
        <v>153</v>
      </c>
      <c r="AC660" s="108">
        <v>18</v>
      </c>
      <c r="AD660" s="110">
        <v>21</v>
      </c>
      <c r="AE660" s="7"/>
      <c r="AF660" s="7"/>
      <c r="AG660" s="7"/>
      <c r="AH660" s="7"/>
      <c r="AI660" s="7"/>
      <c r="AJ660" s="7"/>
      <c r="AK660" s="7">
        <v>264</v>
      </c>
      <c r="AL660" s="7">
        <v>32</v>
      </c>
      <c r="AM660" s="110">
        <v>15</v>
      </c>
      <c r="AN660" s="7"/>
      <c r="AO660" s="7"/>
      <c r="AP660" s="7"/>
      <c r="AQ660" s="7"/>
      <c r="AR660" s="7"/>
      <c r="AS660" s="7"/>
      <c r="AT660" s="184"/>
      <c r="AU660" s="110"/>
      <c r="AV660" s="7" t="s">
        <v>3028</v>
      </c>
      <c r="AW660" s="7"/>
      <c r="AX660" s="7" t="s">
        <v>3026</v>
      </c>
      <c r="AY660" s="7" t="s">
        <v>1488</v>
      </c>
    </row>
    <row r="661" spans="1:56">
      <c r="A661" s="7" t="s">
        <v>33</v>
      </c>
      <c r="B661" s="7" t="s">
        <v>34</v>
      </c>
      <c r="C661" s="7" t="s">
        <v>1601</v>
      </c>
      <c r="D661" s="7" t="s">
        <v>1602</v>
      </c>
      <c r="E661" s="7" t="s">
        <v>1603</v>
      </c>
      <c r="F661" s="7" t="s">
        <v>1604</v>
      </c>
      <c r="G661" s="7" t="s">
        <v>1605</v>
      </c>
      <c r="H661" s="7" t="s">
        <v>4180</v>
      </c>
      <c r="I661" s="100">
        <f>AVERAGE(1.24, 1.39, 1.6, 1.78)/1000</f>
        <v>1.5025000000000001E-3</v>
      </c>
      <c r="J661" s="100">
        <f t="shared" si="108"/>
        <v>1.5025000000000002</v>
      </c>
      <c r="K661" s="100">
        <f t="shared" si="109"/>
        <v>0.17681448067477717</v>
      </c>
      <c r="L661" s="73" t="s">
        <v>1502</v>
      </c>
      <c r="M661" s="7" t="s">
        <v>3030</v>
      </c>
      <c r="N661" s="7" t="s">
        <v>1538</v>
      </c>
      <c r="O661" s="7" t="s">
        <v>1505</v>
      </c>
      <c r="P661" s="108" t="s">
        <v>1492</v>
      </c>
      <c r="Q661" s="7" t="s">
        <v>3012</v>
      </c>
      <c r="R661" s="7">
        <v>61.85</v>
      </c>
      <c r="S661" s="7">
        <f t="shared" si="111"/>
        <v>61.85</v>
      </c>
      <c r="T661" s="7">
        <v>150</v>
      </c>
      <c r="U661" s="7">
        <v>1</v>
      </c>
      <c r="V661" s="7">
        <v>63</v>
      </c>
      <c r="W661" s="7">
        <f t="shared" si="110"/>
        <v>1.7993405494535817</v>
      </c>
      <c r="X661" s="7" t="s">
        <v>2284</v>
      </c>
      <c r="Y661" s="7" t="s">
        <v>2213</v>
      </c>
      <c r="Z661" s="7">
        <v>8</v>
      </c>
      <c r="AA661" s="7">
        <v>20</v>
      </c>
      <c r="AB661" s="7">
        <v>24.5</v>
      </c>
      <c r="AC661" s="7">
        <v>4</v>
      </c>
      <c r="AD661" s="7">
        <v>5</v>
      </c>
      <c r="AE661" s="7"/>
      <c r="AF661" s="7"/>
      <c r="AG661" s="7"/>
      <c r="AH661" s="7">
        <v>14.5</v>
      </c>
      <c r="AI661" s="7">
        <v>1</v>
      </c>
      <c r="AJ661" s="7">
        <v>5</v>
      </c>
      <c r="AK661" s="7"/>
      <c r="AL661" s="7"/>
      <c r="AM661" s="7"/>
      <c r="AN661" s="7"/>
      <c r="AO661" s="7"/>
      <c r="AP661" s="7"/>
      <c r="AQ661" s="7"/>
      <c r="AR661" s="7"/>
      <c r="AS661" s="7"/>
      <c r="AT661" s="184"/>
      <c r="AU661" s="7"/>
      <c r="AV661" s="7" t="s">
        <v>3031</v>
      </c>
      <c r="AW661" s="7"/>
      <c r="AX661" s="7" t="s">
        <v>3030</v>
      </c>
      <c r="AY661" s="7" t="s">
        <v>1488</v>
      </c>
    </row>
    <row r="662" spans="1:56">
      <c r="A662" s="7" t="s">
        <v>33</v>
      </c>
      <c r="B662" s="7" t="s">
        <v>34</v>
      </c>
      <c r="C662" s="7" t="s">
        <v>1601</v>
      </c>
      <c r="D662" s="7" t="s">
        <v>1602</v>
      </c>
      <c r="E662" s="7" t="s">
        <v>1603</v>
      </c>
      <c r="F662" s="7" t="s">
        <v>1604</v>
      </c>
      <c r="G662" s="7" t="s">
        <v>1605</v>
      </c>
      <c r="H662" s="7" t="s">
        <v>4180</v>
      </c>
      <c r="I662" s="100">
        <f>AVERAGE(1.24, 1.39, 1.6, 1.78)/1000</f>
        <v>1.5025000000000001E-3</v>
      </c>
      <c r="J662" s="100">
        <f t="shared" si="108"/>
        <v>1.5025000000000002</v>
      </c>
      <c r="K662" s="100">
        <f t="shared" si="109"/>
        <v>0.17681448067477717</v>
      </c>
      <c r="L662" s="73" t="s">
        <v>1502</v>
      </c>
      <c r="M662" s="7" t="s">
        <v>3030</v>
      </c>
      <c r="N662" s="7" t="s">
        <v>1538</v>
      </c>
      <c r="O662" s="7" t="s">
        <v>1505</v>
      </c>
      <c r="P662" s="108" t="s">
        <v>1492</v>
      </c>
      <c r="Q662" s="7" t="s">
        <v>3012</v>
      </c>
      <c r="R662" s="7">
        <v>61.85</v>
      </c>
      <c r="S662" s="7">
        <f t="shared" si="111"/>
        <v>61.85</v>
      </c>
      <c r="T662" s="7">
        <v>150</v>
      </c>
      <c r="U662" s="7">
        <v>1</v>
      </c>
      <c r="V662" s="7">
        <v>63</v>
      </c>
      <c r="W662" s="7">
        <f t="shared" si="110"/>
        <v>1.7993405494535817</v>
      </c>
      <c r="X662" s="7" t="s">
        <v>2284</v>
      </c>
      <c r="Y662" s="7" t="s">
        <v>2132</v>
      </c>
      <c r="Z662" s="7">
        <v>8</v>
      </c>
      <c r="AA662" s="7">
        <v>20</v>
      </c>
      <c r="AB662" s="7">
        <v>1.8</v>
      </c>
      <c r="AC662" s="7">
        <v>0.1</v>
      </c>
      <c r="AD662" s="7">
        <v>5</v>
      </c>
      <c r="AE662" s="7"/>
      <c r="AF662" s="7"/>
      <c r="AG662" s="7"/>
      <c r="AH662" s="7">
        <v>0.85</v>
      </c>
      <c r="AI662" s="7">
        <v>0.25</v>
      </c>
      <c r="AJ662" s="7">
        <v>5</v>
      </c>
      <c r="AK662" s="7"/>
      <c r="AL662" s="7"/>
      <c r="AM662" s="7"/>
      <c r="AN662" s="7"/>
      <c r="AO662" s="7"/>
      <c r="AP662" s="7"/>
      <c r="AQ662" s="7"/>
      <c r="AR662" s="7"/>
      <c r="AS662" s="7"/>
      <c r="AT662" s="184"/>
      <c r="AU662" s="7"/>
      <c r="AV662" s="7" t="s">
        <v>3031</v>
      </c>
      <c r="AW662" s="7"/>
      <c r="AX662" s="7" t="s">
        <v>3032</v>
      </c>
      <c r="AY662" s="7" t="s">
        <v>1488</v>
      </c>
    </row>
    <row r="663" spans="1:56">
      <c r="A663" s="7" t="s">
        <v>33</v>
      </c>
      <c r="B663" s="7" t="s">
        <v>34</v>
      </c>
      <c r="C663" s="7" t="s">
        <v>1621</v>
      </c>
      <c r="D663" s="7" t="s">
        <v>1622</v>
      </c>
      <c r="E663" s="7" t="s">
        <v>3033</v>
      </c>
      <c r="F663" s="7" t="s">
        <v>3034</v>
      </c>
      <c r="G663" s="7" t="s">
        <v>3035</v>
      </c>
      <c r="H663" s="7" t="s">
        <v>4180</v>
      </c>
      <c r="I663" s="100">
        <f>AVERAGE(0.075, 0.07, 0.06, 0.04)/1000</f>
        <v>6.1250000000000012E-5</v>
      </c>
      <c r="J663" s="100">
        <f t="shared" si="108"/>
        <v>6.1250000000000013E-2</v>
      </c>
      <c r="K663" s="100">
        <f t="shared" si="109"/>
        <v>-1.2128939069634299</v>
      </c>
      <c r="L663" s="73" t="s">
        <v>1517</v>
      </c>
      <c r="M663" s="7" t="s">
        <v>3036</v>
      </c>
      <c r="N663" s="7" t="s">
        <v>1538</v>
      </c>
      <c r="O663" s="7" t="s">
        <v>1494</v>
      </c>
      <c r="P663" s="108" t="s">
        <v>1539</v>
      </c>
      <c r="Q663" s="7" t="s">
        <v>3037</v>
      </c>
      <c r="R663" s="7">
        <v>10.75</v>
      </c>
      <c r="S663" s="7">
        <f t="shared" si="111"/>
        <v>10.75</v>
      </c>
      <c r="T663" s="7">
        <v>61.85</v>
      </c>
      <c r="U663" s="7">
        <v>1</v>
      </c>
      <c r="V663" s="7">
        <v>70</v>
      </c>
      <c r="W663" s="7">
        <f t="shared" si="110"/>
        <v>1.8450980400142569</v>
      </c>
      <c r="X663" s="7" t="s">
        <v>1779</v>
      </c>
      <c r="Y663" s="7" t="s">
        <v>1781</v>
      </c>
      <c r="Z663" s="7">
        <v>23</v>
      </c>
      <c r="AA663" s="7">
        <v>30</v>
      </c>
      <c r="AB663" s="7">
        <v>1.41</v>
      </c>
      <c r="AC663" s="7">
        <v>4.7E-2</v>
      </c>
      <c r="AD663" s="7">
        <v>15</v>
      </c>
      <c r="AE663" s="7"/>
      <c r="AF663" s="7"/>
      <c r="AG663" s="7"/>
      <c r="AH663" s="7"/>
      <c r="AI663" s="7"/>
      <c r="AJ663" s="7"/>
      <c r="AK663" s="108">
        <v>3.75</v>
      </c>
      <c r="AL663" s="108">
        <v>0.31</v>
      </c>
      <c r="AM663" s="108">
        <v>7</v>
      </c>
      <c r="AN663" s="7"/>
      <c r="AO663" s="7"/>
      <c r="AP663" s="7"/>
      <c r="AQ663" s="7"/>
      <c r="AR663" s="7"/>
      <c r="AS663" s="7"/>
      <c r="AT663" s="184"/>
      <c r="AU663" s="108"/>
      <c r="AV663" s="7" t="s">
        <v>3031</v>
      </c>
      <c r="AW663" s="7"/>
      <c r="AX663" s="7" t="s">
        <v>3036</v>
      </c>
      <c r="AY663" s="7" t="s">
        <v>1488</v>
      </c>
    </row>
    <row r="664" spans="1:56">
      <c r="A664" s="7" t="s">
        <v>33</v>
      </c>
      <c r="B664" s="7" t="s">
        <v>34</v>
      </c>
      <c r="C664" s="7" t="s">
        <v>1621</v>
      </c>
      <c r="D664" s="7" t="s">
        <v>1622</v>
      </c>
      <c r="E664" s="7" t="s">
        <v>3033</v>
      </c>
      <c r="F664" s="7" t="s">
        <v>3034</v>
      </c>
      <c r="G664" s="7" t="s">
        <v>3035</v>
      </c>
      <c r="H664" s="7" t="s">
        <v>4180</v>
      </c>
      <c r="I664" s="100">
        <f>AVERAGE(0.075, 0.07, 0.06, 0.04)/1000</f>
        <v>6.1250000000000012E-5</v>
      </c>
      <c r="J664" s="100">
        <f t="shared" si="108"/>
        <v>6.1250000000000013E-2</v>
      </c>
      <c r="K664" s="100">
        <f t="shared" si="109"/>
        <v>-1.2128939069634299</v>
      </c>
      <c r="L664" s="73" t="s">
        <v>1517</v>
      </c>
      <c r="M664" s="7" t="s">
        <v>3036</v>
      </c>
      <c r="N664" s="7" t="s">
        <v>1538</v>
      </c>
      <c r="O664" s="7" t="s">
        <v>1494</v>
      </c>
      <c r="P664" s="108" t="s">
        <v>1539</v>
      </c>
      <c r="Q664" s="7" t="s">
        <v>3037</v>
      </c>
      <c r="R664" s="7">
        <v>10.75</v>
      </c>
      <c r="S664" s="7">
        <f t="shared" si="111"/>
        <v>10.75</v>
      </c>
      <c r="T664" s="7">
        <v>61.85</v>
      </c>
      <c r="U664" s="7">
        <v>1</v>
      </c>
      <c r="V664" s="7">
        <v>70</v>
      </c>
      <c r="W664" s="7">
        <f t="shared" si="110"/>
        <v>1.8450980400142569</v>
      </c>
      <c r="X664" s="7" t="s">
        <v>1520</v>
      </c>
      <c r="Y664" s="7" t="s">
        <v>1557</v>
      </c>
      <c r="Z664" s="7">
        <v>23</v>
      </c>
      <c r="AA664" s="7">
        <v>30</v>
      </c>
      <c r="AB664" s="7">
        <v>40</v>
      </c>
      <c r="AC664" s="7">
        <v>1</v>
      </c>
      <c r="AD664" s="7">
        <v>44</v>
      </c>
      <c r="AE664" s="7"/>
      <c r="AF664" s="7"/>
      <c r="AG664" s="7"/>
      <c r="AH664" s="7"/>
      <c r="AI664" s="7"/>
      <c r="AJ664" s="7"/>
      <c r="AK664" s="108">
        <v>40.5</v>
      </c>
      <c r="AL664" s="108">
        <v>2</v>
      </c>
      <c r="AM664" s="108">
        <v>19</v>
      </c>
      <c r="AN664" s="7"/>
      <c r="AO664" s="7"/>
      <c r="AP664" s="7"/>
      <c r="AQ664" s="7"/>
      <c r="AR664" s="7"/>
      <c r="AS664" s="7"/>
      <c r="AT664" s="184"/>
      <c r="AU664" s="108"/>
      <c r="AV664" s="7" t="s">
        <v>3031</v>
      </c>
      <c r="AW664" s="7"/>
      <c r="AX664" s="7" t="s">
        <v>3038</v>
      </c>
      <c r="AY664" s="7" t="s">
        <v>1488</v>
      </c>
    </row>
    <row r="665" spans="1:56">
      <c r="A665" s="7" t="s">
        <v>33</v>
      </c>
      <c r="B665" s="7" t="s">
        <v>34</v>
      </c>
      <c r="C665" s="7" t="s">
        <v>66</v>
      </c>
      <c r="D665" s="7" t="s">
        <v>67</v>
      </c>
      <c r="E665" s="7" t="s">
        <v>1596</v>
      </c>
      <c r="F665" s="7" t="s">
        <v>1597</v>
      </c>
      <c r="G665" s="7" t="s">
        <v>1598</v>
      </c>
      <c r="H665" s="7" t="s">
        <v>4180</v>
      </c>
      <c r="I665" s="100">
        <f>2/1000</f>
        <v>2E-3</v>
      </c>
      <c r="J665" s="100">
        <f>I665*1000</f>
        <v>2</v>
      </c>
      <c r="K665" s="100">
        <f>LOG(J665)</f>
        <v>0.3010299956639812</v>
      </c>
      <c r="L665" s="73" t="s">
        <v>1517</v>
      </c>
      <c r="M665" s="7" t="s">
        <v>1599</v>
      </c>
      <c r="N665" s="110" t="s">
        <v>1538</v>
      </c>
      <c r="O665" s="110" t="s">
        <v>1494</v>
      </c>
      <c r="P665" s="108" t="s">
        <v>1538</v>
      </c>
      <c r="Q665" s="110" t="s">
        <v>1506</v>
      </c>
      <c r="R665" s="110">
        <v>56.34</v>
      </c>
      <c r="S665" s="7">
        <f t="shared" si="111"/>
        <v>56.34</v>
      </c>
      <c r="T665" s="110">
        <v>2.8</v>
      </c>
      <c r="U665" s="7">
        <v>1</v>
      </c>
      <c r="V665" s="7">
        <v>42</v>
      </c>
      <c r="W665" s="7">
        <f>LOG(V665)</f>
        <v>1.6232492903979006</v>
      </c>
      <c r="X665" s="7" t="s">
        <v>1520</v>
      </c>
      <c r="Y665" s="7" t="s">
        <v>1557</v>
      </c>
      <c r="Z665" s="7">
        <v>9</v>
      </c>
      <c r="AA665" s="7">
        <v>30</v>
      </c>
      <c r="AB665" s="7">
        <f>0.61/0.074</f>
        <v>8.2432432432432439</v>
      </c>
      <c r="AC665" s="7">
        <f>0.08/0.074</f>
        <v>1.0810810810810811</v>
      </c>
      <c r="AD665" s="110">
        <v>5</v>
      </c>
      <c r="AE665" s="7">
        <f>0.34/0.074</f>
        <v>4.5945945945945947</v>
      </c>
      <c r="AF665" s="7">
        <f>0.02/0.074</f>
        <v>0.27027027027027029</v>
      </c>
      <c r="AG665" s="110">
        <v>5</v>
      </c>
      <c r="AH665" s="7">
        <f>0.35/0.074</f>
        <v>4.7297297297297298</v>
      </c>
      <c r="AI665" s="7">
        <f>0.07/0.074</f>
        <v>0.94594594594594605</v>
      </c>
      <c r="AJ665" s="110">
        <v>5</v>
      </c>
      <c r="AK665" s="7">
        <f>1.06/0.074</f>
        <v>14.324324324324326</v>
      </c>
      <c r="AL665" s="7">
        <f>0.11/0.074</f>
        <v>1.4864864864864866</v>
      </c>
      <c r="AM665" s="110">
        <v>5</v>
      </c>
      <c r="AN665" s="7">
        <f>(AE665/AB665)^(10/(AA665-Z665))</f>
        <v>0.75703962244816292</v>
      </c>
      <c r="AO665" s="7">
        <f>(AK665/AB665)^(10/(AA665-Z665))</f>
        <v>1.3009910237040152</v>
      </c>
      <c r="AP665" s="7"/>
      <c r="AQ665" s="7"/>
      <c r="AR665" s="7"/>
      <c r="AS665" s="7">
        <f>AVERAGE(AD665,AG665,AM665)</f>
        <v>5</v>
      </c>
      <c r="AT665" s="184">
        <f>AVERAGE(AC665,AF665,AL665)</f>
        <v>0.94594594594594594</v>
      </c>
      <c r="AU665" s="110"/>
      <c r="AV665" s="7"/>
      <c r="AW665" s="7"/>
      <c r="AX665" s="7" t="s">
        <v>1600</v>
      </c>
      <c r="AY665" s="7" t="s">
        <v>4141</v>
      </c>
      <c r="BD665" s="188"/>
    </row>
    <row r="666" spans="1:56">
      <c r="I666" s="73"/>
    </row>
  </sheetData>
  <pageMargins left="0.7" right="0.7" top="0.75" bottom="0.75" header="0.3" footer="0.3"/>
  <pageSetup orientation="portrait" horizont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9"/>
  <sheetViews>
    <sheetView workbookViewId="0">
      <selection activeCell="X21" sqref="A1:XFD1048576"/>
    </sheetView>
  </sheetViews>
  <sheetFormatPr defaultRowHeight="15"/>
  <cols>
    <col min="1" max="1" width="21" bestFit="1" customWidth="1"/>
  </cols>
  <sheetData>
    <row r="1" spans="1:2">
      <c r="A1" s="1" t="s">
        <v>1312</v>
      </c>
      <c r="B1" s="1" t="s">
        <v>1313</v>
      </c>
    </row>
    <row r="2" spans="1:2" ht="15.75">
      <c r="A2" s="102" t="s">
        <v>6</v>
      </c>
      <c r="B2" s="73" t="s">
        <v>3040</v>
      </c>
    </row>
    <row r="3" spans="1:2" ht="15.75">
      <c r="A3" s="102" t="s">
        <v>7</v>
      </c>
      <c r="B3" s="73" t="s">
        <v>3041</v>
      </c>
    </row>
    <row r="4" spans="1:2" ht="15.75">
      <c r="A4" s="102" t="s">
        <v>8</v>
      </c>
      <c r="B4" s="73" t="s">
        <v>3042</v>
      </c>
    </row>
    <row r="5" spans="1:2" ht="15.75">
      <c r="A5" s="102" t="s">
        <v>9</v>
      </c>
      <c r="B5" s="73" t="s">
        <v>1315</v>
      </c>
    </row>
    <row r="6" spans="1:2" ht="15.75">
      <c r="A6" s="102" t="s">
        <v>1466</v>
      </c>
      <c r="B6" s="73" t="s">
        <v>1316</v>
      </c>
    </row>
    <row r="7" spans="1:2" ht="15.75">
      <c r="A7" s="102" t="s">
        <v>10</v>
      </c>
      <c r="B7" s="73" t="s">
        <v>1317</v>
      </c>
    </row>
    <row r="8" spans="1:2" ht="15.75">
      <c r="A8" s="103" t="s">
        <v>309</v>
      </c>
      <c r="B8" s="73" t="s">
        <v>3039</v>
      </c>
    </row>
    <row r="9" spans="1:2" ht="15.75">
      <c r="A9" s="104" t="s">
        <v>1467</v>
      </c>
      <c r="B9" s="73" t="s">
        <v>3044</v>
      </c>
    </row>
    <row r="10" spans="1:2" ht="15.75">
      <c r="A10" s="104" t="s">
        <v>1468</v>
      </c>
      <c r="B10" s="73" t="s">
        <v>3045</v>
      </c>
    </row>
    <row r="11" spans="1:2" ht="15.75">
      <c r="A11" s="104" t="s">
        <v>14</v>
      </c>
      <c r="B11" s="73" t="s">
        <v>3043</v>
      </c>
    </row>
    <row r="12" spans="1:2" ht="15.75">
      <c r="A12" s="103" t="s">
        <v>1470</v>
      </c>
      <c r="B12" s="73" t="s">
        <v>3046</v>
      </c>
    </row>
    <row r="13" spans="1:2" ht="15.75">
      <c r="A13" s="103" t="s">
        <v>0</v>
      </c>
      <c r="B13" s="73" t="s">
        <v>3047</v>
      </c>
    </row>
    <row r="14" spans="1:2" ht="15.75">
      <c r="A14" s="99" t="s">
        <v>1471</v>
      </c>
      <c r="B14" s="73" t="s">
        <v>3048</v>
      </c>
    </row>
    <row r="15" spans="1:2" ht="15.75">
      <c r="A15" s="99" t="s">
        <v>1472</v>
      </c>
      <c r="B15" s="73" t="s">
        <v>3049</v>
      </c>
    </row>
    <row r="16" spans="1:2" ht="15.75">
      <c r="A16" s="103" t="s">
        <v>1473</v>
      </c>
      <c r="B16" s="73" t="s">
        <v>3050</v>
      </c>
    </row>
    <row r="17" spans="1:2" ht="15.75">
      <c r="A17" s="103" t="s">
        <v>1474</v>
      </c>
      <c r="B17" s="73" t="s">
        <v>1</v>
      </c>
    </row>
    <row r="18" spans="1:2" ht="15.75">
      <c r="A18" s="103" t="s">
        <v>2</v>
      </c>
      <c r="B18" s="73" t="s">
        <v>1395</v>
      </c>
    </row>
    <row r="19" spans="1:2" ht="15.75">
      <c r="A19" s="103" t="s">
        <v>1475</v>
      </c>
      <c r="B19" s="73" t="s">
        <v>331</v>
      </c>
    </row>
    <row r="20" spans="1:2" ht="15.75">
      <c r="A20" s="103" t="s">
        <v>1476</v>
      </c>
      <c r="B20" s="73" t="s">
        <v>3051</v>
      </c>
    </row>
    <row r="21" spans="1:2" ht="15.75">
      <c r="A21" s="103" t="s">
        <v>1477</v>
      </c>
      <c r="B21" s="73" t="s">
        <v>3052</v>
      </c>
    </row>
    <row r="22" spans="1:2" ht="15.75">
      <c r="A22" s="103" t="s">
        <v>1478</v>
      </c>
      <c r="B22" s="73" t="s">
        <v>3053</v>
      </c>
    </row>
    <row r="23" spans="1:2" ht="15.75">
      <c r="A23" s="103" t="s">
        <v>1479</v>
      </c>
      <c r="B23" s="73" t="s">
        <v>3054</v>
      </c>
    </row>
    <row r="24" spans="1:2" ht="15.75">
      <c r="A24" s="103" t="s">
        <v>1480</v>
      </c>
      <c r="B24" s="73" t="s">
        <v>3055</v>
      </c>
    </row>
    <row r="25" spans="1:2" ht="15.75">
      <c r="A25" s="103">
        <v>1</v>
      </c>
      <c r="B25" s="73" t="s">
        <v>3056</v>
      </c>
    </row>
    <row r="26" spans="1:2" ht="15.75">
      <c r="A26" s="103">
        <v>2</v>
      </c>
      <c r="B26" s="73" t="s">
        <v>3057</v>
      </c>
    </row>
    <row r="27" spans="1:2" ht="15.75">
      <c r="A27" s="103" t="s">
        <v>1481</v>
      </c>
      <c r="B27" s="73" t="s">
        <v>3059</v>
      </c>
    </row>
    <row r="28" spans="1:2" ht="15.75">
      <c r="A28" s="103" t="s">
        <v>1482</v>
      </c>
      <c r="B28" s="73" t="s">
        <v>3060</v>
      </c>
    </row>
    <row r="29" spans="1:2" ht="15.75">
      <c r="A29" s="103" t="s">
        <v>1198</v>
      </c>
      <c r="B29" s="73" t="s">
        <v>3061</v>
      </c>
    </row>
    <row r="30" spans="1:2" ht="15.75">
      <c r="A30" s="102" t="s">
        <v>1483</v>
      </c>
      <c r="B30" s="73" t="s">
        <v>3059</v>
      </c>
    </row>
    <row r="31" spans="1:2" ht="15.75">
      <c r="A31" s="102" t="s">
        <v>1482</v>
      </c>
      <c r="B31" s="73" t="s">
        <v>3062</v>
      </c>
    </row>
    <row r="32" spans="1:2" ht="15.75">
      <c r="A32" s="102" t="s">
        <v>1198</v>
      </c>
      <c r="B32" s="73" t="s">
        <v>3063</v>
      </c>
    </row>
    <row r="33" spans="1:9" ht="15.75">
      <c r="A33" s="102" t="s">
        <v>1484</v>
      </c>
      <c r="B33" s="73" t="s">
        <v>3059</v>
      </c>
      <c r="I33" t="s">
        <v>3058</v>
      </c>
    </row>
    <row r="34" spans="1:9" ht="15.75">
      <c r="A34" s="102" t="s">
        <v>1482</v>
      </c>
      <c r="B34" s="73" t="s">
        <v>3064</v>
      </c>
    </row>
    <row r="35" spans="1:9" ht="15.75">
      <c r="A35" s="102" t="s">
        <v>1198</v>
      </c>
      <c r="B35" s="73" t="s">
        <v>3065</v>
      </c>
    </row>
    <row r="36" spans="1:9" ht="15.75">
      <c r="A36" s="102" t="s">
        <v>1485</v>
      </c>
      <c r="B36" s="73" t="s">
        <v>3059</v>
      </c>
    </row>
    <row r="37" spans="1:9" ht="15.75">
      <c r="A37" s="102" t="s">
        <v>1482</v>
      </c>
      <c r="B37" s="73" t="s">
        <v>3066</v>
      </c>
    </row>
    <row r="38" spans="1:9" ht="15.75">
      <c r="A38" s="102" t="s">
        <v>1198</v>
      </c>
      <c r="B38" s="73" t="s">
        <v>3067</v>
      </c>
    </row>
    <row r="39" spans="1:9" ht="15.75">
      <c r="A39" s="102" t="s">
        <v>1486</v>
      </c>
      <c r="B39" s="73" t="s">
        <v>3059</v>
      </c>
    </row>
    <row r="40" spans="1:9" ht="15.75">
      <c r="A40" s="102" t="s">
        <v>1487</v>
      </c>
      <c r="B40" s="73" t="s">
        <v>3059</v>
      </c>
    </row>
    <row r="41" spans="1:9" ht="15.75">
      <c r="A41" s="102" t="s">
        <v>1488</v>
      </c>
      <c r="B41" s="73" t="s">
        <v>3068</v>
      </c>
    </row>
    <row r="42" spans="1:9" ht="15.75">
      <c r="A42" s="102" t="s">
        <v>1489</v>
      </c>
      <c r="B42" s="73" t="s">
        <v>3069</v>
      </c>
    </row>
    <row r="43" spans="1:9" ht="15.75">
      <c r="A43" s="102" t="s">
        <v>1490</v>
      </c>
      <c r="B43" s="73" t="s">
        <v>3070</v>
      </c>
    </row>
    <row r="44" spans="1:9" ht="15.75">
      <c r="A44" s="105" t="s">
        <v>1491</v>
      </c>
      <c r="B44" s="73" t="s">
        <v>3071</v>
      </c>
    </row>
    <row r="45" spans="1:9" ht="15.75">
      <c r="A45" s="102" t="s">
        <v>1492</v>
      </c>
      <c r="B45" s="73" t="s">
        <v>3072</v>
      </c>
    </row>
    <row r="46" spans="1:9" ht="15.75">
      <c r="A46" s="103" t="s">
        <v>1493</v>
      </c>
      <c r="B46" s="73" t="s">
        <v>3072</v>
      </c>
    </row>
    <row r="47" spans="1:9" ht="15.75">
      <c r="A47" s="103" t="s">
        <v>1494</v>
      </c>
      <c r="B47" s="73" t="s">
        <v>3072</v>
      </c>
    </row>
    <row r="48" spans="1:9" ht="15.75">
      <c r="A48" s="102" t="s">
        <v>1495</v>
      </c>
      <c r="B48" s="73" t="s">
        <v>3073</v>
      </c>
    </row>
    <row r="49" spans="1:2" ht="15.75">
      <c r="A49" s="102" t="s">
        <v>558</v>
      </c>
      <c r="B49" s="73" t="s">
        <v>3074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446"/>
  <sheetViews>
    <sheetView workbookViewId="0">
      <pane ySplit="4" topLeftCell="A5" activePane="bottomLeft" state="frozen"/>
      <selection pane="bottomLeft"/>
    </sheetView>
  </sheetViews>
  <sheetFormatPr defaultColWidth="9.140625" defaultRowHeight="15"/>
  <cols>
    <col min="1" max="1" width="14.28515625" style="115" customWidth="1"/>
    <col min="2" max="2" width="13.28515625" style="115" bestFit="1" customWidth="1"/>
    <col min="3" max="3" width="28" style="115" customWidth="1"/>
    <col min="4" max="4" width="5.140625" style="115" bestFit="1" customWidth="1"/>
    <col min="5" max="5" width="5.85546875" style="115" customWidth="1"/>
    <col min="6" max="6" width="6.5703125" style="116" bestFit="1" customWidth="1"/>
    <col min="7" max="8" width="5.85546875" style="115" bestFit="1" customWidth="1"/>
    <col min="9" max="9" width="6.5703125" style="116" bestFit="1" customWidth="1"/>
    <col min="10" max="10" width="5.85546875" style="116" customWidth="1"/>
    <col min="11" max="11" width="9.5703125" style="115" bestFit="1" customWidth="1"/>
    <col min="12" max="12" width="9.5703125" style="115" customWidth="1"/>
    <col min="13" max="13" width="10.42578125" style="115" bestFit="1" customWidth="1"/>
    <col min="14" max="14" width="6" style="115" bestFit="1" customWidth="1"/>
    <col min="15" max="15" width="5.7109375" style="115" bestFit="1" customWidth="1"/>
    <col min="16" max="16" width="5.42578125" style="115" bestFit="1" customWidth="1"/>
    <col min="17" max="17" width="6" style="117" bestFit="1" customWidth="1"/>
    <col min="18" max="18" width="6" style="115" customWidth="1"/>
    <col min="19" max="19" width="5.7109375" style="115" bestFit="1" customWidth="1"/>
    <col min="20" max="20" width="10.85546875" style="118" bestFit="1" customWidth="1"/>
    <col min="21" max="21" width="10" style="119" customWidth="1"/>
    <col min="22" max="23" width="6" style="115" bestFit="1" customWidth="1"/>
    <col min="24" max="24" width="6" style="115" customWidth="1"/>
    <col min="25" max="25" width="7.28515625" style="120" customWidth="1"/>
    <col min="26" max="27" width="8.5703125" style="120" customWidth="1"/>
    <col min="28" max="28" width="9.140625" style="120"/>
    <col min="29" max="29" width="8.7109375" style="120" bestFit="1" customWidth="1"/>
    <col min="30" max="30" width="8.42578125" style="120" bestFit="1" customWidth="1"/>
    <col min="31" max="32" width="9.140625" style="120"/>
    <col min="33" max="33" width="9.140625" style="121"/>
    <col min="34" max="37" width="9.140625" style="120"/>
    <col min="38" max="39" width="9.140625" style="120" bestFit="1" customWidth="1"/>
    <col min="40" max="40" width="11.42578125" style="115" bestFit="1" customWidth="1"/>
    <col min="41" max="16384" width="9.140625" style="115"/>
  </cols>
  <sheetData>
    <row r="1" spans="1:55" ht="17.100000000000001" customHeight="1">
      <c r="A1" s="114" t="s">
        <v>3075</v>
      </c>
    </row>
    <row r="2" spans="1:55" ht="17.100000000000001" customHeight="1">
      <c r="A2" s="114"/>
      <c r="E2" s="122" t="s">
        <v>3076</v>
      </c>
      <c r="F2" s="123"/>
      <c r="G2" s="122" t="s">
        <v>3077</v>
      </c>
      <c r="H2" s="122" t="s">
        <v>3077</v>
      </c>
      <c r="I2" s="123"/>
      <c r="J2" s="123"/>
      <c r="O2" s="122" t="s">
        <v>3078</v>
      </c>
      <c r="P2" s="122" t="s">
        <v>3078</v>
      </c>
      <c r="T2" s="124" t="s">
        <v>3078</v>
      </c>
      <c r="U2" s="125"/>
      <c r="AA2" s="126" t="s">
        <v>3079</v>
      </c>
      <c r="AB2" s="120" t="s">
        <v>3080</v>
      </c>
      <c r="AD2" s="126" t="s">
        <v>3079</v>
      </c>
      <c r="AE2" s="120" t="s">
        <v>3080</v>
      </c>
    </row>
    <row r="3" spans="1:55" ht="17.100000000000001" customHeight="1">
      <c r="A3" s="114"/>
      <c r="E3" s="122"/>
      <c r="F3" s="123"/>
      <c r="G3" s="122"/>
      <c r="H3" s="122"/>
      <c r="I3" s="123"/>
      <c r="J3" s="123"/>
      <c r="O3" s="122"/>
      <c r="P3" s="122"/>
      <c r="T3" s="124"/>
      <c r="U3" s="125"/>
      <c r="AA3" s="126"/>
      <c r="AD3" s="126"/>
    </row>
    <row r="4" spans="1:55" ht="36" customHeight="1">
      <c r="A4" s="127" t="s">
        <v>3081</v>
      </c>
      <c r="B4" s="127" t="s">
        <v>3082</v>
      </c>
      <c r="C4" s="128" t="s">
        <v>3083</v>
      </c>
      <c r="D4" s="128" t="s">
        <v>4179</v>
      </c>
      <c r="E4" s="190" t="s">
        <v>3084</v>
      </c>
      <c r="F4" s="213" t="s">
        <v>3085</v>
      </c>
      <c r="G4" s="190" t="s">
        <v>3086</v>
      </c>
      <c r="H4" s="190" t="s">
        <v>3087</v>
      </c>
      <c r="I4" s="213" t="s">
        <v>3088</v>
      </c>
      <c r="J4" s="213" t="s">
        <v>3089</v>
      </c>
      <c r="K4" s="128" t="s">
        <v>3090</v>
      </c>
      <c r="L4" s="128" t="s">
        <v>3091</v>
      </c>
      <c r="M4" s="127" t="s">
        <v>3092</v>
      </c>
      <c r="N4" s="127" t="s">
        <v>3093</v>
      </c>
      <c r="O4" s="190" t="s">
        <v>3094</v>
      </c>
      <c r="P4" s="190" t="s">
        <v>3095</v>
      </c>
      <c r="Q4" s="191" t="s">
        <v>3096</v>
      </c>
      <c r="R4" s="128" t="s">
        <v>3097</v>
      </c>
      <c r="S4" s="192" t="s">
        <v>3098</v>
      </c>
      <c r="T4" s="193" t="s">
        <v>3099</v>
      </c>
      <c r="U4" s="194" t="s">
        <v>3100</v>
      </c>
      <c r="V4" s="127" t="s">
        <v>3101</v>
      </c>
      <c r="W4" s="128" t="s">
        <v>3102</v>
      </c>
      <c r="X4" s="128" t="s">
        <v>3</v>
      </c>
      <c r="Y4" s="214" t="s">
        <v>3103</v>
      </c>
      <c r="Z4" s="214" t="s">
        <v>3104</v>
      </c>
      <c r="AA4" s="214" t="s">
        <v>3105</v>
      </c>
      <c r="AB4" s="215" t="s">
        <v>3106</v>
      </c>
      <c r="AC4" s="215" t="s">
        <v>3107</v>
      </c>
      <c r="AD4" s="214" t="s">
        <v>3108</v>
      </c>
      <c r="AE4" s="215" t="s">
        <v>3109</v>
      </c>
      <c r="AF4" s="215" t="s">
        <v>3110</v>
      </c>
      <c r="AG4" s="216" t="s">
        <v>332</v>
      </c>
      <c r="AH4" s="215" t="s">
        <v>3111</v>
      </c>
      <c r="AI4" s="215" t="s">
        <v>3112</v>
      </c>
      <c r="AJ4" s="215" t="s">
        <v>4230</v>
      </c>
      <c r="AK4" s="215" t="s">
        <v>4231</v>
      </c>
      <c r="AL4" s="215" t="s">
        <v>558</v>
      </c>
      <c r="AM4" s="215" t="s">
        <v>4233</v>
      </c>
      <c r="AN4" s="130"/>
      <c r="AO4" s="130"/>
      <c r="AP4" s="130"/>
      <c r="AQ4" s="130"/>
      <c r="AR4" s="130"/>
      <c r="AW4" s="130"/>
      <c r="AX4" s="130"/>
      <c r="BB4" s="130"/>
      <c r="BC4" s="130"/>
    </row>
    <row r="5" spans="1:55" ht="15" customHeight="1">
      <c r="A5" s="195" t="s">
        <v>3113</v>
      </c>
      <c r="B5" s="195" t="s">
        <v>3114</v>
      </c>
      <c r="C5" s="195" t="s">
        <v>3115</v>
      </c>
      <c r="D5" s="195" t="s">
        <v>4180</v>
      </c>
      <c r="E5" s="196">
        <v>7</v>
      </c>
      <c r="F5" s="197">
        <f t="shared" ref="F5:F68" si="0">LOG(E5)</f>
        <v>0.84509804001425681</v>
      </c>
      <c r="G5" s="195" t="s">
        <v>3116</v>
      </c>
      <c r="H5" s="198">
        <v>0.3</v>
      </c>
      <c r="I5" s="197"/>
      <c r="J5" s="197">
        <f t="shared" ref="J5:J68" si="1">LOG(H5)</f>
        <v>-0.52287874528033762</v>
      </c>
      <c r="K5" s="195">
        <v>-77.498275000000007</v>
      </c>
      <c r="L5" s="199">
        <f t="shared" ref="L5:L68" si="2">ABS(K5)</f>
        <v>77.498275000000007</v>
      </c>
      <c r="M5" s="200">
        <v>165.00349</v>
      </c>
      <c r="N5" s="195" t="s">
        <v>3117</v>
      </c>
      <c r="O5" s="198">
        <v>17.899999999999999</v>
      </c>
      <c r="P5" s="195" t="s">
        <v>3116</v>
      </c>
      <c r="Q5" s="201">
        <v>0.31</v>
      </c>
      <c r="R5" s="202">
        <f t="shared" ref="R5:R68" si="3">LOG(Q5+1)</f>
        <v>0.11727129565576427</v>
      </c>
      <c r="S5" s="195" t="s">
        <v>3116</v>
      </c>
      <c r="T5" s="203">
        <v>0.46691007499999998</v>
      </c>
      <c r="U5" s="204">
        <f t="shared" ref="U5:U68" si="4">LOG(T5)</f>
        <v>-0.33076675474836037</v>
      </c>
      <c r="V5" s="195" t="s">
        <v>3118</v>
      </c>
      <c r="W5" s="141">
        <v>41</v>
      </c>
      <c r="X5" s="141" t="s">
        <v>352</v>
      </c>
      <c r="Y5" s="142">
        <v>15</v>
      </c>
      <c r="Z5" s="142"/>
      <c r="AA5" s="143">
        <v>368.98532435571695</v>
      </c>
      <c r="AB5" s="142">
        <v>495.3</v>
      </c>
      <c r="AC5" s="142">
        <f t="shared" ref="AC5:AC68" si="5">LOG(AB5)</f>
        <v>2.6948683279824559</v>
      </c>
      <c r="AD5" s="142"/>
      <c r="AE5" s="142"/>
      <c r="AF5" s="142"/>
      <c r="AG5" s="141" t="s">
        <v>3119</v>
      </c>
      <c r="AH5" s="142">
        <v>2</v>
      </c>
      <c r="AI5" s="142"/>
      <c r="AJ5" s="120" t="s">
        <v>355</v>
      </c>
      <c r="AK5" s="218"/>
      <c r="AL5" s="142" t="s">
        <v>1509</v>
      </c>
      <c r="AM5" s="142" t="s">
        <v>4232</v>
      </c>
      <c r="AN5" s="118"/>
      <c r="AW5" s="144"/>
      <c r="AZ5" s="131"/>
      <c r="BB5" s="144"/>
    </row>
    <row r="6" spans="1:55" ht="15" customHeight="1">
      <c r="A6" s="195" t="s">
        <v>3122</v>
      </c>
      <c r="B6" s="195" t="s">
        <v>3123</v>
      </c>
      <c r="C6" s="195" t="s">
        <v>3124</v>
      </c>
      <c r="D6" s="195" t="s">
        <v>4180</v>
      </c>
      <c r="E6" s="196">
        <v>21</v>
      </c>
      <c r="F6" s="197">
        <f t="shared" si="0"/>
        <v>1.3222192947339193</v>
      </c>
      <c r="G6" s="195" t="s">
        <v>3116</v>
      </c>
      <c r="H6" s="198">
        <v>0.3</v>
      </c>
      <c r="I6" s="197"/>
      <c r="J6" s="197">
        <f t="shared" si="1"/>
        <v>-0.52287874528033762</v>
      </c>
      <c r="K6" s="195">
        <v>-77.498275000000007</v>
      </c>
      <c r="L6" s="199">
        <f t="shared" si="2"/>
        <v>77.498275000000007</v>
      </c>
      <c r="M6" s="200">
        <v>165.00349</v>
      </c>
      <c r="N6" s="195" t="s">
        <v>3117</v>
      </c>
      <c r="O6" s="198">
        <v>15.4</v>
      </c>
      <c r="P6" s="195" t="s">
        <v>3116</v>
      </c>
      <c r="Q6" s="201">
        <v>0.34</v>
      </c>
      <c r="R6" s="202">
        <f t="shared" si="3"/>
        <v>0.12710479836480765</v>
      </c>
      <c r="S6" s="195" t="s">
        <v>3116</v>
      </c>
      <c r="T6" s="203">
        <v>0.46691007499999998</v>
      </c>
      <c r="U6" s="204">
        <f t="shared" si="4"/>
        <v>-0.33076675474836037</v>
      </c>
      <c r="V6" s="195" t="s">
        <v>3118</v>
      </c>
      <c r="W6" s="141">
        <v>41</v>
      </c>
      <c r="X6" s="141" t="s">
        <v>352</v>
      </c>
      <c r="Y6" s="142">
        <v>11</v>
      </c>
      <c r="Z6" s="142"/>
      <c r="AA6" s="143">
        <v>249.09711885626643</v>
      </c>
      <c r="AB6" s="142">
        <v>27.5</v>
      </c>
      <c r="AC6" s="142">
        <f t="shared" si="5"/>
        <v>1.4393326938302626</v>
      </c>
      <c r="AD6" s="142"/>
      <c r="AE6" s="142"/>
      <c r="AF6" s="142"/>
      <c r="AG6" s="141" t="s">
        <v>3119</v>
      </c>
      <c r="AH6" s="142">
        <v>2</v>
      </c>
      <c r="AI6" s="142"/>
      <c r="AJ6" s="120" t="s">
        <v>355</v>
      </c>
      <c r="AK6" s="218"/>
      <c r="AL6" s="142" t="s">
        <v>1509</v>
      </c>
      <c r="AM6" s="142" t="s">
        <v>4232</v>
      </c>
      <c r="AW6" s="144"/>
      <c r="AZ6" s="131"/>
      <c r="BB6" s="144"/>
    </row>
    <row r="7" spans="1:55" ht="15" customHeight="1">
      <c r="A7" s="195" t="s">
        <v>3126</v>
      </c>
      <c r="B7" s="195" t="s">
        <v>3127</v>
      </c>
      <c r="C7" s="195" t="s">
        <v>3128</v>
      </c>
      <c r="D7" s="195" t="s">
        <v>4180</v>
      </c>
      <c r="E7" s="196">
        <v>14</v>
      </c>
      <c r="F7" s="197">
        <f t="shared" si="0"/>
        <v>1.146128035678238</v>
      </c>
      <c r="G7" s="195" t="s">
        <v>3116</v>
      </c>
      <c r="H7" s="198">
        <v>0.3</v>
      </c>
      <c r="I7" s="197"/>
      <c r="J7" s="197">
        <f t="shared" si="1"/>
        <v>-0.52287874528033762</v>
      </c>
      <c r="K7" s="195">
        <v>-77.498275000000007</v>
      </c>
      <c r="L7" s="199">
        <f t="shared" si="2"/>
        <v>77.498275000000007</v>
      </c>
      <c r="M7" s="200">
        <v>165.00349</v>
      </c>
      <c r="N7" s="195" t="s">
        <v>3117</v>
      </c>
      <c r="O7" s="198">
        <v>17.399999999999999</v>
      </c>
      <c r="P7" s="195" t="s">
        <v>3116</v>
      </c>
      <c r="Q7" s="201">
        <v>0.2</v>
      </c>
      <c r="R7" s="202">
        <f t="shared" si="3"/>
        <v>7.9181246047624818E-2</v>
      </c>
      <c r="S7" s="195" t="s">
        <v>3116</v>
      </c>
      <c r="T7" s="203">
        <v>0.46691007499999998</v>
      </c>
      <c r="U7" s="204">
        <f t="shared" si="4"/>
        <v>-0.33076675474836037</v>
      </c>
      <c r="V7" s="195" t="s">
        <v>3118</v>
      </c>
      <c r="W7" s="141">
        <v>41</v>
      </c>
      <c r="X7" s="141" t="s">
        <v>352</v>
      </c>
      <c r="Y7" s="142">
        <v>15</v>
      </c>
      <c r="Z7" s="142"/>
      <c r="AA7" s="143">
        <v>293.74087701873833</v>
      </c>
      <c r="AB7" s="142">
        <v>345.1</v>
      </c>
      <c r="AC7" s="142">
        <f t="shared" si="5"/>
        <v>2.5379449592914867</v>
      </c>
      <c r="AD7" s="142"/>
      <c r="AE7" s="142"/>
      <c r="AF7" s="142"/>
      <c r="AG7" s="141" t="s">
        <v>3119</v>
      </c>
      <c r="AH7" s="142">
        <v>2</v>
      </c>
      <c r="AI7" s="142"/>
      <c r="AJ7" s="215" t="s">
        <v>355</v>
      </c>
      <c r="AK7" s="218"/>
      <c r="AL7" s="142" t="s">
        <v>1509</v>
      </c>
      <c r="AM7" s="142" t="s">
        <v>4232</v>
      </c>
      <c r="AW7" s="144"/>
      <c r="AZ7" s="131"/>
      <c r="BB7" s="144"/>
    </row>
    <row r="8" spans="1:55" ht="15" customHeight="1">
      <c r="A8" s="195" t="s">
        <v>3129</v>
      </c>
      <c r="B8" s="195" t="s">
        <v>3130</v>
      </c>
      <c r="C8" s="195" t="s">
        <v>3131</v>
      </c>
      <c r="D8" s="195" t="s">
        <v>4180</v>
      </c>
      <c r="E8" s="196">
        <v>21</v>
      </c>
      <c r="F8" s="197">
        <f t="shared" si="0"/>
        <v>1.3222192947339193</v>
      </c>
      <c r="G8" s="195" t="s">
        <v>3116</v>
      </c>
      <c r="H8" s="198">
        <v>0.3</v>
      </c>
      <c r="I8" s="197"/>
      <c r="J8" s="197">
        <f t="shared" si="1"/>
        <v>-0.52287874528033762</v>
      </c>
      <c r="K8" s="195">
        <v>-77.498275000000007</v>
      </c>
      <c r="L8" s="199">
        <f t="shared" si="2"/>
        <v>77.498275000000007</v>
      </c>
      <c r="M8" s="200">
        <v>165.00349</v>
      </c>
      <c r="N8" s="195" t="s">
        <v>3117</v>
      </c>
      <c r="O8" s="198">
        <v>17.2</v>
      </c>
      <c r="P8" s="195" t="s">
        <v>3116</v>
      </c>
      <c r="Q8" s="201">
        <v>0.46</v>
      </c>
      <c r="R8" s="202">
        <f t="shared" si="3"/>
        <v>0.16435285578443709</v>
      </c>
      <c r="S8" s="195" t="s">
        <v>3116</v>
      </c>
      <c r="T8" s="203">
        <v>0.46691007499999998</v>
      </c>
      <c r="U8" s="204">
        <f t="shared" si="4"/>
        <v>-0.33076675474836037</v>
      </c>
      <c r="V8" s="195" t="s">
        <v>3118</v>
      </c>
      <c r="W8" s="141">
        <v>41</v>
      </c>
      <c r="X8" s="141" t="s">
        <v>352</v>
      </c>
      <c r="Y8" s="142">
        <v>9.5</v>
      </c>
      <c r="Z8" s="142"/>
      <c r="AA8" s="143">
        <v>176.99351874027491</v>
      </c>
      <c r="AB8" s="142">
        <v>62.2</v>
      </c>
      <c r="AC8" s="142">
        <f t="shared" si="5"/>
        <v>1.7937903846908188</v>
      </c>
      <c r="AD8" s="142"/>
      <c r="AE8" s="142"/>
      <c r="AF8" s="142"/>
      <c r="AG8" s="141" t="s">
        <v>3119</v>
      </c>
      <c r="AH8" s="142">
        <v>2</v>
      </c>
      <c r="AI8" s="142"/>
      <c r="AJ8" s="142" t="s">
        <v>355</v>
      </c>
      <c r="AK8" s="218"/>
      <c r="AL8" s="142" t="s">
        <v>1509</v>
      </c>
      <c r="AM8" s="142" t="s">
        <v>4232</v>
      </c>
      <c r="AW8" s="144"/>
      <c r="AZ8" s="131"/>
      <c r="BB8" s="144"/>
    </row>
    <row r="9" spans="1:55" ht="15" customHeight="1">
      <c r="A9" s="195" t="s">
        <v>3133</v>
      </c>
      <c r="B9" s="195" t="s">
        <v>3134</v>
      </c>
      <c r="C9" s="195" t="s">
        <v>3135</v>
      </c>
      <c r="D9" s="195" t="s">
        <v>4180</v>
      </c>
      <c r="E9" s="196">
        <v>21</v>
      </c>
      <c r="F9" s="197">
        <f t="shared" si="0"/>
        <v>1.3222192947339193</v>
      </c>
      <c r="G9" s="195" t="s">
        <v>3116</v>
      </c>
      <c r="H9" s="198">
        <v>0.3</v>
      </c>
      <c r="I9" s="197"/>
      <c r="J9" s="197">
        <f t="shared" si="1"/>
        <v>-0.52287874528033762</v>
      </c>
      <c r="K9" s="195">
        <v>-77.498275000000007</v>
      </c>
      <c r="L9" s="199">
        <f t="shared" si="2"/>
        <v>77.498275000000007</v>
      </c>
      <c r="M9" s="200">
        <v>165.00349</v>
      </c>
      <c r="N9" s="195" t="s">
        <v>3117</v>
      </c>
      <c r="O9" s="198">
        <v>15.2</v>
      </c>
      <c r="P9" s="195" t="s">
        <v>3116</v>
      </c>
      <c r="Q9" s="201">
        <v>0.54</v>
      </c>
      <c r="R9" s="202">
        <f t="shared" si="3"/>
        <v>0.18752072083646307</v>
      </c>
      <c r="S9" s="195" t="s">
        <v>3116</v>
      </c>
      <c r="T9" s="203">
        <v>0.46691007499999998</v>
      </c>
      <c r="U9" s="204">
        <f t="shared" si="4"/>
        <v>-0.33076675474836037</v>
      </c>
      <c r="V9" s="195" t="s">
        <v>3118</v>
      </c>
      <c r="W9" s="141">
        <v>41</v>
      </c>
      <c r="X9" s="141" t="s">
        <v>352</v>
      </c>
      <c r="Y9" s="142">
        <v>16</v>
      </c>
      <c r="Z9" s="142"/>
      <c r="AA9" s="143">
        <v>209.74267166946919</v>
      </c>
      <c r="AB9" s="142">
        <v>101.5</v>
      </c>
      <c r="AC9" s="142">
        <f t="shared" si="5"/>
        <v>2.0064660422492318</v>
      </c>
      <c r="AD9" s="142"/>
      <c r="AE9" s="142"/>
      <c r="AF9" s="142"/>
      <c r="AG9" s="141" t="s">
        <v>3119</v>
      </c>
      <c r="AH9" s="142">
        <v>2</v>
      </c>
      <c r="AI9" s="142"/>
      <c r="AJ9" s="142" t="s">
        <v>355</v>
      </c>
      <c r="AK9" s="218"/>
      <c r="AL9" s="142" t="s">
        <v>1509</v>
      </c>
      <c r="AM9" s="142" t="s">
        <v>4232</v>
      </c>
      <c r="AW9" s="144"/>
      <c r="BB9" s="144"/>
    </row>
    <row r="10" spans="1:55" ht="15" customHeight="1">
      <c r="A10" s="195" t="s">
        <v>3137</v>
      </c>
      <c r="B10" s="195" t="s">
        <v>3138</v>
      </c>
      <c r="C10" s="195" t="s">
        <v>3139</v>
      </c>
      <c r="D10" s="195" t="s">
        <v>4180</v>
      </c>
      <c r="E10" s="196">
        <v>21</v>
      </c>
      <c r="F10" s="197">
        <f t="shared" si="0"/>
        <v>1.3222192947339193</v>
      </c>
      <c r="G10" s="195" t="s">
        <v>3116</v>
      </c>
      <c r="H10" s="198">
        <v>0.3</v>
      </c>
      <c r="I10" s="197"/>
      <c r="J10" s="197">
        <f t="shared" si="1"/>
        <v>-0.52287874528033762</v>
      </c>
      <c r="K10" s="195">
        <v>-77.498275000000007</v>
      </c>
      <c r="L10" s="199">
        <f t="shared" si="2"/>
        <v>77.498275000000007</v>
      </c>
      <c r="M10" s="200">
        <v>165.00349</v>
      </c>
      <c r="N10" s="195" t="s">
        <v>3117</v>
      </c>
      <c r="O10" s="196">
        <v>15</v>
      </c>
      <c r="P10" s="195" t="s">
        <v>3116</v>
      </c>
      <c r="Q10" s="201">
        <v>0.24</v>
      </c>
      <c r="R10" s="202">
        <f t="shared" si="3"/>
        <v>9.3421685162235063E-2</v>
      </c>
      <c r="S10" s="195" t="s">
        <v>3116</v>
      </c>
      <c r="T10" s="203">
        <v>0.46691007499999998</v>
      </c>
      <c r="U10" s="204">
        <f t="shared" si="4"/>
        <v>-0.33076675474836037</v>
      </c>
      <c r="V10" s="195" t="s">
        <v>3118</v>
      </c>
      <c r="W10" s="141">
        <v>41</v>
      </c>
      <c r="X10" s="141" t="s">
        <v>352</v>
      </c>
      <c r="Y10" s="142">
        <v>10</v>
      </c>
      <c r="Z10" s="142"/>
      <c r="AA10" s="143">
        <v>194.66169864260786</v>
      </c>
      <c r="AB10" s="142">
        <v>80</v>
      </c>
      <c r="AC10" s="142">
        <f t="shared" si="5"/>
        <v>1.9030899869919435</v>
      </c>
      <c r="AD10" s="142"/>
      <c r="AE10" s="142"/>
      <c r="AF10" s="142"/>
      <c r="AG10" s="141" t="s">
        <v>3119</v>
      </c>
      <c r="AH10" s="142">
        <v>2</v>
      </c>
      <c r="AI10" s="142"/>
      <c r="AJ10" s="142" t="s">
        <v>355</v>
      </c>
      <c r="AK10" s="218"/>
      <c r="AL10" s="142" t="s">
        <v>1509</v>
      </c>
      <c r="AM10" s="142" t="s">
        <v>4232</v>
      </c>
      <c r="AW10" s="144"/>
      <c r="BB10" s="144"/>
    </row>
    <row r="11" spans="1:55" ht="15" customHeight="1">
      <c r="A11" s="195" t="s">
        <v>3137</v>
      </c>
      <c r="B11" s="195" t="s">
        <v>3141</v>
      </c>
      <c r="C11" s="195" t="s">
        <v>3142</v>
      </c>
      <c r="D11" s="195" t="s">
        <v>4180</v>
      </c>
      <c r="E11" s="196">
        <v>21</v>
      </c>
      <c r="F11" s="197">
        <f t="shared" si="0"/>
        <v>1.3222192947339193</v>
      </c>
      <c r="G11" s="195" t="s">
        <v>3116</v>
      </c>
      <c r="H11" s="198">
        <v>0.3</v>
      </c>
      <c r="I11" s="197"/>
      <c r="J11" s="197">
        <f t="shared" si="1"/>
        <v>-0.52287874528033762</v>
      </c>
      <c r="K11" s="195">
        <v>-77.498275000000007</v>
      </c>
      <c r="L11" s="199">
        <f t="shared" si="2"/>
        <v>77.498275000000007</v>
      </c>
      <c r="M11" s="200">
        <v>165.00349</v>
      </c>
      <c r="N11" s="195" t="s">
        <v>3117</v>
      </c>
      <c r="O11" s="198">
        <v>15.4</v>
      </c>
      <c r="P11" s="195" t="s">
        <v>3116</v>
      </c>
      <c r="Q11" s="201">
        <v>0.39</v>
      </c>
      <c r="R11" s="202">
        <f t="shared" si="3"/>
        <v>0.14301480025409513</v>
      </c>
      <c r="S11" s="195" t="s">
        <v>3116</v>
      </c>
      <c r="T11" s="203">
        <v>0.46691007499999998</v>
      </c>
      <c r="U11" s="204">
        <f t="shared" si="4"/>
        <v>-0.33076675474836037</v>
      </c>
      <c r="V11" s="195" t="s">
        <v>3118</v>
      </c>
      <c r="W11" s="141">
        <v>41</v>
      </c>
      <c r="X11" s="141" t="s">
        <v>352</v>
      </c>
      <c r="Y11" s="142">
        <v>10</v>
      </c>
      <c r="Z11" s="142"/>
      <c r="AA11" s="143">
        <v>251.62832708502714</v>
      </c>
      <c r="AB11" s="142">
        <v>169.3</v>
      </c>
      <c r="AC11" s="142">
        <f t="shared" si="5"/>
        <v>2.2286569581089353</v>
      </c>
      <c r="AD11" s="142"/>
      <c r="AE11" s="142"/>
      <c r="AF11" s="142"/>
      <c r="AG11" s="141" t="s">
        <v>3119</v>
      </c>
      <c r="AH11" s="142">
        <v>2</v>
      </c>
      <c r="AI11" s="142"/>
      <c r="AJ11" s="142" t="s">
        <v>355</v>
      </c>
      <c r="AK11" s="218"/>
      <c r="AL11" s="142" t="s">
        <v>1509</v>
      </c>
      <c r="AM11" s="142" t="s">
        <v>4232</v>
      </c>
      <c r="AW11" s="144"/>
      <c r="BB11" s="144"/>
    </row>
    <row r="12" spans="1:55" ht="15" customHeight="1">
      <c r="A12" s="195" t="s">
        <v>3137</v>
      </c>
      <c r="B12" s="195" t="s">
        <v>3144</v>
      </c>
      <c r="C12" s="195" t="s">
        <v>3145</v>
      </c>
      <c r="D12" s="195" t="s">
        <v>4180</v>
      </c>
      <c r="E12" s="196">
        <v>21</v>
      </c>
      <c r="F12" s="197">
        <f t="shared" si="0"/>
        <v>1.3222192947339193</v>
      </c>
      <c r="G12" s="195" t="s">
        <v>3116</v>
      </c>
      <c r="H12" s="198">
        <v>0.3</v>
      </c>
      <c r="I12" s="197"/>
      <c r="J12" s="197">
        <f t="shared" si="1"/>
        <v>-0.52287874528033762</v>
      </c>
      <c r="K12" s="195">
        <v>-77.498275000000007</v>
      </c>
      <c r="L12" s="199">
        <f t="shared" si="2"/>
        <v>77.498275000000007</v>
      </c>
      <c r="M12" s="200">
        <v>165.00349</v>
      </c>
      <c r="N12" s="195" t="s">
        <v>3117</v>
      </c>
      <c r="O12" s="198">
        <v>15.4</v>
      </c>
      <c r="P12" s="195" t="s">
        <v>3116</v>
      </c>
      <c r="Q12" s="201">
        <v>0.53</v>
      </c>
      <c r="R12" s="202">
        <f t="shared" si="3"/>
        <v>0.18469143081759881</v>
      </c>
      <c r="S12" s="195" t="s">
        <v>3116</v>
      </c>
      <c r="T12" s="203">
        <v>0.46691007499999998</v>
      </c>
      <c r="U12" s="204">
        <f t="shared" si="4"/>
        <v>-0.33076675474836037</v>
      </c>
      <c r="V12" s="195" t="s">
        <v>3118</v>
      </c>
      <c r="W12" s="141">
        <v>41</v>
      </c>
      <c r="X12" s="141" t="s">
        <v>352</v>
      </c>
      <c r="Y12" s="142">
        <v>8</v>
      </c>
      <c r="Z12" s="142"/>
      <c r="AA12" s="143">
        <v>195.4734667767805</v>
      </c>
      <c r="AB12" s="142">
        <v>74.7</v>
      </c>
      <c r="AC12" s="142">
        <f t="shared" si="5"/>
        <v>1.8733206018153987</v>
      </c>
      <c r="AD12" s="142"/>
      <c r="AE12" s="142"/>
      <c r="AF12" s="142"/>
      <c r="AG12" s="141" t="s">
        <v>3119</v>
      </c>
      <c r="AH12" s="142">
        <v>2</v>
      </c>
      <c r="AI12" s="142"/>
      <c r="AJ12" s="142" t="s">
        <v>355</v>
      </c>
      <c r="AK12" s="218"/>
      <c r="AL12" s="142" t="s">
        <v>1509</v>
      </c>
      <c r="AM12" s="142" t="s">
        <v>4232</v>
      </c>
      <c r="AW12" s="144"/>
      <c r="BB12" s="144"/>
    </row>
    <row r="13" spans="1:55" ht="15" customHeight="1">
      <c r="A13" s="195" t="s">
        <v>3147</v>
      </c>
      <c r="B13" s="195" t="s">
        <v>3148</v>
      </c>
      <c r="C13" s="195" t="s">
        <v>3149</v>
      </c>
      <c r="D13" s="195" t="s">
        <v>4181</v>
      </c>
      <c r="E13" s="196">
        <v>14</v>
      </c>
      <c r="F13" s="197">
        <f t="shared" si="0"/>
        <v>1.146128035678238</v>
      </c>
      <c r="G13" s="195" t="s">
        <v>3116</v>
      </c>
      <c r="H13" s="196">
        <v>1</v>
      </c>
      <c r="I13" s="197"/>
      <c r="J13" s="197">
        <f t="shared" si="1"/>
        <v>0</v>
      </c>
      <c r="K13" s="199">
        <v>10.015501</v>
      </c>
      <c r="L13" s="199">
        <f t="shared" si="2"/>
        <v>10.015501</v>
      </c>
      <c r="M13" s="195">
        <v>-83.788400999999993</v>
      </c>
      <c r="N13" s="195" t="s">
        <v>3150</v>
      </c>
      <c r="O13" s="198">
        <v>35.700000000000003</v>
      </c>
      <c r="P13" s="195" t="s">
        <v>3116</v>
      </c>
      <c r="Q13" s="201">
        <v>0.19</v>
      </c>
      <c r="R13" s="202">
        <f t="shared" si="3"/>
        <v>7.554696139253074E-2</v>
      </c>
      <c r="S13" s="195" t="s">
        <v>3116</v>
      </c>
      <c r="T13" s="203">
        <v>0.58499999999999996</v>
      </c>
      <c r="U13" s="204">
        <f t="shared" si="4"/>
        <v>-0.23284413391781958</v>
      </c>
      <c r="V13" s="195" t="s">
        <v>3151</v>
      </c>
      <c r="W13" s="141">
        <v>2</v>
      </c>
      <c r="X13" s="141" t="s">
        <v>352</v>
      </c>
      <c r="Y13" s="141">
        <v>10</v>
      </c>
      <c r="Z13" s="145"/>
      <c r="AA13" s="145">
        <v>113</v>
      </c>
      <c r="AB13" s="142">
        <v>92.557496600095675</v>
      </c>
      <c r="AC13" s="142">
        <f t="shared" si="5"/>
        <v>1.9664115997523879</v>
      </c>
      <c r="AD13" s="142"/>
      <c r="AE13" s="142"/>
      <c r="AF13" s="142"/>
      <c r="AG13" s="141" t="s">
        <v>3152</v>
      </c>
      <c r="AH13" s="142">
        <v>2</v>
      </c>
      <c r="AI13" s="142"/>
      <c r="AJ13" s="142">
        <v>16.5</v>
      </c>
      <c r="AK13" s="218">
        <f t="shared" ref="AK13:AK69" si="6">O13-AJ13</f>
        <v>19.200000000000003</v>
      </c>
      <c r="AL13" s="142" t="s">
        <v>1509</v>
      </c>
      <c r="AM13" s="142" t="s">
        <v>1509</v>
      </c>
      <c r="AW13" s="144"/>
      <c r="BB13" s="144"/>
    </row>
    <row r="14" spans="1:55" ht="15" customHeight="1">
      <c r="A14" s="195" t="s">
        <v>3154</v>
      </c>
      <c r="B14" s="195" t="s">
        <v>3155</v>
      </c>
      <c r="C14" s="195" t="s">
        <v>3156</v>
      </c>
      <c r="D14" s="195" t="s">
        <v>4181</v>
      </c>
      <c r="E14" s="196">
        <v>14</v>
      </c>
      <c r="F14" s="197">
        <f t="shared" si="0"/>
        <v>1.146128035678238</v>
      </c>
      <c r="G14" s="195" t="s">
        <v>3116</v>
      </c>
      <c r="H14" s="196">
        <v>1</v>
      </c>
      <c r="I14" s="197"/>
      <c r="J14" s="197">
        <f t="shared" si="1"/>
        <v>0</v>
      </c>
      <c r="K14" s="199">
        <v>9.9130559999999992</v>
      </c>
      <c r="L14" s="199">
        <f t="shared" si="2"/>
        <v>9.9130559999999992</v>
      </c>
      <c r="M14" s="195">
        <v>-83.682777999999999</v>
      </c>
      <c r="N14" s="195" t="s">
        <v>3150</v>
      </c>
      <c r="O14" s="198">
        <v>37.5</v>
      </c>
      <c r="P14" s="195" t="s">
        <v>3116</v>
      </c>
      <c r="Q14" s="201">
        <v>0.1</v>
      </c>
      <c r="R14" s="202">
        <f t="shared" si="3"/>
        <v>4.1392685158225077E-2</v>
      </c>
      <c r="S14" s="195" t="s">
        <v>3116</v>
      </c>
      <c r="T14" s="203">
        <v>0.64200000000000002</v>
      </c>
      <c r="U14" s="204">
        <f t="shared" si="4"/>
        <v>-0.19246497193114673</v>
      </c>
      <c r="V14" s="195" t="s">
        <v>3151</v>
      </c>
      <c r="W14" s="141">
        <v>2</v>
      </c>
      <c r="X14" s="141" t="s">
        <v>352</v>
      </c>
      <c r="Y14" s="141">
        <v>10</v>
      </c>
      <c r="Z14" s="145"/>
      <c r="AA14" s="145">
        <v>55</v>
      </c>
      <c r="AB14" s="142">
        <v>14.739803551052077</v>
      </c>
      <c r="AC14" s="142">
        <f t="shared" si="5"/>
        <v>1.1684916953776734</v>
      </c>
      <c r="AD14" s="142"/>
      <c r="AE14" s="142"/>
      <c r="AF14" s="142"/>
      <c r="AG14" s="141" t="s">
        <v>3152</v>
      </c>
      <c r="AH14" s="142">
        <v>2</v>
      </c>
      <c r="AI14" s="142"/>
      <c r="AJ14" s="142">
        <v>28.9</v>
      </c>
      <c r="AK14" s="218">
        <f t="shared" si="6"/>
        <v>8.6000000000000014</v>
      </c>
      <c r="AL14" s="142" t="s">
        <v>1509</v>
      </c>
      <c r="AM14" s="142" t="s">
        <v>1509</v>
      </c>
      <c r="AW14" s="144"/>
      <c r="BB14" s="144"/>
    </row>
    <row r="15" spans="1:55" ht="15" customHeight="1">
      <c r="A15" s="195" t="s">
        <v>3147</v>
      </c>
      <c r="B15" s="195" t="s">
        <v>3158</v>
      </c>
      <c r="C15" s="195" t="s">
        <v>3159</v>
      </c>
      <c r="D15" s="195" t="s">
        <v>4181</v>
      </c>
      <c r="E15" s="196">
        <v>14</v>
      </c>
      <c r="F15" s="197">
        <f t="shared" si="0"/>
        <v>1.146128035678238</v>
      </c>
      <c r="G15" s="195" t="s">
        <v>3116</v>
      </c>
      <c r="H15" s="196">
        <v>1</v>
      </c>
      <c r="I15" s="197"/>
      <c r="J15" s="197">
        <f t="shared" si="1"/>
        <v>0</v>
      </c>
      <c r="K15" s="199">
        <v>9.9130559999999992</v>
      </c>
      <c r="L15" s="199">
        <f t="shared" si="2"/>
        <v>9.9130559999999992</v>
      </c>
      <c r="M15" s="195">
        <v>-83.682777999999999</v>
      </c>
      <c r="N15" s="195" t="s">
        <v>3150</v>
      </c>
      <c r="O15" s="198">
        <v>36.9</v>
      </c>
      <c r="P15" s="195" t="s">
        <v>3116</v>
      </c>
      <c r="Q15" s="201">
        <v>0.17</v>
      </c>
      <c r="R15" s="202">
        <f t="shared" si="3"/>
        <v>6.8185861746161619E-2</v>
      </c>
      <c r="S15" s="195" t="s">
        <v>3116</v>
      </c>
      <c r="T15" s="203">
        <v>0.64200000000000002</v>
      </c>
      <c r="U15" s="204">
        <f t="shared" si="4"/>
        <v>-0.19246497193114673</v>
      </c>
      <c r="V15" s="195" t="s">
        <v>3151</v>
      </c>
      <c r="W15" s="141">
        <v>2</v>
      </c>
      <c r="X15" s="141" t="s">
        <v>352</v>
      </c>
      <c r="Y15" s="141">
        <v>10</v>
      </c>
      <c r="Z15" s="145"/>
      <c r="AA15" s="145">
        <v>113</v>
      </c>
      <c r="AB15" s="142">
        <v>92.557496600095675</v>
      </c>
      <c r="AC15" s="142">
        <f t="shared" si="5"/>
        <v>1.9664115997523879</v>
      </c>
      <c r="AD15" s="142"/>
      <c r="AE15" s="142"/>
      <c r="AF15" s="142"/>
      <c r="AG15" s="141" t="s">
        <v>3152</v>
      </c>
      <c r="AH15" s="142">
        <v>2</v>
      </c>
      <c r="AI15" s="142"/>
      <c r="AJ15" s="142">
        <v>28.9</v>
      </c>
      <c r="AK15" s="218">
        <f t="shared" si="6"/>
        <v>8</v>
      </c>
      <c r="AL15" s="142" t="s">
        <v>1509</v>
      </c>
      <c r="AM15" s="142" t="s">
        <v>1509</v>
      </c>
      <c r="AW15" s="144"/>
      <c r="BB15" s="144"/>
    </row>
    <row r="16" spans="1:55" ht="14.1" customHeight="1">
      <c r="A16" s="195" t="s">
        <v>3154</v>
      </c>
      <c r="B16" s="195" t="s">
        <v>3161</v>
      </c>
      <c r="C16" s="195" t="s">
        <v>3162</v>
      </c>
      <c r="D16" s="195" t="s">
        <v>4181</v>
      </c>
      <c r="E16" s="196">
        <v>14</v>
      </c>
      <c r="F16" s="197">
        <f t="shared" si="0"/>
        <v>1.146128035678238</v>
      </c>
      <c r="G16" s="195" t="s">
        <v>3116</v>
      </c>
      <c r="H16" s="196">
        <v>1</v>
      </c>
      <c r="I16" s="197"/>
      <c r="J16" s="197">
        <f t="shared" si="1"/>
        <v>0</v>
      </c>
      <c r="K16" s="199">
        <v>9.1521019999999993</v>
      </c>
      <c r="L16" s="199">
        <f t="shared" si="2"/>
        <v>9.1521019999999993</v>
      </c>
      <c r="M16" s="195">
        <v>-79.84648</v>
      </c>
      <c r="N16" s="195" t="s">
        <v>3150</v>
      </c>
      <c r="O16" s="198">
        <v>41.8</v>
      </c>
      <c r="P16" s="195" t="s">
        <v>3116</v>
      </c>
      <c r="Q16" s="201">
        <v>0.21</v>
      </c>
      <c r="R16" s="202">
        <f t="shared" si="3"/>
        <v>8.2785370316450071E-2</v>
      </c>
      <c r="S16" s="195" t="s">
        <v>3116</v>
      </c>
      <c r="T16" s="203">
        <v>0.68400000000000005</v>
      </c>
      <c r="U16" s="204">
        <f t="shared" si="4"/>
        <v>-0.16494389827988373</v>
      </c>
      <c r="V16" s="195" t="s">
        <v>3151</v>
      </c>
      <c r="W16" s="141">
        <v>2</v>
      </c>
      <c r="X16" s="141" t="s">
        <v>352</v>
      </c>
      <c r="Y16" s="141">
        <v>10</v>
      </c>
      <c r="Z16" s="141"/>
      <c r="AA16" s="141">
        <v>146</v>
      </c>
      <c r="AB16" s="142">
        <v>278.42106854902812</v>
      </c>
      <c r="AC16" s="142">
        <f t="shared" si="5"/>
        <v>2.4447020959111549</v>
      </c>
      <c r="AD16" s="142"/>
      <c r="AE16" s="142"/>
      <c r="AF16" s="142"/>
      <c r="AG16" s="209" t="s">
        <v>3163</v>
      </c>
      <c r="AH16" s="142">
        <v>3</v>
      </c>
      <c r="AI16" s="142"/>
      <c r="AJ16" s="142">
        <v>30.8</v>
      </c>
      <c r="AK16" s="218">
        <f t="shared" si="6"/>
        <v>10.999999999999996</v>
      </c>
      <c r="AL16" s="142" t="s">
        <v>1509</v>
      </c>
      <c r="AM16" s="142" t="s">
        <v>1509</v>
      </c>
      <c r="AW16" s="144"/>
      <c r="BB16" s="144"/>
    </row>
    <row r="17" spans="1:54" ht="15" customHeight="1">
      <c r="A17" s="195" t="s">
        <v>3165</v>
      </c>
      <c r="B17" s="195" t="s">
        <v>3166</v>
      </c>
      <c r="C17" s="195" t="s">
        <v>3167</v>
      </c>
      <c r="D17" s="195" t="s">
        <v>4182</v>
      </c>
      <c r="E17" s="196">
        <v>10</v>
      </c>
      <c r="F17" s="197">
        <f t="shared" si="0"/>
        <v>1</v>
      </c>
      <c r="G17" s="202">
        <v>0.25</v>
      </c>
      <c r="H17" s="202">
        <v>0.25</v>
      </c>
      <c r="I17" s="197">
        <f>LOG(G17)</f>
        <v>-0.6020599913279624</v>
      </c>
      <c r="J17" s="197">
        <f t="shared" si="1"/>
        <v>-0.6020599913279624</v>
      </c>
      <c r="K17" s="199">
        <v>0.692778</v>
      </c>
      <c r="L17" s="199">
        <f t="shared" si="2"/>
        <v>0.692778</v>
      </c>
      <c r="M17" s="199">
        <v>34.181111000000001</v>
      </c>
      <c r="N17" s="195" t="s">
        <v>3150</v>
      </c>
      <c r="O17" s="198">
        <v>44.4</v>
      </c>
      <c r="P17" s="198">
        <v>4.5</v>
      </c>
      <c r="Q17" s="201">
        <v>0.03</v>
      </c>
      <c r="R17" s="202">
        <f t="shared" si="3"/>
        <v>1.2837224705172217E-2</v>
      </c>
      <c r="S17" s="202">
        <v>0.27</v>
      </c>
      <c r="T17" s="203">
        <v>0.70599999999999996</v>
      </c>
      <c r="U17" s="204">
        <f t="shared" si="4"/>
        <v>-0.15119529894819625</v>
      </c>
      <c r="V17" s="195" t="s">
        <v>3168</v>
      </c>
      <c r="W17" s="141">
        <v>82</v>
      </c>
      <c r="X17" s="141" t="s">
        <v>352</v>
      </c>
      <c r="Y17" s="142">
        <v>30</v>
      </c>
      <c r="Z17" s="142"/>
      <c r="AA17" s="142"/>
      <c r="AB17" s="142">
        <f>AVERAGE(11.74,13.73,11.62,10.84)/1000</f>
        <v>1.1982499999999998E-2</v>
      </c>
      <c r="AC17" s="142">
        <f t="shared" si="5"/>
        <v>-1.9214525623361747</v>
      </c>
      <c r="AD17" s="142"/>
      <c r="AE17" s="142">
        <f>AVERAGE(11.74,13.73,11.62,10.84)/1000</f>
        <v>1.1982499999999998E-2</v>
      </c>
      <c r="AF17" s="142">
        <f>LOG(AE17)</f>
        <v>-1.9214525623361747</v>
      </c>
      <c r="AG17" s="141" t="s">
        <v>3169</v>
      </c>
      <c r="AH17" s="142">
        <v>3</v>
      </c>
      <c r="AI17" s="142">
        <v>3</v>
      </c>
      <c r="AJ17" s="142">
        <v>30.7</v>
      </c>
      <c r="AK17" s="218">
        <f t="shared" si="6"/>
        <v>13.7</v>
      </c>
      <c r="AL17" s="142" t="s">
        <v>1509</v>
      </c>
      <c r="AM17" s="142" t="s">
        <v>1509</v>
      </c>
      <c r="AW17" s="144"/>
      <c r="BB17" s="144"/>
    </row>
    <row r="18" spans="1:54" ht="15" customHeight="1">
      <c r="A18" s="195" t="s">
        <v>3171</v>
      </c>
      <c r="B18" s="195" t="s">
        <v>3172</v>
      </c>
      <c r="C18" s="195" t="s">
        <v>3173</v>
      </c>
      <c r="D18" s="195" t="s">
        <v>4180</v>
      </c>
      <c r="E18" s="198">
        <v>10.5</v>
      </c>
      <c r="F18" s="197">
        <f t="shared" si="0"/>
        <v>1.0211892990699381</v>
      </c>
      <c r="G18" s="195" t="s">
        <v>3116</v>
      </c>
      <c r="H18" s="198">
        <v>0.3</v>
      </c>
      <c r="I18" s="197"/>
      <c r="J18" s="197">
        <f t="shared" si="1"/>
        <v>-0.52287874528033762</v>
      </c>
      <c r="K18" s="199">
        <v>18.221208000000001</v>
      </c>
      <c r="L18" s="199">
        <f t="shared" si="2"/>
        <v>18.221208000000001</v>
      </c>
      <c r="M18" s="195">
        <v>-71.102407999999997</v>
      </c>
      <c r="N18" s="195" t="s">
        <v>3174</v>
      </c>
      <c r="O18" s="196">
        <v>43</v>
      </c>
      <c r="P18" s="195" t="s">
        <v>3116</v>
      </c>
      <c r="Q18" s="201">
        <v>0.31</v>
      </c>
      <c r="R18" s="202">
        <f t="shared" si="3"/>
        <v>0.11727129565576427</v>
      </c>
      <c r="S18" s="195" t="s">
        <v>3116</v>
      </c>
      <c r="T18" s="203">
        <v>0.99199999999999999</v>
      </c>
      <c r="U18" s="204">
        <f t="shared" si="4"/>
        <v>-3.4883278458213473E-3</v>
      </c>
      <c r="V18" s="195" t="s">
        <v>3175</v>
      </c>
      <c r="W18" s="141">
        <v>53</v>
      </c>
      <c r="X18" s="141" t="s">
        <v>352</v>
      </c>
      <c r="Y18" s="142">
        <v>7</v>
      </c>
      <c r="Z18" s="142"/>
      <c r="AA18" s="142">
        <v>30.7</v>
      </c>
      <c r="AB18" s="142">
        <v>0.69</v>
      </c>
      <c r="AC18" s="142">
        <f t="shared" si="5"/>
        <v>-0.16115090926274472</v>
      </c>
      <c r="AD18" s="142"/>
      <c r="AE18" s="142"/>
      <c r="AF18" s="142"/>
      <c r="AG18" s="141" t="s">
        <v>3176</v>
      </c>
      <c r="AH18" s="141">
        <v>3</v>
      </c>
      <c r="AI18" s="141"/>
      <c r="AJ18" s="142">
        <v>32.4</v>
      </c>
      <c r="AK18" s="218">
        <f t="shared" si="6"/>
        <v>10.600000000000001</v>
      </c>
      <c r="AL18" s="142" t="s">
        <v>1509</v>
      </c>
      <c r="AM18" s="142" t="s">
        <v>1509</v>
      </c>
      <c r="AW18" s="144"/>
      <c r="BB18" s="144"/>
    </row>
    <row r="19" spans="1:54" ht="15" customHeight="1">
      <c r="A19" s="195" t="s">
        <v>3178</v>
      </c>
      <c r="B19" s="195" t="s">
        <v>3179</v>
      </c>
      <c r="C19" s="195" t="s">
        <v>3180</v>
      </c>
      <c r="D19" s="195" t="s">
        <v>4180</v>
      </c>
      <c r="E19" s="196">
        <v>14</v>
      </c>
      <c r="F19" s="197">
        <f t="shared" si="0"/>
        <v>1.146128035678238</v>
      </c>
      <c r="G19" s="202">
        <v>0.31</v>
      </c>
      <c r="H19" s="202">
        <v>0.31</v>
      </c>
      <c r="I19" s="197">
        <f>LOG(G19)</f>
        <v>-0.50863830616572736</v>
      </c>
      <c r="J19" s="197">
        <f t="shared" si="1"/>
        <v>-0.50863830616572736</v>
      </c>
      <c r="K19" s="195">
        <v>-5.4647220000000001</v>
      </c>
      <c r="L19" s="199">
        <f t="shared" si="2"/>
        <v>5.4647220000000001</v>
      </c>
      <c r="M19" s="205">
        <v>123.789</v>
      </c>
      <c r="N19" s="195" t="s">
        <v>3117</v>
      </c>
      <c r="O19" s="198">
        <v>40.1</v>
      </c>
      <c r="P19" s="198">
        <v>12.9</v>
      </c>
      <c r="Q19" s="201">
        <v>0.39</v>
      </c>
      <c r="R19" s="202">
        <f t="shared" si="3"/>
        <v>0.14301480025409513</v>
      </c>
      <c r="S19" s="202">
        <v>0.4</v>
      </c>
      <c r="T19" s="203">
        <v>1.006628034</v>
      </c>
      <c r="U19" s="204">
        <f t="shared" si="4"/>
        <v>2.8690210759931166E-3</v>
      </c>
      <c r="V19" s="195" t="s">
        <v>3181</v>
      </c>
      <c r="W19" s="141">
        <v>38</v>
      </c>
      <c r="X19" s="141" t="s">
        <v>352</v>
      </c>
      <c r="Y19" s="142">
        <f>97/14</f>
        <v>6.9285714285714288</v>
      </c>
      <c r="Z19" s="142">
        <f>97/14</f>
        <v>6.9285714285714288</v>
      </c>
      <c r="AA19" s="142">
        <v>27</v>
      </c>
      <c r="AB19" s="142">
        <v>0.4</v>
      </c>
      <c r="AC19" s="142">
        <f t="shared" si="5"/>
        <v>-0.3979400086720376</v>
      </c>
      <c r="AD19" s="142">
        <v>27</v>
      </c>
      <c r="AE19" s="142">
        <v>0.4</v>
      </c>
      <c r="AF19" s="141">
        <f>LOG(AE19)</f>
        <v>-0.3979400086720376</v>
      </c>
      <c r="AG19" s="141" t="s">
        <v>3182</v>
      </c>
      <c r="AH19" s="142">
        <v>5</v>
      </c>
      <c r="AI19" s="142">
        <v>5</v>
      </c>
      <c r="AJ19" s="142" t="s">
        <v>355</v>
      </c>
      <c r="AK19" s="218"/>
      <c r="AL19" s="142" t="s">
        <v>1509</v>
      </c>
      <c r="AM19" s="142" t="s">
        <v>4232</v>
      </c>
      <c r="AW19" s="144"/>
      <c r="BB19" s="144"/>
    </row>
    <row r="20" spans="1:54" ht="15.95" customHeight="1">
      <c r="A20" s="195" t="s">
        <v>3184</v>
      </c>
      <c r="B20" s="195" t="s">
        <v>3185</v>
      </c>
      <c r="C20" s="195" t="s">
        <v>3186</v>
      </c>
      <c r="D20" s="195" t="s">
        <v>4180</v>
      </c>
      <c r="E20" s="196">
        <v>14</v>
      </c>
      <c r="F20" s="197">
        <f t="shared" si="0"/>
        <v>1.146128035678238</v>
      </c>
      <c r="G20" s="202">
        <v>0.31</v>
      </c>
      <c r="H20" s="202">
        <v>0.31</v>
      </c>
      <c r="I20" s="197">
        <f>LOG(G20)</f>
        <v>-0.50863830616572736</v>
      </c>
      <c r="J20" s="197">
        <f t="shared" si="1"/>
        <v>-0.50863830616572736</v>
      </c>
      <c r="K20" s="195">
        <v>-5.4647220000000001</v>
      </c>
      <c r="L20" s="199">
        <f t="shared" si="2"/>
        <v>5.4647220000000001</v>
      </c>
      <c r="M20" s="205">
        <v>123.789</v>
      </c>
      <c r="N20" s="195" t="s">
        <v>3117</v>
      </c>
      <c r="O20" s="198">
        <v>42.4</v>
      </c>
      <c r="P20" s="198">
        <v>9.1999999999999993</v>
      </c>
      <c r="Q20" s="201">
        <v>0.14000000000000001</v>
      </c>
      <c r="R20" s="202">
        <f t="shared" si="3"/>
        <v>5.6904851336472641E-2</v>
      </c>
      <c r="S20" s="202">
        <v>0.28999999999999998</v>
      </c>
      <c r="T20" s="203">
        <v>1.006628034</v>
      </c>
      <c r="U20" s="204">
        <f t="shared" si="4"/>
        <v>2.8690210759931166E-3</v>
      </c>
      <c r="V20" s="195" t="s">
        <v>3181</v>
      </c>
      <c r="W20" s="141">
        <v>38</v>
      </c>
      <c r="X20" s="141" t="s">
        <v>352</v>
      </c>
      <c r="Y20" s="142">
        <f>99/14</f>
        <v>7.0714285714285712</v>
      </c>
      <c r="Z20" s="142">
        <f>99/14</f>
        <v>7.0714285714285712</v>
      </c>
      <c r="AA20" s="142">
        <v>31</v>
      </c>
      <c r="AB20" s="142">
        <v>0.8</v>
      </c>
      <c r="AC20" s="142">
        <f t="shared" si="5"/>
        <v>-9.6910013008056392E-2</v>
      </c>
      <c r="AD20" s="142">
        <v>31</v>
      </c>
      <c r="AE20" s="142">
        <v>0.8</v>
      </c>
      <c r="AF20" s="141">
        <f>LOG(AE20)</f>
        <v>-9.6910013008056392E-2</v>
      </c>
      <c r="AG20" s="141" t="s">
        <v>3182</v>
      </c>
      <c r="AH20" s="142">
        <v>5</v>
      </c>
      <c r="AI20" s="142">
        <v>5</v>
      </c>
      <c r="AJ20" s="142" t="s">
        <v>355</v>
      </c>
      <c r="AK20" s="218"/>
      <c r="AL20" s="142" t="s">
        <v>1509</v>
      </c>
      <c r="AM20" s="142" t="s">
        <v>4232</v>
      </c>
      <c r="AW20" s="144"/>
      <c r="BB20" s="144"/>
    </row>
    <row r="21" spans="1:54" ht="15.95" customHeight="1">
      <c r="A21" s="195" t="s">
        <v>3184</v>
      </c>
      <c r="B21" s="195" t="s">
        <v>3188</v>
      </c>
      <c r="C21" s="195" t="s">
        <v>3189</v>
      </c>
      <c r="D21" s="195" t="s">
        <v>4180</v>
      </c>
      <c r="E21" s="196">
        <v>14</v>
      </c>
      <c r="F21" s="197">
        <f t="shared" si="0"/>
        <v>1.146128035678238</v>
      </c>
      <c r="G21" s="202">
        <v>0.31</v>
      </c>
      <c r="H21" s="202">
        <v>0.31</v>
      </c>
      <c r="I21" s="197">
        <f>LOG(G21)</f>
        <v>-0.50863830616572736</v>
      </c>
      <c r="J21" s="197">
        <f t="shared" si="1"/>
        <v>-0.50863830616572736</v>
      </c>
      <c r="K21" s="195">
        <v>-5.4647220000000001</v>
      </c>
      <c r="L21" s="199">
        <f t="shared" si="2"/>
        <v>5.4647220000000001</v>
      </c>
      <c r="M21" s="205">
        <v>123.789</v>
      </c>
      <c r="N21" s="195" t="s">
        <v>3117</v>
      </c>
      <c r="O21" s="198">
        <v>42.7</v>
      </c>
      <c r="P21" s="198">
        <v>10.199999999999999</v>
      </c>
      <c r="Q21" s="201">
        <v>0.17</v>
      </c>
      <c r="R21" s="202">
        <f t="shared" si="3"/>
        <v>6.8185861746161619E-2</v>
      </c>
      <c r="S21" s="202">
        <v>0.24</v>
      </c>
      <c r="T21" s="203">
        <v>1.006628034</v>
      </c>
      <c r="U21" s="204">
        <f t="shared" si="4"/>
        <v>2.8690210759931166E-3</v>
      </c>
      <c r="V21" s="195" t="s">
        <v>3181</v>
      </c>
      <c r="W21" s="141">
        <v>38</v>
      </c>
      <c r="X21" s="141" t="s">
        <v>352</v>
      </c>
      <c r="Y21" s="142">
        <f>91/14</f>
        <v>6.5</v>
      </c>
      <c r="Z21" s="142">
        <f>91/14</f>
        <v>6.5</v>
      </c>
      <c r="AA21" s="142">
        <v>25</v>
      </c>
      <c r="AB21" s="142">
        <v>0.2</v>
      </c>
      <c r="AC21" s="142">
        <f t="shared" si="5"/>
        <v>-0.69897000433601875</v>
      </c>
      <c r="AD21" s="142">
        <v>25</v>
      </c>
      <c r="AE21" s="142">
        <v>0.2</v>
      </c>
      <c r="AF21" s="141">
        <f>LOG(AE21)</f>
        <v>-0.69897000433601875</v>
      </c>
      <c r="AG21" s="141" t="s">
        <v>3182</v>
      </c>
      <c r="AH21" s="142">
        <v>5</v>
      </c>
      <c r="AI21" s="142">
        <v>5</v>
      </c>
      <c r="AJ21" s="141" t="s">
        <v>355</v>
      </c>
      <c r="AK21" s="218"/>
      <c r="AL21" s="142" t="s">
        <v>1509</v>
      </c>
      <c r="AM21" s="142" t="s">
        <v>4232</v>
      </c>
      <c r="AW21" s="144"/>
      <c r="BB21" s="144"/>
    </row>
    <row r="22" spans="1:54" ht="15" customHeight="1">
      <c r="A22" s="195" t="s">
        <v>3190</v>
      </c>
      <c r="B22" s="195" t="s">
        <v>3191</v>
      </c>
      <c r="C22" s="195" t="s">
        <v>3192</v>
      </c>
      <c r="D22" s="195" t="s">
        <v>4180</v>
      </c>
      <c r="E22" s="196">
        <v>14</v>
      </c>
      <c r="F22" s="197">
        <f t="shared" si="0"/>
        <v>1.146128035678238</v>
      </c>
      <c r="G22" s="202">
        <v>0.31</v>
      </c>
      <c r="H22" s="202">
        <v>0.31</v>
      </c>
      <c r="I22" s="197">
        <f>LOG(G22)</f>
        <v>-0.50863830616572736</v>
      </c>
      <c r="J22" s="197">
        <f t="shared" si="1"/>
        <v>-0.50863830616572736</v>
      </c>
      <c r="K22" s="195">
        <v>-5.4647220000000001</v>
      </c>
      <c r="L22" s="199">
        <f t="shared" si="2"/>
        <v>5.4647220000000001</v>
      </c>
      <c r="M22" s="205">
        <v>123.789</v>
      </c>
      <c r="N22" s="195" t="s">
        <v>3117</v>
      </c>
      <c r="O22" s="198">
        <v>40.5</v>
      </c>
      <c r="P22" s="196">
        <v>12</v>
      </c>
      <c r="Q22" s="201">
        <v>0.39</v>
      </c>
      <c r="R22" s="202">
        <f t="shared" si="3"/>
        <v>0.14301480025409513</v>
      </c>
      <c r="S22" s="202">
        <v>0.33</v>
      </c>
      <c r="T22" s="203">
        <v>1.006628034</v>
      </c>
      <c r="U22" s="204">
        <f t="shared" si="4"/>
        <v>2.8690210759931166E-3</v>
      </c>
      <c r="V22" s="195" t="s">
        <v>3181</v>
      </c>
      <c r="W22" s="141">
        <v>38</v>
      </c>
      <c r="X22" s="141" t="s">
        <v>352</v>
      </c>
      <c r="Y22" s="142">
        <f>98/14</f>
        <v>7</v>
      </c>
      <c r="Z22" s="142">
        <f>98/14</f>
        <v>7</v>
      </c>
      <c r="AA22" s="142">
        <v>16</v>
      </c>
      <c r="AB22" s="142">
        <v>0.3</v>
      </c>
      <c r="AC22" s="142">
        <f t="shared" si="5"/>
        <v>-0.52287874528033762</v>
      </c>
      <c r="AD22" s="142">
        <v>16</v>
      </c>
      <c r="AE22" s="142">
        <v>0.3</v>
      </c>
      <c r="AF22" s="141">
        <f>LOG(AE22)</f>
        <v>-0.52287874528033762</v>
      </c>
      <c r="AG22" s="141" t="s">
        <v>3182</v>
      </c>
      <c r="AH22" s="142">
        <v>5</v>
      </c>
      <c r="AI22" s="142">
        <v>5</v>
      </c>
      <c r="AJ22" s="142" t="s">
        <v>355</v>
      </c>
      <c r="AK22" s="218"/>
      <c r="AL22" s="142" t="s">
        <v>1509</v>
      </c>
      <c r="AM22" s="142" t="s">
        <v>4232</v>
      </c>
      <c r="AW22" s="144"/>
      <c r="BB22" s="144"/>
    </row>
    <row r="23" spans="1:54" ht="15" customHeight="1">
      <c r="A23" s="195" t="s">
        <v>3194</v>
      </c>
      <c r="B23" s="195" t="s">
        <v>3195</v>
      </c>
      <c r="C23" s="195" t="s">
        <v>3196</v>
      </c>
      <c r="D23" s="195" t="s">
        <v>4180</v>
      </c>
      <c r="E23" s="196">
        <v>14</v>
      </c>
      <c r="F23" s="197">
        <f t="shared" si="0"/>
        <v>1.146128035678238</v>
      </c>
      <c r="G23" s="202">
        <v>0.31</v>
      </c>
      <c r="H23" s="202">
        <v>0.31</v>
      </c>
      <c r="I23" s="197">
        <f>LOG(G23)</f>
        <v>-0.50863830616572736</v>
      </c>
      <c r="J23" s="197">
        <f t="shared" si="1"/>
        <v>-0.50863830616572736</v>
      </c>
      <c r="K23" s="195">
        <v>-5.4647220000000001</v>
      </c>
      <c r="L23" s="199">
        <f t="shared" si="2"/>
        <v>5.4647220000000001</v>
      </c>
      <c r="M23" s="205">
        <v>123.789</v>
      </c>
      <c r="N23" s="195" t="s">
        <v>3117</v>
      </c>
      <c r="O23" s="198">
        <v>44.5</v>
      </c>
      <c r="P23" s="198">
        <v>9.9</v>
      </c>
      <c r="Q23" s="201">
        <v>0.3</v>
      </c>
      <c r="R23" s="202">
        <f t="shared" si="3"/>
        <v>0.11394335230683679</v>
      </c>
      <c r="S23" s="202">
        <v>0.42</v>
      </c>
      <c r="T23" s="203">
        <v>1.006628034</v>
      </c>
      <c r="U23" s="204">
        <f t="shared" si="4"/>
        <v>2.8690210759931166E-3</v>
      </c>
      <c r="V23" s="195" t="s">
        <v>3181</v>
      </c>
      <c r="W23" s="141">
        <v>38</v>
      </c>
      <c r="X23" s="141" t="s">
        <v>352</v>
      </c>
      <c r="Y23" s="142">
        <f>101/14</f>
        <v>7.2142857142857144</v>
      </c>
      <c r="Z23" s="142">
        <f>101/14</f>
        <v>7.2142857142857144</v>
      </c>
      <c r="AA23" s="142">
        <v>33</v>
      </c>
      <c r="AB23" s="142">
        <v>1.3</v>
      </c>
      <c r="AC23" s="142">
        <f t="shared" si="5"/>
        <v>0.11394335230683679</v>
      </c>
      <c r="AD23" s="142">
        <v>33</v>
      </c>
      <c r="AE23" s="142">
        <v>1.3</v>
      </c>
      <c r="AF23" s="141">
        <f>LOG(AE23)</f>
        <v>0.11394335230683679</v>
      </c>
      <c r="AG23" s="141" t="s">
        <v>3182</v>
      </c>
      <c r="AH23" s="142">
        <v>5</v>
      </c>
      <c r="AI23" s="142">
        <v>5</v>
      </c>
      <c r="AJ23" s="142" t="s">
        <v>355</v>
      </c>
      <c r="AK23" s="218"/>
      <c r="AL23" s="142" t="s">
        <v>1509</v>
      </c>
      <c r="AM23" s="142" t="s">
        <v>4232</v>
      </c>
      <c r="AW23" s="144"/>
      <c r="BB23" s="144"/>
    </row>
    <row r="24" spans="1:54" ht="15" customHeight="1">
      <c r="A24" s="195" t="s">
        <v>3198</v>
      </c>
      <c r="B24" s="195" t="s">
        <v>3199</v>
      </c>
      <c r="C24" s="195" t="s">
        <v>3200</v>
      </c>
      <c r="D24" s="195" t="s">
        <v>4181</v>
      </c>
      <c r="E24" s="196">
        <v>14</v>
      </c>
      <c r="F24" s="197">
        <f t="shared" si="0"/>
        <v>1.146128035678238</v>
      </c>
      <c r="G24" s="195" t="s">
        <v>3116</v>
      </c>
      <c r="H24" s="196">
        <v>1</v>
      </c>
      <c r="I24" s="197"/>
      <c r="J24" s="197">
        <f t="shared" si="1"/>
        <v>0</v>
      </c>
      <c r="K24" s="199">
        <v>16.737141999999999</v>
      </c>
      <c r="L24" s="199">
        <f t="shared" si="2"/>
        <v>16.737141999999999</v>
      </c>
      <c r="M24" s="195">
        <v>-92.637567000000004</v>
      </c>
      <c r="N24" s="195" t="s">
        <v>3150</v>
      </c>
      <c r="O24" s="198">
        <v>38.1</v>
      </c>
      <c r="P24" s="195" t="s">
        <v>3116</v>
      </c>
      <c r="Q24" s="201">
        <v>0.12</v>
      </c>
      <c r="R24" s="202">
        <f t="shared" si="3"/>
        <v>4.9218022670181653E-2</v>
      </c>
      <c r="S24" s="195" t="s">
        <v>3116</v>
      </c>
      <c r="T24" s="203">
        <v>1.1870000000000001</v>
      </c>
      <c r="U24" s="204">
        <f t="shared" si="4"/>
        <v>7.4450718954591238E-2</v>
      </c>
      <c r="V24" s="195" t="s">
        <v>3151</v>
      </c>
      <c r="W24" s="141">
        <v>2</v>
      </c>
      <c r="X24" s="141" t="s">
        <v>352</v>
      </c>
      <c r="Y24" s="141">
        <v>10</v>
      </c>
      <c r="Z24" s="145"/>
      <c r="AA24" s="145">
        <v>33</v>
      </c>
      <c r="AB24" s="142">
        <v>2.4008038575737882</v>
      </c>
      <c r="AC24" s="142">
        <f t="shared" si="5"/>
        <v>0.38035668023488345</v>
      </c>
      <c r="AD24" s="142"/>
      <c r="AE24" s="142"/>
      <c r="AF24" s="142"/>
      <c r="AG24" s="141" t="s">
        <v>3152</v>
      </c>
      <c r="AH24" s="142">
        <v>2</v>
      </c>
      <c r="AI24" s="142"/>
      <c r="AJ24" s="142">
        <v>23.4</v>
      </c>
      <c r="AK24" s="218">
        <f t="shared" si="6"/>
        <v>14.700000000000003</v>
      </c>
      <c r="AL24" s="142" t="s">
        <v>1509</v>
      </c>
      <c r="AM24" s="142" t="s">
        <v>1509</v>
      </c>
      <c r="AW24" s="144"/>
      <c r="BB24" s="144"/>
    </row>
    <row r="25" spans="1:54" ht="15" customHeight="1">
      <c r="A25" s="195" t="s">
        <v>3201</v>
      </c>
      <c r="B25" s="195" t="s">
        <v>3202</v>
      </c>
      <c r="C25" s="195" t="s">
        <v>3203</v>
      </c>
      <c r="D25" s="195" t="s">
        <v>4181</v>
      </c>
      <c r="E25" s="196">
        <v>7</v>
      </c>
      <c r="F25" s="197">
        <f t="shared" si="0"/>
        <v>0.84509804001425681</v>
      </c>
      <c r="G25" s="195" t="s">
        <v>3116</v>
      </c>
      <c r="H25" s="198">
        <v>0.5</v>
      </c>
      <c r="I25" s="197"/>
      <c r="J25" s="197">
        <f t="shared" si="1"/>
        <v>-0.3010299956639812</v>
      </c>
      <c r="K25" s="199">
        <v>18.402806999999999</v>
      </c>
      <c r="L25" s="199">
        <f t="shared" si="2"/>
        <v>18.402806999999999</v>
      </c>
      <c r="M25" s="195">
        <v>-66.050137000000007</v>
      </c>
      <c r="N25" s="195" t="s">
        <v>3150</v>
      </c>
      <c r="O25" s="198">
        <v>37.4</v>
      </c>
      <c r="P25" s="195" t="s">
        <v>3116</v>
      </c>
      <c r="Q25" s="201">
        <v>0.03</v>
      </c>
      <c r="R25" s="202">
        <f t="shared" si="3"/>
        <v>1.2837224705172217E-2</v>
      </c>
      <c r="S25" s="195" t="s">
        <v>3116</v>
      </c>
      <c r="T25" s="203">
        <v>1.2509999999999999</v>
      </c>
      <c r="U25" s="204">
        <f t="shared" si="4"/>
        <v>9.7257309693419919E-2</v>
      </c>
      <c r="V25" s="195" t="s">
        <v>3204</v>
      </c>
      <c r="W25" s="141">
        <v>3</v>
      </c>
      <c r="X25" s="141" t="s">
        <v>352</v>
      </c>
      <c r="Y25" s="141">
        <v>9.5</v>
      </c>
      <c r="Z25" s="141"/>
      <c r="AA25" s="145">
        <v>35</v>
      </c>
      <c r="AB25" s="142">
        <v>3.3067970023913764</v>
      </c>
      <c r="AC25" s="142">
        <f t="shared" si="5"/>
        <v>0.51940753526834016</v>
      </c>
      <c r="AD25" s="142"/>
      <c r="AE25" s="142"/>
      <c r="AF25" s="142"/>
      <c r="AG25" s="141" t="s">
        <v>3152</v>
      </c>
      <c r="AH25" s="142">
        <v>2</v>
      </c>
      <c r="AI25" s="142"/>
      <c r="AJ25" s="142">
        <v>31.3</v>
      </c>
      <c r="AK25" s="218">
        <f t="shared" si="6"/>
        <v>6.0999999999999979</v>
      </c>
      <c r="AL25" s="142" t="s">
        <v>1509</v>
      </c>
      <c r="AM25" s="142" t="s">
        <v>1509</v>
      </c>
      <c r="AW25" s="144"/>
      <c r="BB25" s="144"/>
    </row>
    <row r="26" spans="1:54" ht="15" customHeight="1">
      <c r="A26" s="195" t="s">
        <v>3154</v>
      </c>
      <c r="B26" s="195" t="s">
        <v>3206</v>
      </c>
      <c r="C26" s="195" t="s">
        <v>3207</v>
      </c>
      <c r="D26" s="195" t="s">
        <v>4181</v>
      </c>
      <c r="E26" s="196">
        <v>14</v>
      </c>
      <c r="F26" s="197">
        <f t="shared" si="0"/>
        <v>1.146128035678238</v>
      </c>
      <c r="G26" s="195" t="s">
        <v>3116</v>
      </c>
      <c r="H26" s="196">
        <v>1</v>
      </c>
      <c r="I26" s="197"/>
      <c r="J26" s="197">
        <f t="shared" si="1"/>
        <v>0</v>
      </c>
      <c r="K26" s="199">
        <v>16.183333000000001</v>
      </c>
      <c r="L26" s="199">
        <f t="shared" si="2"/>
        <v>16.183333000000001</v>
      </c>
      <c r="M26" s="195">
        <v>-95.2</v>
      </c>
      <c r="N26" s="195" t="s">
        <v>3150</v>
      </c>
      <c r="O26" s="198">
        <v>40.200000000000003</v>
      </c>
      <c r="P26" s="195" t="s">
        <v>3116</v>
      </c>
      <c r="Q26" s="201">
        <v>0.09</v>
      </c>
      <c r="R26" s="202">
        <f t="shared" si="3"/>
        <v>3.7426497940623665E-2</v>
      </c>
      <c r="S26" s="195" t="s">
        <v>3116</v>
      </c>
      <c r="T26" s="203">
        <v>1.2689999999999999</v>
      </c>
      <c r="U26" s="204">
        <f t="shared" si="4"/>
        <v>0.10346162209470475</v>
      </c>
      <c r="V26" s="195" t="s">
        <v>3151</v>
      </c>
      <c r="W26" s="141">
        <v>2</v>
      </c>
      <c r="X26" s="141" t="s">
        <v>352</v>
      </c>
      <c r="Y26" s="141">
        <v>10</v>
      </c>
      <c r="Z26" s="145"/>
      <c r="AA26" s="145">
        <v>52</v>
      </c>
      <c r="AB26" s="142">
        <v>12.450020437110243</v>
      </c>
      <c r="AC26" s="142">
        <f t="shared" si="5"/>
        <v>1.0951700643407447</v>
      </c>
      <c r="AD26" s="142"/>
      <c r="AE26" s="142"/>
      <c r="AF26" s="142"/>
      <c r="AG26" s="141" t="s">
        <v>3152</v>
      </c>
      <c r="AH26" s="142">
        <v>2</v>
      </c>
      <c r="AI26" s="142"/>
      <c r="AJ26" s="142">
        <v>34.700000000000003</v>
      </c>
      <c r="AK26" s="218">
        <f t="shared" si="6"/>
        <v>5.5</v>
      </c>
      <c r="AL26" s="142" t="s">
        <v>1509</v>
      </c>
      <c r="AM26" s="142" t="s">
        <v>1509</v>
      </c>
      <c r="AW26" s="144"/>
      <c r="BB26" s="144"/>
    </row>
    <row r="27" spans="1:54" ht="15" customHeight="1">
      <c r="A27" s="195" t="s">
        <v>3209</v>
      </c>
      <c r="B27" s="195" t="s">
        <v>3210</v>
      </c>
      <c r="C27" s="195" t="s">
        <v>3211</v>
      </c>
      <c r="D27" s="195" t="s">
        <v>4180</v>
      </c>
      <c r="E27" s="196">
        <v>30</v>
      </c>
      <c r="F27" s="197">
        <f t="shared" si="0"/>
        <v>1.4771212547196624</v>
      </c>
      <c r="G27" s="196">
        <v>1</v>
      </c>
      <c r="H27" s="196">
        <v>1</v>
      </c>
      <c r="I27" s="197">
        <f t="shared" ref="I27:I58" si="7">LOG(G27)</f>
        <v>0</v>
      </c>
      <c r="J27" s="197">
        <f t="shared" si="1"/>
        <v>0</v>
      </c>
      <c r="K27" s="199">
        <v>17.033332999999999</v>
      </c>
      <c r="L27" s="199">
        <f t="shared" si="2"/>
        <v>17.033332999999999</v>
      </c>
      <c r="M27" s="195">
        <v>-96.5</v>
      </c>
      <c r="N27" s="195" t="s">
        <v>3174</v>
      </c>
      <c r="O27" s="196">
        <v>43</v>
      </c>
      <c r="P27" s="198">
        <v>7.5</v>
      </c>
      <c r="Q27" s="201">
        <v>0.3</v>
      </c>
      <c r="R27" s="202">
        <f t="shared" si="3"/>
        <v>0.11394335230683679</v>
      </c>
      <c r="S27" s="202">
        <v>0.3</v>
      </c>
      <c r="T27" s="203">
        <v>1.3460000000000001</v>
      </c>
      <c r="U27" s="204">
        <f t="shared" si="4"/>
        <v>0.12904505988795806</v>
      </c>
      <c r="V27" s="195" t="s">
        <v>3212</v>
      </c>
      <c r="W27" s="141">
        <v>51</v>
      </c>
      <c r="X27" s="141" t="s">
        <v>352</v>
      </c>
      <c r="Y27" s="142">
        <v>10</v>
      </c>
      <c r="Z27" s="142">
        <v>10</v>
      </c>
      <c r="AA27" s="142">
        <v>35.9</v>
      </c>
      <c r="AB27" s="142">
        <v>1.48</v>
      </c>
      <c r="AC27" s="142">
        <f t="shared" si="5"/>
        <v>0.17026171539495738</v>
      </c>
      <c r="AD27" s="142">
        <v>35.9</v>
      </c>
      <c r="AE27" s="142">
        <v>1.48</v>
      </c>
      <c r="AF27" s="142">
        <f>LOG(AE27)</f>
        <v>0.17026171539495738</v>
      </c>
      <c r="AG27" s="141" t="s">
        <v>3213</v>
      </c>
      <c r="AH27" s="142">
        <v>6</v>
      </c>
      <c r="AI27" s="142">
        <v>6</v>
      </c>
      <c r="AJ27" s="142">
        <v>27.1</v>
      </c>
      <c r="AK27" s="218">
        <f t="shared" si="6"/>
        <v>15.899999999999999</v>
      </c>
      <c r="AL27" s="142" t="s">
        <v>1509</v>
      </c>
      <c r="AM27" s="142" t="s">
        <v>1509</v>
      </c>
      <c r="AW27" s="144"/>
      <c r="BB27" s="144"/>
    </row>
    <row r="28" spans="1:54" ht="15" customHeight="1">
      <c r="A28" s="195" t="s">
        <v>3215</v>
      </c>
      <c r="B28" s="195" t="s">
        <v>3216</v>
      </c>
      <c r="C28" s="195" t="s">
        <v>3217</v>
      </c>
      <c r="D28" s="195" t="s">
        <v>4182</v>
      </c>
      <c r="E28" s="196">
        <v>7</v>
      </c>
      <c r="F28" s="197">
        <f t="shared" si="0"/>
        <v>0.84509804001425681</v>
      </c>
      <c r="G28" s="202">
        <v>0.25</v>
      </c>
      <c r="H28" s="202">
        <v>0.25</v>
      </c>
      <c r="I28" s="197">
        <f t="shared" si="7"/>
        <v>-0.6020599913279624</v>
      </c>
      <c r="J28" s="197">
        <f t="shared" si="1"/>
        <v>-0.6020599913279624</v>
      </c>
      <c r="K28" s="195">
        <v>-46.896447999999999</v>
      </c>
      <c r="L28" s="199">
        <f t="shared" si="2"/>
        <v>46.896447999999999</v>
      </c>
      <c r="M28" s="199">
        <v>37.750884999999997</v>
      </c>
      <c r="N28" s="195" t="s">
        <v>3150</v>
      </c>
      <c r="O28" s="198">
        <v>38.4</v>
      </c>
      <c r="P28" s="195">
        <v>-5.2</v>
      </c>
      <c r="Q28" s="206">
        <v>-0.01</v>
      </c>
      <c r="R28" s="202">
        <f t="shared" si="3"/>
        <v>-4.3648054024500883E-3</v>
      </c>
      <c r="S28" s="202">
        <v>0.15</v>
      </c>
      <c r="T28" s="203">
        <v>1.3759999999999999</v>
      </c>
      <c r="U28" s="204">
        <f t="shared" si="4"/>
        <v>0.13861843389949247</v>
      </c>
      <c r="V28" s="195" t="s">
        <v>3218</v>
      </c>
      <c r="W28" s="141">
        <v>77</v>
      </c>
      <c r="X28" s="142" t="s">
        <v>352</v>
      </c>
      <c r="Y28" s="142">
        <v>10</v>
      </c>
      <c r="Z28" s="142">
        <v>10</v>
      </c>
      <c r="AA28" s="142">
        <v>2.85</v>
      </c>
      <c r="AB28" s="142">
        <f>1.71/1000</f>
        <v>1.7099999999999999E-3</v>
      </c>
      <c r="AC28" s="142">
        <f t="shared" si="5"/>
        <v>-2.7670038896078464</v>
      </c>
      <c r="AD28" s="142">
        <v>2.85</v>
      </c>
      <c r="AE28" s="142"/>
      <c r="AF28" s="142"/>
      <c r="AG28" s="141" t="s">
        <v>3219</v>
      </c>
      <c r="AH28" s="142">
        <v>3</v>
      </c>
      <c r="AI28" s="142">
        <v>3</v>
      </c>
      <c r="AJ28" s="142">
        <v>6.5</v>
      </c>
      <c r="AK28" s="218">
        <f t="shared" si="6"/>
        <v>31.9</v>
      </c>
      <c r="AL28" s="142" t="s">
        <v>1509</v>
      </c>
      <c r="AM28" s="142" t="s">
        <v>1509</v>
      </c>
      <c r="AW28" s="144"/>
      <c r="BB28" s="144"/>
    </row>
    <row r="29" spans="1:54" ht="15" customHeight="1">
      <c r="A29" s="195" t="s">
        <v>3215</v>
      </c>
      <c r="B29" s="195" t="s">
        <v>3216</v>
      </c>
      <c r="C29" s="195" t="s">
        <v>3217</v>
      </c>
      <c r="D29" s="195" t="s">
        <v>4182</v>
      </c>
      <c r="E29" s="196">
        <v>7</v>
      </c>
      <c r="F29" s="197">
        <f t="shared" si="0"/>
        <v>0.84509804001425681</v>
      </c>
      <c r="G29" s="202">
        <v>0.25</v>
      </c>
      <c r="H29" s="202">
        <v>0.25</v>
      </c>
      <c r="I29" s="197">
        <f t="shared" si="7"/>
        <v>-0.6020599913279624</v>
      </c>
      <c r="J29" s="197">
        <f t="shared" si="1"/>
        <v>-0.6020599913279624</v>
      </c>
      <c r="K29" s="195">
        <v>-46.896447999999999</v>
      </c>
      <c r="L29" s="199">
        <f t="shared" si="2"/>
        <v>46.896447999999999</v>
      </c>
      <c r="M29" s="199">
        <v>37.750884999999997</v>
      </c>
      <c r="N29" s="195" t="s">
        <v>3150</v>
      </c>
      <c r="O29" s="198">
        <v>38.1</v>
      </c>
      <c r="P29" s="195">
        <v>-4.5</v>
      </c>
      <c r="Q29" s="206">
        <v>-0.03</v>
      </c>
      <c r="R29" s="202">
        <f t="shared" si="3"/>
        <v>-1.322826573375516E-2</v>
      </c>
      <c r="S29" s="202">
        <v>7.0000000000000007E-2</v>
      </c>
      <c r="T29" s="203">
        <v>1.3759999999999999</v>
      </c>
      <c r="U29" s="204">
        <f t="shared" si="4"/>
        <v>0.13861843389949247</v>
      </c>
      <c r="V29" s="195" t="s">
        <v>3218</v>
      </c>
      <c r="W29" s="141">
        <v>77</v>
      </c>
      <c r="X29" s="142" t="s">
        <v>352</v>
      </c>
      <c r="Y29" s="142">
        <v>10</v>
      </c>
      <c r="Z29" s="142">
        <v>10</v>
      </c>
      <c r="AA29" s="142">
        <v>2.85</v>
      </c>
      <c r="AB29" s="142">
        <f>1.71/1000</f>
        <v>1.7099999999999999E-3</v>
      </c>
      <c r="AC29" s="142">
        <f t="shared" si="5"/>
        <v>-2.7670038896078464</v>
      </c>
      <c r="AD29" s="142">
        <v>2.85</v>
      </c>
      <c r="AE29" s="142"/>
      <c r="AF29" s="142"/>
      <c r="AG29" s="141" t="s">
        <v>3219</v>
      </c>
      <c r="AH29" s="142">
        <v>3</v>
      </c>
      <c r="AI29" s="142">
        <v>3</v>
      </c>
      <c r="AJ29" s="142">
        <v>6.5</v>
      </c>
      <c r="AK29" s="218">
        <f t="shared" si="6"/>
        <v>31.6</v>
      </c>
      <c r="AL29" s="142" t="s">
        <v>1509</v>
      </c>
      <c r="AM29" s="142" t="s">
        <v>1509</v>
      </c>
      <c r="AW29" s="144"/>
      <c r="BB29" s="144"/>
    </row>
    <row r="30" spans="1:54" ht="15" customHeight="1">
      <c r="A30" s="195" t="s">
        <v>3215</v>
      </c>
      <c r="B30" s="195" t="s">
        <v>3216</v>
      </c>
      <c r="C30" s="195" t="s">
        <v>3217</v>
      </c>
      <c r="D30" s="195" t="s">
        <v>4182</v>
      </c>
      <c r="E30" s="196">
        <v>7</v>
      </c>
      <c r="F30" s="197">
        <f t="shared" si="0"/>
        <v>0.84509804001425681</v>
      </c>
      <c r="G30" s="202">
        <v>0.25</v>
      </c>
      <c r="H30" s="202">
        <v>0.25</v>
      </c>
      <c r="I30" s="197">
        <f t="shared" si="7"/>
        <v>-0.6020599913279624</v>
      </c>
      <c r="J30" s="197">
        <f t="shared" si="1"/>
        <v>-0.6020599913279624</v>
      </c>
      <c r="K30" s="195">
        <v>-46.896447999999999</v>
      </c>
      <c r="L30" s="199">
        <f t="shared" si="2"/>
        <v>46.896447999999999</v>
      </c>
      <c r="M30" s="199">
        <v>37.750884999999997</v>
      </c>
      <c r="N30" s="195" t="s">
        <v>3150</v>
      </c>
      <c r="O30" s="198">
        <v>38.5</v>
      </c>
      <c r="P30" s="195">
        <v>-6.3</v>
      </c>
      <c r="Q30" s="201">
        <v>0.01</v>
      </c>
      <c r="R30" s="202">
        <f t="shared" si="3"/>
        <v>4.3213737826425782E-3</v>
      </c>
      <c r="S30" s="202">
        <v>0.16</v>
      </c>
      <c r="T30" s="203">
        <v>1.3759999999999999</v>
      </c>
      <c r="U30" s="204">
        <f t="shared" si="4"/>
        <v>0.13861843389949247</v>
      </c>
      <c r="V30" s="195" t="s">
        <v>3218</v>
      </c>
      <c r="W30" s="141">
        <v>77</v>
      </c>
      <c r="X30" s="142" t="s">
        <v>352</v>
      </c>
      <c r="Y30" s="142">
        <v>10</v>
      </c>
      <c r="Z30" s="142">
        <v>10</v>
      </c>
      <c r="AA30" s="142">
        <v>2.85</v>
      </c>
      <c r="AB30" s="142">
        <f>1.71/1000</f>
        <v>1.7099999999999999E-3</v>
      </c>
      <c r="AC30" s="142">
        <f t="shared" si="5"/>
        <v>-2.7670038896078464</v>
      </c>
      <c r="AD30" s="142">
        <v>2.85</v>
      </c>
      <c r="AE30" s="142"/>
      <c r="AF30" s="142"/>
      <c r="AG30" s="141" t="s">
        <v>3219</v>
      </c>
      <c r="AH30" s="142">
        <v>3</v>
      </c>
      <c r="AI30" s="142">
        <v>3</v>
      </c>
      <c r="AJ30" s="142">
        <v>6.5</v>
      </c>
      <c r="AK30" s="218">
        <f t="shared" si="6"/>
        <v>32</v>
      </c>
      <c r="AL30" s="142" t="s">
        <v>1509</v>
      </c>
      <c r="AM30" s="142" t="s">
        <v>1509</v>
      </c>
      <c r="AW30" s="144"/>
      <c r="BB30" s="144"/>
    </row>
    <row r="31" spans="1:54" ht="15" customHeight="1">
      <c r="A31" s="195" t="s">
        <v>3215</v>
      </c>
      <c r="B31" s="195" t="s">
        <v>3216</v>
      </c>
      <c r="C31" s="195" t="s">
        <v>3217</v>
      </c>
      <c r="D31" s="195" t="s">
        <v>4182</v>
      </c>
      <c r="E31" s="196">
        <v>7</v>
      </c>
      <c r="F31" s="197">
        <f t="shared" si="0"/>
        <v>0.84509804001425681</v>
      </c>
      <c r="G31" s="202">
        <v>0.25</v>
      </c>
      <c r="H31" s="202">
        <v>0.25</v>
      </c>
      <c r="I31" s="197">
        <f t="shared" si="7"/>
        <v>-0.6020599913279624</v>
      </c>
      <c r="J31" s="197">
        <f t="shared" si="1"/>
        <v>-0.6020599913279624</v>
      </c>
      <c r="K31" s="195">
        <v>-46.896447999999999</v>
      </c>
      <c r="L31" s="199">
        <f t="shared" si="2"/>
        <v>46.896447999999999</v>
      </c>
      <c r="M31" s="199">
        <v>37.750884999999997</v>
      </c>
      <c r="N31" s="195" t="s">
        <v>3150</v>
      </c>
      <c r="O31" s="196">
        <v>39</v>
      </c>
      <c r="P31" s="195">
        <v>-6.6</v>
      </c>
      <c r="Q31" s="201">
        <v>0.11</v>
      </c>
      <c r="R31" s="202">
        <f t="shared" si="3"/>
        <v>4.5322978786657475E-2</v>
      </c>
      <c r="S31" s="202">
        <v>0.16</v>
      </c>
      <c r="T31" s="203">
        <v>1.3759999999999999</v>
      </c>
      <c r="U31" s="204">
        <f t="shared" si="4"/>
        <v>0.13861843389949247</v>
      </c>
      <c r="V31" s="195" t="s">
        <v>3218</v>
      </c>
      <c r="W31" s="141">
        <v>77</v>
      </c>
      <c r="X31" s="142" t="s">
        <v>352</v>
      </c>
      <c r="Y31" s="142">
        <v>10</v>
      </c>
      <c r="Z31" s="142">
        <v>10</v>
      </c>
      <c r="AA31" s="142">
        <v>3.25</v>
      </c>
      <c r="AB31" s="142">
        <f>1.71/1000</f>
        <v>1.7099999999999999E-3</v>
      </c>
      <c r="AC31" s="142">
        <f t="shared" si="5"/>
        <v>-2.7670038896078464</v>
      </c>
      <c r="AD31" s="142">
        <v>3.25</v>
      </c>
      <c r="AE31" s="142"/>
      <c r="AF31" s="142"/>
      <c r="AG31" s="141" t="s">
        <v>3219</v>
      </c>
      <c r="AH31" s="142">
        <v>3</v>
      </c>
      <c r="AI31" s="142">
        <v>3</v>
      </c>
      <c r="AJ31" s="142">
        <v>6.5</v>
      </c>
      <c r="AK31" s="218">
        <f t="shared" si="6"/>
        <v>32.5</v>
      </c>
      <c r="AL31" s="142" t="s">
        <v>1509</v>
      </c>
      <c r="AM31" s="142" t="s">
        <v>1509</v>
      </c>
      <c r="AW31" s="144"/>
      <c r="BB31" s="144"/>
    </row>
    <row r="32" spans="1:54" ht="15" customHeight="1">
      <c r="A32" s="195" t="s">
        <v>3215</v>
      </c>
      <c r="B32" s="195" t="s">
        <v>3216</v>
      </c>
      <c r="C32" s="195" t="s">
        <v>3217</v>
      </c>
      <c r="D32" s="195" t="s">
        <v>4182</v>
      </c>
      <c r="E32" s="196">
        <v>7</v>
      </c>
      <c r="F32" s="197">
        <f t="shared" si="0"/>
        <v>0.84509804001425681</v>
      </c>
      <c r="G32" s="202">
        <v>0.25</v>
      </c>
      <c r="H32" s="202">
        <v>0.25</v>
      </c>
      <c r="I32" s="197">
        <f t="shared" si="7"/>
        <v>-0.6020599913279624</v>
      </c>
      <c r="J32" s="197">
        <f t="shared" si="1"/>
        <v>-0.6020599913279624</v>
      </c>
      <c r="K32" s="195">
        <v>-46.896447999999999</v>
      </c>
      <c r="L32" s="199">
        <f t="shared" si="2"/>
        <v>46.896447999999999</v>
      </c>
      <c r="M32" s="199">
        <v>37.750884999999997</v>
      </c>
      <c r="N32" s="195" t="s">
        <v>3150</v>
      </c>
      <c r="O32" s="198">
        <v>37.4</v>
      </c>
      <c r="P32" s="195">
        <v>-5.5</v>
      </c>
      <c r="Q32" s="201">
        <v>0.1</v>
      </c>
      <c r="R32" s="202">
        <f t="shared" si="3"/>
        <v>4.1392685158225077E-2</v>
      </c>
      <c r="S32" s="202">
        <v>0.1</v>
      </c>
      <c r="T32" s="203">
        <v>1.3759999999999999</v>
      </c>
      <c r="U32" s="204">
        <f t="shared" si="4"/>
        <v>0.13861843389949247</v>
      </c>
      <c r="V32" s="195" t="s">
        <v>3218</v>
      </c>
      <c r="W32" s="141">
        <v>77</v>
      </c>
      <c r="X32" s="142" t="s">
        <v>352</v>
      </c>
      <c r="Y32" s="142">
        <v>10</v>
      </c>
      <c r="Z32" s="142">
        <v>10</v>
      </c>
      <c r="AA32" s="142">
        <v>3.35</v>
      </c>
      <c r="AB32" s="142">
        <f>1.71/1000</f>
        <v>1.7099999999999999E-3</v>
      </c>
      <c r="AC32" s="142">
        <f t="shared" si="5"/>
        <v>-2.7670038896078464</v>
      </c>
      <c r="AD32" s="142">
        <v>3.35</v>
      </c>
      <c r="AE32" s="142"/>
      <c r="AF32" s="142"/>
      <c r="AG32" s="141" t="s">
        <v>3219</v>
      </c>
      <c r="AH32" s="142">
        <v>3</v>
      </c>
      <c r="AI32" s="142">
        <v>3</v>
      </c>
      <c r="AJ32" s="142">
        <v>6.5</v>
      </c>
      <c r="AK32" s="218">
        <f t="shared" si="6"/>
        <v>30.9</v>
      </c>
      <c r="AL32" s="142" t="s">
        <v>1509</v>
      </c>
      <c r="AM32" s="142" t="s">
        <v>1509</v>
      </c>
      <c r="AW32" s="144"/>
      <c r="BB32" s="144"/>
    </row>
    <row r="33" spans="1:54" ht="15" customHeight="1">
      <c r="A33" s="195" t="s">
        <v>3215</v>
      </c>
      <c r="B33" s="195" t="s">
        <v>3223</v>
      </c>
      <c r="C33" s="195" t="s">
        <v>3224</v>
      </c>
      <c r="D33" s="195" t="s">
        <v>4182</v>
      </c>
      <c r="E33" s="196">
        <v>7</v>
      </c>
      <c r="F33" s="197">
        <f t="shared" si="0"/>
        <v>0.84509804001425681</v>
      </c>
      <c r="G33" s="202">
        <v>0.25</v>
      </c>
      <c r="H33" s="202">
        <v>0.25</v>
      </c>
      <c r="I33" s="197">
        <f t="shared" si="7"/>
        <v>-0.6020599913279624</v>
      </c>
      <c r="J33" s="197">
        <f t="shared" si="1"/>
        <v>-0.6020599913279624</v>
      </c>
      <c r="K33" s="195">
        <v>-46.896447999999999</v>
      </c>
      <c r="L33" s="199">
        <f t="shared" si="2"/>
        <v>46.896447999999999</v>
      </c>
      <c r="M33" s="199">
        <v>37.750884999999997</v>
      </c>
      <c r="N33" s="195" t="s">
        <v>3150</v>
      </c>
      <c r="O33" s="196">
        <v>38</v>
      </c>
      <c r="P33" s="195">
        <v>-4.7</v>
      </c>
      <c r="Q33" s="206">
        <v>-0.01</v>
      </c>
      <c r="R33" s="202">
        <f t="shared" si="3"/>
        <v>-4.3648054024500883E-3</v>
      </c>
      <c r="S33" s="202">
        <v>0.09</v>
      </c>
      <c r="T33" s="203">
        <v>1.3759999999999999</v>
      </c>
      <c r="U33" s="204">
        <f t="shared" si="4"/>
        <v>0.13861843389949247</v>
      </c>
      <c r="V33" s="195" t="s">
        <v>3218</v>
      </c>
      <c r="W33" s="141">
        <v>77</v>
      </c>
      <c r="X33" s="142" t="s">
        <v>352</v>
      </c>
      <c r="Y33" s="142">
        <v>10</v>
      </c>
      <c r="Z33" s="142">
        <v>10</v>
      </c>
      <c r="AA33" s="142">
        <v>3.75</v>
      </c>
      <c r="AB33" s="142">
        <f t="shared" ref="AB33:AB38" si="8">4.54/1000</f>
        <v>4.5399999999999998E-3</v>
      </c>
      <c r="AC33" s="142">
        <f t="shared" si="5"/>
        <v>-2.3429441471428962</v>
      </c>
      <c r="AD33" s="142">
        <v>3.75</v>
      </c>
      <c r="AE33" s="142"/>
      <c r="AF33" s="142"/>
      <c r="AG33" s="141" t="s">
        <v>3219</v>
      </c>
      <c r="AH33" s="142">
        <v>3</v>
      </c>
      <c r="AI33" s="142">
        <v>3</v>
      </c>
      <c r="AJ33" s="142">
        <v>6.5</v>
      </c>
      <c r="AK33" s="218">
        <f t="shared" si="6"/>
        <v>31.5</v>
      </c>
      <c r="AL33" s="142" t="s">
        <v>1509</v>
      </c>
      <c r="AM33" s="142" t="s">
        <v>1509</v>
      </c>
      <c r="AW33" s="144"/>
      <c r="BB33" s="144"/>
    </row>
    <row r="34" spans="1:54" ht="15" customHeight="1">
      <c r="A34" s="195" t="s">
        <v>3215</v>
      </c>
      <c r="B34" s="195" t="s">
        <v>3223</v>
      </c>
      <c r="C34" s="195" t="s">
        <v>3224</v>
      </c>
      <c r="D34" s="195" t="s">
        <v>4182</v>
      </c>
      <c r="E34" s="196">
        <v>7</v>
      </c>
      <c r="F34" s="197">
        <f t="shared" si="0"/>
        <v>0.84509804001425681</v>
      </c>
      <c r="G34" s="202">
        <v>0.25</v>
      </c>
      <c r="H34" s="202">
        <v>0.25</v>
      </c>
      <c r="I34" s="197">
        <f t="shared" si="7"/>
        <v>-0.6020599913279624</v>
      </c>
      <c r="J34" s="197">
        <f t="shared" si="1"/>
        <v>-0.6020599913279624</v>
      </c>
      <c r="K34" s="195">
        <v>-46.896447999999999</v>
      </c>
      <c r="L34" s="199">
        <f t="shared" si="2"/>
        <v>46.896447999999999</v>
      </c>
      <c r="M34" s="199">
        <v>37.750884999999997</v>
      </c>
      <c r="N34" s="195" t="s">
        <v>3150</v>
      </c>
      <c r="O34" s="198">
        <v>38.700000000000003</v>
      </c>
      <c r="P34" s="195">
        <v>-5.3</v>
      </c>
      <c r="Q34" s="201">
        <v>0.01</v>
      </c>
      <c r="R34" s="202">
        <f t="shared" si="3"/>
        <v>4.3213737826425782E-3</v>
      </c>
      <c r="S34" s="202">
        <v>0.17</v>
      </c>
      <c r="T34" s="203">
        <v>1.3759999999999999</v>
      </c>
      <c r="U34" s="204">
        <f t="shared" si="4"/>
        <v>0.13861843389949247</v>
      </c>
      <c r="V34" s="195" t="s">
        <v>3218</v>
      </c>
      <c r="W34" s="141">
        <v>77</v>
      </c>
      <c r="X34" s="142" t="s">
        <v>352</v>
      </c>
      <c r="Y34" s="142">
        <v>10</v>
      </c>
      <c r="Z34" s="142">
        <v>10</v>
      </c>
      <c r="AA34" s="142">
        <v>4.1500000000000004</v>
      </c>
      <c r="AB34" s="142">
        <f t="shared" si="8"/>
        <v>4.5399999999999998E-3</v>
      </c>
      <c r="AC34" s="142">
        <f t="shared" si="5"/>
        <v>-2.3429441471428962</v>
      </c>
      <c r="AD34" s="142">
        <v>4.1500000000000004</v>
      </c>
      <c r="AE34" s="142"/>
      <c r="AF34" s="142"/>
      <c r="AG34" s="141" t="s">
        <v>3219</v>
      </c>
      <c r="AH34" s="142">
        <v>3</v>
      </c>
      <c r="AI34" s="142">
        <v>3</v>
      </c>
      <c r="AJ34" s="142">
        <v>6.5</v>
      </c>
      <c r="AK34" s="218">
        <f t="shared" si="6"/>
        <v>32.200000000000003</v>
      </c>
      <c r="AL34" s="142" t="s">
        <v>1509</v>
      </c>
      <c r="AM34" s="142" t="s">
        <v>1509</v>
      </c>
      <c r="AW34" s="144"/>
      <c r="BB34" s="144"/>
    </row>
    <row r="35" spans="1:54" ht="15" customHeight="1">
      <c r="A35" s="195" t="s">
        <v>3215</v>
      </c>
      <c r="B35" s="195" t="s">
        <v>3223</v>
      </c>
      <c r="C35" s="195" t="s">
        <v>3224</v>
      </c>
      <c r="D35" s="195" t="s">
        <v>4182</v>
      </c>
      <c r="E35" s="196">
        <v>7</v>
      </c>
      <c r="F35" s="197">
        <f t="shared" si="0"/>
        <v>0.84509804001425681</v>
      </c>
      <c r="G35" s="202">
        <v>0.25</v>
      </c>
      <c r="H35" s="202">
        <v>0.25</v>
      </c>
      <c r="I35" s="197">
        <f t="shared" si="7"/>
        <v>-0.6020599913279624</v>
      </c>
      <c r="J35" s="197">
        <f t="shared" si="1"/>
        <v>-0.6020599913279624</v>
      </c>
      <c r="K35" s="195">
        <v>-46.896447999999999</v>
      </c>
      <c r="L35" s="199">
        <f t="shared" si="2"/>
        <v>46.896447999999999</v>
      </c>
      <c r="M35" s="199">
        <v>37.750884999999997</v>
      </c>
      <c r="N35" s="195" t="s">
        <v>3150</v>
      </c>
      <c r="O35" s="198">
        <v>38.200000000000003</v>
      </c>
      <c r="P35" s="195">
        <v>-4.5999999999999996</v>
      </c>
      <c r="Q35" s="201">
        <v>0.01</v>
      </c>
      <c r="R35" s="202">
        <f t="shared" si="3"/>
        <v>4.3213737826425782E-3</v>
      </c>
      <c r="S35" s="202">
        <v>0.1</v>
      </c>
      <c r="T35" s="203">
        <v>1.3759999999999999</v>
      </c>
      <c r="U35" s="204">
        <f t="shared" si="4"/>
        <v>0.13861843389949247</v>
      </c>
      <c r="V35" s="195" t="s">
        <v>3218</v>
      </c>
      <c r="W35" s="141">
        <v>77</v>
      </c>
      <c r="X35" s="142" t="s">
        <v>352</v>
      </c>
      <c r="Y35" s="142">
        <v>10</v>
      </c>
      <c r="Z35" s="142">
        <v>10</v>
      </c>
      <c r="AA35" s="142">
        <v>4.3499999999999996</v>
      </c>
      <c r="AB35" s="142">
        <f t="shared" si="8"/>
        <v>4.5399999999999998E-3</v>
      </c>
      <c r="AC35" s="142">
        <f t="shared" si="5"/>
        <v>-2.3429441471428962</v>
      </c>
      <c r="AD35" s="142">
        <v>4.3499999999999996</v>
      </c>
      <c r="AE35" s="142"/>
      <c r="AF35" s="142"/>
      <c r="AG35" s="141" t="s">
        <v>3219</v>
      </c>
      <c r="AH35" s="142">
        <v>3</v>
      </c>
      <c r="AI35" s="142">
        <v>3</v>
      </c>
      <c r="AJ35" s="142">
        <v>6.5</v>
      </c>
      <c r="AK35" s="218">
        <f t="shared" si="6"/>
        <v>31.700000000000003</v>
      </c>
      <c r="AL35" s="142" t="s">
        <v>1509</v>
      </c>
      <c r="AM35" s="142" t="s">
        <v>1509</v>
      </c>
      <c r="AW35" s="144"/>
      <c r="BB35" s="144"/>
    </row>
    <row r="36" spans="1:54" ht="15" customHeight="1">
      <c r="A36" s="195" t="s">
        <v>3215</v>
      </c>
      <c r="B36" s="195" t="s">
        <v>3223</v>
      </c>
      <c r="C36" s="195" t="s">
        <v>3224</v>
      </c>
      <c r="D36" s="195" t="s">
        <v>4182</v>
      </c>
      <c r="E36" s="196">
        <v>7</v>
      </c>
      <c r="F36" s="197">
        <f t="shared" si="0"/>
        <v>0.84509804001425681</v>
      </c>
      <c r="G36" s="202">
        <v>0.25</v>
      </c>
      <c r="H36" s="202">
        <v>0.25</v>
      </c>
      <c r="I36" s="197">
        <f t="shared" si="7"/>
        <v>-0.6020599913279624</v>
      </c>
      <c r="J36" s="197">
        <f t="shared" si="1"/>
        <v>-0.6020599913279624</v>
      </c>
      <c r="K36" s="195">
        <v>-46.896447999999999</v>
      </c>
      <c r="L36" s="199">
        <f t="shared" si="2"/>
        <v>46.896447999999999</v>
      </c>
      <c r="M36" s="199">
        <v>37.750884999999997</v>
      </c>
      <c r="N36" s="195" t="s">
        <v>3150</v>
      </c>
      <c r="O36" s="198">
        <v>38.4</v>
      </c>
      <c r="P36" s="195">
        <v>-5.5</v>
      </c>
      <c r="Q36" s="201">
        <v>0.03</v>
      </c>
      <c r="R36" s="202">
        <f t="shared" si="3"/>
        <v>1.2837224705172217E-2</v>
      </c>
      <c r="S36" s="202">
        <v>0.14000000000000001</v>
      </c>
      <c r="T36" s="203">
        <v>1.3759999999999999</v>
      </c>
      <c r="U36" s="204">
        <f t="shared" si="4"/>
        <v>0.13861843389949247</v>
      </c>
      <c r="V36" s="195" t="s">
        <v>3218</v>
      </c>
      <c r="W36" s="141">
        <v>77</v>
      </c>
      <c r="X36" s="142" t="s">
        <v>352</v>
      </c>
      <c r="Y36" s="142">
        <v>10</v>
      </c>
      <c r="Z36" s="142">
        <v>10</v>
      </c>
      <c r="AA36" s="142">
        <v>4.45</v>
      </c>
      <c r="AB36" s="142">
        <f t="shared" si="8"/>
        <v>4.5399999999999998E-3</v>
      </c>
      <c r="AC36" s="142">
        <f t="shared" si="5"/>
        <v>-2.3429441471428962</v>
      </c>
      <c r="AD36" s="142">
        <v>4.45</v>
      </c>
      <c r="AE36" s="142"/>
      <c r="AF36" s="142"/>
      <c r="AG36" s="141" t="s">
        <v>3219</v>
      </c>
      <c r="AH36" s="142">
        <v>3</v>
      </c>
      <c r="AI36" s="142">
        <v>3</v>
      </c>
      <c r="AJ36" s="142">
        <v>6.5</v>
      </c>
      <c r="AK36" s="218">
        <f t="shared" si="6"/>
        <v>31.9</v>
      </c>
      <c r="AL36" s="142" t="s">
        <v>1509</v>
      </c>
      <c r="AM36" s="142" t="s">
        <v>1509</v>
      </c>
      <c r="AW36" s="144"/>
      <c r="BB36" s="144"/>
    </row>
    <row r="37" spans="1:54" ht="15" customHeight="1">
      <c r="A37" s="195" t="s">
        <v>3215</v>
      </c>
      <c r="B37" s="195" t="s">
        <v>3223</v>
      </c>
      <c r="C37" s="195" t="s">
        <v>3224</v>
      </c>
      <c r="D37" s="195" t="s">
        <v>4182</v>
      </c>
      <c r="E37" s="196">
        <v>7</v>
      </c>
      <c r="F37" s="197">
        <f t="shared" si="0"/>
        <v>0.84509804001425681</v>
      </c>
      <c r="G37" s="202">
        <v>0.25</v>
      </c>
      <c r="H37" s="202">
        <v>0.25</v>
      </c>
      <c r="I37" s="197">
        <f t="shared" si="7"/>
        <v>-0.6020599913279624</v>
      </c>
      <c r="J37" s="197">
        <f t="shared" si="1"/>
        <v>-0.6020599913279624</v>
      </c>
      <c r="K37" s="195">
        <v>-46.896447999999999</v>
      </c>
      <c r="L37" s="199">
        <f t="shared" si="2"/>
        <v>46.896447999999999</v>
      </c>
      <c r="M37" s="199">
        <v>37.750884999999997</v>
      </c>
      <c r="N37" s="195" t="s">
        <v>3150</v>
      </c>
      <c r="O37" s="198">
        <v>39.4</v>
      </c>
      <c r="P37" s="195">
        <v>-6.2</v>
      </c>
      <c r="Q37" s="201">
        <v>0.09</v>
      </c>
      <c r="R37" s="202">
        <f t="shared" si="3"/>
        <v>3.7426497940623665E-2</v>
      </c>
      <c r="S37" s="202">
        <v>0.17</v>
      </c>
      <c r="T37" s="203">
        <v>1.3759999999999999</v>
      </c>
      <c r="U37" s="204">
        <f t="shared" si="4"/>
        <v>0.13861843389949247</v>
      </c>
      <c r="V37" s="195" t="s">
        <v>3218</v>
      </c>
      <c r="W37" s="141">
        <v>77</v>
      </c>
      <c r="X37" s="142" t="s">
        <v>352</v>
      </c>
      <c r="Y37" s="142">
        <v>10</v>
      </c>
      <c r="Z37" s="142">
        <v>10</v>
      </c>
      <c r="AA37" s="142">
        <v>4.5</v>
      </c>
      <c r="AB37" s="142">
        <f t="shared" si="8"/>
        <v>4.5399999999999998E-3</v>
      </c>
      <c r="AC37" s="142">
        <f t="shared" si="5"/>
        <v>-2.3429441471428962</v>
      </c>
      <c r="AD37" s="142">
        <v>4.5</v>
      </c>
      <c r="AE37" s="142"/>
      <c r="AF37" s="142"/>
      <c r="AG37" s="141" t="s">
        <v>3219</v>
      </c>
      <c r="AH37" s="142">
        <v>3</v>
      </c>
      <c r="AI37" s="142">
        <v>3</v>
      </c>
      <c r="AJ37" s="142">
        <v>6.5</v>
      </c>
      <c r="AK37" s="218">
        <f t="shared" si="6"/>
        <v>32.9</v>
      </c>
      <c r="AL37" s="142" t="s">
        <v>1509</v>
      </c>
      <c r="AM37" s="142" t="s">
        <v>1509</v>
      </c>
      <c r="AW37" s="144"/>
      <c r="BB37" s="144"/>
    </row>
    <row r="38" spans="1:54" ht="15" customHeight="1">
      <c r="A38" s="195" t="s">
        <v>3215</v>
      </c>
      <c r="B38" s="195" t="s">
        <v>3223</v>
      </c>
      <c r="C38" s="195" t="s">
        <v>3224</v>
      </c>
      <c r="D38" s="195" t="s">
        <v>4182</v>
      </c>
      <c r="E38" s="196">
        <v>7</v>
      </c>
      <c r="F38" s="197">
        <f t="shared" si="0"/>
        <v>0.84509804001425681</v>
      </c>
      <c r="G38" s="202">
        <v>0.25</v>
      </c>
      <c r="H38" s="202">
        <v>0.25</v>
      </c>
      <c r="I38" s="197">
        <f t="shared" si="7"/>
        <v>-0.6020599913279624</v>
      </c>
      <c r="J38" s="197">
        <f t="shared" si="1"/>
        <v>-0.6020599913279624</v>
      </c>
      <c r="K38" s="195">
        <v>-46.896447999999999</v>
      </c>
      <c r="L38" s="199">
        <f t="shared" si="2"/>
        <v>46.896447999999999</v>
      </c>
      <c r="M38" s="199">
        <v>37.750884999999997</v>
      </c>
      <c r="N38" s="195" t="s">
        <v>3150</v>
      </c>
      <c r="O38" s="198">
        <v>38.1</v>
      </c>
      <c r="P38" s="195">
        <v>-5.3</v>
      </c>
      <c r="Q38" s="206">
        <v>-0.02</v>
      </c>
      <c r="R38" s="202">
        <f t="shared" si="3"/>
        <v>-8.7739243075051505E-3</v>
      </c>
      <c r="S38" s="202">
        <v>0.11</v>
      </c>
      <c r="T38" s="203">
        <v>1.3759999999999999</v>
      </c>
      <c r="U38" s="204">
        <f t="shared" si="4"/>
        <v>0.13861843389949247</v>
      </c>
      <c r="V38" s="195" t="s">
        <v>3218</v>
      </c>
      <c r="W38" s="141">
        <v>77</v>
      </c>
      <c r="X38" s="142" t="s">
        <v>352</v>
      </c>
      <c r="Y38" s="142">
        <v>10</v>
      </c>
      <c r="Z38" s="142">
        <v>10</v>
      </c>
      <c r="AA38" s="142">
        <v>4.9000000000000004</v>
      </c>
      <c r="AB38" s="142">
        <f t="shared" si="8"/>
        <v>4.5399999999999998E-3</v>
      </c>
      <c r="AC38" s="142">
        <f t="shared" si="5"/>
        <v>-2.3429441471428962</v>
      </c>
      <c r="AD38" s="142">
        <v>4.9000000000000004</v>
      </c>
      <c r="AE38" s="142"/>
      <c r="AF38" s="142"/>
      <c r="AG38" s="141" t="s">
        <v>3219</v>
      </c>
      <c r="AH38" s="142">
        <v>3</v>
      </c>
      <c r="AI38" s="142">
        <v>3</v>
      </c>
      <c r="AJ38" s="142">
        <v>6.5</v>
      </c>
      <c r="AK38" s="218">
        <f t="shared" si="6"/>
        <v>31.6</v>
      </c>
      <c r="AL38" s="142" t="s">
        <v>1509</v>
      </c>
      <c r="AM38" s="142" t="s">
        <v>1509</v>
      </c>
      <c r="AW38" s="144"/>
      <c r="BB38" s="144"/>
    </row>
    <row r="39" spans="1:54" ht="15" customHeight="1">
      <c r="A39" s="195" t="s">
        <v>3215</v>
      </c>
      <c r="B39" s="195" t="s">
        <v>3230</v>
      </c>
      <c r="C39" s="195" t="s">
        <v>3231</v>
      </c>
      <c r="D39" s="195" t="s">
        <v>4182</v>
      </c>
      <c r="E39" s="196">
        <v>7</v>
      </c>
      <c r="F39" s="197">
        <f t="shared" si="0"/>
        <v>0.84509804001425681</v>
      </c>
      <c r="G39" s="202">
        <v>0.25</v>
      </c>
      <c r="H39" s="202">
        <v>0.25</v>
      </c>
      <c r="I39" s="197">
        <f t="shared" si="7"/>
        <v>-0.6020599913279624</v>
      </c>
      <c r="J39" s="197">
        <f t="shared" si="1"/>
        <v>-0.6020599913279624</v>
      </c>
      <c r="K39" s="195">
        <v>-46.896447999999999</v>
      </c>
      <c r="L39" s="199">
        <f t="shared" si="2"/>
        <v>46.896447999999999</v>
      </c>
      <c r="M39" s="199">
        <v>37.750884999999997</v>
      </c>
      <c r="N39" s="195" t="s">
        <v>3150</v>
      </c>
      <c r="O39" s="198">
        <v>36.299999999999997</v>
      </c>
      <c r="P39" s="195">
        <v>-4.5</v>
      </c>
      <c r="Q39" s="201">
        <v>0.05</v>
      </c>
      <c r="R39" s="202">
        <f t="shared" si="3"/>
        <v>2.1189299069938092E-2</v>
      </c>
      <c r="S39" s="202">
        <v>0.09</v>
      </c>
      <c r="T39" s="203">
        <v>1.3759999999999999</v>
      </c>
      <c r="U39" s="204">
        <f t="shared" si="4"/>
        <v>0.13861843389949247</v>
      </c>
      <c r="V39" s="195" t="s">
        <v>3218</v>
      </c>
      <c r="W39" s="141">
        <v>77</v>
      </c>
      <c r="X39" s="142" t="s">
        <v>352</v>
      </c>
      <c r="Y39" s="142">
        <v>10</v>
      </c>
      <c r="Z39" s="142">
        <v>10</v>
      </c>
      <c r="AA39" s="142">
        <v>6.23</v>
      </c>
      <c r="AB39" s="142">
        <f>18.09/1000</f>
        <v>1.8089999999999998E-2</v>
      </c>
      <c r="AC39" s="142">
        <f t="shared" si="5"/>
        <v>-1.7425614331401862</v>
      </c>
      <c r="AD39" s="142">
        <v>6.23</v>
      </c>
      <c r="AE39" s="142"/>
      <c r="AF39" s="142"/>
      <c r="AG39" s="141" t="s">
        <v>3219</v>
      </c>
      <c r="AH39" s="142">
        <v>3</v>
      </c>
      <c r="AI39" s="142">
        <v>3</v>
      </c>
      <c r="AJ39" s="142">
        <v>6.5</v>
      </c>
      <c r="AK39" s="218">
        <f t="shared" si="6"/>
        <v>29.799999999999997</v>
      </c>
      <c r="AL39" s="142" t="s">
        <v>1509</v>
      </c>
      <c r="AM39" s="142" t="s">
        <v>1509</v>
      </c>
      <c r="AW39" s="144"/>
      <c r="BB39" s="144"/>
    </row>
    <row r="40" spans="1:54" ht="15" customHeight="1">
      <c r="A40" s="195" t="s">
        <v>3233</v>
      </c>
      <c r="B40" s="195" t="s">
        <v>3234</v>
      </c>
      <c r="C40" s="195" t="s">
        <v>3235</v>
      </c>
      <c r="D40" s="195" t="s">
        <v>4182</v>
      </c>
      <c r="E40" s="196">
        <v>7</v>
      </c>
      <c r="F40" s="197">
        <f t="shared" si="0"/>
        <v>0.84509804001425681</v>
      </c>
      <c r="G40" s="202">
        <v>0.25</v>
      </c>
      <c r="H40" s="202">
        <v>0.25</v>
      </c>
      <c r="I40" s="197">
        <f t="shared" si="7"/>
        <v>-0.6020599913279624</v>
      </c>
      <c r="J40" s="197">
        <f t="shared" si="1"/>
        <v>-0.6020599913279624</v>
      </c>
      <c r="K40" s="195">
        <v>-46.896447999999999</v>
      </c>
      <c r="L40" s="199">
        <f t="shared" si="2"/>
        <v>46.896447999999999</v>
      </c>
      <c r="M40" s="199">
        <v>37.750884999999997</v>
      </c>
      <c r="N40" s="195" t="s">
        <v>3150</v>
      </c>
      <c r="O40" s="198">
        <v>37.200000000000003</v>
      </c>
      <c r="P40" s="195">
        <v>-5.5</v>
      </c>
      <c r="Q40" s="201">
        <v>0.04</v>
      </c>
      <c r="R40" s="202">
        <f t="shared" si="3"/>
        <v>1.703333929878037E-2</v>
      </c>
      <c r="S40" s="202">
        <v>0.13</v>
      </c>
      <c r="T40" s="203">
        <v>1.3759999999999999</v>
      </c>
      <c r="U40" s="204">
        <f t="shared" si="4"/>
        <v>0.13861843389949247</v>
      </c>
      <c r="V40" s="195" t="s">
        <v>3218</v>
      </c>
      <c r="W40" s="141">
        <v>77</v>
      </c>
      <c r="X40" s="142" t="s">
        <v>352</v>
      </c>
      <c r="Y40" s="142">
        <v>10</v>
      </c>
      <c r="Z40" s="142">
        <v>10</v>
      </c>
      <c r="AA40" s="142">
        <v>4.8</v>
      </c>
      <c r="AB40" s="142">
        <f>12.32/1000</f>
        <v>1.2320000000000001E-2</v>
      </c>
      <c r="AC40" s="142">
        <f t="shared" si="5"/>
        <v>-1.9093892921715934</v>
      </c>
      <c r="AD40" s="142">
        <v>4.8</v>
      </c>
      <c r="AE40" s="142"/>
      <c r="AF40" s="142"/>
      <c r="AG40" s="141" t="s">
        <v>3219</v>
      </c>
      <c r="AH40" s="142">
        <v>3</v>
      </c>
      <c r="AI40" s="142">
        <v>3</v>
      </c>
      <c r="AJ40" s="142">
        <v>6.5</v>
      </c>
      <c r="AK40" s="218">
        <f t="shared" si="6"/>
        <v>30.700000000000003</v>
      </c>
      <c r="AL40" s="142" t="s">
        <v>1509</v>
      </c>
      <c r="AM40" s="142" t="s">
        <v>1509</v>
      </c>
      <c r="AW40" s="144"/>
      <c r="BB40" s="144"/>
    </row>
    <row r="41" spans="1:54" ht="15" customHeight="1">
      <c r="A41" s="195" t="s">
        <v>3233</v>
      </c>
      <c r="B41" s="195" t="s">
        <v>3234</v>
      </c>
      <c r="C41" s="195" t="s">
        <v>3235</v>
      </c>
      <c r="D41" s="195" t="s">
        <v>4182</v>
      </c>
      <c r="E41" s="196">
        <v>7</v>
      </c>
      <c r="F41" s="197">
        <f t="shared" si="0"/>
        <v>0.84509804001425681</v>
      </c>
      <c r="G41" s="202">
        <v>0.25</v>
      </c>
      <c r="H41" s="202">
        <v>0.25</v>
      </c>
      <c r="I41" s="197">
        <f t="shared" si="7"/>
        <v>-0.6020599913279624</v>
      </c>
      <c r="J41" s="197">
        <f t="shared" si="1"/>
        <v>-0.6020599913279624</v>
      </c>
      <c r="K41" s="195">
        <v>-46.896447999999999</v>
      </c>
      <c r="L41" s="199">
        <f t="shared" si="2"/>
        <v>46.896447999999999</v>
      </c>
      <c r="M41" s="199">
        <v>37.750884999999997</v>
      </c>
      <c r="N41" s="195" t="s">
        <v>3150</v>
      </c>
      <c r="O41" s="198">
        <v>37.5</v>
      </c>
      <c r="P41" s="195">
        <v>-4.7</v>
      </c>
      <c r="Q41" s="206">
        <v>-0.03</v>
      </c>
      <c r="R41" s="202">
        <f t="shared" si="3"/>
        <v>-1.322826573375516E-2</v>
      </c>
      <c r="S41" s="195">
        <v>-0.03</v>
      </c>
      <c r="T41" s="203">
        <v>1.3759999999999999</v>
      </c>
      <c r="U41" s="204">
        <f t="shared" si="4"/>
        <v>0.13861843389949247</v>
      </c>
      <c r="V41" s="195" t="s">
        <v>3218</v>
      </c>
      <c r="W41" s="141">
        <v>77</v>
      </c>
      <c r="X41" s="142" t="s">
        <v>352</v>
      </c>
      <c r="Y41" s="142">
        <v>10</v>
      </c>
      <c r="Z41" s="142">
        <v>10</v>
      </c>
      <c r="AA41" s="142">
        <v>4.7</v>
      </c>
      <c r="AB41" s="142">
        <f>12.32/1000</f>
        <v>1.2320000000000001E-2</v>
      </c>
      <c r="AC41" s="142">
        <f t="shared" si="5"/>
        <v>-1.9093892921715934</v>
      </c>
      <c r="AD41" s="142">
        <v>4.7</v>
      </c>
      <c r="AE41" s="142"/>
      <c r="AF41" s="142"/>
      <c r="AG41" s="141" t="s">
        <v>3219</v>
      </c>
      <c r="AH41" s="142">
        <v>3</v>
      </c>
      <c r="AI41" s="142">
        <v>3</v>
      </c>
      <c r="AJ41" s="142">
        <v>6.5</v>
      </c>
      <c r="AK41" s="218">
        <f t="shared" si="6"/>
        <v>31</v>
      </c>
      <c r="AL41" s="142" t="s">
        <v>1509</v>
      </c>
      <c r="AM41" s="142" t="s">
        <v>1509</v>
      </c>
      <c r="AW41" s="144"/>
      <c r="BB41" s="144"/>
    </row>
    <row r="42" spans="1:54" ht="15" customHeight="1">
      <c r="A42" s="195" t="s">
        <v>3233</v>
      </c>
      <c r="B42" s="195" t="s">
        <v>3234</v>
      </c>
      <c r="C42" s="195" t="s">
        <v>3235</v>
      </c>
      <c r="D42" s="195" t="s">
        <v>4182</v>
      </c>
      <c r="E42" s="196">
        <v>7</v>
      </c>
      <c r="F42" s="197">
        <f t="shared" si="0"/>
        <v>0.84509804001425681</v>
      </c>
      <c r="G42" s="202">
        <v>0.25</v>
      </c>
      <c r="H42" s="202">
        <v>0.25</v>
      </c>
      <c r="I42" s="197">
        <f t="shared" si="7"/>
        <v>-0.6020599913279624</v>
      </c>
      <c r="J42" s="197">
        <f t="shared" si="1"/>
        <v>-0.6020599913279624</v>
      </c>
      <c r="K42" s="195">
        <v>-46.896447999999999</v>
      </c>
      <c r="L42" s="199">
        <f t="shared" si="2"/>
        <v>46.896447999999999</v>
      </c>
      <c r="M42" s="199">
        <v>37.750884999999997</v>
      </c>
      <c r="N42" s="195" t="s">
        <v>3150</v>
      </c>
      <c r="O42" s="198">
        <v>37.4</v>
      </c>
      <c r="P42" s="195">
        <v>-5.5</v>
      </c>
      <c r="Q42" s="201">
        <v>0.09</v>
      </c>
      <c r="R42" s="202">
        <f t="shared" si="3"/>
        <v>3.7426497940623665E-2</v>
      </c>
      <c r="S42" s="202">
        <v>0.13</v>
      </c>
      <c r="T42" s="203">
        <v>1.3759999999999999</v>
      </c>
      <c r="U42" s="204">
        <f t="shared" si="4"/>
        <v>0.13861843389949247</v>
      </c>
      <c r="V42" s="195" t="s">
        <v>3218</v>
      </c>
      <c r="W42" s="141">
        <v>77</v>
      </c>
      <c r="X42" s="142" t="s">
        <v>352</v>
      </c>
      <c r="Y42" s="142">
        <v>10</v>
      </c>
      <c r="Z42" s="142">
        <v>10</v>
      </c>
      <c r="AA42" s="142">
        <v>5.25</v>
      </c>
      <c r="AB42" s="142">
        <f>12.32/1000</f>
        <v>1.2320000000000001E-2</v>
      </c>
      <c r="AC42" s="142">
        <f t="shared" si="5"/>
        <v>-1.9093892921715934</v>
      </c>
      <c r="AD42" s="142">
        <v>5.25</v>
      </c>
      <c r="AE42" s="142"/>
      <c r="AF42" s="142"/>
      <c r="AG42" s="141" t="s">
        <v>3219</v>
      </c>
      <c r="AH42" s="142">
        <v>3</v>
      </c>
      <c r="AI42" s="142">
        <v>3</v>
      </c>
      <c r="AJ42" s="142">
        <v>6.5</v>
      </c>
      <c r="AK42" s="218">
        <f t="shared" si="6"/>
        <v>30.9</v>
      </c>
      <c r="AL42" s="142" t="s">
        <v>1509</v>
      </c>
      <c r="AM42" s="142" t="s">
        <v>1509</v>
      </c>
      <c r="AW42" s="144"/>
      <c r="BB42" s="144"/>
    </row>
    <row r="43" spans="1:54" ht="15" customHeight="1">
      <c r="A43" s="195" t="s">
        <v>3233</v>
      </c>
      <c r="B43" s="195" t="s">
        <v>3234</v>
      </c>
      <c r="C43" s="195" t="s">
        <v>3235</v>
      </c>
      <c r="D43" s="195" t="s">
        <v>4182</v>
      </c>
      <c r="E43" s="196">
        <v>7</v>
      </c>
      <c r="F43" s="197">
        <f t="shared" si="0"/>
        <v>0.84509804001425681</v>
      </c>
      <c r="G43" s="202">
        <v>0.25</v>
      </c>
      <c r="H43" s="202">
        <v>0.25</v>
      </c>
      <c r="I43" s="197">
        <f t="shared" si="7"/>
        <v>-0.6020599913279624</v>
      </c>
      <c r="J43" s="197">
        <f t="shared" si="1"/>
        <v>-0.6020599913279624</v>
      </c>
      <c r="K43" s="195">
        <v>-46.896447999999999</v>
      </c>
      <c r="L43" s="199">
        <f t="shared" si="2"/>
        <v>46.896447999999999</v>
      </c>
      <c r="M43" s="199">
        <v>37.750884999999997</v>
      </c>
      <c r="N43" s="195" t="s">
        <v>3150</v>
      </c>
      <c r="O43" s="198">
        <v>38.200000000000003</v>
      </c>
      <c r="P43" s="195">
        <v>-4.5999999999999996</v>
      </c>
      <c r="Q43" s="201">
        <v>0.01</v>
      </c>
      <c r="R43" s="202">
        <f t="shared" si="3"/>
        <v>4.3213737826425782E-3</v>
      </c>
      <c r="S43" s="202">
        <v>7.0000000000000007E-2</v>
      </c>
      <c r="T43" s="203">
        <v>1.3759999999999999</v>
      </c>
      <c r="U43" s="204">
        <f t="shared" si="4"/>
        <v>0.13861843389949247</v>
      </c>
      <c r="V43" s="195" t="s">
        <v>3218</v>
      </c>
      <c r="W43" s="141">
        <v>77</v>
      </c>
      <c r="X43" s="142" t="s">
        <v>352</v>
      </c>
      <c r="Y43" s="142">
        <v>10</v>
      </c>
      <c r="Z43" s="142">
        <v>10</v>
      </c>
      <c r="AA43" s="142">
        <v>5.0999999999999996</v>
      </c>
      <c r="AB43" s="142">
        <f>12.32/1000</f>
        <v>1.2320000000000001E-2</v>
      </c>
      <c r="AC43" s="142">
        <f t="shared" si="5"/>
        <v>-1.9093892921715934</v>
      </c>
      <c r="AD43" s="142">
        <v>5.0999999999999996</v>
      </c>
      <c r="AE43" s="142"/>
      <c r="AF43" s="142"/>
      <c r="AG43" s="141" t="s">
        <v>3219</v>
      </c>
      <c r="AH43" s="142">
        <v>3</v>
      </c>
      <c r="AI43" s="142">
        <v>3</v>
      </c>
      <c r="AJ43" s="142">
        <v>6.5</v>
      </c>
      <c r="AK43" s="218">
        <f t="shared" si="6"/>
        <v>31.700000000000003</v>
      </c>
      <c r="AL43" s="142" t="s">
        <v>1509</v>
      </c>
      <c r="AM43" s="142" t="s">
        <v>1509</v>
      </c>
      <c r="AW43" s="144"/>
      <c r="BB43" s="144"/>
    </row>
    <row r="44" spans="1:54" ht="15" customHeight="1">
      <c r="A44" s="195" t="s">
        <v>3233</v>
      </c>
      <c r="B44" s="195" t="s">
        <v>3238</v>
      </c>
      <c r="C44" s="195" t="s">
        <v>3239</v>
      </c>
      <c r="D44" s="195" t="s">
        <v>4182</v>
      </c>
      <c r="E44" s="196">
        <v>7</v>
      </c>
      <c r="F44" s="197">
        <f t="shared" si="0"/>
        <v>0.84509804001425681</v>
      </c>
      <c r="G44" s="202">
        <v>0.25</v>
      </c>
      <c r="H44" s="202">
        <v>0.25</v>
      </c>
      <c r="I44" s="197">
        <f t="shared" si="7"/>
        <v>-0.6020599913279624</v>
      </c>
      <c r="J44" s="197">
        <f t="shared" si="1"/>
        <v>-0.6020599913279624</v>
      </c>
      <c r="K44" s="195">
        <v>-46.896447999999999</v>
      </c>
      <c r="L44" s="199">
        <f t="shared" si="2"/>
        <v>46.896447999999999</v>
      </c>
      <c r="M44" s="199">
        <v>37.750884999999997</v>
      </c>
      <c r="N44" s="195" t="s">
        <v>3150</v>
      </c>
      <c r="O44" s="198">
        <v>38.299999999999997</v>
      </c>
      <c r="P44" s="195">
        <v>-5</v>
      </c>
      <c r="Q44" s="201">
        <v>0.06</v>
      </c>
      <c r="R44" s="202">
        <f t="shared" si="3"/>
        <v>2.5305865264770262E-2</v>
      </c>
      <c r="S44" s="202">
        <v>0.1</v>
      </c>
      <c r="T44" s="203">
        <v>1.3759999999999999</v>
      </c>
      <c r="U44" s="204">
        <f t="shared" si="4"/>
        <v>0.13861843389949247</v>
      </c>
      <c r="V44" s="195" t="s">
        <v>3218</v>
      </c>
      <c r="W44" s="141">
        <v>77</v>
      </c>
      <c r="X44" s="142" t="s">
        <v>352</v>
      </c>
      <c r="Y44" s="142">
        <v>10</v>
      </c>
      <c r="Z44" s="142">
        <v>10</v>
      </c>
      <c r="AA44" s="142">
        <v>5.95</v>
      </c>
      <c r="AB44" s="142">
        <f>23.5/1000</f>
        <v>2.35E-2</v>
      </c>
      <c r="AC44" s="142">
        <f t="shared" si="5"/>
        <v>-1.6289321377282637</v>
      </c>
      <c r="AD44" s="142">
        <v>5.95</v>
      </c>
      <c r="AE44" s="142"/>
      <c r="AF44" s="142"/>
      <c r="AG44" s="141" t="s">
        <v>3219</v>
      </c>
      <c r="AH44" s="142">
        <v>3</v>
      </c>
      <c r="AI44" s="142">
        <v>3</v>
      </c>
      <c r="AJ44" s="142">
        <v>6.5</v>
      </c>
      <c r="AK44" s="218">
        <f t="shared" si="6"/>
        <v>31.799999999999997</v>
      </c>
      <c r="AL44" s="142" t="s">
        <v>1509</v>
      </c>
      <c r="AM44" s="142" t="s">
        <v>1509</v>
      </c>
      <c r="AW44" s="144"/>
      <c r="BB44" s="144"/>
    </row>
    <row r="45" spans="1:54" ht="15" customHeight="1">
      <c r="A45" s="195" t="s">
        <v>3233</v>
      </c>
      <c r="B45" s="195" t="s">
        <v>3238</v>
      </c>
      <c r="C45" s="195" t="s">
        <v>3239</v>
      </c>
      <c r="D45" s="195" t="s">
        <v>4182</v>
      </c>
      <c r="E45" s="196">
        <v>7</v>
      </c>
      <c r="F45" s="197">
        <f t="shared" si="0"/>
        <v>0.84509804001425681</v>
      </c>
      <c r="G45" s="202">
        <v>0.25</v>
      </c>
      <c r="H45" s="202">
        <v>0.25</v>
      </c>
      <c r="I45" s="197">
        <f t="shared" si="7"/>
        <v>-0.6020599913279624</v>
      </c>
      <c r="J45" s="197">
        <f t="shared" si="1"/>
        <v>-0.6020599913279624</v>
      </c>
      <c r="K45" s="195">
        <v>-46.896447999999999</v>
      </c>
      <c r="L45" s="199">
        <f t="shared" si="2"/>
        <v>46.896447999999999</v>
      </c>
      <c r="M45" s="199">
        <v>37.750884999999997</v>
      </c>
      <c r="N45" s="195" t="s">
        <v>3150</v>
      </c>
      <c r="O45" s="196">
        <v>38</v>
      </c>
      <c r="P45" s="195">
        <v>-6</v>
      </c>
      <c r="Q45" s="201">
        <v>0.03</v>
      </c>
      <c r="R45" s="202">
        <f t="shared" si="3"/>
        <v>1.2837224705172217E-2</v>
      </c>
      <c r="S45" s="202">
        <v>0.13</v>
      </c>
      <c r="T45" s="203">
        <v>1.3759999999999999</v>
      </c>
      <c r="U45" s="204">
        <f t="shared" si="4"/>
        <v>0.13861843389949247</v>
      </c>
      <c r="V45" s="195" t="s">
        <v>3218</v>
      </c>
      <c r="W45" s="141">
        <v>77</v>
      </c>
      <c r="X45" s="142" t="s">
        <v>352</v>
      </c>
      <c r="Y45" s="142">
        <v>10</v>
      </c>
      <c r="Z45" s="142">
        <v>10</v>
      </c>
      <c r="AA45" s="142">
        <v>7</v>
      </c>
      <c r="AB45" s="142">
        <f>23.5/1000</f>
        <v>2.35E-2</v>
      </c>
      <c r="AC45" s="142">
        <f t="shared" si="5"/>
        <v>-1.6289321377282637</v>
      </c>
      <c r="AD45" s="142">
        <v>7</v>
      </c>
      <c r="AE45" s="142"/>
      <c r="AF45" s="142"/>
      <c r="AG45" s="141" t="s">
        <v>3219</v>
      </c>
      <c r="AH45" s="142">
        <v>3</v>
      </c>
      <c r="AI45" s="142">
        <v>3</v>
      </c>
      <c r="AJ45" s="142">
        <v>6.5</v>
      </c>
      <c r="AK45" s="218">
        <f t="shared" si="6"/>
        <v>31.5</v>
      </c>
      <c r="AL45" s="142" t="s">
        <v>1509</v>
      </c>
      <c r="AM45" s="142" t="s">
        <v>1509</v>
      </c>
      <c r="AN45" s="10"/>
      <c r="AS45" s="15"/>
      <c r="AW45" s="144"/>
      <c r="BB45" s="144"/>
    </row>
    <row r="46" spans="1:54" ht="15" customHeight="1">
      <c r="A46" s="195" t="s">
        <v>3233</v>
      </c>
      <c r="B46" s="195" t="s">
        <v>3238</v>
      </c>
      <c r="C46" s="195" t="s">
        <v>3239</v>
      </c>
      <c r="D46" s="195" t="s">
        <v>4182</v>
      </c>
      <c r="E46" s="196">
        <v>7</v>
      </c>
      <c r="F46" s="197">
        <f t="shared" si="0"/>
        <v>0.84509804001425681</v>
      </c>
      <c r="G46" s="202">
        <v>0.25</v>
      </c>
      <c r="H46" s="202">
        <v>0.25</v>
      </c>
      <c r="I46" s="197">
        <f t="shared" si="7"/>
        <v>-0.6020599913279624</v>
      </c>
      <c r="J46" s="197">
        <f t="shared" si="1"/>
        <v>-0.6020599913279624</v>
      </c>
      <c r="K46" s="195">
        <v>-46.896447999999999</v>
      </c>
      <c r="L46" s="199">
        <f t="shared" si="2"/>
        <v>46.896447999999999</v>
      </c>
      <c r="M46" s="199">
        <v>37.750884999999997</v>
      </c>
      <c r="N46" s="195" t="s">
        <v>3150</v>
      </c>
      <c r="O46" s="196">
        <v>39</v>
      </c>
      <c r="P46" s="195">
        <v>-5.8</v>
      </c>
      <c r="Q46" s="201">
        <v>0.15</v>
      </c>
      <c r="R46" s="202">
        <f t="shared" si="3"/>
        <v>6.069784035361165E-2</v>
      </c>
      <c r="S46" s="202">
        <v>0.09</v>
      </c>
      <c r="T46" s="203">
        <v>1.3759999999999999</v>
      </c>
      <c r="U46" s="204">
        <f t="shared" si="4"/>
        <v>0.13861843389949247</v>
      </c>
      <c r="V46" s="195" t="s">
        <v>3218</v>
      </c>
      <c r="W46" s="141">
        <v>77</v>
      </c>
      <c r="X46" s="142" t="s">
        <v>352</v>
      </c>
      <c r="Y46" s="142">
        <v>10</v>
      </c>
      <c r="Z46" s="142">
        <v>10</v>
      </c>
      <c r="AA46" s="142">
        <v>7.25</v>
      </c>
      <c r="AB46" s="142">
        <f>23.5/1000</f>
        <v>2.35E-2</v>
      </c>
      <c r="AC46" s="142">
        <f t="shared" si="5"/>
        <v>-1.6289321377282637</v>
      </c>
      <c r="AD46" s="142">
        <v>7.25</v>
      </c>
      <c r="AE46" s="142"/>
      <c r="AF46" s="142"/>
      <c r="AG46" s="141" t="s">
        <v>3219</v>
      </c>
      <c r="AH46" s="142">
        <v>3</v>
      </c>
      <c r="AI46" s="142">
        <v>3</v>
      </c>
      <c r="AJ46" s="142">
        <v>6.5</v>
      </c>
      <c r="AK46" s="218">
        <f t="shared" si="6"/>
        <v>32.5</v>
      </c>
      <c r="AL46" s="142" t="s">
        <v>1509</v>
      </c>
      <c r="AM46" s="142" t="s">
        <v>1509</v>
      </c>
      <c r="AN46" s="10"/>
      <c r="AS46" s="15"/>
      <c r="AW46" s="144"/>
      <c r="BB46" s="144"/>
    </row>
    <row r="47" spans="1:54" ht="15" customHeight="1">
      <c r="A47" s="195" t="s">
        <v>3233</v>
      </c>
      <c r="B47" s="195" t="s">
        <v>3238</v>
      </c>
      <c r="C47" s="195" t="s">
        <v>3239</v>
      </c>
      <c r="D47" s="195" t="s">
        <v>4182</v>
      </c>
      <c r="E47" s="196">
        <v>7</v>
      </c>
      <c r="F47" s="197">
        <f t="shared" si="0"/>
        <v>0.84509804001425681</v>
      </c>
      <c r="G47" s="202">
        <v>0.25</v>
      </c>
      <c r="H47" s="202">
        <v>0.25</v>
      </c>
      <c r="I47" s="197">
        <f t="shared" si="7"/>
        <v>-0.6020599913279624</v>
      </c>
      <c r="J47" s="197">
        <f t="shared" si="1"/>
        <v>-0.6020599913279624</v>
      </c>
      <c r="K47" s="195">
        <v>-46.896447999999999</v>
      </c>
      <c r="L47" s="199">
        <f t="shared" si="2"/>
        <v>46.896447999999999</v>
      </c>
      <c r="M47" s="199">
        <v>37.750884999999997</v>
      </c>
      <c r="N47" s="195" t="s">
        <v>3150</v>
      </c>
      <c r="O47" s="198">
        <v>39.299999999999997</v>
      </c>
      <c r="P47" s="195">
        <v>-5.2</v>
      </c>
      <c r="Q47" s="201">
        <v>0.13</v>
      </c>
      <c r="R47" s="202">
        <f t="shared" si="3"/>
        <v>5.3078443483419682E-2</v>
      </c>
      <c r="S47" s="202">
        <v>0.1</v>
      </c>
      <c r="T47" s="203">
        <v>1.3759999999999999</v>
      </c>
      <c r="U47" s="204">
        <f t="shared" si="4"/>
        <v>0.13861843389949247</v>
      </c>
      <c r="V47" s="195" t="s">
        <v>3218</v>
      </c>
      <c r="W47" s="141">
        <v>77</v>
      </c>
      <c r="X47" s="142" t="s">
        <v>352</v>
      </c>
      <c r="Y47" s="142">
        <v>10</v>
      </c>
      <c r="Z47" s="142">
        <v>10</v>
      </c>
      <c r="AA47" s="142">
        <v>7.8</v>
      </c>
      <c r="AB47" s="142">
        <f>23.5/1000</f>
        <v>2.35E-2</v>
      </c>
      <c r="AC47" s="142">
        <f t="shared" si="5"/>
        <v>-1.6289321377282637</v>
      </c>
      <c r="AD47" s="142">
        <v>7.8</v>
      </c>
      <c r="AE47" s="142"/>
      <c r="AF47" s="142"/>
      <c r="AG47" s="141" t="s">
        <v>3219</v>
      </c>
      <c r="AH47" s="142">
        <v>3</v>
      </c>
      <c r="AI47" s="142">
        <v>3</v>
      </c>
      <c r="AJ47" s="142">
        <v>6.5</v>
      </c>
      <c r="AK47" s="218">
        <f t="shared" si="6"/>
        <v>32.799999999999997</v>
      </c>
      <c r="AL47" s="142" t="s">
        <v>1509</v>
      </c>
      <c r="AM47" s="142" t="s">
        <v>1509</v>
      </c>
      <c r="AN47" s="10"/>
      <c r="AS47" s="15"/>
      <c r="AW47" s="144"/>
      <c r="BB47" s="144"/>
    </row>
    <row r="48" spans="1:54" ht="15.95" customHeight="1">
      <c r="A48" s="195" t="s">
        <v>3243</v>
      </c>
      <c r="B48" s="195" t="s">
        <v>3244</v>
      </c>
      <c r="C48" s="195" t="s">
        <v>3121</v>
      </c>
      <c r="D48" s="195" t="s">
        <v>4182</v>
      </c>
      <c r="E48" s="196">
        <v>7</v>
      </c>
      <c r="F48" s="197">
        <f t="shared" si="0"/>
        <v>0.84509804001425681</v>
      </c>
      <c r="G48" s="202">
        <v>0.25</v>
      </c>
      <c r="H48" s="202">
        <v>0.25</v>
      </c>
      <c r="I48" s="197">
        <f t="shared" si="7"/>
        <v>-0.6020599913279624</v>
      </c>
      <c r="J48" s="197">
        <f t="shared" si="1"/>
        <v>-0.6020599913279624</v>
      </c>
      <c r="K48" s="195">
        <v>-46.896447999999999</v>
      </c>
      <c r="L48" s="199">
        <f t="shared" si="2"/>
        <v>46.896447999999999</v>
      </c>
      <c r="M48" s="199">
        <v>37.750884999999997</v>
      </c>
      <c r="N48" s="195" t="s">
        <v>3150</v>
      </c>
      <c r="O48" s="198">
        <v>36.9</v>
      </c>
      <c r="P48" s="195">
        <v>-3.6</v>
      </c>
      <c r="Q48" s="201">
        <v>7.0000000000000007E-2</v>
      </c>
      <c r="R48" s="202">
        <f t="shared" si="3"/>
        <v>2.9383777685209667E-2</v>
      </c>
      <c r="S48" s="202">
        <v>0.1</v>
      </c>
      <c r="T48" s="203">
        <v>1.3759999999999999</v>
      </c>
      <c r="U48" s="204">
        <f t="shared" si="4"/>
        <v>0.13861843389949247</v>
      </c>
      <c r="V48" s="195" t="s">
        <v>3218</v>
      </c>
      <c r="W48" s="141">
        <v>77</v>
      </c>
      <c r="X48" s="142" t="s">
        <v>352</v>
      </c>
      <c r="Y48" s="142">
        <v>10</v>
      </c>
      <c r="Z48" s="142">
        <v>10</v>
      </c>
      <c r="AA48" s="142">
        <v>4.47</v>
      </c>
      <c r="AB48" s="142">
        <f>12.32/1000</f>
        <v>1.2320000000000001E-2</v>
      </c>
      <c r="AC48" s="142">
        <f t="shared" si="5"/>
        <v>-1.9093892921715934</v>
      </c>
      <c r="AD48" s="142">
        <v>4.47</v>
      </c>
      <c r="AE48" s="142"/>
      <c r="AF48" s="142"/>
      <c r="AG48" s="141" t="s">
        <v>3219</v>
      </c>
      <c r="AH48" s="142">
        <v>2</v>
      </c>
      <c r="AI48" s="142">
        <v>2</v>
      </c>
      <c r="AJ48" s="142">
        <v>6.5</v>
      </c>
      <c r="AK48" s="218">
        <f t="shared" si="6"/>
        <v>30.4</v>
      </c>
      <c r="AL48" s="142" t="s">
        <v>1509</v>
      </c>
      <c r="AM48" s="142" t="s">
        <v>1509</v>
      </c>
      <c r="AN48" s="10"/>
      <c r="AS48" s="15"/>
      <c r="AW48" s="144"/>
      <c r="BB48" s="144"/>
    </row>
    <row r="49" spans="1:54" ht="15.95" customHeight="1">
      <c r="A49" s="195" t="s">
        <v>3246</v>
      </c>
      <c r="B49" s="195" t="s">
        <v>3247</v>
      </c>
      <c r="C49" s="195" t="s">
        <v>3248</v>
      </c>
      <c r="D49" s="195" t="s">
        <v>4182</v>
      </c>
      <c r="E49" s="196">
        <v>7</v>
      </c>
      <c r="F49" s="197">
        <f t="shared" si="0"/>
        <v>0.84509804001425681</v>
      </c>
      <c r="G49" s="198">
        <v>0.5</v>
      </c>
      <c r="H49" s="198">
        <v>0.5</v>
      </c>
      <c r="I49" s="197">
        <f t="shared" si="7"/>
        <v>-0.3010299956639812</v>
      </c>
      <c r="J49" s="197">
        <f t="shared" si="1"/>
        <v>-0.3010299956639812</v>
      </c>
      <c r="K49" s="195">
        <v>-46.9</v>
      </c>
      <c r="L49" s="199">
        <f t="shared" si="2"/>
        <v>46.9</v>
      </c>
      <c r="M49" s="202">
        <v>37.75</v>
      </c>
      <c r="N49" s="195" t="s">
        <v>3150</v>
      </c>
      <c r="O49" s="198">
        <v>32.4</v>
      </c>
      <c r="P49" s="195">
        <v>-4.0999999999999996</v>
      </c>
      <c r="Q49" s="201">
        <v>0.12</v>
      </c>
      <c r="R49" s="202">
        <f t="shared" si="3"/>
        <v>4.9218022670181653E-2</v>
      </c>
      <c r="S49" s="202">
        <v>0.15</v>
      </c>
      <c r="T49" s="203">
        <v>1.3759999999999999</v>
      </c>
      <c r="U49" s="204">
        <f t="shared" si="4"/>
        <v>0.13861843389949247</v>
      </c>
      <c r="V49" s="195" t="s">
        <v>3249</v>
      </c>
      <c r="W49" s="141">
        <v>78</v>
      </c>
      <c r="X49" s="141" t="s">
        <v>352</v>
      </c>
      <c r="Y49" s="142">
        <v>10</v>
      </c>
      <c r="Z49" s="142">
        <v>10</v>
      </c>
      <c r="AA49" s="142">
        <v>4</v>
      </c>
      <c r="AB49" s="142">
        <f>0.8002/1000</f>
        <v>8.0020000000000004E-4</v>
      </c>
      <c r="AC49" s="142">
        <f t="shared" si="5"/>
        <v>-3.0968014529570218</v>
      </c>
      <c r="AD49" s="142">
        <v>4</v>
      </c>
      <c r="AE49" s="142">
        <f>0.8002/1000</f>
        <v>8.0020000000000004E-4</v>
      </c>
      <c r="AF49" s="142">
        <f t="shared" ref="AF49:AF54" si="9">LOG(AE49)</f>
        <v>-3.0968014529570218</v>
      </c>
      <c r="AG49" s="141" t="s">
        <v>3219</v>
      </c>
      <c r="AH49" s="142">
        <v>3</v>
      </c>
      <c r="AI49" s="142">
        <v>4</v>
      </c>
      <c r="AJ49" s="142">
        <v>6.2</v>
      </c>
      <c r="AK49" s="218">
        <f t="shared" si="6"/>
        <v>26.2</v>
      </c>
      <c r="AL49" s="142" t="s">
        <v>1509</v>
      </c>
      <c r="AM49" s="142" t="s">
        <v>1509</v>
      </c>
      <c r="AN49" s="10"/>
      <c r="AS49" s="15"/>
      <c r="AW49" s="144"/>
      <c r="BB49" s="144"/>
    </row>
    <row r="50" spans="1:54" ht="15" customHeight="1">
      <c r="A50" s="195" t="s">
        <v>3251</v>
      </c>
      <c r="B50" s="195" t="s">
        <v>3252</v>
      </c>
      <c r="C50" s="195" t="s">
        <v>3253</v>
      </c>
      <c r="D50" s="195" t="s">
        <v>4182</v>
      </c>
      <c r="E50" s="196">
        <v>7</v>
      </c>
      <c r="F50" s="197">
        <f t="shared" si="0"/>
        <v>0.84509804001425681</v>
      </c>
      <c r="G50" s="198">
        <v>0.5</v>
      </c>
      <c r="H50" s="198">
        <v>0.5</v>
      </c>
      <c r="I50" s="197">
        <f t="shared" si="7"/>
        <v>-0.3010299956639812</v>
      </c>
      <c r="J50" s="197">
        <f t="shared" si="1"/>
        <v>-0.3010299956639812</v>
      </c>
      <c r="K50" s="195">
        <v>-46.9</v>
      </c>
      <c r="L50" s="199">
        <f t="shared" si="2"/>
        <v>46.9</v>
      </c>
      <c r="M50" s="202">
        <v>37.75</v>
      </c>
      <c r="N50" s="195" t="s">
        <v>3150</v>
      </c>
      <c r="O50" s="198">
        <v>42.8</v>
      </c>
      <c r="P50" s="195">
        <v>-0.5</v>
      </c>
      <c r="Q50" s="201">
        <v>0.18</v>
      </c>
      <c r="R50" s="202">
        <f t="shared" si="3"/>
        <v>7.1882007306125359E-2</v>
      </c>
      <c r="S50" s="195">
        <v>-0.02</v>
      </c>
      <c r="T50" s="203">
        <v>1.3759999999999999</v>
      </c>
      <c r="U50" s="204">
        <f t="shared" si="4"/>
        <v>0.13861843389949247</v>
      </c>
      <c r="V50" s="195" t="s">
        <v>3254</v>
      </c>
      <c r="W50" s="141">
        <v>88</v>
      </c>
      <c r="X50" s="141" t="s">
        <v>380</v>
      </c>
      <c r="Y50" s="142">
        <v>10</v>
      </c>
      <c r="Z50" s="142">
        <v>10</v>
      </c>
      <c r="AA50" s="142"/>
      <c r="AB50" s="142">
        <f>AVERAGE(1.42,0.63)/1000</f>
        <v>1.0249999999999999E-3</v>
      </c>
      <c r="AC50" s="142">
        <f t="shared" si="5"/>
        <v>-2.9892761346082271</v>
      </c>
      <c r="AD50" s="142"/>
      <c r="AE50" s="142">
        <f>AVERAGE(1.42,0.63)/1000</f>
        <v>1.0249999999999999E-3</v>
      </c>
      <c r="AF50" s="142">
        <f t="shared" si="9"/>
        <v>-2.9892761346082271</v>
      </c>
      <c r="AG50" s="141" t="s">
        <v>3255</v>
      </c>
      <c r="AH50" s="142">
        <v>4</v>
      </c>
      <c r="AI50" s="142">
        <v>4</v>
      </c>
      <c r="AJ50" s="142">
        <v>6.2</v>
      </c>
      <c r="AK50" s="218">
        <f t="shared" si="6"/>
        <v>36.599999999999994</v>
      </c>
      <c r="AL50" s="142" t="s">
        <v>1509</v>
      </c>
      <c r="AM50" s="142" t="s">
        <v>1509</v>
      </c>
      <c r="AN50" s="10"/>
      <c r="AS50" s="15"/>
      <c r="AW50" s="144"/>
      <c r="BB50" s="144"/>
    </row>
    <row r="51" spans="1:54" ht="15" customHeight="1">
      <c r="A51" s="195" t="s">
        <v>3257</v>
      </c>
      <c r="B51" s="195" t="s">
        <v>3258</v>
      </c>
      <c r="C51" s="195" t="s">
        <v>3259</v>
      </c>
      <c r="D51" s="195" t="s">
        <v>4180</v>
      </c>
      <c r="E51" s="196">
        <v>7</v>
      </c>
      <c r="F51" s="197">
        <f t="shared" si="0"/>
        <v>0.84509804001425681</v>
      </c>
      <c r="G51" s="202">
        <v>0.05</v>
      </c>
      <c r="H51" s="202">
        <v>7.0000000000000007E-2</v>
      </c>
      <c r="I51" s="197">
        <f t="shared" si="7"/>
        <v>-1.3010299956639813</v>
      </c>
      <c r="J51" s="197">
        <f t="shared" si="1"/>
        <v>-1.1549019599857431</v>
      </c>
      <c r="K51" s="199">
        <v>35.643858999999999</v>
      </c>
      <c r="L51" s="199">
        <f t="shared" si="2"/>
        <v>35.643858999999999</v>
      </c>
      <c r="M51" s="195">
        <v>-121.190753</v>
      </c>
      <c r="N51" s="195" t="s">
        <v>3117</v>
      </c>
      <c r="O51" s="198">
        <v>29.3</v>
      </c>
      <c r="P51" s="198">
        <v>2.1</v>
      </c>
      <c r="Q51" s="201">
        <v>0.22</v>
      </c>
      <c r="R51" s="202">
        <f t="shared" si="3"/>
        <v>8.6359830674748214E-2</v>
      </c>
      <c r="S51" s="202">
        <v>0.17</v>
      </c>
      <c r="T51" s="203">
        <v>1.6311290570000001</v>
      </c>
      <c r="U51" s="204">
        <f t="shared" si="4"/>
        <v>0.21248832433001752</v>
      </c>
      <c r="V51" s="195" t="s">
        <v>3260</v>
      </c>
      <c r="W51" s="141">
        <v>39</v>
      </c>
      <c r="X51" s="141" t="s">
        <v>352</v>
      </c>
      <c r="Y51" s="142">
        <v>8</v>
      </c>
      <c r="Z51" s="142">
        <v>8</v>
      </c>
      <c r="AA51" s="142">
        <v>100</v>
      </c>
      <c r="AB51" s="142">
        <v>6.1682121634325302</v>
      </c>
      <c r="AC51" s="142">
        <f t="shared" si="5"/>
        <v>0.79015930340595686</v>
      </c>
      <c r="AD51" s="142">
        <v>100</v>
      </c>
      <c r="AE51" s="142">
        <v>6.1682121634325302</v>
      </c>
      <c r="AF51" s="141">
        <f t="shared" si="9"/>
        <v>0.79015930340595686</v>
      </c>
      <c r="AG51" s="148" t="s">
        <v>3261</v>
      </c>
      <c r="AH51" s="142">
        <v>3</v>
      </c>
      <c r="AI51" s="142">
        <v>3</v>
      </c>
      <c r="AJ51" s="142">
        <v>23.9</v>
      </c>
      <c r="AK51" s="218">
        <f t="shared" si="6"/>
        <v>5.4000000000000021</v>
      </c>
      <c r="AL51" s="142" t="s">
        <v>1509</v>
      </c>
      <c r="AM51" s="142" t="s">
        <v>1509</v>
      </c>
      <c r="AN51" s="10"/>
      <c r="AS51" s="15"/>
      <c r="AW51" s="144"/>
      <c r="BB51" s="144"/>
    </row>
    <row r="52" spans="1:54" ht="15" customHeight="1">
      <c r="A52" s="195" t="s">
        <v>3257</v>
      </c>
      <c r="B52" s="195" t="s">
        <v>3263</v>
      </c>
      <c r="C52" s="195" t="s">
        <v>3264</v>
      </c>
      <c r="D52" s="195" t="s">
        <v>4180</v>
      </c>
      <c r="E52" s="196">
        <v>7</v>
      </c>
      <c r="F52" s="197">
        <f t="shared" si="0"/>
        <v>0.84509804001425681</v>
      </c>
      <c r="G52" s="202">
        <v>0.05</v>
      </c>
      <c r="H52" s="202">
        <v>7.0000000000000007E-2</v>
      </c>
      <c r="I52" s="197">
        <f t="shared" si="7"/>
        <v>-1.3010299956639813</v>
      </c>
      <c r="J52" s="197">
        <f t="shared" si="1"/>
        <v>-1.1549019599857431</v>
      </c>
      <c r="K52" s="199">
        <v>34.448597999999997</v>
      </c>
      <c r="L52" s="199">
        <f t="shared" si="2"/>
        <v>34.448597999999997</v>
      </c>
      <c r="M52" s="195">
        <v>-120.47155100000001</v>
      </c>
      <c r="N52" s="195" t="s">
        <v>3117</v>
      </c>
      <c r="O52" s="198">
        <v>31.6</v>
      </c>
      <c r="P52" s="196">
        <v>3</v>
      </c>
      <c r="Q52" s="201">
        <v>0.14000000000000001</v>
      </c>
      <c r="R52" s="202">
        <f t="shared" si="3"/>
        <v>5.6904851336472641E-2</v>
      </c>
      <c r="S52" s="202">
        <v>0.24</v>
      </c>
      <c r="T52" s="203">
        <v>1.703308112</v>
      </c>
      <c r="U52" s="204">
        <f t="shared" si="4"/>
        <v>0.23129321474949954</v>
      </c>
      <c r="V52" s="195" t="s">
        <v>3260</v>
      </c>
      <c r="W52" s="141">
        <v>39</v>
      </c>
      <c r="X52" s="141" t="s">
        <v>352</v>
      </c>
      <c r="Y52" s="142">
        <v>8</v>
      </c>
      <c r="Z52" s="142">
        <v>8</v>
      </c>
      <c r="AA52" s="142">
        <v>120</v>
      </c>
      <c r="AB52" s="142">
        <v>19.085827222331073</v>
      </c>
      <c r="AC52" s="142">
        <f t="shared" si="5"/>
        <v>1.28071098798478</v>
      </c>
      <c r="AD52" s="142">
        <v>120</v>
      </c>
      <c r="AE52" s="142">
        <v>19.085827222331073</v>
      </c>
      <c r="AF52" s="141">
        <f t="shared" si="9"/>
        <v>1.28071098798478</v>
      </c>
      <c r="AG52" s="148" t="s">
        <v>3265</v>
      </c>
      <c r="AH52" s="142">
        <v>3</v>
      </c>
      <c r="AI52" s="142">
        <v>3</v>
      </c>
      <c r="AJ52" s="142" t="s">
        <v>355</v>
      </c>
      <c r="AK52" s="218"/>
      <c r="AL52" s="142" t="s">
        <v>1509</v>
      </c>
      <c r="AM52" s="142" t="s">
        <v>4232</v>
      </c>
      <c r="AN52" s="10"/>
      <c r="AS52" s="15"/>
      <c r="AW52" s="144"/>
      <c r="BB52" s="144"/>
    </row>
    <row r="53" spans="1:54" ht="15" customHeight="1">
      <c r="A53" s="195" t="s">
        <v>3267</v>
      </c>
      <c r="B53" s="195" t="s">
        <v>3268</v>
      </c>
      <c r="C53" s="195" t="s">
        <v>3269</v>
      </c>
      <c r="D53" s="195" t="s">
        <v>4183</v>
      </c>
      <c r="E53" s="196">
        <v>30</v>
      </c>
      <c r="F53" s="197">
        <f t="shared" si="0"/>
        <v>1.4771212547196624</v>
      </c>
      <c r="G53" s="196">
        <v>1</v>
      </c>
      <c r="H53" s="196">
        <v>1</v>
      </c>
      <c r="I53" s="197">
        <f t="shared" si="7"/>
        <v>0</v>
      </c>
      <c r="J53" s="197">
        <f t="shared" si="1"/>
        <v>0</v>
      </c>
      <c r="K53" s="199">
        <v>18.366672000000001</v>
      </c>
      <c r="L53" s="199">
        <f t="shared" si="2"/>
        <v>18.366672000000001</v>
      </c>
      <c r="M53" s="195">
        <v>-92.866669000000002</v>
      </c>
      <c r="N53" s="195" t="s">
        <v>3174</v>
      </c>
      <c r="O53" s="198">
        <v>39.799999999999997</v>
      </c>
      <c r="P53" s="196">
        <v>11</v>
      </c>
      <c r="Q53" s="201">
        <v>0.48</v>
      </c>
      <c r="R53" s="202">
        <f t="shared" si="3"/>
        <v>0.17026171539495738</v>
      </c>
      <c r="S53" s="202">
        <v>0.44</v>
      </c>
      <c r="T53" s="203">
        <v>1.8939999999999999</v>
      </c>
      <c r="U53" s="204">
        <f t="shared" si="4"/>
        <v>0.27737997466725461</v>
      </c>
      <c r="V53" s="195" t="s">
        <v>3270</v>
      </c>
      <c r="W53" s="141">
        <v>28</v>
      </c>
      <c r="X53" s="141" t="s">
        <v>3271</v>
      </c>
      <c r="Y53" s="142">
        <v>20</v>
      </c>
      <c r="Z53" s="142">
        <v>20</v>
      </c>
      <c r="AA53" s="142"/>
      <c r="AB53" s="142">
        <v>5.75</v>
      </c>
      <c r="AC53" s="142">
        <f t="shared" si="5"/>
        <v>0.75966784468963044</v>
      </c>
      <c r="AD53" s="142"/>
      <c r="AE53" s="142">
        <v>5.75</v>
      </c>
      <c r="AF53" s="141">
        <f t="shared" si="9"/>
        <v>0.75966784468963044</v>
      </c>
      <c r="AG53" s="141" t="s">
        <v>3272</v>
      </c>
      <c r="AH53" s="142">
        <v>5</v>
      </c>
      <c r="AI53" s="142"/>
      <c r="AJ53" s="142">
        <v>34.1</v>
      </c>
      <c r="AK53" s="218">
        <f t="shared" si="6"/>
        <v>5.6999999999999957</v>
      </c>
      <c r="AL53" s="142" t="s">
        <v>1509</v>
      </c>
      <c r="AM53" s="142" t="s">
        <v>1509</v>
      </c>
      <c r="AN53" s="10"/>
      <c r="AS53" s="15"/>
      <c r="AW53" s="144"/>
      <c r="BB53" s="144"/>
    </row>
    <row r="54" spans="1:54" ht="15" customHeight="1">
      <c r="A54" s="195" t="s">
        <v>3273</v>
      </c>
      <c r="B54" s="195" t="s">
        <v>3274</v>
      </c>
      <c r="C54" s="195" t="s">
        <v>3275</v>
      </c>
      <c r="D54" s="195" t="s">
        <v>4180</v>
      </c>
      <c r="E54" s="196">
        <v>28</v>
      </c>
      <c r="F54" s="197">
        <f t="shared" si="0"/>
        <v>1.4471580313422192</v>
      </c>
      <c r="G54" s="202">
        <v>0.03</v>
      </c>
      <c r="H54" s="202">
        <v>0.03</v>
      </c>
      <c r="I54" s="197">
        <f t="shared" si="7"/>
        <v>-1.5228787452803376</v>
      </c>
      <c r="J54" s="197">
        <f t="shared" si="1"/>
        <v>-1.5228787452803376</v>
      </c>
      <c r="K54" s="195">
        <v>-43.603000000000002</v>
      </c>
      <c r="L54" s="199">
        <f t="shared" si="2"/>
        <v>43.603000000000002</v>
      </c>
      <c r="M54" s="202">
        <v>172.84</v>
      </c>
      <c r="N54" s="195" t="s">
        <v>3117</v>
      </c>
      <c r="O54" s="198">
        <v>32.4</v>
      </c>
      <c r="P54" s="198">
        <v>3.5</v>
      </c>
      <c r="Q54" s="201">
        <v>0.38</v>
      </c>
      <c r="R54" s="202">
        <f t="shared" si="3"/>
        <v>0.13987908640123647</v>
      </c>
      <c r="S54" s="202">
        <v>0.47</v>
      </c>
      <c r="T54" s="203">
        <v>2.116022928</v>
      </c>
      <c r="U54" s="204">
        <f t="shared" si="4"/>
        <v>0.32552036915234189</v>
      </c>
      <c r="V54" s="195" t="s">
        <v>3276</v>
      </c>
      <c r="W54" s="141">
        <v>40</v>
      </c>
      <c r="X54" s="141" t="s">
        <v>352</v>
      </c>
      <c r="Y54" s="142">
        <v>15</v>
      </c>
      <c r="Z54" s="142">
        <v>15</v>
      </c>
      <c r="AA54" s="142">
        <v>140</v>
      </c>
      <c r="AB54" s="142">
        <v>25.525384431062307</v>
      </c>
      <c r="AC54" s="142">
        <f t="shared" si="5"/>
        <v>1.4069722916025045</v>
      </c>
      <c r="AD54" s="142">
        <v>140</v>
      </c>
      <c r="AE54" s="142">
        <v>25.525384431062307</v>
      </c>
      <c r="AF54" s="141">
        <f t="shared" si="9"/>
        <v>1.4069722916025045</v>
      </c>
      <c r="AG54" s="141" t="s">
        <v>3277</v>
      </c>
      <c r="AH54" s="142">
        <v>3</v>
      </c>
      <c r="AI54" s="142">
        <v>3</v>
      </c>
      <c r="AJ54" s="142" t="s">
        <v>355</v>
      </c>
      <c r="AK54" s="218"/>
      <c r="AL54" s="142" t="s">
        <v>1509</v>
      </c>
      <c r="AM54" s="142" t="s">
        <v>4232</v>
      </c>
      <c r="AS54" s="15"/>
      <c r="AW54" s="144"/>
      <c r="BB54" s="144"/>
    </row>
    <row r="55" spans="1:54" ht="15" customHeight="1">
      <c r="A55" s="195" t="s">
        <v>3280</v>
      </c>
      <c r="B55" s="195" t="s">
        <v>3281</v>
      </c>
      <c r="C55" s="195" t="s">
        <v>3125</v>
      </c>
      <c r="D55" s="195" t="s">
        <v>4182</v>
      </c>
      <c r="E55" s="196">
        <v>7</v>
      </c>
      <c r="F55" s="197">
        <f t="shared" si="0"/>
        <v>0.84509804001425681</v>
      </c>
      <c r="G55" s="202">
        <v>0.25</v>
      </c>
      <c r="H55" s="202">
        <v>0.25</v>
      </c>
      <c r="I55" s="197">
        <f t="shared" si="7"/>
        <v>-0.6020599913279624</v>
      </c>
      <c r="J55" s="197">
        <f t="shared" si="1"/>
        <v>-0.6020599913279624</v>
      </c>
      <c r="K55" s="195">
        <v>-53.081809999999997</v>
      </c>
      <c r="L55" s="199">
        <f t="shared" si="2"/>
        <v>53.081809999999997</v>
      </c>
      <c r="M55" s="199">
        <v>73.504158000000004</v>
      </c>
      <c r="N55" s="195" t="s">
        <v>3150</v>
      </c>
      <c r="O55" s="198">
        <v>38.799999999999997</v>
      </c>
      <c r="P55" s="195">
        <v>-5.9</v>
      </c>
      <c r="Q55" s="206">
        <v>-0.03</v>
      </c>
      <c r="R55" s="202">
        <f t="shared" si="3"/>
        <v>-1.322826573375516E-2</v>
      </c>
      <c r="S55" s="195">
        <v>-0.12</v>
      </c>
      <c r="T55" s="203">
        <v>2.3140000000000001</v>
      </c>
      <c r="U55" s="204">
        <f t="shared" si="4"/>
        <v>0.36436335461573077</v>
      </c>
      <c r="V55" s="195" t="s">
        <v>3218</v>
      </c>
      <c r="W55" s="141">
        <v>77</v>
      </c>
      <c r="X55" s="142" t="s">
        <v>352</v>
      </c>
      <c r="Y55" s="142">
        <v>10</v>
      </c>
      <c r="Z55" s="142">
        <v>10</v>
      </c>
      <c r="AA55" s="142">
        <v>10.4</v>
      </c>
      <c r="AB55" s="142">
        <f>18.09/1000</f>
        <v>1.8089999999999998E-2</v>
      </c>
      <c r="AC55" s="142">
        <f t="shared" si="5"/>
        <v>-1.7425614331401862</v>
      </c>
      <c r="AD55" s="142">
        <v>10.4</v>
      </c>
      <c r="AE55" s="142"/>
      <c r="AF55" s="142"/>
      <c r="AG55" s="141"/>
      <c r="AH55" s="142">
        <v>2</v>
      </c>
      <c r="AI55" s="142">
        <v>2</v>
      </c>
      <c r="AJ55" s="142">
        <v>-0.1</v>
      </c>
      <c r="AK55" s="218">
        <f t="shared" si="6"/>
        <v>38.9</v>
      </c>
      <c r="AL55" s="142" t="s">
        <v>1509</v>
      </c>
      <c r="AM55" s="142" t="s">
        <v>1509</v>
      </c>
      <c r="AS55" s="15"/>
      <c r="AW55" s="144"/>
      <c r="BB55" s="144"/>
    </row>
    <row r="56" spans="1:54" ht="15" customHeight="1">
      <c r="A56" s="195" t="s">
        <v>3233</v>
      </c>
      <c r="B56" s="195" t="s">
        <v>3283</v>
      </c>
      <c r="C56" s="195" t="s">
        <v>3226</v>
      </c>
      <c r="D56" s="195" t="s">
        <v>4182</v>
      </c>
      <c r="E56" s="196">
        <v>7</v>
      </c>
      <c r="F56" s="197">
        <f t="shared" si="0"/>
        <v>0.84509804001425681</v>
      </c>
      <c r="G56" s="202">
        <v>0.25</v>
      </c>
      <c r="H56" s="202">
        <v>0.25</v>
      </c>
      <c r="I56" s="197">
        <f t="shared" si="7"/>
        <v>-0.6020599913279624</v>
      </c>
      <c r="J56" s="197">
        <f t="shared" si="1"/>
        <v>-0.6020599913279624</v>
      </c>
      <c r="K56" s="195">
        <v>-53.081809999999997</v>
      </c>
      <c r="L56" s="199">
        <f t="shared" si="2"/>
        <v>53.081809999999997</v>
      </c>
      <c r="M56" s="199">
        <v>73.504158000000004</v>
      </c>
      <c r="N56" s="195" t="s">
        <v>3150</v>
      </c>
      <c r="O56" s="198">
        <v>35.1</v>
      </c>
      <c r="P56" s="195">
        <v>-4.5999999999999996</v>
      </c>
      <c r="Q56" s="206">
        <v>-0.05</v>
      </c>
      <c r="R56" s="202">
        <f t="shared" si="3"/>
        <v>-2.2276394711152253E-2</v>
      </c>
      <c r="S56" s="202">
        <v>0.03</v>
      </c>
      <c r="T56" s="203">
        <v>2.3140000000000001</v>
      </c>
      <c r="U56" s="204">
        <f t="shared" si="4"/>
        <v>0.36436335461573077</v>
      </c>
      <c r="V56" s="195" t="s">
        <v>3218</v>
      </c>
      <c r="W56" s="141">
        <v>77</v>
      </c>
      <c r="X56" s="142" t="s">
        <v>352</v>
      </c>
      <c r="Y56" s="142">
        <v>10</v>
      </c>
      <c r="Z56" s="142">
        <v>10</v>
      </c>
      <c r="AA56" s="142">
        <v>6.45</v>
      </c>
      <c r="AB56" s="142">
        <f>23.5/1000</f>
        <v>2.35E-2</v>
      </c>
      <c r="AC56" s="142">
        <f t="shared" si="5"/>
        <v>-1.6289321377282637</v>
      </c>
      <c r="AD56" s="142">
        <v>6.45</v>
      </c>
      <c r="AE56" s="142"/>
      <c r="AF56" s="142"/>
      <c r="AG56" s="141" t="s">
        <v>3219</v>
      </c>
      <c r="AH56" s="142">
        <v>2</v>
      </c>
      <c r="AI56" s="142">
        <v>2</v>
      </c>
      <c r="AJ56" s="142">
        <v>-0.1</v>
      </c>
      <c r="AK56" s="218">
        <f t="shared" si="6"/>
        <v>35.200000000000003</v>
      </c>
      <c r="AL56" s="142" t="s">
        <v>1509</v>
      </c>
      <c r="AM56" s="142" t="s">
        <v>1509</v>
      </c>
      <c r="AS56" s="15"/>
      <c r="AW56" s="144"/>
      <c r="BB56" s="144"/>
    </row>
    <row r="57" spans="1:54" ht="15" customHeight="1">
      <c r="A57" s="195" t="s">
        <v>3233</v>
      </c>
      <c r="B57" s="195" t="s">
        <v>3283</v>
      </c>
      <c r="C57" s="195" t="s">
        <v>3226</v>
      </c>
      <c r="D57" s="195" t="s">
        <v>4182</v>
      </c>
      <c r="E57" s="196">
        <v>7</v>
      </c>
      <c r="F57" s="197">
        <f t="shared" si="0"/>
        <v>0.84509804001425681</v>
      </c>
      <c r="G57" s="202">
        <v>0.25</v>
      </c>
      <c r="H57" s="202">
        <v>0.25</v>
      </c>
      <c r="I57" s="197">
        <f t="shared" si="7"/>
        <v>-0.6020599913279624</v>
      </c>
      <c r="J57" s="197">
        <f t="shared" si="1"/>
        <v>-0.6020599913279624</v>
      </c>
      <c r="K57" s="195">
        <v>-53.081809999999997</v>
      </c>
      <c r="L57" s="199">
        <f t="shared" si="2"/>
        <v>53.081809999999997</v>
      </c>
      <c r="M57" s="199">
        <v>73.504158000000004</v>
      </c>
      <c r="N57" s="195" t="s">
        <v>3150</v>
      </c>
      <c r="O57" s="198">
        <v>36.5</v>
      </c>
      <c r="P57" s="195">
        <v>-6.1</v>
      </c>
      <c r="Q57" s="201">
        <v>0.12</v>
      </c>
      <c r="R57" s="202">
        <f t="shared" si="3"/>
        <v>4.9218022670181653E-2</v>
      </c>
      <c r="S57" s="202">
        <v>0.23</v>
      </c>
      <c r="T57" s="203">
        <v>2.3140000000000001</v>
      </c>
      <c r="U57" s="204">
        <f t="shared" si="4"/>
        <v>0.36436335461573077</v>
      </c>
      <c r="V57" s="195" t="s">
        <v>3218</v>
      </c>
      <c r="W57" s="141">
        <v>77</v>
      </c>
      <c r="X57" s="142" t="s">
        <v>352</v>
      </c>
      <c r="Y57" s="142">
        <v>10</v>
      </c>
      <c r="Z57" s="142">
        <v>10</v>
      </c>
      <c r="AA57" s="142">
        <v>5.65</v>
      </c>
      <c r="AB57" s="142">
        <f>12.32/1000</f>
        <v>1.2320000000000001E-2</v>
      </c>
      <c r="AC57" s="142">
        <f t="shared" si="5"/>
        <v>-1.9093892921715934</v>
      </c>
      <c r="AD57" s="142">
        <v>5.65</v>
      </c>
      <c r="AE57" s="142"/>
      <c r="AF57" s="142"/>
      <c r="AG57" s="141" t="s">
        <v>3219</v>
      </c>
      <c r="AH57" s="142">
        <v>2</v>
      </c>
      <c r="AI57" s="142">
        <v>2</v>
      </c>
      <c r="AJ57" s="142">
        <v>-0.1</v>
      </c>
      <c r="AK57" s="218">
        <f t="shared" si="6"/>
        <v>36.6</v>
      </c>
      <c r="AL57" s="142" t="s">
        <v>1509</v>
      </c>
      <c r="AM57" s="142" t="s">
        <v>1509</v>
      </c>
      <c r="AW57" s="144"/>
      <c r="BB57" s="144"/>
    </row>
    <row r="58" spans="1:54" ht="15" customHeight="1">
      <c r="A58" s="195" t="s">
        <v>3215</v>
      </c>
      <c r="B58" s="195" t="s">
        <v>3279</v>
      </c>
      <c r="C58" s="195" t="s">
        <v>3132</v>
      </c>
      <c r="D58" s="195" t="s">
        <v>4182</v>
      </c>
      <c r="E58" s="196">
        <v>7</v>
      </c>
      <c r="F58" s="197">
        <f t="shared" si="0"/>
        <v>0.84509804001425681</v>
      </c>
      <c r="G58" s="202">
        <v>0.25</v>
      </c>
      <c r="H58" s="202">
        <v>0.25</v>
      </c>
      <c r="I58" s="197">
        <f t="shared" si="7"/>
        <v>-0.6020599913279624</v>
      </c>
      <c r="J58" s="197">
        <f t="shared" si="1"/>
        <v>-0.6020599913279624</v>
      </c>
      <c r="K58" s="195">
        <v>-53.081809999999997</v>
      </c>
      <c r="L58" s="199">
        <f t="shared" si="2"/>
        <v>53.081809999999997</v>
      </c>
      <c r="M58" s="199">
        <v>73.504158000000004</v>
      </c>
      <c r="N58" s="195" t="s">
        <v>3150</v>
      </c>
      <c r="O58" s="198">
        <v>35.799999999999997</v>
      </c>
      <c r="P58" s="195">
        <v>-5.4</v>
      </c>
      <c r="Q58" s="201">
        <v>0.17</v>
      </c>
      <c r="R58" s="202">
        <f t="shared" si="3"/>
        <v>6.8185861746161619E-2</v>
      </c>
      <c r="S58" s="202">
        <v>0.05</v>
      </c>
      <c r="T58" s="203">
        <v>2.3140000000000001</v>
      </c>
      <c r="U58" s="204">
        <f t="shared" si="4"/>
        <v>0.36436335461573077</v>
      </c>
      <c r="V58" s="195" t="s">
        <v>3218</v>
      </c>
      <c r="W58" s="141">
        <v>77</v>
      </c>
      <c r="X58" s="142" t="s">
        <v>352</v>
      </c>
      <c r="Y58" s="142">
        <v>10</v>
      </c>
      <c r="Z58" s="142">
        <v>10</v>
      </c>
      <c r="AA58" s="142">
        <v>3.7</v>
      </c>
      <c r="AB58" s="142">
        <f>4.54/1000</f>
        <v>4.5399999999999998E-3</v>
      </c>
      <c r="AC58" s="142">
        <f t="shared" si="5"/>
        <v>-2.3429441471428962</v>
      </c>
      <c r="AD58" s="142">
        <v>3.7</v>
      </c>
      <c r="AE58" s="142"/>
      <c r="AF58" s="142"/>
      <c r="AG58" s="141" t="s">
        <v>3219</v>
      </c>
      <c r="AH58" s="142">
        <v>2</v>
      </c>
      <c r="AI58" s="142">
        <v>2</v>
      </c>
      <c r="AJ58" s="142">
        <v>-0.1</v>
      </c>
      <c r="AK58" s="218">
        <f t="shared" si="6"/>
        <v>35.9</v>
      </c>
      <c r="AL58" s="142" t="s">
        <v>1509</v>
      </c>
      <c r="AM58" s="142" t="s">
        <v>1509</v>
      </c>
      <c r="AS58" s="15"/>
      <c r="AW58" s="144"/>
      <c r="BB58" s="144"/>
    </row>
    <row r="59" spans="1:54" ht="15" customHeight="1">
      <c r="A59" s="195" t="s">
        <v>3285</v>
      </c>
      <c r="B59" s="195" t="s">
        <v>3286</v>
      </c>
      <c r="C59" s="195" t="s">
        <v>3236</v>
      </c>
      <c r="D59" s="195" t="s">
        <v>4181</v>
      </c>
      <c r="E59" s="196">
        <v>10</v>
      </c>
      <c r="F59" s="197">
        <f t="shared" si="0"/>
        <v>1</v>
      </c>
      <c r="G59" s="195" t="s">
        <v>3116</v>
      </c>
      <c r="H59" s="196">
        <v>1</v>
      </c>
      <c r="I59" s="197"/>
      <c r="J59" s="197">
        <f t="shared" si="1"/>
        <v>0</v>
      </c>
      <c r="K59" s="195">
        <v>-16.920334</v>
      </c>
      <c r="L59" s="199">
        <f t="shared" si="2"/>
        <v>16.920334</v>
      </c>
      <c r="M59" s="200">
        <v>145.77086</v>
      </c>
      <c r="N59" s="195" t="s">
        <v>3150</v>
      </c>
      <c r="O59" s="198">
        <v>34.200000000000003</v>
      </c>
      <c r="P59" s="195" t="s">
        <v>3116</v>
      </c>
      <c r="Q59" s="201">
        <v>0.08</v>
      </c>
      <c r="R59" s="202">
        <f t="shared" si="3"/>
        <v>3.342375548694973E-2</v>
      </c>
      <c r="S59" s="195" t="s">
        <v>3116</v>
      </c>
      <c r="T59" s="203">
        <v>2.4039999999999999</v>
      </c>
      <c r="U59" s="204">
        <f t="shared" si="4"/>
        <v>0.38093446333070191</v>
      </c>
      <c r="V59" s="195" t="s">
        <v>3287</v>
      </c>
      <c r="W59" s="141">
        <v>4</v>
      </c>
      <c r="X59" s="141" t="s">
        <v>352</v>
      </c>
      <c r="Y59" s="141">
        <v>10</v>
      </c>
      <c r="Z59" s="142"/>
      <c r="AA59" s="145">
        <v>55</v>
      </c>
      <c r="AB59" s="142">
        <v>11.058200030790768</v>
      </c>
      <c r="AC59" s="142">
        <f t="shared" si="5"/>
        <v>1.0436844415877893</v>
      </c>
      <c r="AD59" s="142"/>
      <c r="AE59" s="142"/>
      <c r="AF59" s="142"/>
      <c r="AG59" s="141" t="s">
        <v>3152</v>
      </c>
      <c r="AH59" s="145">
        <v>2</v>
      </c>
      <c r="AI59" s="145"/>
      <c r="AJ59" s="142">
        <v>31.5</v>
      </c>
      <c r="AK59" s="218">
        <f t="shared" si="6"/>
        <v>2.7000000000000028</v>
      </c>
      <c r="AL59" s="142" t="s">
        <v>1509</v>
      </c>
      <c r="AM59" s="142" t="s">
        <v>1509</v>
      </c>
      <c r="AW59" s="144"/>
      <c r="BB59" s="144"/>
    </row>
    <row r="60" spans="1:54" ht="15" customHeight="1">
      <c r="A60" s="195" t="s">
        <v>3289</v>
      </c>
      <c r="B60" s="195" t="s">
        <v>3290</v>
      </c>
      <c r="C60" s="195" t="s">
        <v>3291</v>
      </c>
      <c r="D60" s="195" t="s">
        <v>4181</v>
      </c>
      <c r="E60" s="196">
        <v>10</v>
      </c>
      <c r="F60" s="197">
        <f t="shared" si="0"/>
        <v>1</v>
      </c>
      <c r="G60" s="195" t="s">
        <v>3116</v>
      </c>
      <c r="H60" s="196">
        <v>1</v>
      </c>
      <c r="I60" s="197"/>
      <c r="J60" s="197">
        <f t="shared" si="1"/>
        <v>0</v>
      </c>
      <c r="K60" s="195">
        <v>-17.093285999999999</v>
      </c>
      <c r="L60" s="199">
        <f t="shared" si="2"/>
        <v>17.093285999999999</v>
      </c>
      <c r="M60" s="199">
        <v>145.92352199999999</v>
      </c>
      <c r="N60" s="195" t="s">
        <v>3150</v>
      </c>
      <c r="O60" s="198">
        <v>34.1</v>
      </c>
      <c r="P60" s="195" t="s">
        <v>3116</v>
      </c>
      <c r="Q60" s="201">
        <v>0.18</v>
      </c>
      <c r="R60" s="202">
        <f t="shared" si="3"/>
        <v>7.1882007306125359E-2</v>
      </c>
      <c r="S60" s="195" t="s">
        <v>3116</v>
      </c>
      <c r="T60" s="203">
        <v>2.4769999999999999</v>
      </c>
      <c r="U60" s="204">
        <f t="shared" si="4"/>
        <v>0.39392600658583699</v>
      </c>
      <c r="V60" s="195" t="s">
        <v>3287</v>
      </c>
      <c r="W60" s="141">
        <v>4</v>
      </c>
      <c r="X60" s="141" t="s">
        <v>352</v>
      </c>
      <c r="Y60" s="142">
        <v>10</v>
      </c>
      <c r="Z60" s="142"/>
      <c r="AA60" s="142">
        <v>55</v>
      </c>
      <c r="AB60" s="141">
        <v>14.545615794373079</v>
      </c>
      <c r="AC60" s="142">
        <f t="shared" si="5"/>
        <v>1.1627321120002061</v>
      </c>
      <c r="AD60" s="141"/>
      <c r="AE60" s="141"/>
      <c r="AF60" s="141"/>
      <c r="AG60" s="141" t="s">
        <v>3152</v>
      </c>
      <c r="AH60" s="142">
        <v>2</v>
      </c>
      <c r="AI60" s="142"/>
      <c r="AJ60" s="142" t="s">
        <v>355</v>
      </c>
      <c r="AK60" s="218"/>
      <c r="AL60" s="142" t="s">
        <v>1509</v>
      </c>
      <c r="AM60" s="142" t="s">
        <v>4232</v>
      </c>
      <c r="AW60" s="144"/>
      <c r="BB60" s="144"/>
    </row>
    <row r="61" spans="1:54" ht="15" customHeight="1">
      <c r="A61" s="195" t="s">
        <v>3285</v>
      </c>
      <c r="B61" s="195" t="s">
        <v>3293</v>
      </c>
      <c r="C61" s="195" t="s">
        <v>3294</v>
      </c>
      <c r="D61" s="195" t="s">
        <v>4181</v>
      </c>
      <c r="E61" s="196">
        <v>10</v>
      </c>
      <c r="F61" s="197">
        <f t="shared" si="0"/>
        <v>1</v>
      </c>
      <c r="G61" s="195" t="s">
        <v>3116</v>
      </c>
      <c r="H61" s="196">
        <v>1</v>
      </c>
      <c r="I61" s="197"/>
      <c r="J61" s="197">
        <f t="shared" si="1"/>
        <v>0</v>
      </c>
      <c r="K61" s="195">
        <v>-17.093285999999999</v>
      </c>
      <c r="L61" s="199">
        <f t="shared" si="2"/>
        <v>17.093285999999999</v>
      </c>
      <c r="M61" s="199">
        <v>145.92352199999999</v>
      </c>
      <c r="N61" s="195" t="s">
        <v>3150</v>
      </c>
      <c r="O61" s="198">
        <v>41.4</v>
      </c>
      <c r="P61" s="195" t="s">
        <v>3116</v>
      </c>
      <c r="Q61" s="201">
        <v>0.28999999999999998</v>
      </c>
      <c r="R61" s="202">
        <f t="shared" si="3"/>
        <v>0.11058971029924898</v>
      </c>
      <c r="S61" s="195" t="s">
        <v>3116</v>
      </c>
      <c r="T61" s="203">
        <v>2.4769999999999999</v>
      </c>
      <c r="U61" s="204">
        <f t="shared" si="4"/>
        <v>0.39392600658583699</v>
      </c>
      <c r="V61" s="195" t="s">
        <v>3287</v>
      </c>
      <c r="W61" s="141">
        <v>4</v>
      </c>
      <c r="X61" s="141" t="s">
        <v>352</v>
      </c>
      <c r="Y61" s="141">
        <v>37</v>
      </c>
      <c r="Z61" s="142"/>
      <c r="AA61" s="145">
        <v>33</v>
      </c>
      <c r="AB61" s="141">
        <v>2.4008038575737882</v>
      </c>
      <c r="AC61" s="142">
        <f t="shared" si="5"/>
        <v>0.38035668023488345</v>
      </c>
      <c r="AD61" s="141"/>
      <c r="AE61" s="141"/>
      <c r="AF61" s="141"/>
      <c r="AG61" s="141" t="s">
        <v>3152</v>
      </c>
      <c r="AH61" s="145">
        <v>2</v>
      </c>
      <c r="AI61" s="145"/>
      <c r="AJ61" s="142" t="s">
        <v>355</v>
      </c>
      <c r="AK61" s="218"/>
      <c r="AL61" s="142" t="s">
        <v>1509</v>
      </c>
      <c r="AM61" s="142" t="s">
        <v>4232</v>
      </c>
      <c r="AW61" s="144"/>
      <c r="BB61" s="144"/>
    </row>
    <row r="62" spans="1:54" ht="15" customHeight="1">
      <c r="A62" s="195" t="s">
        <v>3285</v>
      </c>
      <c r="B62" s="195" t="s">
        <v>3295</v>
      </c>
      <c r="C62" s="195" t="s">
        <v>3183</v>
      </c>
      <c r="D62" s="195" t="s">
        <v>4181</v>
      </c>
      <c r="E62" s="196">
        <v>10</v>
      </c>
      <c r="F62" s="197">
        <f t="shared" si="0"/>
        <v>1</v>
      </c>
      <c r="G62" s="195" t="s">
        <v>3116</v>
      </c>
      <c r="H62" s="196">
        <v>1</v>
      </c>
      <c r="I62" s="197"/>
      <c r="J62" s="197">
        <f t="shared" si="1"/>
        <v>0</v>
      </c>
      <c r="K62" s="195">
        <v>-17.093285999999999</v>
      </c>
      <c r="L62" s="199">
        <f t="shared" si="2"/>
        <v>17.093285999999999</v>
      </c>
      <c r="M62" s="199">
        <v>145.92352199999999</v>
      </c>
      <c r="N62" s="195" t="s">
        <v>3150</v>
      </c>
      <c r="O62" s="198">
        <v>41.6</v>
      </c>
      <c r="P62" s="195" t="s">
        <v>3116</v>
      </c>
      <c r="Q62" s="201">
        <v>0.21</v>
      </c>
      <c r="R62" s="202">
        <f t="shared" si="3"/>
        <v>8.2785370316450071E-2</v>
      </c>
      <c r="S62" s="195" t="s">
        <v>3116</v>
      </c>
      <c r="T62" s="203">
        <v>2.4769999999999999</v>
      </c>
      <c r="U62" s="204">
        <f t="shared" si="4"/>
        <v>0.39392600658583699</v>
      </c>
      <c r="V62" s="195" t="s">
        <v>3287</v>
      </c>
      <c r="W62" s="141">
        <v>4</v>
      </c>
      <c r="X62" s="141" t="s">
        <v>352</v>
      </c>
      <c r="Y62" s="141">
        <v>27</v>
      </c>
      <c r="Z62" s="142"/>
      <c r="AA62" s="145">
        <v>33</v>
      </c>
      <c r="AB62" s="142">
        <v>2.4008038575737882</v>
      </c>
      <c r="AC62" s="142">
        <f t="shared" si="5"/>
        <v>0.38035668023488345</v>
      </c>
      <c r="AD62" s="142"/>
      <c r="AE62" s="142"/>
      <c r="AF62" s="142"/>
      <c r="AG62" s="141" t="s">
        <v>3152</v>
      </c>
      <c r="AH62" s="145">
        <v>2</v>
      </c>
      <c r="AI62" s="145"/>
      <c r="AJ62" s="145" t="s">
        <v>355</v>
      </c>
      <c r="AK62" s="218"/>
      <c r="AL62" s="142" t="s">
        <v>1509</v>
      </c>
      <c r="AM62" s="142" t="s">
        <v>4232</v>
      </c>
      <c r="AW62" s="144"/>
      <c r="BB62" s="144"/>
    </row>
    <row r="63" spans="1:54" ht="15" customHeight="1">
      <c r="A63" s="195" t="s">
        <v>3285</v>
      </c>
      <c r="B63" s="195" t="s">
        <v>3299</v>
      </c>
      <c r="C63" s="195" t="s">
        <v>3300</v>
      </c>
      <c r="D63" s="195" t="s">
        <v>4181</v>
      </c>
      <c r="E63" s="196">
        <v>10</v>
      </c>
      <c r="F63" s="197">
        <f t="shared" si="0"/>
        <v>1</v>
      </c>
      <c r="G63" s="195" t="s">
        <v>3116</v>
      </c>
      <c r="H63" s="196">
        <v>1</v>
      </c>
      <c r="I63" s="197"/>
      <c r="J63" s="197">
        <f t="shared" si="1"/>
        <v>0</v>
      </c>
      <c r="K63" s="195">
        <v>-17.093285999999999</v>
      </c>
      <c r="L63" s="199">
        <f t="shared" si="2"/>
        <v>17.093285999999999</v>
      </c>
      <c r="M63" s="199">
        <v>145.92352199999999</v>
      </c>
      <c r="N63" s="195" t="s">
        <v>3150</v>
      </c>
      <c r="O63" s="198">
        <v>38.700000000000003</v>
      </c>
      <c r="P63" s="195" t="s">
        <v>3116</v>
      </c>
      <c r="Q63" s="201">
        <v>0.15</v>
      </c>
      <c r="R63" s="202">
        <f t="shared" si="3"/>
        <v>6.069784035361165E-2</v>
      </c>
      <c r="S63" s="195" t="s">
        <v>3116</v>
      </c>
      <c r="T63" s="203">
        <v>2.4769999999999999</v>
      </c>
      <c r="U63" s="204">
        <f t="shared" si="4"/>
        <v>0.39392600658583699</v>
      </c>
      <c r="V63" s="195" t="s">
        <v>3287</v>
      </c>
      <c r="W63" s="141">
        <v>4</v>
      </c>
      <c r="X63" s="141" t="s">
        <v>352</v>
      </c>
      <c r="Y63" s="141">
        <v>37</v>
      </c>
      <c r="Z63" s="142"/>
      <c r="AA63" s="145">
        <v>33</v>
      </c>
      <c r="AB63" s="142">
        <v>2.4008038575737882</v>
      </c>
      <c r="AC63" s="142">
        <f t="shared" si="5"/>
        <v>0.38035668023488345</v>
      </c>
      <c r="AD63" s="142"/>
      <c r="AE63" s="142"/>
      <c r="AF63" s="142"/>
      <c r="AG63" s="141" t="s">
        <v>3152</v>
      </c>
      <c r="AH63" s="145">
        <v>2</v>
      </c>
      <c r="AI63" s="145"/>
      <c r="AJ63" s="142" t="s">
        <v>355</v>
      </c>
      <c r="AK63" s="218"/>
      <c r="AL63" s="142" t="s">
        <v>1509</v>
      </c>
      <c r="AM63" s="142" t="s">
        <v>4232</v>
      </c>
      <c r="AW63" s="144"/>
      <c r="BB63" s="144"/>
    </row>
    <row r="64" spans="1:54" ht="15" customHeight="1">
      <c r="A64" s="195" t="s">
        <v>3301</v>
      </c>
      <c r="B64" s="195" t="s">
        <v>3302</v>
      </c>
      <c r="C64" s="195" t="s">
        <v>3303</v>
      </c>
      <c r="D64" s="195" t="s">
        <v>4183</v>
      </c>
      <c r="E64" s="196">
        <v>14</v>
      </c>
      <c r="F64" s="197">
        <f t="shared" si="0"/>
        <v>1.146128035678238</v>
      </c>
      <c r="G64" s="198">
        <v>0.5</v>
      </c>
      <c r="H64" s="198">
        <v>0.5</v>
      </c>
      <c r="I64" s="197">
        <f>LOG(G64)</f>
        <v>-0.3010299956639812</v>
      </c>
      <c r="J64" s="197">
        <f t="shared" si="1"/>
        <v>-0.3010299956639812</v>
      </c>
      <c r="K64" s="199">
        <v>48.898884000000002</v>
      </c>
      <c r="L64" s="199">
        <f t="shared" si="2"/>
        <v>48.898884000000002</v>
      </c>
      <c r="M64" s="195">
        <v>-125.23</v>
      </c>
      <c r="N64" s="195" t="s">
        <v>3117</v>
      </c>
      <c r="O64" s="198">
        <v>33.6</v>
      </c>
      <c r="P64" s="198">
        <v>3.5</v>
      </c>
      <c r="Q64" s="201">
        <v>0.42</v>
      </c>
      <c r="R64" s="202">
        <f t="shared" si="3"/>
        <v>0.15228834438305647</v>
      </c>
      <c r="S64" s="202">
        <v>0.22</v>
      </c>
      <c r="T64" s="203">
        <v>2.505196373</v>
      </c>
      <c r="U64" s="204">
        <f t="shared" si="4"/>
        <v>0.39884177426221518</v>
      </c>
      <c r="V64" s="195" t="s">
        <v>3304</v>
      </c>
      <c r="W64" s="141">
        <v>22</v>
      </c>
      <c r="X64" s="141" t="s">
        <v>352</v>
      </c>
      <c r="Y64" s="142">
        <v>30</v>
      </c>
      <c r="Z64" s="142">
        <v>30</v>
      </c>
      <c r="AA64" s="142">
        <f>AVERAGE(25, 40)</f>
        <v>32.5</v>
      </c>
      <c r="AB64" s="142">
        <v>23.358034419999868</v>
      </c>
      <c r="AC64" s="142">
        <f t="shared" si="5"/>
        <v>1.3684362940711949</v>
      </c>
      <c r="AD64" s="142">
        <f>AVERAGE(25, 40)</f>
        <v>32.5</v>
      </c>
      <c r="AE64" s="142">
        <v>23.358034419999868</v>
      </c>
      <c r="AF64" s="141">
        <f>LOG(AE64)</f>
        <v>1.3684362940711949</v>
      </c>
      <c r="AG64" s="141" t="s">
        <v>3305</v>
      </c>
      <c r="AH64" s="145">
        <v>2</v>
      </c>
      <c r="AI64" s="145">
        <v>2</v>
      </c>
      <c r="AJ64" s="145" t="s">
        <v>355</v>
      </c>
      <c r="AK64" s="218"/>
      <c r="AL64" s="142" t="s">
        <v>1509</v>
      </c>
      <c r="AM64" s="142" t="s">
        <v>4232</v>
      </c>
      <c r="AW64" s="144"/>
      <c r="BB64" s="144"/>
    </row>
    <row r="65" spans="1:54" ht="15" customHeight="1">
      <c r="A65" s="195" t="s">
        <v>3267</v>
      </c>
      <c r="B65" s="195" t="s">
        <v>3306</v>
      </c>
      <c r="C65" s="195" t="s">
        <v>3307</v>
      </c>
      <c r="D65" s="195" t="s">
        <v>4183</v>
      </c>
      <c r="E65" s="196">
        <v>30</v>
      </c>
      <c r="F65" s="197">
        <f t="shared" si="0"/>
        <v>1.4771212547196624</v>
      </c>
      <c r="G65" s="195" t="s">
        <v>3116</v>
      </c>
      <c r="H65" s="198">
        <v>0.3</v>
      </c>
      <c r="I65" s="197"/>
      <c r="J65" s="197">
        <f t="shared" si="1"/>
        <v>-0.52287874528033762</v>
      </c>
      <c r="K65" s="199">
        <v>11.483078000000001</v>
      </c>
      <c r="L65" s="199">
        <f t="shared" si="2"/>
        <v>11.483078000000001</v>
      </c>
      <c r="M65" s="200">
        <v>79.772930000000002</v>
      </c>
      <c r="N65" s="195" t="s">
        <v>3174</v>
      </c>
      <c r="O65" s="198">
        <v>41.4</v>
      </c>
      <c r="P65" s="195" t="s">
        <v>3116</v>
      </c>
      <c r="Q65" s="201">
        <v>0.37</v>
      </c>
      <c r="R65" s="202">
        <f t="shared" si="3"/>
        <v>0.13672056715640679</v>
      </c>
      <c r="S65" s="195" t="s">
        <v>3116</v>
      </c>
      <c r="T65" s="203">
        <v>2.5059999999999998</v>
      </c>
      <c r="U65" s="204">
        <f t="shared" si="4"/>
        <v>0.39898106665813116</v>
      </c>
      <c r="V65" s="195" t="s">
        <v>3308</v>
      </c>
      <c r="W65" s="141">
        <v>29</v>
      </c>
      <c r="X65" s="141" t="s">
        <v>3271</v>
      </c>
      <c r="Y65" s="142">
        <v>90</v>
      </c>
      <c r="Z65" s="142"/>
      <c r="AA65" s="142">
        <v>25</v>
      </c>
      <c r="AB65" s="142">
        <v>0.9</v>
      </c>
      <c r="AC65" s="142">
        <f t="shared" si="5"/>
        <v>-4.5757490560675115E-2</v>
      </c>
      <c r="AD65" s="142"/>
      <c r="AE65" s="142"/>
      <c r="AF65" s="142"/>
      <c r="AG65" s="141" t="s">
        <v>3309</v>
      </c>
      <c r="AH65" s="142">
        <v>2</v>
      </c>
      <c r="AI65" s="142"/>
      <c r="AJ65" s="145">
        <v>37.1</v>
      </c>
      <c r="AK65" s="218">
        <f t="shared" si="6"/>
        <v>4.2999999999999972</v>
      </c>
      <c r="AL65" s="142" t="s">
        <v>1509</v>
      </c>
      <c r="AM65" s="142" t="s">
        <v>1509</v>
      </c>
      <c r="AW65" s="144"/>
      <c r="BB65" s="144"/>
    </row>
    <row r="66" spans="1:54" ht="15" customHeight="1">
      <c r="A66" s="195" t="s">
        <v>3311</v>
      </c>
      <c r="B66" s="195" t="s">
        <v>3312</v>
      </c>
      <c r="C66" s="195" t="s">
        <v>3313</v>
      </c>
      <c r="D66" s="195" t="s">
        <v>4184</v>
      </c>
      <c r="E66" s="196">
        <v>14</v>
      </c>
      <c r="F66" s="197">
        <f t="shared" si="0"/>
        <v>1.146128035678238</v>
      </c>
      <c r="G66" s="202">
        <v>0.75</v>
      </c>
      <c r="H66" s="202">
        <v>0.75</v>
      </c>
      <c r="I66" s="197">
        <f>LOG(G66)</f>
        <v>-0.12493873660829995</v>
      </c>
      <c r="J66" s="197">
        <f t="shared" si="1"/>
        <v>-0.12493873660829995</v>
      </c>
      <c r="K66" s="202">
        <v>22.04</v>
      </c>
      <c r="L66" s="199">
        <f t="shared" si="2"/>
        <v>22.04</v>
      </c>
      <c r="M66" s="202">
        <v>121.55</v>
      </c>
      <c r="N66" s="195" t="s">
        <v>3150</v>
      </c>
      <c r="O66" s="198">
        <v>41.5</v>
      </c>
      <c r="P66" s="198">
        <v>11.7</v>
      </c>
      <c r="Q66" s="201">
        <v>0.22</v>
      </c>
      <c r="R66" s="202">
        <f t="shared" si="3"/>
        <v>8.6359830674748214E-2</v>
      </c>
      <c r="S66" s="202">
        <v>0.09</v>
      </c>
      <c r="T66" s="203">
        <v>2.581</v>
      </c>
      <c r="U66" s="204">
        <f t="shared" si="4"/>
        <v>0.41178800454386888</v>
      </c>
      <c r="V66" s="195" t="s">
        <v>3314</v>
      </c>
      <c r="W66" s="141">
        <v>106</v>
      </c>
      <c r="X66" s="149" t="s">
        <v>352</v>
      </c>
      <c r="Y66" s="141">
        <f>AVERAGE(14,15,15)</f>
        <v>14.666666666666666</v>
      </c>
      <c r="Z66" s="141">
        <v>16</v>
      </c>
      <c r="AA66" s="141">
        <f>AVERAGE(84.1,74.6)</f>
        <v>79.349999999999994</v>
      </c>
      <c r="AB66" s="142">
        <v>8.5650056595746715</v>
      </c>
      <c r="AC66" s="142">
        <f t="shared" si="5"/>
        <v>0.93272765427423654</v>
      </c>
      <c r="AD66" s="141">
        <f>AVERAGE(84.1,74.6)</f>
        <v>79.349999999999994</v>
      </c>
      <c r="AE66" s="142">
        <v>8.5650056595746715</v>
      </c>
      <c r="AF66" s="142">
        <f>LOG(AE66)</f>
        <v>0.93272765427423654</v>
      </c>
      <c r="AG66" s="141" t="s">
        <v>3315</v>
      </c>
      <c r="AH66" s="142">
        <v>3</v>
      </c>
      <c r="AI66" s="142">
        <v>3</v>
      </c>
      <c r="AJ66" s="145">
        <v>30.2</v>
      </c>
      <c r="AK66" s="218">
        <f t="shared" si="6"/>
        <v>11.3</v>
      </c>
      <c r="AL66" s="142" t="s">
        <v>1509</v>
      </c>
      <c r="AM66" s="142" t="s">
        <v>1509</v>
      </c>
      <c r="AW66" s="144"/>
      <c r="BB66" s="144"/>
    </row>
    <row r="67" spans="1:54" ht="15" customHeight="1">
      <c r="A67" s="195" t="s">
        <v>3316</v>
      </c>
      <c r="B67" s="195" t="s">
        <v>3317</v>
      </c>
      <c r="C67" s="195" t="s">
        <v>3318</v>
      </c>
      <c r="D67" s="195" t="s">
        <v>4183</v>
      </c>
      <c r="E67" s="196">
        <v>21</v>
      </c>
      <c r="F67" s="197">
        <f t="shared" si="0"/>
        <v>1.3222192947339193</v>
      </c>
      <c r="G67" s="195" t="s">
        <v>3116</v>
      </c>
      <c r="H67" s="196">
        <v>1</v>
      </c>
      <c r="I67" s="197"/>
      <c r="J67" s="197">
        <f t="shared" si="1"/>
        <v>0</v>
      </c>
      <c r="K67" s="199">
        <v>21.614091999999999</v>
      </c>
      <c r="L67" s="199">
        <f t="shared" si="2"/>
        <v>21.614091999999999</v>
      </c>
      <c r="M67" s="195">
        <v>-97.546387999999993</v>
      </c>
      <c r="N67" s="195" t="s">
        <v>3117</v>
      </c>
      <c r="O67" s="196">
        <v>42</v>
      </c>
      <c r="P67" s="195" t="s">
        <v>3116</v>
      </c>
      <c r="Q67" s="201">
        <v>0.5</v>
      </c>
      <c r="R67" s="202">
        <f t="shared" si="3"/>
        <v>0.17609125905568124</v>
      </c>
      <c r="S67" s="195" t="s">
        <v>3116</v>
      </c>
      <c r="T67" s="203">
        <v>2.5946998030000001</v>
      </c>
      <c r="U67" s="204">
        <f t="shared" si="4"/>
        <v>0.41408711885415767</v>
      </c>
      <c r="V67" s="195" t="s">
        <v>3319</v>
      </c>
      <c r="W67" s="141">
        <v>21</v>
      </c>
      <c r="X67" s="141" t="s">
        <v>3271</v>
      </c>
      <c r="Y67" s="141">
        <v>21</v>
      </c>
      <c r="Z67" s="141"/>
      <c r="AA67" s="141">
        <v>27.5</v>
      </c>
      <c r="AB67" s="142">
        <f>AVERAGE(4.5, 8.5)</f>
        <v>6.5</v>
      </c>
      <c r="AC67" s="142">
        <f t="shared" si="5"/>
        <v>0.81291335664285558</v>
      </c>
      <c r="AD67" s="142"/>
      <c r="AE67" s="142"/>
      <c r="AF67" s="142"/>
      <c r="AG67" s="141" t="s">
        <v>3320</v>
      </c>
      <c r="AH67" s="145">
        <v>3</v>
      </c>
      <c r="AI67" s="145"/>
      <c r="AJ67" s="145" t="s">
        <v>355</v>
      </c>
      <c r="AK67" s="218"/>
      <c r="AL67" s="142" t="s">
        <v>1509</v>
      </c>
      <c r="AM67" s="142" t="s">
        <v>4232</v>
      </c>
      <c r="AW67" s="144"/>
      <c r="BB67" s="144"/>
    </row>
    <row r="68" spans="1:54" ht="15" customHeight="1">
      <c r="A68" s="195" t="s">
        <v>3285</v>
      </c>
      <c r="B68" s="195" t="s">
        <v>3322</v>
      </c>
      <c r="C68" s="195" t="s">
        <v>3266</v>
      </c>
      <c r="D68" s="195" t="s">
        <v>4181</v>
      </c>
      <c r="E68" s="196">
        <v>10</v>
      </c>
      <c r="F68" s="197">
        <f t="shared" si="0"/>
        <v>1</v>
      </c>
      <c r="G68" s="195" t="s">
        <v>3116</v>
      </c>
      <c r="H68" s="196">
        <v>1</v>
      </c>
      <c r="I68" s="197"/>
      <c r="J68" s="197">
        <f t="shared" si="1"/>
        <v>0</v>
      </c>
      <c r="K68" s="195">
        <v>-17.266821</v>
      </c>
      <c r="L68" s="199">
        <f t="shared" si="2"/>
        <v>17.266821</v>
      </c>
      <c r="M68" s="199">
        <v>145.476035</v>
      </c>
      <c r="N68" s="195" t="s">
        <v>3150</v>
      </c>
      <c r="O68" s="198">
        <v>38.299999999999997</v>
      </c>
      <c r="P68" s="195" t="s">
        <v>3116</v>
      </c>
      <c r="Q68" s="201">
        <v>7.0000000000000007E-2</v>
      </c>
      <c r="R68" s="202">
        <f t="shared" si="3"/>
        <v>2.9383777685209667E-2</v>
      </c>
      <c r="S68" s="195" t="s">
        <v>3116</v>
      </c>
      <c r="T68" s="203">
        <v>2.7040000000000002</v>
      </c>
      <c r="U68" s="204">
        <f t="shared" si="4"/>
        <v>0.43200668726959834</v>
      </c>
      <c r="V68" s="195" t="s">
        <v>3287</v>
      </c>
      <c r="W68" s="141">
        <v>4</v>
      </c>
      <c r="X68" s="141" t="s">
        <v>352</v>
      </c>
      <c r="Y68" s="141">
        <v>29</v>
      </c>
      <c r="Z68" s="142"/>
      <c r="AA68" s="145">
        <v>75</v>
      </c>
      <c r="AB68" s="141">
        <v>27.953305926328689</v>
      </c>
      <c r="AC68" s="142">
        <f t="shared" si="5"/>
        <v>1.4464331775411834</v>
      </c>
      <c r="AD68" s="141"/>
      <c r="AE68" s="141"/>
      <c r="AF68" s="141"/>
      <c r="AG68" s="141" t="s">
        <v>3152</v>
      </c>
      <c r="AH68" s="145">
        <v>2</v>
      </c>
      <c r="AI68" s="145"/>
      <c r="AJ68" s="142">
        <v>29.2</v>
      </c>
      <c r="AK68" s="218">
        <f t="shared" si="6"/>
        <v>9.0999999999999979</v>
      </c>
      <c r="AL68" s="142" t="s">
        <v>1509</v>
      </c>
      <c r="AM68" s="142" t="s">
        <v>1509</v>
      </c>
      <c r="AW68" s="144"/>
      <c r="BB68" s="144"/>
    </row>
    <row r="69" spans="1:54" ht="15" customHeight="1">
      <c r="A69" s="195" t="s">
        <v>3285</v>
      </c>
      <c r="B69" s="195" t="s">
        <v>3323</v>
      </c>
      <c r="C69" s="195" t="s">
        <v>3256</v>
      </c>
      <c r="D69" s="195" t="s">
        <v>4181</v>
      </c>
      <c r="E69" s="196">
        <v>10</v>
      </c>
      <c r="F69" s="197">
        <f t="shared" ref="F69:F132" si="10">LOG(E69)</f>
        <v>1</v>
      </c>
      <c r="G69" s="195" t="s">
        <v>3116</v>
      </c>
      <c r="H69" s="196">
        <v>1</v>
      </c>
      <c r="I69" s="197"/>
      <c r="J69" s="197">
        <f t="shared" ref="J69:J132" si="11">LOG(H69)</f>
        <v>0</v>
      </c>
      <c r="K69" s="195">
        <v>-17.266821</v>
      </c>
      <c r="L69" s="199">
        <f t="shared" ref="L69:L132" si="12">ABS(K69)</f>
        <v>17.266821</v>
      </c>
      <c r="M69" s="199">
        <v>145.476035</v>
      </c>
      <c r="N69" s="195" t="s">
        <v>3150</v>
      </c>
      <c r="O69" s="198">
        <v>38.299999999999997</v>
      </c>
      <c r="P69" s="195" t="s">
        <v>3116</v>
      </c>
      <c r="Q69" s="201">
        <v>0.09</v>
      </c>
      <c r="R69" s="202">
        <f t="shared" ref="R69:R132" si="13">LOG(Q69+1)</f>
        <v>3.7426497940623665E-2</v>
      </c>
      <c r="S69" s="195" t="s">
        <v>3116</v>
      </c>
      <c r="T69" s="203">
        <v>2.7040000000000002</v>
      </c>
      <c r="U69" s="204">
        <f t="shared" ref="U69:U132" si="14">LOG(T69)</f>
        <v>0.43200668726959834</v>
      </c>
      <c r="V69" s="195" t="s">
        <v>3287</v>
      </c>
      <c r="W69" s="141">
        <v>4</v>
      </c>
      <c r="X69" s="141" t="s">
        <v>352</v>
      </c>
      <c r="Y69" s="141">
        <v>2</v>
      </c>
      <c r="Z69" s="142"/>
      <c r="AA69" s="145">
        <v>33</v>
      </c>
      <c r="AB69" s="142">
        <v>2.4008038575737882</v>
      </c>
      <c r="AC69" s="142">
        <f t="shared" ref="AC69:AC132" si="15">LOG(AB69)</f>
        <v>0.38035668023488345</v>
      </c>
      <c r="AD69" s="142"/>
      <c r="AE69" s="142"/>
      <c r="AF69" s="142"/>
      <c r="AG69" s="141" t="s">
        <v>3152</v>
      </c>
      <c r="AH69" s="145">
        <v>2</v>
      </c>
      <c r="AI69" s="145"/>
      <c r="AJ69" s="142">
        <v>29.2</v>
      </c>
      <c r="AK69" s="218">
        <f t="shared" si="6"/>
        <v>9.0999999999999979</v>
      </c>
      <c r="AL69" s="142" t="s">
        <v>1509</v>
      </c>
      <c r="AM69" s="142" t="s">
        <v>1509</v>
      </c>
      <c r="AW69" s="144"/>
      <c r="BB69" s="144"/>
    </row>
    <row r="70" spans="1:54" ht="15" customHeight="1">
      <c r="A70" s="195" t="s">
        <v>3325</v>
      </c>
      <c r="B70" s="195" t="s">
        <v>3326</v>
      </c>
      <c r="C70" s="195" t="s">
        <v>3327</v>
      </c>
      <c r="D70" s="195" t="s">
        <v>4181</v>
      </c>
      <c r="E70" s="196">
        <v>10</v>
      </c>
      <c r="F70" s="197">
        <f t="shared" si="10"/>
        <v>1</v>
      </c>
      <c r="G70" s="195" t="s">
        <v>3116</v>
      </c>
      <c r="H70" s="196">
        <v>1</v>
      </c>
      <c r="I70" s="197"/>
      <c r="J70" s="197">
        <f t="shared" si="11"/>
        <v>0</v>
      </c>
      <c r="K70" s="195">
        <v>-17.806671999999999</v>
      </c>
      <c r="L70" s="199">
        <f t="shared" si="12"/>
        <v>17.806671999999999</v>
      </c>
      <c r="M70" s="199">
        <v>146.00709800000001</v>
      </c>
      <c r="N70" s="195" t="s">
        <v>3150</v>
      </c>
      <c r="O70" s="198">
        <v>33.299999999999997</v>
      </c>
      <c r="P70" s="195" t="s">
        <v>3116</v>
      </c>
      <c r="Q70" s="201">
        <v>0.11</v>
      </c>
      <c r="R70" s="202">
        <f t="shared" si="13"/>
        <v>4.5322978786657475E-2</v>
      </c>
      <c r="S70" s="195" t="s">
        <v>3116</v>
      </c>
      <c r="T70" s="203">
        <v>2.7189999999999999</v>
      </c>
      <c r="U70" s="204">
        <f t="shared" si="14"/>
        <v>0.43440920758750012</v>
      </c>
      <c r="V70" s="195" t="s">
        <v>3287</v>
      </c>
      <c r="W70" s="141">
        <v>4</v>
      </c>
      <c r="X70" s="141" t="s">
        <v>352</v>
      </c>
      <c r="Y70" s="141">
        <v>21</v>
      </c>
      <c r="Z70" s="142"/>
      <c r="AA70" s="145">
        <v>25</v>
      </c>
      <c r="AB70" s="141">
        <v>1.28265076585551</v>
      </c>
      <c r="AC70" s="142">
        <f t="shared" si="15"/>
        <v>0.10810842480202744</v>
      </c>
      <c r="AD70" s="141"/>
      <c r="AE70" s="141"/>
      <c r="AF70" s="141"/>
      <c r="AG70" s="141" t="s">
        <v>3152</v>
      </c>
      <c r="AH70" s="142">
        <v>2</v>
      </c>
      <c r="AI70" s="142"/>
      <c r="AJ70" s="145">
        <v>30.9</v>
      </c>
      <c r="AK70" s="218">
        <f t="shared" ref="AK70:AK133" si="16">O70-AJ70</f>
        <v>2.3999999999999986</v>
      </c>
      <c r="AL70" s="142" t="s">
        <v>1509</v>
      </c>
      <c r="AM70" s="142" t="s">
        <v>1509</v>
      </c>
      <c r="AW70" s="144"/>
      <c r="BB70" s="144"/>
    </row>
    <row r="71" spans="1:54" ht="15" customHeight="1">
      <c r="A71" s="195" t="s">
        <v>3329</v>
      </c>
      <c r="B71" s="195" t="s">
        <v>3263</v>
      </c>
      <c r="C71" s="195" t="s">
        <v>3330</v>
      </c>
      <c r="D71" s="195" t="s">
        <v>4183</v>
      </c>
      <c r="E71" s="196">
        <v>7</v>
      </c>
      <c r="F71" s="197">
        <f t="shared" si="10"/>
        <v>0.84509804001425681</v>
      </c>
      <c r="G71" s="195" t="s">
        <v>3116</v>
      </c>
      <c r="H71" s="202">
        <v>0.75</v>
      </c>
      <c r="I71" s="197"/>
      <c r="J71" s="197">
        <f t="shared" si="11"/>
        <v>-0.12493873660829995</v>
      </c>
      <c r="K71" s="199">
        <v>50.356988999999999</v>
      </c>
      <c r="L71" s="199">
        <f t="shared" si="12"/>
        <v>50.356988999999999</v>
      </c>
      <c r="M71" s="195">
        <v>-4.1264440000000002</v>
      </c>
      <c r="N71" s="195" t="s">
        <v>3117</v>
      </c>
      <c r="O71" s="196">
        <v>35</v>
      </c>
      <c r="P71" s="195" t="s">
        <v>3116</v>
      </c>
      <c r="Q71" s="201">
        <v>0.3</v>
      </c>
      <c r="R71" s="202">
        <f t="shared" si="13"/>
        <v>0.11394335230683679</v>
      </c>
      <c r="S71" s="195" t="s">
        <v>3116</v>
      </c>
      <c r="T71" s="203">
        <v>2.723084514</v>
      </c>
      <c r="U71" s="204">
        <f t="shared" si="14"/>
        <v>0.43506112036833888</v>
      </c>
      <c r="V71" s="195" t="s">
        <v>3331</v>
      </c>
      <c r="W71" s="141">
        <v>18</v>
      </c>
      <c r="X71" s="141" t="s">
        <v>352</v>
      </c>
      <c r="Y71" s="141">
        <v>20</v>
      </c>
      <c r="Z71" s="141"/>
      <c r="AA71" s="141">
        <f>AVERAGE(35,50)</f>
        <v>42.5</v>
      </c>
      <c r="AB71" s="150">
        <f>AVERAGE(0.3,0.3,0.4, 0.5)</f>
        <v>0.375</v>
      </c>
      <c r="AC71" s="142">
        <f t="shared" si="15"/>
        <v>-0.42596873227228116</v>
      </c>
      <c r="AD71" s="150"/>
      <c r="AE71" s="150"/>
      <c r="AF71" s="150"/>
      <c r="AG71" s="141" t="s">
        <v>3332</v>
      </c>
      <c r="AH71" s="142">
        <v>4</v>
      </c>
      <c r="AI71" s="145">
        <v>4</v>
      </c>
      <c r="AJ71" s="145">
        <v>19.7</v>
      </c>
      <c r="AK71" s="218">
        <f t="shared" si="16"/>
        <v>15.3</v>
      </c>
      <c r="AL71" s="142" t="s">
        <v>1509</v>
      </c>
      <c r="AM71" s="142" t="s">
        <v>1509</v>
      </c>
      <c r="AW71" s="144"/>
      <c r="BB71" s="144"/>
    </row>
    <row r="72" spans="1:54" ht="15" customHeight="1">
      <c r="A72" s="195" t="s">
        <v>3329</v>
      </c>
      <c r="B72" s="195" t="s">
        <v>3334</v>
      </c>
      <c r="C72" s="195" t="s">
        <v>3335</v>
      </c>
      <c r="D72" s="195" t="s">
        <v>4183</v>
      </c>
      <c r="E72" s="196">
        <v>7</v>
      </c>
      <c r="F72" s="197">
        <f t="shared" si="10"/>
        <v>0.84509804001425681</v>
      </c>
      <c r="G72" s="195" t="s">
        <v>3116</v>
      </c>
      <c r="H72" s="202">
        <v>0.75</v>
      </c>
      <c r="I72" s="197"/>
      <c r="J72" s="197">
        <f t="shared" si="11"/>
        <v>-0.12493873660829995</v>
      </c>
      <c r="K72" s="199">
        <v>50.352533000000001</v>
      </c>
      <c r="L72" s="199">
        <f t="shared" si="12"/>
        <v>50.352533000000001</v>
      </c>
      <c r="M72" s="195">
        <v>-4.1322469999999996</v>
      </c>
      <c r="N72" s="195" t="s">
        <v>3117</v>
      </c>
      <c r="O72" s="198">
        <v>33.5</v>
      </c>
      <c r="P72" s="195" t="s">
        <v>3116</v>
      </c>
      <c r="Q72" s="201">
        <v>0.31</v>
      </c>
      <c r="R72" s="202">
        <f t="shared" si="13"/>
        <v>0.11727129565576427</v>
      </c>
      <c r="S72" s="195" t="s">
        <v>3116</v>
      </c>
      <c r="T72" s="203">
        <v>2.723084514</v>
      </c>
      <c r="U72" s="204">
        <f t="shared" si="14"/>
        <v>0.43506112036833888</v>
      </c>
      <c r="V72" s="195" t="s">
        <v>3331</v>
      </c>
      <c r="W72" s="141">
        <v>18</v>
      </c>
      <c r="X72" s="141" t="s">
        <v>352</v>
      </c>
      <c r="Y72" s="141">
        <v>8</v>
      </c>
      <c r="Z72" s="141"/>
      <c r="AA72" s="141">
        <v>100</v>
      </c>
      <c r="AB72" s="142">
        <v>1.2</v>
      </c>
      <c r="AC72" s="142">
        <f t="shared" si="15"/>
        <v>7.9181246047624818E-2</v>
      </c>
      <c r="AD72" s="142"/>
      <c r="AE72" s="142"/>
      <c r="AF72" s="142"/>
      <c r="AG72" s="141" t="s">
        <v>3336</v>
      </c>
      <c r="AH72" s="142">
        <v>4</v>
      </c>
      <c r="AI72" s="145">
        <v>4</v>
      </c>
      <c r="AJ72" s="145">
        <v>19.7</v>
      </c>
      <c r="AK72" s="218">
        <f t="shared" si="16"/>
        <v>13.8</v>
      </c>
      <c r="AL72" s="142" t="s">
        <v>1509</v>
      </c>
      <c r="AM72" s="142" t="s">
        <v>1509</v>
      </c>
      <c r="AW72" s="144"/>
      <c r="BB72" s="144"/>
    </row>
    <row r="73" spans="1:54" ht="15" customHeight="1">
      <c r="A73" s="195" t="s">
        <v>3337</v>
      </c>
      <c r="B73" s="195" t="s">
        <v>3338</v>
      </c>
      <c r="C73" s="195" t="s">
        <v>3221</v>
      </c>
      <c r="D73" s="195" t="s">
        <v>4183</v>
      </c>
      <c r="E73" s="196">
        <v>14</v>
      </c>
      <c r="F73" s="197">
        <f t="shared" si="10"/>
        <v>1.146128035678238</v>
      </c>
      <c r="G73" s="198">
        <v>0.2</v>
      </c>
      <c r="H73" s="202">
        <v>0.75</v>
      </c>
      <c r="I73" s="197">
        <f>LOG(G73)</f>
        <v>-0.69897000433601875</v>
      </c>
      <c r="J73" s="197">
        <f t="shared" si="11"/>
        <v>-0.12493873660829995</v>
      </c>
      <c r="K73" s="199">
        <v>50.336970999999998</v>
      </c>
      <c r="L73" s="199">
        <f t="shared" si="12"/>
        <v>50.336970999999998</v>
      </c>
      <c r="M73" s="195">
        <v>-4.1501809999999999</v>
      </c>
      <c r="N73" s="195" t="s">
        <v>3117</v>
      </c>
      <c r="O73" s="198">
        <v>35.4</v>
      </c>
      <c r="P73" s="195">
        <v>-1.1000000000000001</v>
      </c>
      <c r="Q73" s="201">
        <v>0.2</v>
      </c>
      <c r="R73" s="202">
        <f t="shared" si="13"/>
        <v>7.9181246047624818E-2</v>
      </c>
      <c r="S73" s="202">
        <v>0.28000000000000003</v>
      </c>
      <c r="T73" s="203">
        <v>2.723084514</v>
      </c>
      <c r="U73" s="204">
        <f t="shared" si="14"/>
        <v>0.43506112036833888</v>
      </c>
      <c r="V73" s="195" t="s">
        <v>3339</v>
      </c>
      <c r="W73" s="141" t="s">
        <v>3340</v>
      </c>
      <c r="X73" s="141" t="s">
        <v>352</v>
      </c>
      <c r="Y73" s="141">
        <f>AVERAGE(27,23,21,20)</f>
        <v>22.75</v>
      </c>
      <c r="Z73" s="141">
        <v>8</v>
      </c>
      <c r="AA73" s="141"/>
      <c r="AB73" s="142">
        <f>AVERAGE(0.6,0.8,0.8,0.8)</f>
        <v>0.75</v>
      </c>
      <c r="AC73" s="142">
        <f t="shared" si="15"/>
        <v>-0.12493873660829995</v>
      </c>
      <c r="AD73" s="142"/>
      <c r="AE73" s="142">
        <f>AVERAGE(0.6,0.8,0.8,0.8)</f>
        <v>0.75</v>
      </c>
      <c r="AF73" s="142">
        <f>LOG(AE73)</f>
        <v>-0.12493873660829995</v>
      </c>
      <c r="AG73" s="141" t="s">
        <v>3341</v>
      </c>
      <c r="AH73" s="142">
        <v>4</v>
      </c>
      <c r="AI73" s="142">
        <v>3</v>
      </c>
      <c r="AJ73" s="142" t="s">
        <v>355</v>
      </c>
      <c r="AK73" s="218"/>
      <c r="AL73" s="142" t="s">
        <v>1509</v>
      </c>
      <c r="AM73" s="142" t="s">
        <v>4232</v>
      </c>
      <c r="AW73" s="144"/>
      <c r="BB73" s="144"/>
    </row>
    <row r="74" spans="1:54" ht="15" customHeight="1">
      <c r="A74" s="195" t="s">
        <v>3154</v>
      </c>
      <c r="B74" s="195" t="s">
        <v>3343</v>
      </c>
      <c r="C74" s="195" t="s">
        <v>3245</v>
      </c>
      <c r="D74" s="195" t="s">
        <v>4181</v>
      </c>
      <c r="E74" s="196">
        <v>14</v>
      </c>
      <c r="F74" s="197">
        <f t="shared" si="10"/>
        <v>1.146128035678238</v>
      </c>
      <c r="G74" s="195" t="s">
        <v>3116</v>
      </c>
      <c r="H74" s="196">
        <v>1</v>
      </c>
      <c r="I74" s="197"/>
      <c r="J74" s="197">
        <f t="shared" si="11"/>
        <v>0</v>
      </c>
      <c r="K74" s="199">
        <v>21.363486999999999</v>
      </c>
      <c r="L74" s="199">
        <f t="shared" si="12"/>
        <v>21.363486999999999</v>
      </c>
      <c r="M74" s="195">
        <v>-101.92927400000001</v>
      </c>
      <c r="N74" s="195" t="s">
        <v>3150</v>
      </c>
      <c r="O74" s="198">
        <v>36.9</v>
      </c>
      <c r="P74" s="195" t="s">
        <v>3116</v>
      </c>
      <c r="Q74" s="201">
        <v>0.12</v>
      </c>
      <c r="R74" s="202">
        <f t="shared" si="13"/>
        <v>4.9218022670181653E-2</v>
      </c>
      <c r="S74" s="195" t="s">
        <v>3116</v>
      </c>
      <c r="T74" s="203">
        <v>2.76</v>
      </c>
      <c r="U74" s="204">
        <f t="shared" si="14"/>
        <v>0.44090908206521767</v>
      </c>
      <c r="V74" s="195" t="s">
        <v>3151</v>
      </c>
      <c r="W74" s="141">
        <v>2</v>
      </c>
      <c r="X74" s="141" t="s">
        <v>352</v>
      </c>
      <c r="Y74" s="141">
        <v>10</v>
      </c>
      <c r="Z74" s="145"/>
      <c r="AA74" s="145">
        <v>65</v>
      </c>
      <c r="AB74" s="142">
        <v>24.370767332309086</v>
      </c>
      <c r="AC74" s="142">
        <f t="shared" si="15"/>
        <v>1.3868692034949943</v>
      </c>
      <c r="AD74" s="142"/>
      <c r="AE74" s="142"/>
      <c r="AF74" s="142"/>
      <c r="AG74" s="141" t="s">
        <v>3152</v>
      </c>
      <c r="AH74" s="142">
        <v>2</v>
      </c>
      <c r="AI74" s="142"/>
      <c r="AJ74" s="145">
        <v>31.1</v>
      </c>
      <c r="AK74" s="218">
        <f t="shared" si="16"/>
        <v>5.7999999999999972</v>
      </c>
      <c r="AL74" s="142" t="s">
        <v>1509</v>
      </c>
      <c r="AM74" s="142" t="s">
        <v>1509</v>
      </c>
      <c r="AW74" s="144"/>
      <c r="BB74" s="144"/>
    </row>
    <row r="75" spans="1:54" ht="15" customHeight="1">
      <c r="A75" s="195" t="s">
        <v>3344</v>
      </c>
      <c r="B75" s="195" t="s">
        <v>3345</v>
      </c>
      <c r="C75" s="195" t="s">
        <v>3346</v>
      </c>
      <c r="D75" s="195" t="s">
        <v>4182</v>
      </c>
      <c r="E75" s="196">
        <v>6</v>
      </c>
      <c r="F75" s="197">
        <f t="shared" si="10"/>
        <v>0.77815125038364363</v>
      </c>
      <c r="G75" s="202">
        <v>0.25</v>
      </c>
      <c r="H75" s="202">
        <v>0.25</v>
      </c>
      <c r="I75" s="197">
        <f>LOG(G75)</f>
        <v>-0.6020599913279624</v>
      </c>
      <c r="J75" s="197">
        <f t="shared" si="11"/>
        <v>-0.6020599913279624</v>
      </c>
      <c r="K75" s="195">
        <v>-25.256988</v>
      </c>
      <c r="L75" s="199">
        <f t="shared" si="12"/>
        <v>25.256988</v>
      </c>
      <c r="M75" s="199">
        <v>32.537273999999996</v>
      </c>
      <c r="N75" s="195" t="s">
        <v>3150</v>
      </c>
      <c r="O75" s="198">
        <v>40.9</v>
      </c>
      <c r="P75" s="198">
        <v>7.7</v>
      </c>
      <c r="Q75" s="201">
        <v>0.14000000000000001</v>
      </c>
      <c r="R75" s="202">
        <f t="shared" si="13"/>
        <v>5.6904851336472641E-2</v>
      </c>
      <c r="S75" s="202">
        <v>0.18</v>
      </c>
      <c r="T75" s="203">
        <v>2.7839999999999998</v>
      </c>
      <c r="U75" s="204">
        <f t="shared" si="14"/>
        <v>0.44466923093852445</v>
      </c>
      <c r="V75" s="195" t="s">
        <v>3347</v>
      </c>
      <c r="W75" s="141">
        <v>79</v>
      </c>
      <c r="X75" s="141" t="s">
        <v>352</v>
      </c>
      <c r="Y75" s="142">
        <v>20</v>
      </c>
      <c r="Z75" s="142">
        <v>20</v>
      </c>
      <c r="AA75" s="142"/>
      <c r="AB75" s="142">
        <f>0.3/1000</f>
        <v>2.9999999999999997E-4</v>
      </c>
      <c r="AC75" s="142">
        <f t="shared" si="15"/>
        <v>-3.5228787452803374</v>
      </c>
      <c r="AD75" s="142"/>
      <c r="AE75" s="142">
        <f>0.3/1000</f>
        <v>2.9999999999999997E-4</v>
      </c>
      <c r="AF75" s="142">
        <f>LOG(AE75)</f>
        <v>-3.5228787452803374</v>
      </c>
      <c r="AG75" s="141" t="s">
        <v>3348</v>
      </c>
      <c r="AH75" s="142">
        <v>3</v>
      </c>
      <c r="AI75" s="142">
        <v>3</v>
      </c>
      <c r="AJ75" s="145">
        <v>32.6</v>
      </c>
      <c r="AK75" s="218">
        <f t="shared" si="16"/>
        <v>8.2999999999999972</v>
      </c>
      <c r="AL75" s="142" t="s">
        <v>1509</v>
      </c>
      <c r="AM75" s="142" t="s">
        <v>1509</v>
      </c>
      <c r="AW75" s="144"/>
      <c r="BB75" s="144"/>
    </row>
    <row r="76" spans="1:54" ht="15.95" customHeight="1">
      <c r="A76" s="195" t="s">
        <v>3154</v>
      </c>
      <c r="B76" s="195" t="s">
        <v>3350</v>
      </c>
      <c r="C76" s="195" t="s">
        <v>3342</v>
      </c>
      <c r="D76" s="195" t="s">
        <v>4181</v>
      </c>
      <c r="E76" s="196">
        <v>14</v>
      </c>
      <c r="F76" s="197">
        <f t="shared" si="10"/>
        <v>1.146128035678238</v>
      </c>
      <c r="G76" s="195" t="s">
        <v>3116</v>
      </c>
      <c r="H76" s="196">
        <v>1</v>
      </c>
      <c r="I76" s="197"/>
      <c r="J76" s="197">
        <f t="shared" si="11"/>
        <v>0</v>
      </c>
      <c r="K76" s="199">
        <v>21.567291999999998</v>
      </c>
      <c r="L76" s="199">
        <f t="shared" si="12"/>
        <v>21.567291999999998</v>
      </c>
      <c r="M76" s="195">
        <v>-105.24532499999999</v>
      </c>
      <c r="N76" s="195" t="s">
        <v>3150</v>
      </c>
      <c r="O76" s="198">
        <v>40.1</v>
      </c>
      <c r="P76" s="195" t="s">
        <v>3116</v>
      </c>
      <c r="Q76" s="201">
        <v>0.15</v>
      </c>
      <c r="R76" s="202">
        <f t="shared" si="13"/>
        <v>6.069784035361165E-2</v>
      </c>
      <c r="S76" s="195" t="s">
        <v>3116</v>
      </c>
      <c r="T76" s="203">
        <v>2.8460000000000001</v>
      </c>
      <c r="U76" s="204">
        <f t="shared" si="14"/>
        <v>0.45423489574826553</v>
      </c>
      <c r="V76" s="195" t="s">
        <v>3151</v>
      </c>
      <c r="W76" s="141">
        <v>2</v>
      </c>
      <c r="X76" s="141" t="s">
        <v>352</v>
      </c>
      <c r="Y76" s="141">
        <v>10</v>
      </c>
      <c r="Z76" s="145"/>
      <c r="AA76" s="145">
        <v>55</v>
      </c>
      <c r="AB76" s="142">
        <v>14.739803551052077</v>
      </c>
      <c r="AC76" s="142">
        <f t="shared" si="15"/>
        <v>1.1684916953776734</v>
      </c>
      <c r="AD76" s="142"/>
      <c r="AE76" s="142"/>
      <c r="AF76" s="142"/>
      <c r="AG76" s="141" t="s">
        <v>3152</v>
      </c>
      <c r="AH76" s="142">
        <v>3</v>
      </c>
      <c r="AI76" s="142"/>
      <c r="AJ76" s="142">
        <v>33.6</v>
      </c>
      <c r="AK76" s="218">
        <f t="shared" si="16"/>
        <v>6.5</v>
      </c>
      <c r="AL76" s="142" t="s">
        <v>1509</v>
      </c>
      <c r="AM76" s="142" t="s">
        <v>1509</v>
      </c>
      <c r="AW76" s="144"/>
      <c r="BB76" s="144"/>
    </row>
    <row r="77" spans="1:54" ht="15.95" customHeight="1">
      <c r="A77" s="195" t="s">
        <v>3154</v>
      </c>
      <c r="B77" s="195" t="s">
        <v>3352</v>
      </c>
      <c r="C77" s="195" t="s">
        <v>3296</v>
      </c>
      <c r="D77" s="195" t="s">
        <v>4181</v>
      </c>
      <c r="E77" s="196">
        <v>14</v>
      </c>
      <c r="F77" s="197">
        <f t="shared" si="10"/>
        <v>1.146128035678238</v>
      </c>
      <c r="G77" s="195" t="s">
        <v>3116</v>
      </c>
      <c r="H77" s="196">
        <v>1</v>
      </c>
      <c r="I77" s="197"/>
      <c r="J77" s="197">
        <f t="shared" si="11"/>
        <v>0</v>
      </c>
      <c r="K77" s="199">
        <v>21.567291999999998</v>
      </c>
      <c r="L77" s="199">
        <f t="shared" si="12"/>
        <v>21.567291999999998</v>
      </c>
      <c r="M77" s="195">
        <v>-105.24532499999999</v>
      </c>
      <c r="N77" s="195" t="s">
        <v>3150</v>
      </c>
      <c r="O77" s="198">
        <v>39.9</v>
      </c>
      <c r="P77" s="195" t="s">
        <v>3116</v>
      </c>
      <c r="Q77" s="201">
        <v>0.15</v>
      </c>
      <c r="R77" s="202">
        <f t="shared" si="13"/>
        <v>6.069784035361165E-2</v>
      </c>
      <c r="S77" s="195" t="s">
        <v>3116</v>
      </c>
      <c r="T77" s="203">
        <v>2.8460000000000001</v>
      </c>
      <c r="U77" s="204">
        <f t="shared" si="14"/>
        <v>0.45423489574826553</v>
      </c>
      <c r="V77" s="195" t="s">
        <v>3151</v>
      </c>
      <c r="W77" s="141">
        <v>2</v>
      </c>
      <c r="X77" s="141" t="s">
        <v>352</v>
      </c>
      <c r="Y77" s="141">
        <v>10</v>
      </c>
      <c r="Z77" s="145"/>
      <c r="AA77" s="145">
        <v>85</v>
      </c>
      <c r="AB77" s="142">
        <v>54.64506745500168</v>
      </c>
      <c r="AC77" s="142">
        <f t="shared" si="15"/>
        <v>1.7375509664000206</v>
      </c>
      <c r="AD77" s="142"/>
      <c r="AE77" s="142"/>
      <c r="AF77" s="142"/>
      <c r="AG77" s="141" t="s">
        <v>3152</v>
      </c>
      <c r="AH77" s="142">
        <v>3</v>
      </c>
      <c r="AI77" s="142"/>
      <c r="AJ77" s="142">
        <v>33.6</v>
      </c>
      <c r="AK77" s="218">
        <f t="shared" si="16"/>
        <v>6.2999999999999972</v>
      </c>
      <c r="AL77" s="142" t="s">
        <v>1509</v>
      </c>
      <c r="AM77" s="142" t="s">
        <v>1509</v>
      </c>
      <c r="AW77" s="144"/>
      <c r="BB77" s="144"/>
    </row>
    <row r="78" spans="1:54" ht="15" customHeight="1">
      <c r="A78" s="195" t="s">
        <v>3353</v>
      </c>
      <c r="B78" s="195" t="s">
        <v>3354</v>
      </c>
      <c r="C78" s="195" t="s">
        <v>3355</v>
      </c>
      <c r="D78" s="195" t="s">
        <v>4181</v>
      </c>
      <c r="E78" s="196">
        <v>14</v>
      </c>
      <c r="F78" s="197">
        <f t="shared" si="10"/>
        <v>1.146128035678238</v>
      </c>
      <c r="G78" s="195" t="s">
        <v>3116</v>
      </c>
      <c r="H78" s="196">
        <v>1</v>
      </c>
      <c r="I78" s="197"/>
      <c r="J78" s="197">
        <f t="shared" si="11"/>
        <v>0</v>
      </c>
      <c r="K78" s="199">
        <v>21.567291999999998</v>
      </c>
      <c r="L78" s="199">
        <f t="shared" si="12"/>
        <v>21.567291999999998</v>
      </c>
      <c r="M78" s="195">
        <v>-105.24532499999999</v>
      </c>
      <c r="N78" s="195" t="s">
        <v>3150</v>
      </c>
      <c r="O78" s="198">
        <v>39.5</v>
      </c>
      <c r="P78" s="195" t="s">
        <v>3116</v>
      </c>
      <c r="Q78" s="201">
        <v>0.16</v>
      </c>
      <c r="R78" s="202">
        <f t="shared" si="13"/>
        <v>6.445798922691845E-2</v>
      </c>
      <c r="S78" s="195" t="s">
        <v>3116</v>
      </c>
      <c r="T78" s="203">
        <v>2.8460000000000001</v>
      </c>
      <c r="U78" s="204">
        <f t="shared" si="14"/>
        <v>0.45423489574826553</v>
      </c>
      <c r="V78" s="195" t="s">
        <v>3151</v>
      </c>
      <c r="W78" s="141">
        <v>2</v>
      </c>
      <c r="X78" s="141" t="s">
        <v>352</v>
      </c>
      <c r="Y78" s="141">
        <v>10</v>
      </c>
      <c r="Z78" s="145"/>
      <c r="AA78" s="145">
        <v>55</v>
      </c>
      <c r="AB78" s="142">
        <v>6.6560975503519266</v>
      </c>
      <c r="AC78" s="142">
        <f t="shared" si="15"/>
        <v>0.82321967825699105</v>
      </c>
      <c r="AD78" s="142"/>
      <c r="AE78" s="142"/>
      <c r="AF78" s="142"/>
      <c r="AG78" s="141" t="s">
        <v>3152</v>
      </c>
      <c r="AH78" s="142">
        <v>4</v>
      </c>
      <c r="AI78" s="142"/>
      <c r="AJ78" s="142">
        <v>33.6</v>
      </c>
      <c r="AK78" s="218">
        <f t="shared" si="16"/>
        <v>5.8999999999999986</v>
      </c>
      <c r="AL78" s="142" t="s">
        <v>1509</v>
      </c>
      <c r="AM78" s="142" t="s">
        <v>1509</v>
      </c>
      <c r="AW78" s="144"/>
      <c r="BB78" s="144"/>
    </row>
    <row r="79" spans="1:54" ht="15" customHeight="1">
      <c r="A79" s="195" t="s">
        <v>3154</v>
      </c>
      <c r="B79" s="195" t="s">
        <v>3360</v>
      </c>
      <c r="C79" s="195" t="s">
        <v>3250</v>
      </c>
      <c r="D79" s="195" t="s">
        <v>4181</v>
      </c>
      <c r="E79" s="196">
        <v>14</v>
      </c>
      <c r="F79" s="197">
        <f t="shared" si="10"/>
        <v>1.146128035678238</v>
      </c>
      <c r="G79" s="195" t="s">
        <v>3116</v>
      </c>
      <c r="H79" s="196">
        <v>1</v>
      </c>
      <c r="I79" s="197"/>
      <c r="J79" s="197">
        <f t="shared" si="11"/>
        <v>0</v>
      </c>
      <c r="K79" s="199">
        <v>33.862237</v>
      </c>
      <c r="L79" s="199">
        <f t="shared" si="12"/>
        <v>33.862237</v>
      </c>
      <c r="M79" s="195">
        <v>-118.399519</v>
      </c>
      <c r="N79" s="195" t="s">
        <v>3150</v>
      </c>
      <c r="O79" s="198">
        <v>38.1</v>
      </c>
      <c r="P79" s="195" t="s">
        <v>3116</v>
      </c>
      <c r="Q79" s="201">
        <v>0.13</v>
      </c>
      <c r="R79" s="202">
        <f t="shared" si="13"/>
        <v>5.3078443483419682E-2</v>
      </c>
      <c r="S79" s="195" t="s">
        <v>3116</v>
      </c>
      <c r="T79" s="203">
        <v>2.9470000000000001</v>
      </c>
      <c r="U79" s="204">
        <f t="shared" si="14"/>
        <v>0.46938013584992516</v>
      </c>
      <c r="V79" s="195" t="s">
        <v>3151</v>
      </c>
      <c r="W79" s="141">
        <v>2</v>
      </c>
      <c r="X79" s="141" t="s">
        <v>352</v>
      </c>
      <c r="Y79" s="141">
        <v>10</v>
      </c>
      <c r="Z79" s="145"/>
      <c r="AA79" s="145">
        <v>113</v>
      </c>
      <c r="AB79" s="142">
        <v>128.75559640704762</v>
      </c>
      <c r="AC79" s="142">
        <f t="shared" si="15"/>
        <v>2.1097661148850926</v>
      </c>
      <c r="AD79" s="142"/>
      <c r="AE79" s="142"/>
      <c r="AF79" s="142"/>
      <c r="AG79" s="141" t="s">
        <v>3152</v>
      </c>
      <c r="AH79" s="142">
        <v>3</v>
      </c>
      <c r="AI79" s="142"/>
      <c r="AJ79" s="142">
        <v>27</v>
      </c>
      <c r="AK79" s="218">
        <f t="shared" si="16"/>
        <v>11.100000000000001</v>
      </c>
      <c r="AL79" s="142" t="s">
        <v>1509</v>
      </c>
      <c r="AM79" s="142" t="s">
        <v>1509</v>
      </c>
      <c r="AW79" s="144"/>
      <c r="BB79" s="144"/>
    </row>
    <row r="80" spans="1:54" ht="15" customHeight="1">
      <c r="A80" s="195" t="s">
        <v>3289</v>
      </c>
      <c r="B80" s="195" t="s">
        <v>3361</v>
      </c>
      <c r="C80" s="195" t="s">
        <v>3228</v>
      </c>
      <c r="D80" s="195" t="s">
        <v>4181</v>
      </c>
      <c r="E80" s="196">
        <v>10</v>
      </c>
      <c r="F80" s="197">
        <f t="shared" si="10"/>
        <v>1</v>
      </c>
      <c r="G80" s="195" t="s">
        <v>3116</v>
      </c>
      <c r="H80" s="196">
        <v>1</v>
      </c>
      <c r="I80" s="197"/>
      <c r="J80" s="197">
        <f t="shared" si="11"/>
        <v>0</v>
      </c>
      <c r="K80" s="195">
        <v>-38.916663999999997</v>
      </c>
      <c r="L80" s="199">
        <f t="shared" si="12"/>
        <v>38.916663999999997</v>
      </c>
      <c r="M80" s="199">
        <v>146.33333300000001</v>
      </c>
      <c r="N80" s="195" t="s">
        <v>3150</v>
      </c>
      <c r="O80" s="196">
        <v>35</v>
      </c>
      <c r="P80" s="195" t="s">
        <v>3116</v>
      </c>
      <c r="Q80" s="201">
        <v>0.09</v>
      </c>
      <c r="R80" s="202">
        <f t="shared" si="13"/>
        <v>3.7426497940623665E-2</v>
      </c>
      <c r="S80" s="195" t="s">
        <v>3116</v>
      </c>
      <c r="T80" s="203">
        <v>2.964</v>
      </c>
      <c r="U80" s="204">
        <f t="shared" si="14"/>
        <v>0.47187819930729058</v>
      </c>
      <c r="V80" s="195" t="s">
        <v>3287</v>
      </c>
      <c r="W80" s="141">
        <v>4</v>
      </c>
      <c r="X80" s="141" t="s">
        <v>352</v>
      </c>
      <c r="Y80" s="141">
        <v>2</v>
      </c>
      <c r="Z80" s="142"/>
      <c r="AA80" s="145">
        <v>75</v>
      </c>
      <c r="AB80" s="141">
        <v>32.27806166280088</v>
      </c>
      <c r="AC80" s="142">
        <f t="shared" si="15"/>
        <v>1.5089074469166692</v>
      </c>
      <c r="AD80" s="141"/>
      <c r="AE80" s="141"/>
      <c r="AF80" s="141"/>
      <c r="AG80" s="141" t="s">
        <v>3152</v>
      </c>
      <c r="AH80" s="142">
        <v>2</v>
      </c>
      <c r="AI80" s="142"/>
      <c r="AJ80" s="142">
        <v>22.3</v>
      </c>
      <c r="AK80" s="218">
        <f t="shared" si="16"/>
        <v>12.7</v>
      </c>
      <c r="AL80" s="142" t="s">
        <v>1509</v>
      </c>
      <c r="AM80" s="142" t="s">
        <v>1509</v>
      </c>
      <c r="AW80" s="144"/>
      <c r="BB80" s="144"/>
    </row>
    <row r="81" spans="1:54" ht="15" customHeight="1">
      <c r="A81" s="195" t="s">
        <v>3285</v>
      </c>
      <c r="B81" s="195" t="s">
        <v>3363</v>
      </c>
      <c r="C81" s="195" t="s">
        <v>3232</v>
      </c>
      <c r="D81" s="195" t="s">
        <v>4181</v>
      </c>
      <c r="E81" s="196">
        <v>10</v>
      </c>
      <c r="F81" s="197">
        <f t="shared" si="10"/>
        <v>1</v>
      </c>
      <c r="G81" s="195" t="s">
        <v>3116</v>
      </c>
      <c r="H81" s="196">
        <v>1</v>
      </c>
      <c r="I81" s="197"/>
      <c r="J81" s="197">
        <f t="shared" si="11"/>
        <v>0</v>
      </c>
      <c r="K81" s="195">
        <v>-38.916663999999997</v>
      </c>
      <c r="L81" s="199">
        <f t="shared" si="12"/>
        <v>38.916663999999997</v>
      </c>
      <c r="M81" s="199">
        <v>146.33333300000001</v>
      </c>
      <c r="N81" s="195" t="s">
        <v>3150</v>
      </c>
      <c r="O81" s="198">
        <v>36.200000000000003</v>
      </c>
      <c r="P81" s="195" t="s">
        <v>3116</v>
      </c>
      <c r="Q81" s="201">
        <v>0.09</v>
      </c>
      <c r="R81" s="202">
        <f t="shared" si="13"/>
        <v>3.7426497940623665E-2</v>
      </c>
      <c r="S81" s="195" t="s">
        <v>3116</v>
      </c>
      <c r="T81" s="203">
        <v>2.964</v>
      </c>
      <c r="U81" s="204">
        <f t="shared" si="14"/>
        <v>0.47187819930729058</v>
      </c>
      <c r="V81" s="195" t="s">
        <v>3287</v>
      </c>
      <c r="W81" s="141">
        <v>4</v>
      </c>
      <c r="X81" s="141" t="s">
        <v>352</v>
      </c>
      <c r="Y81" s="141">
        <v>4</v>
      </c>
      <c r="Z81" s="142"/>
      <c r="AA81" s="145">
        <v>113</v>
      </c>
      <c r="AB81" s="141">
        <v>95.214818966358465</v>
      </c>
      <c r="AC81" s="142">
        <f t="shared" si="15"/>
        <v>1.9787045460154247</v>
      </c>
      <c r="AD81" s="141"/>
      <c r="AE81" s="141"/>
      <c r="AF81" s="141"/>
      <c r="AG81" s="141" t="s">
        <v>3152</v>
      </c>
      <c r="AH81" s="142">
        <v>2</v>
      </c>
      <c r="AI81" s="142"/>
      <c r="AJ81" s="142">
        <v>22.3</v>
      </c>
      <c r="AK81" s="218">
        <f t="shared" si="16"/>
        <v>13.900000000000002</v>
      </c>
      <c r="AL81" s="142" t="s">
        <v>1509</v>
      </c>
      <c r="AM81" s="142" t="s">
        <v>1509</v>
      </c>
      <c r="AW81" s="144"/>
      <c r="BB81" s="144"/>
    </row>
    <row r="82" spans="1:54" ht="15" customHeight="1">
      <c r="A82" s="195" t="s">
        <v>3285</v>
      </c>
      <c r="B82" s="195" t="s">
        <v>3297</v>
      </c>
      <c r="C82" s="195" t="s">
        <v>3222</v>
      </c>
      <c r="D82" s="195" t="s">
        <v>4181</v>
      </c>
      <c r="E82" s="196">
        <v>10</v>
      </c>
      <c r="F82" s="197">
        <f t="shared" si="10"/>
        <v>1</v>
      </c>
      <c r="G82" s="195" t="s">
        <v>3116</v>
      </c>
      <c r="H82" s="196">
        <v>1</v>
      </c>
      <c r="I82" s="197"/>
      <c r="J82" s="197">
        <f t="shared" si="11"/>
        <v>0</v>
      </c>
      <c r="K82" s="195">
        <v>-20.012274000000001</v>
      </c>
      <c r="L82" s="199">
        <f t="shared" si="12"/>
        <v>20.012274000000001</v>
      </c>
      <c r="M82" s="199">
        <v>148.24629100000001</v>
      </c>
      <c r="N82" s="195" t="s">
        <v>3150</v>
      </c>
      <c r="O82" s="198">
        <v>38.9</v>
      </c>
      <c r="P82" s="195" t="s">
        <v>3116</v>
      </c>
      <c r="Q82" s="201">
        <v>0.14000000000000001</v>
      </c>
      <c r="R82" s="202">
        <f t="shared" si="13"/>
        <v>5.6904851336472641E-2</v>
      </c>
      <c r="S82" s="195" t="s">
        <v>3116</v>
      </c>
      <c r="T82" s="203">
        <v>3.0150000000000001</v>
      </c>
      <c r="U82" s="204">
        <f t="shared" si="14"/>
        <v>0.47928731647617012</v>
      </c>
      <c r="V82" s="195" t="s">
        <v>3287</v>
      </c>
      <c r="W82" s="141">
        <v>4</v>
      </c>
      <c r="X82" s="141" t="s">
        <v>352</v>
      </c>
      <c r="Y82" s="141">
        <v>9</v>
      </c>
      <c r="Z82" s="142"/>
      <c r="AA82" s="145">
        <v>33</v>
      </c>
      <c r="AB82" s="142">
        <v>2.4008038575737882</v>
      </c>
      <c r="AC82" s="142">
        <f t="shared" si="15"/>
        <v>0.38035668023488345</v>
      </c>
      <c r="AD82" s="142"/>
      <c r="AE82" s="142"/>
      <c r="AF82" s="142"/>
      <c r="AG82" s="141" t="s">
        <v>3152</v>
      </c>
      <c r="AH82" s="145">
        <v>2</v>
      </c>
      <c r="AI82" s="145"/>
      <c r="AJ82" s="142">
        <v>31.9</v>
      </c>
      <c r="AK82" s="218">
        <f t="shared" si="16"/>
        <v>7</v>
      </c>
      <c r="AL82" s="142" t="s">
        <v>1509</v>
      </c>
      <c r="AM82" s="142" t="s">
        <v>1509</v>
      </c>
      <c r="AW82" s="144"/>
      <c r="BB82" s="144"/>
    </row>
    <row r="83" spans="1:54" ht="15" customHeight="1">
      <c r="A83" s="195" t="s">
        <v>3285</v>
      </c>
      <c r="B83" s="195" t="s">
        <v>3299</v>
      </c>
      <c r="C83" s="195" t="s">
        <v>3300</v>
      </c>
      <c r="D83" s="195" t="s">
        <v>4181</v>
      </c>
      <c r="E83" s="196">
        <v>10</v>
      </c>
      <c r="F83" s="197">
        <f t="shared" si="10"/>
        <v>1</v>
      </c>
      <c r="G83" s="195" t="s">
        <v>3116</v>
      </c>
      <c r="H83" s="196">
        <v>1</v>
      </c>
      <c r="I83" s="197"/>
      <c r="J83" s="197">
        <f t="shared" si="11"/>
        <v>0</v>
      </c>
      <c r="K83" s="195">
        <v>-20.012274000000001</v>
      </c>
      <c r="L83" s="199">
        <f t="shared" si="12"/>
        <v>20.012274000000001</v>
      </c>
      <c r="M83" s="199">
        <v>148.24629100000001</v>
      </c>
      <c r="N83" s="195" t="s">
        <v>3150</v>
      </c>
      <c r="O83" s="198">
        <v>39.5</v>
      </c>
      <c r="P83" s="195" t="s">
        <v>3116</v>
      </c>
      <c r="Q83" s="201">
        <v>0.18</v>
      </c>
      <c r="R83" s="202">
        <f t="shared" si="13"/>
        <v>7.1882007306125359E-2</v>
      </c>
      <c r="S83" s="195" t="s">
        <v>3116</v>
      </c>
      <c r="T83" s="203">
        <v>3.0150000000000001</v>
      </c>
      <c r="U83" s="204">
        <f t="shared" si="14"/>
        <v>0.47928731647617012</v>
      </c>
      <c r="V83" s="195" t="s">
        <v>3287</v>
      </c>
      <c r="W83" s="141">
        <v>4</v>
      </c>
      <c r="X83" s="141" t="s">
        <v>352</v>
      </c>
      <c r="Y83" s="141">
        <v>24</v>
      </c>
      <c r="Z83" s="142"/>
      <c r="AA83" s="145">
        <v>33</v>
      </c>
      <c r="AB83" s="142">
        <v>2.4008038575737882</v>
      </c>
      <c r="AC83" s="142">
        <f t="shared" si="15"/>
        <v>0.38035668023488345</v>
      </c>
      <c r="AD83" s="142"/>
      <c r="AE83" s="142"/>
      <c r="AF83" s="142"/>
      <c r="AG83" s="141" t="s">
        <v>3152</v>
      </c>
      <c r="AH83" s="145">
        <v>2</v>
      </c>
      <c r="AI83" s="145"/>
      <c r="AJ83" s="142">
        <v>31.9</v>
      </c>
      <c r="AK83" s="218">
        <f t="shared" si="16"/>
        <v>7.6000000000000014</v>
      </c>
      <c r="AL83" s="142" t="s">
        <v>1509</v>
      </c>
      <c r="AM83" s="142" t="s">
        <v>1509</v>
      </c>
      <c r="AW83" s="144"/>
      <c r="AY83" s="130"/>
      <c r="BB83" s="144"/>
    </row>
    <row r="84" spans="1:54" ht="15" customHeight="1">
      <c r="A84" s="195" t="s">
        <v>3285</v>
      </c>
      <c r="B84" s="195" t="s">
        <v>3366</v>
      </c>
      <c r="C84" s="195" t="s">
        <v>3367</v>
      </c>
      <c r="D84" s="195" t="s">
        <v>4181</v>
      </c>
      <c r="E84" s="196">
        <v>10</v>
      </c>
      <c r="F84" s="197">
        <f t="shared" si="10"/>
        <v>1</v>
      </c>
      <c r="G84" s="195" t="s">
        <v>3116</v>
      </c>
      <c r="H84" s="196">
        <v>1</v>
      </c>
      <c r="I84" s="197"/>
      <c r="J84" s="197">
        <f t="shared" si="11"/>
        <v>0</v>
      </c>
      <c r="K84" s="195">
        <v>-19.257622000000001</v>
      </c>
      <c r="L84" s="199">
        <f t="shared" si="12"/>
        <v>19.257622000000001</v>
      </c>
      <c r="M84" s="199">
        <v>146.817879</v>
      </c>
      <c r="N84" s="195" t="s">
        <v>3150</v>
      </c>
      <c r="O84" s="198">
        <v>39.200000000000003</v>
      </c>
      <c r="P84" s="195" t="s">
        <v>3116</v>
      </c>
      <c r="Q84" s="201">
        <v>0.19</v>
      </c>
      <c r="R84" s="202">
        <f t="shared" si="13"/>
        <v>7.554696139253074E-2</v>
      </c>
      <c r="S84" s="195" t="s">
        <v>3116</v>
      </c>
      <c r="T84" s="203">
        <v>3.0939999999999999</v>
      </c>
      <c r="U84" s="204">
        <f t="shared" si="14"/>
        <v>0.49052030936334873</v>
      </c>
      <c r="V84" s="195" t="s">
        <v>3287</v>
      </c>
      <c r="W84" s="141">
        <v>4</v>
      </c>
      <c r="X84" s="141" t="s">
        <v>352</v>
      </c>
      <c r="Y84" s="141">
        <v>11</v>
      </c>
      <c r="Z84" s="142"/>
      <c r="AA84" s="145">
        <v>146</v>
      </c>
      <c r="AB84" s="141">
        <v>204.84012811892816</v>
      </c>
      <c r="AC84" s="142">
        <f t="shared" si="15"/>
        <v>2.3114150387954679</v>
      </c>
      <c r="AD84" s="141"/>
      <c r="AE84" s="141"/>
      <c r="AF84" s="141"/>
      <c r="AG84" s="141" t="s">
        <v>3152</v>
      </c>
      <c r="AH84" s="145">
        <v>2</v>
      </c>
      <c r="AI84" s="145"/>
      <c r="AJ84" s="142" t="s">
        <v>355</v>
      </c>
      <c r="AK84" s="218"/>
      <c r="AL84" s="142" t="s">
        <v>1509</v>
      </c>
      <c r="AM84" s="142" t="s">
        <v>4232</v>
      </c>
      <c r="AW84" s="144"/>
      <c r="BB84" s="144"/>
    </row>
    <row r="85" spans="1:54" ht="15" customHeight="1">
      <c r="A85" s="195" t="s">
        <v>3285</v>
      </c>
      <c r="B85" s="195" t="s">
        <v>3295</v>
      </c>
      <c r="C85" s="195" t="s">
        <v>3183</v>
      </c>
      <c r="D85" s="195" t="s">
        <v>4181</v>
      </c>
      <c r="E85" s="196">
        <v>10</v>
      </c>
      <c r="F85" s="197">
        <f t="shared" si="10"/>
        <v>1</v>
      </c>
      <c r="G85" s="195" t="s">
        <v>3116</v>
      </c>
      <c r="H85" s="196">
        <v>1</v>
      </c>
      <c r="I85" s="197"/>
      <c r="J85" s="197">
        <f t="shared" si="11"/>
        <v>0</v>
      </c>
      <c r="K85" s="195">
        <v>-19.257622000000001</v>
      </c>
      <c r="L85" s="199">
        <f t="shared" si="12"/>
        <v>19.257622000000001</v>
      </c>
      <c r="M85" s="199">
        <v>146.817879</v>
      </c>
      <c r="N85" s="195" t="s">
        <v>3150</v>
      </c>
      <c r="O85" s="198">
        <v>39.6</v>
      </c>
      <c r="P85" s="195" t="s">
        <v>3116</v>
      </c>
      <c r="Q85" s="201">
        <v>0.03</v>
      </c>
      <c r="R85" s="202">
        <f t="shared" si="13"/>
        <v>1.2837224705172217E-2</v>
      </c>
      <c r="S85" s="195" t="s">
        <v>3116</v>
      </c>
      <c r="T85" s="203">
        <v>3.0939999999999999</v>
      </c>
      <c r="U85" s="204">
        <f t="shared" si="14"/>
        <v>0.49052030936334873</v>
      </c>
      <c r="V85" s="195" t="s">
        <v>3287</v>
      </c>
      <c r="W85" s="141">
        <v>4</v>
      </c>
      <c r="X85" s="141" t="s">
        <v>352</v>
      </c>
      <c r="Y85" s="141">
        <v>12</v>
      </c>
      <c r="Z85" s="142"/>
      <c r="AA85" s="145">
        <v>33</v>
      </c>
      <c r="AB85" s="142">
        <v>2.4008038575737882</v>
      </c>
      <c r="AC85" s="142">
        <f t="shared" si="15"/>
        <v>0.38035668023488345</v>
      </c>
      <c r="AD85" s="142"/>
      <c r="AE85" s="142"/>
      <c r="AF85" s="142"/>
      <c r="AG85" s="141" t="s">
        <v>3152</v>
      </c>
      <c r="AH85" s="145">
        <v>2</v>
      </c>
      <c r="AI85" s="145"/>
      <c r="AJ85" s="145" t="s">
        <v>355</v>
      </c>
      <c r="AK85" s="218"/>
      <c r="AL85" s="142" t="s">
        <v>1509</v>
      </c>
      <c r="AM85" s="142" t="s">
        <v>4232</v>
      </c>
      <c r="AW85" s="144"/>
      <c r="BB85" s="144"/>
    </row>
    <row r="86" spans="1:54" ht="15" customHeight="1">
      <c r="A86" s="195" t="s">
        <v>3285</v>
      </c>
      <c r="B86" s="195" t="s">
        <v>3299</v>
      </c>
      <c r="C86" s="195" t="s">
        <v>3300</v>
      </c>
      <c r="D86" s="195" t="s">
        <v>4181</v>
      </c>
      <c r="E86" s="196">
        <v>10</v>
      </c>
      <c r="F86" s="197">
        <f t="shared" si="10"/>
        <v>1</v>
      </c>
      <c r="G86" s="195" t="s">
        <v>3116</v>
      </c>
      <c r="H86" s="196">
        <v>1</v>
      </c>
      <c r="I86" s="197"/>
      <c r="J86" s="197">
        <f t="shared" si="11"/>
        <v>0</v>
      </c>
      <c r="K86" s="195">
        <v>-19.257622000000001</v>
      </c>
      <c r="L86" s="199">
        <f t="shared" si="12"/>
        <v>19.257622000000001</v>
      </c>
      <c r="M86" s="199">
        <v>146.817879</v>
      </c>
      <c r="N86" s="195" t="s">
        <v>3150</v>
      </c>
      <c r="O86" s="198">
        <v>39.299999999999997</v>
      </c>
      <c r="P86" s="195" t="s">
        <v>3116</v>
      </c>
      <c r="Q86" s="201">
        <v>0.18</v>
      </c>
      <c r="R86" s="202">
        <f t="shared" si="13"/>
        <v>7.1882007306125359E-2</v>
      </c>
      <c r="S86" s="195" t="s">
        <v>3116</v>
      </c>
      <c r="T86" s="203">
        <v>3.0939999999999999</v>
      </c>
      <c r="U86" s="204">
        <f t="shared" si="14"/>
        <v>0.49052030936334873</v>
      </c>
      <c r="V86" s="195" t="s">
        <v>3287</v>
      </c>
      <c r="W86" s="141">
        <v>4</v>
      </c>
      <c r="X86" s="141" t="s">
        <v>352</v>
      </c>
      <c r="Y86" s="141">
        <v>18</v>
      </c>
      <c r="Z86" s="142"/>
      <c r="AA86" s="145">
        <v>33</v>
      </c>
      <c r="AB86" s="142">
        <v>2.4008038575737882</v>
      </c>
      <c r="AC86" s="142">
        <f t="shared" si="15"/>
        <v>0.38035668023488345</v>
      </c>
      <c r="AD86" s="142"/>
      <c r="AE86" s="142"/>
      <c r="AF86" s="142"/>
      <c r="AG86" s="141" t="s">
        <v>3152</v>
      </c>
      <c r="AH86" s="145">
        <v>2</v>
      </c>
      <c r="AI86" s="145"/>
      <c r="AJ86" s="145" t="s">
        <v>355</v>
      </c>
      <c r="AK86" s="218"/>
      <c r="AL86" s="142" t="s">
        <v>1509</v>
      </c>
      <c r="AM86" s="142" t="s">
        <v>4232</v>
      </c>
      <c r="AW86" s="144"/>
      <c r="BB86" s="144"/>
    </row>
    <row r="87" spans="1:54" ht="15" customHeight="1">
      <c r="A87" s="195" t="s">
        <v>3344</v>
      </c>
      <c r="B87" s="195" t="s">
        <v>3370</v>
      </c>
      <c r="C87" s="195" t="s">
        <v>3371</v>
      </c>
      <c r="D87" s="195" t="s">
        <v>4182</v>
      </c>
      <c r="E87" s="196">
        <v>6</v>
      </c>
      <c r="F87" s="197">
        <f t="shared" si="10"/>
        <v>0.77815125038364363</v>
      </c>
      <c r="G87" s="202">
        <v>0.25</v>
      </c>
      <c r="H87" s="202">
        <v>0.25</v>
      </c>
      <c r="I87" s="197">
        <f>LOG(G87)</f>
        <v>-0.6020599913279624</v>
      </c>
      <c r="J87" s="197">
        <f t="shared" si="11"/>
        <v>-0.6020599913279624</v>
      </c>
      <c r="K87" s="195">
        <v>-15.627463000000001</v>
      </c>
      <c r="L87" s="199">
        <f t="shared" si="12"/>
        <v>15.627463000000001</v>
      </c>
      <c r="M87" s="199">
        <v>30.419198999999999</v>
      </c>
      <c r="N87" s="195" t="s">
        <v>3150</v>
      </c>
      <c r="O87" s="198">
        <v>40.299999999999997</v>
      </c>
      <c r="P87" s="198">
        <v>7.7</v>
      </c>
      <c r="Q87" s="201">
        <v>0.2</v>
      </c>
      <c r="R87" s="202">
        <f t="shared" si="13"/>
        <v>7.9181246047624818E-2</v>
      </c>
      <c r="S87" s="202">
        <v>0.19</v>
      </c>
      <c r="T87" s="203">
        <v>3.1080000000000001</v>
      </c>
      <c r="U87" s="204">
        <f t="shared" si="14"/>
        <v>0.49248101012887668</v>
      </c>
      <c r="V87" s="195" t="s">
        <v>3347</v>
      </c>
      <c r="W87" s="141">
        <v>79</v>
      </c>
      <c r="X87" s="141" t="s">
        <v>352</v>
      </c>
      <c r="Y87" s="142">
        <v>20</v>
      </c>
      <c r="Z87" s="142">
        <v>20</v>
      </c>
      <c r="AA87" s="142"/>
      <c r="AB87" s="142">
        <f>0.3/1000</f>
        <v>2.9999999999999997E-4</v>
      </c>
      <c r="AC87" s="142">
        <f t="shared" si="15"/>
        <v>-3.5228787452803374</v>
      </c>
      <c r="AD87" s="142"/>
      <c r="AE87" s="142">
        <f>0.3/1000</f>
        <v>2.9999999999999997E-4</v>
      </c>
      <c r="AF87" s="142">
        <f>LOG(AE87)</f>
        <v>-3.5228787452803374</v>
      </c>
      <c r="AG87" s="141" t="s">
        <v>3348</v>
      </c>
      <c r="AH87" s="142">
        <v>3</v>
      </c>
      <c r="AI87" s="142">
        <v>3</v>
      </c>
      <c r="AJ87" s="145">
        <v>37.5</v>
      </c>
      <c r="AK87" s="218">
        <f t="shared" si="16"/>
        <v>2.7999999999999972</v>
      </c>
      <c r="AL87" s="142" t="s">
        <v>1509</v>
      </c>
      <c r="AM87" s="142" t="s">
        <v>1509</v>
      </c>
      <c r="AW87" s="144"/>
      <c r="BB87" s="144"/>
    </row>
    <row r="88" spans="1:54" ht="15" customHeight="1">
      <c r="A88" s="195" t="s">
        <v>3373</v>
      </c>
      <c r="B88" s="195" t="s">
        <v>3374</v>
      </c>
      <c r="C88" s="195" t="s">
        <v>3242</v>
      </c>
      <c r="D88" s="195" t="s">
        <v>4184</v>
      </c>
      <c r="E88" s="196">
        <v>14</v>
      </c>
      <c r="F88" s="197">
        <f t="shared" si="10"/>
        <v>1.146128035678238</v>
      </c>
      <c r="G88" s="202">
        <v>0.75</v>
      </c>
      <c r="H88" s="202">
        <v>0.75</v>
      </c>
      <c r="I88" s="197">
        <f>LOG(G88)</f>
        <v>-0.12493873660829995</v>
      </c>
      <c r="J88" s="197">
        <f t="shared" si="11"/>
        <v>-0.12493873660829995</v>
      </c>
      <c r="K88" s="202">
        <v>23.84</v>
      </c>
      <c r="L88" s="199">
        <f t="shared" si="12"/>
        <v>23.84</v>
      </c>
      <c r="M88" s="202">
        <v>120.99</v>
      </c>
      <c r="N88" s="195" t="s">
        <v>3150</v>
      </c>
      <c r="O88" s="198">
        <v>38.4</v>
      </c>
      <c r="P88" s="198">
        <v>5.3</v>
      </c>
      <c r="Q88" s="201">
        <v>0.06</v>
      </c>
      <c r="R88" s="202">
        <f t="shared" si="13"/>
        <v>2.5305865264770262E-2</v>
      </c>
      <c r="S88" s="202">
        <v>0.17</v>
      </c>
      <c r="T88" s="203">
        <v>3.11</v>
      </c>
      <c r="U88" s="204">
        <f t="shared" si="14"/>
        <v>0.4927603890268375</v>
      </c>
      <c r="V88" s="195" t="s">
        <v>3314</v>
      </c>
      <c r="W88" s="141">
        <v>106</v>
      </c>
      <c r="X88" s="141" t="s">
        <v>352</v>
      </c>
      <c r="Y88" s="141">
        <f>AVERAGE(12,13,15)</f>
        <v>13.333333333333334</v>
      </c>
      <c r="Z88" s="141">
        <f>AVERAGE(14,13,16)</f>
        <v>14.333333333333334</v>
      </c>
      <c r="AA88" s="141">
        <f>AVERAGE(50.1,47.8)</f>
        <v>48.95</v>
      </c>
      <c r="AB88" s="142">
        <v>1.9827178506123866</v>
      </c>
      <c r="AC88" s="142">
        <f t="shared" si="15"/>
        <v>0.29726091660550585</v>
      </c>
      <c r="AD88" s="141">
        <f>AVERAGE(50.1,47.8)</f>
        <v>48.95</v>
      </c>
      <c r="AE88" s="142">
        <v>1.9827178506123866</v>
      </c>
      <c r="AF88" s="142">
        <f>LOG(AE88)</f>
        <v>0.29726091660550585</v>
      </c>
      <c r="AG88" s="141" t="s">
        <v>3315</v>
      </c>
      <c r="AH88" s="142">
        <v>3</v>
      </c>
      <c r="AI88" s="142">
        <v>3</v>
      </c>
      <c r="AJ88" s="145">
        <v>21.8</v>
      </c>
      <c r="AK88" s="218">
        <f t="shared" si="16"/>
        <v>16.599999999999998</v>
      </c>
      <c r="AL88" s="142" t="s">
        <v>1509</v>
      </c>
      <c r="AM88" s="142" t="s">
        <v>1509</v>
      </c>
      <c r="AO88" s="151"/>
      <c r="AS88" s="130"/>
      <c r="AW88" s="144"/>
      <c r="BB88" s="144"/>
    </row>
    <row r="89" spans="1:54" ht="15" customHeight="1">
      <c r="A89" s="195" t="s">
        <v>3375</v>
      </c>
      <c r="B89" s="195" t="s">
        <v>3376</v>
      </c>
      <c r="C89" s="195" t="s">
        <v>3368</v>
      </c>
      <c r="D89" s="195" t="s">
        <v>4184</v>
      </c>
      <c r="E89" s="196">
        <v>14</v>
      </c>
      <c r="F89" s="197">
        <f t="shared" si="10"/>
        <v>1.146128035678238</v>
      </c>
      <c r="G89" s="202">
        <v>0.25</v>
      </c>
      <c r="H89" s="202">
        <v>0.25</v>
      </c>
      <c r="I89" s="197">
        <f>LOG(G89)</f>
        <v>-0.6020599913279624</v>
      </c>
      <c r="J89" s="197">
        <f t="shared" si="11"/>
        <v>-0.6020599913279624</v>
      </c>
      <c r="K89" s="202">
        <v>23.84</v>
      </c>
      <c r="L89" s="199">
        <f t="shared" si="12"/>
        <v>23.84</v>
      </c>
      <c r="M89" s="202">
        <v>120.99</v>
      </c>
      <c r="N89" s="195" t="s">
        <v>3150</v>
      </c>
      <c r="O89" s="198">
        <v>38.299999999999997</v>
      </c>
      <c r="P89" s="198">
        <v>3.7</v>
      </c>
      <c r="Q89" s="201">
        <v>0.04</v>
      </c>
      <c r="R89" s="202">
        <f t="shared" si="13"/>
        <v>1.703333929878037E-2</v>
      </c>
      <c r="S89" s="202">
        <v>0.2</v>
      </c>
      <c r="T89" s="203">
        <v>3.11</v>
      </c>
      <c r="U89" s="204">
        <f t="shared" si="14"/>
        <v>0.4927603890268375</v>
      </c>
      <c r="V89" s="195" t="s">
        <v>3377</v>
      </c>
      <c r="W89" s="141">
        <v>107</v>
      </c>
      <c r="X89" s="141" t="s">
        <v>352</v>
      </c>
      <c r="Y89" s="141">
        <v>28</v>
      </c>
      <c r="Z89" s="141">
        <v>41</v>
      </c>
      <c r="AA89" s="141">
        <f>AVERAGE(389,438)</f>
        <v>413.5</v>
      </c>
      <c r="AB89" s="142">
        <v>74.260295157409942</v>
      </c>
      <c r="AC89" s="142">
        <f t="shared" si="15"/>
        <v>1.8707566710546928</v>
      </c>
      <c r="AD89" s="141">
        <f>AVERAGE(389,438)</f>
        <v>413.5</v>
      </c>
      <c r="AE89" s="142">
        <v>74.260295157409942</v>
      </c>
      <c r="AF89" s="142">
        <f>LOG(AE89)</f>
        <v>1.8707566710546928</v>
      </c>
      <c r="AG89" s="141" t="s">
        <v>3378</v>
      </c>
      <c r="AH89" s="142">
        <v>3</v>
      </c>
      <c r="AI89" s="142">
        <v>3</v>
      </c>
      <c r="AJ89" s="145">
        <v>21.8</v>
      </c>
      <c r="AK89" s="218">
        <f t="shared" si="16"/>
        <v>16.499999999999996</v>
      </c>
      <c r="AL89" s="142" t="s">
        <v>1509</v>
      </c>
      <c r="AM89" s="142" t="s">
        <v>1509</v>
      </c>
      <c r="AO89" s="151"/>
      <c r="AW89" s="144"/>
      <c r="BB89" s="144"/>
    </row>
    <row r="90" spans="1:54" ht="15" customHeight="1">
      <c r="A90" s="195" t="s">
        <v>3380</v>
      </c>
      <c r="B90" s="195" t="s">
        <v>3381</v>
      </c>
      <c r="C90" s="195" t="s">
        <v>3227</v>
      </c>
      <c r="D90" s="195" t="s">
        <v>4182</v>
      </c>
      <c r="E90" s="196">
        <v>2</v>
      </c>
      <c r="F90" s="197">
        <f t="shared" si="10"/>
        <v>0.3010299956639812</v>
      </c>
      <c r="G90" s="195" t="s">
        <v>3116</v>
      </c>
      <c r="H90" s="202">
        <v>0.34</v>
      </c>
      <c r="I90" s="197"/>
      <c r="J90" s="197">
        <f t="shared" si="11"/>
        <v>-0.46852108295774486</v>
      </c>
      <c r="K90" s="195">
        <v>-33.944167</v>
      </c>
      <c r="L90" s="199">
        <f t="shared" si="12"/>
        <v>33.944167</v>
      </c>
      <c r="M90" s="199">
        <v>19.024722000000001</v>
      </c>
      <c r="N90" s="195" t="s">
        <v>3174</v>
      </c>
      <c r="O90" s="198">
        <v>30.8</v>
      </c>
      <c r="P90" s="195" t="s">
        <v>3116</v>
      </c>
      <c r="Q90" s="201">
        <v>0.34</v>
      </c>
      <c r="R90" s="202">
        <f t="shared" si="13"/>
        <v>0.12710479836480765</v>
      </c>
      <c r="S90" s="195" t="s">
        <v>3116</v>
      </c>
      <c r="T90" s="203">
        <v>3.1339999999999999</v>
      </c>
      <c r="U90" s="204">
        <f t="shared" si="14"/>
        <v>0.4960989921325713</v>
      </c>
      <c r="V90" s="195" t="s">
        <v>3382</v>
      </c>
      <c r="W90" s="141">
        <v>83</v>
      </c>
      <c r="X90" s="141" t="s">
        <v>352</v>
      </c>
      <c r="Y90" s="142">
        <f>AVERAGE(31,52)</f>
        <v>41.5</v>
      </c>
      <c r="Z90" s="142"/>
      <c r="AA90" s="142"/>
      <c r="AB90" s="142">
        <f>5.35/1000</f>
        <v>5.3499999999999997E-3</v>
      </c>
      <c r="AC90" s="142">
        <f t="shared" si="15"/>
        <v>-2.2716462179787715</v>
      </c>
      <c r="AD90" s="142"/>
      <c r="AE90" s="142"/>
      <c r="AF90" s="142"/>
      <c r="AG90" s="141"/>
      <c r="AH90" s="142">
        <v>2</v>
      </c>
      <c r="AI90" s="142"/>
      <c r="AJ90" s="142">
        <v>27</v>
      </c>
      <c r="AK90" s="218">
        <f t="shared" si="16"/>
        <v>3.8000000000000007</v>
      </c>
      <c r="AL90" s="142" t="s">
        <v>1509</v>
      </c>
      <c r="AM90" s="142" t="s">
        <v>1509</v>
      </c>
      <c r="AO90" s="151"/>
      <c r="AW90" s="144"/>
      <c r="BB90" s="144"/>
    </row>
    <row r="91" spans="1:54" ht="17.100000000000001" customHeight="1">
      <c r="A91" s="195" t="s">
        <v>3384</v>
      </c>
      <c r="B91" s="195" t="s">
        <v>3385</v>
      </c>
      <c r="C91" s="195" t="s">
        <v>3386</v>
      </c>
      <c r="D91" s="195" t="s">
        <v>4183</v>
      </c>
      <c r="E91" s="196">
        <v>120</v>
      </c>
      <c r="F91" s="197">
        <f t="shared" si="10"/>
        <v>2.0791812460476247</v>
      </c>
      <c r="G91" s="195" t="s">
        <v>3116</v>
      </c>
      <c r="H91" s="202">
        <v>0.93</v>
      </c>
      <c r="I91" s="197"/>
      <c r="J91" s="197">
        <f t="shared" si="11"/>
        <v>-3.1517051446064863E-2</v>
      </c>
      <c r="K91" s="199">
        <v>48.657117</v>
      </c>
      <c r="L91" s="199">
        <f t="shared" si="12"/>
        <v>48.657117</v>
      </c>
      <c r="M91" s="195">
        <v>-1.6244350000000001</v>
      </c>
      <c r="N91" s="195" t="s">
        <v>3117</v>
      </c>
      <c r="O91" s="198">
        <v>35.9</v>
      </c>
      <c r="P91" s="195" t="s">
        <v>3116</v>
      </c>
      <c r="Q91" s="201">
        <v>0.5</v>
      </c>
      <c r="R91" s="202">
        <f t="shared" si="13"/>
        <v>0.17609125905568124</v>
      </c>
      <c r="S91" s="195" t="s">
        <v>3116</v>
      </c>
      <c r="T91" s="203">
        <v>3.1538666700000002</v>
      </c>
      <c r="U91" s="204">
        <f t="shared" si="14"/>
        <v>0.49884332954227739</v>
      </c>
      <c r="V91" s="195" t="s">
        <v>3387</v>
      </c>
      <c r="W91" s="141">
        <v>20</v>
      </c>
      <c r="X91" s="141" t="s">
        <v>352</v>
      </c>
      <c r="Y91" s="141">
        <v>20</v>
      </c>
      <c r="Z91" s="141"/>
      <c r="AA91" s="141">
        <f>10.8*2.5</f>
        <v>27</v>
      </c>
      <c r="AB91" s="142">
        <v>0.16106710538603669</v>
      </c>
      <c r="AC91" s="142">
        <f t="shared" si="15"/>
        <v>-0.792993146160755</v>
      </c>
      <c r="AD91" s="142"/>
      <c r="AE91" s="142"/>
      <c r="AF91" s="142"/>
      <c r="AG91" s="141" t="s">
        <v>3388</v>
      </c>
      <c r="AH91" s="145">
        <v>2</v>
      </c>
      <c r="AI91" s="145"/>
      <c r="AJ91" s="142" t="s">
        <v>355</v>
      </c>
      <c r="AK91" s="218"/>
      <c r="AL91" s="142" t="s">
        <v>1509</v>
      </c>
      <c r="AM91" s="142" t="s">
        <v>4232</v>
      </c>
      <c r="AO91" s="151"/>
      <c r="AW91" s="144"/>
      <c r="BB91" s="144"/>
    </row>
    <row r="92" spans="1:54" ht="18" customHeight="1">
      <c r="A92" s="195" t="s">
        <v>3329</v>
      </c>
      <c r="B92" s="195" t="s">
        <v>3385</v>
      </c>
      <c r="C92" s="195" t="s">
        <v>3262</v>
      </c>
      <c r="D92" s="195" t="s">
        <v>4183</v>
      </c>
      <c r="E92" s="196">
        <v>7</v>
      </c>
      <c r="F92" s="197">
        <f t="shared" si="10"/>
        <v>0.84509804001425681</v>
      </c>
      <c r="G92" s="195" t="s">
        <v>3116</v>
      </c>
      <c r="H92" s="202">
        <v>0.75</v>
      </c>
      <c r="I92" s="197"/>
      <c r="J92" s="197">
        <f t="shared" si="11"/>
        <v>-0.12493873660829995</v>
      </c>
      <c r="K92" s="199">
        <v>50.724786000000002</v>
      </c>
      <c r="L92" s="199">
        <f t="shared" si="12"/>
        <v>50.724786000000002</v>
      </c>
      <c r="M92" s="195">
        <v>-1.517822</v>
      </c>
      <c r="N92" s="195" t="s">
        <v>3117</v>
      </c>
      <c r="O92" s="196">
        <v>36</v>
      </c>
      <c r="P92" s="195" t="s">
        <v>3116</v>
      </c>
      <c r="Q92" s="201">
        <v>0.23</v>
      </c>
      <c r="R92" s="202">
        <f t="shared" si="13"/>
        <v>8.9905111439397931E-2</v>
      </c>
      <c r="S92" s="195" t="s">
        <v>3116</v>
      </c>
      <c r="T92" s="203">
        <v>3.1723585679999999</v>
      </c>
      <c r="U92" s="204">
        <f t="shared" si="14"/>
        <v>0.50138226922021889</v>
      </c>
      <c r="V92" s="195" t="s">
        <v>3331</v>
      </c>
      <c r="W92" s="141">
        <v>18</v>
      </c>
      <c r="X92" s="141" t="s">
        <v>352</v>
      </c>
      <c r="Y92" s="141">
        <v>25</v>
      </c>
      <c r="Z92" s="141"/>
      <c r="AA92" s="141">
        <f>AVERAGE(40.5, 38.3, 38, 36.8, 33, 33.8 )</f>
        <v>36.733333333333327</v>
      </c>
      <c r="AB92" s="142">
        <v>0.3</v>
      </c>
      <c r="AC92" s="142">
        <f t="shared" si="15"/>
        <v>-0.52287874528033762</v>
      </c>
      <c r="AD92" s="142"/>
      <c r="AE92" s="142"/>
      <c r="AF92" s="142"/>
      <c r="AG92" s="141" t="s">
        <v>3390</v>
      </c>
      <c r="AH92" s="142">
        <v>4</v>
      </c>
      <c r="AI92" s="145">
        <v>4</v>
      </c>
      <c r="AJ92" s="142" t="s">
        <v>355</v>
      </c>
      <c r="AK92" s="218"/>
      <c r="AL92" s="142" t="s">
        <v>1509</v>
      </c>
      <c r="AM92" s="142" t="s">
        <v>4232</v>
      </c>
      <c r="AO92" s="151"/>
      <c r="AW92" s="144"/>
      <c r="BB92" s="144"/>
    </row>
    <row r="93" spans="1:54" ht="15.95" customHeight="1">
      <c r="A93" s="195" t="s">
        <v>3399</v>
      </c>
      <c r="B93" s="195" t="s">
        <v>3400</v>
      </c>
      <c r="C93" s="195" t="s">
        <v>3164</v>
      </c>
      <c r="D93" s="195" t="s">
        <v>4183</v>
      </c>
      <c r="E93" s="196">
        <v>21</v>
      </c>
      <c r="F93" s="197">
        <f t="shared" si="10"/>
        <v>1.3222192947339193</v>
      </c>
      <c r="G93" s="195" t="s">
        <v>3116</v>
      </c>
      <c r="H93" s="198">
        <v>0.2</v>
      </c>
      <c r="I93" s="197"/>
      <c r="J93" s="197">
        <f t="shared" si="11"/>
        <v>-0.69897000433601875</v>
      </c>
      <c r="K93" s="199">
        <v>54.691744999999997</v>
      </c>
      <c r="L93" s="199">
        <f t="shared" si="12"/>
        <v>54.691744999999997</v>
      </c>
      <c r="M93" s="195">
        <v>-1.163</v>
      </c>
      <c r="N93" s="195" t="s">
        <v>3117</v>
      </c>
      <c r="O93" s="198">
        <v>35.799999999999997</v>
      </c>
      <c r="P93" s="195" t="s">
        <v>3116</v>
      </c>
      <c r="Q93" s="201">
        <v>0.16</v>
      </c>
      <c r="R93" s="202">
        <f t="shared" si="13"/>
        <v>6.445798922691845E-2</v>
      </c>
      <c r="S93" s="195" t="s">
        <v>3116</v>
      </c>
      <c r="T93" s="203">
        <v>3.277097022</v>
      </c>
      <c r="U93" s="204">
        <f t="shared" si="14"/>
        <v>0.51548929933033871</v>
      </c>
      <c r="V93" s="195" t="s">
        <v>3397</v>
      </c>
      <c r="W93" s="141">
        <v>17</v>
      </c>
      <c r="X93" s="141" t="s">
        <v>352</v>
      </c>
      <c r="Y93" s="142">
        <v>6</v>
      </c>
      <c r="Z93" s="142"/>
      <c r="AA93" s="142">
        <v>65</v>
      </c>
      <c r="AB93" s="142">
        <v>55</v>
      </c>
      <c r="AC93" s="142">
        <f t="shared" si="15"/>
        <v>1.7403626894942439</v>
      </c>
      <c r="AD93" s="142"/>
      <c r="AE93" s="142"/>
      <c r="AF93" s="142"/>
      <c r="AG93" s="141" t="s">
        <v>3401</v>
      </c>
      <c r="AH93" s="145">
        <v>3</v>
      </c>
      <c r="AI93" s="145"/>
      <c r="AJ93" s="142" t="s">
        <v>355</v>
      </c>
      <c r="AK93" s="218"/>
      <c r="AL93" s="142" t="s">
        <v>1509</v>
      </c>
      <c r="AM93" s="142" t="s">
        <v>4232</v>
      </c>
      <c r="AN93" s="130"/>
      <c r="AO93" s="130"/>
      <c r="AW93" s="144"/>
      <c r="BB93" s="144"/>
    </row>
    <row r="94" spans="1:54" ht="15" customHeight="1">
      <c r="A94" s="195" t="s">
        <v>3402</v>
      </c>
      <c r="B94" s="195" t="s">
        <v>3403</v>
      </c>
      <c r="C94" s="195" t="s">
        <v>3404</v>
      </c>
      <c r="D94" s="195" t="s">
        <v>4182</v>
      </c>
      <c r="E94" s="196">
        <v>7</v>
      </c>
      <c r="F94" s="197">
        <f t="shared" si="10"/>
        <v>0.84509804001425681</v>
      </c>
      <c r="G94" s="202">
        <v>0.05</v>
      </c>
      <c r="H94" s="202">
        <v>0.05</v>
      </c>
      <c r="I94" s="197">
        <f>LOG(G94)</f>
        <v>-1.3010299956639813</v>
      </c>
      <c r="J94" s="197">
        <f t="shared" si="11"/>
        <v>-1.3010299956639813</v>
      </c>
      <c r="K94" s="195">
        <v>-33.916666999999997</v>
      </c>
      <c r="L94" s="199">
        <f t="shared" si="12"/>
        <v>33.916666999999997</v>
      </c>
      <c r="M94" s="202">
        <v>18.850000000000001</v>
      </c>
      <c r="N94" s="195" t="s">
        <v>3150</v>
      </c>
      <c r="O94" s="196">
        <v>40</v>
      </c>
      <c r="P94" s="196">
        <v>0</v>
      </c>
      <c r="Q94" s="201">
        <v>0.08</v>
      </c>
      <c r="R94" s="202">
        <f t="shared" si="13"/>
        <v>3.342375548694973E-2</v>
      </c>
      <c r="S94" s="202">
        <v>0.03</v>
      </c>
      <c r="T94" s="203">
        <v>3.4159999999999999</v>
      </c>
      <c r="U94" s="204">
        <f t="shared" si="14"/>
        <v>0.53351786201696749</v>
      </c>
      <c r="V94" s="195" t="s">
        <v>3405</v>
      </c>
      <c r="W94" s="141">
        <v>86</v>
      </c>
      <c r="X94" s="141" t="s">
        <v>352</v>
      </c>
      <c r="Y94" s="142">
        <v>50</v>
      </c>
      <c r="Z94" s="142">
        <v>50</v>
      </c>
      <c r="AA94" s="142"/>
      <c r="AB94" s="142">
        <f>0.5/1000</f>
        <v>5.0000000000000001E-4</v>
      </c>
      <c r="AC94" s="142">
        <f t="shared" si="15"/>
        <v>-3.3010299956639813</v>
      </c>
      <c r="AD94" s="142"/>
      <c r="AE94" s="142">
        <f>0.5/1000</f>
        <v>5.0000000000000001E-4</v>
      </c>
      <c r="AF94" s="142">
        <f>LOG(AE94)</f>
        <v>-3.3010299956639813</v>
      </c>
      <c r="AG94" s="141" t="s">
        <v>3406</v>
      </c>
      <c r="AH94" s="142">
        <v>4</v>
      </c>
      <c r="AI94" s="142">
        <v>4</v>
      </c>
      <c r="AJ94" s="145">
        <v>27.7</v>
      </c>
      <c r="AK94" s="218">
        <f t="shared" si="16"/>
        <v>12.3</v>
      </c>
      <c r="AL94" s="142" t="s">
        <v>1509</v>
      </c>
      <c r="AM94" s="142" t="s">
        <v>1509</v>
      </c>
      <c r="AO94" s="151"/>
      <c r="AW94" s="144"/>
      <c r="BB94" s="144"/>
    </row>
    <row r="95" spans="1:54" ht="15" customHeight="1">
      <c r="A95" s="195" t="s">
        <v>3408</v>
      </c>
      <c r="B95" s="195" t="s">
        <v>3409</v>
      </c>
      <c r="C95" s="195" t="s">
        <v>3170</v>
      </c>
      <c r="D95" s="195" t="s">
        <v>4181</v>
      </c>
      <c r="E95" s="196">
        <v>10</v>
      </c>
      <c r="F95" s="197">
        <f t="shared" si="10"/>
        <v>1</v>
      </c>
      <c r="G95" s="195" t="s">
        <v>3116</v>
      </c>
      <c r="H95" s="196">
        <v>1</v>
      </c>
      <c r="I95" s="197"/>
      <c r="J95" s="197">
        <f t="shared" si="11"/>
        <v>0</v>
      </c>
      <c r="K95" s="195">
        <v>-42.300244999999997</v>
      </c>
      <c r="L95" s="199">
        <f t="shared" si="12"/>
        <v>42.300244999999997</v>
      </c>
      <c r="M95" s="199">
        <v>147.37099900000001</v>
      </c>
      <c r="N95" s="195" t="s">
        <v>3150</v>
      </c>
      <c r="O95" s="198">
        <v>33.5</v>
      </c>
      <c r="P95" s="195" t="s">
        <v>3116</v>
      </c>
      <c r="Q95" s="201">
        <v>0.14000000000000001</v>
      </c>
      <c r="R95" s="202">
        <f t="shared" si="13"/>
        <v>5.6904851336472641E-2</v>
      </c>
      <c r="S95" s="195" t="s">
        <v>3116</v>
      </c>
      <c r="T95" s="203">
        <v>3.4180000000000001</v>
      </c>
      <c r="U95" s="204">
        <f t="shared" si="14"/>
        <v>0.53377205838471808</v>
      </c>
      <c r="V95" s="195" t="s">
        <v>3287</v>
      </c>
      <c r="W95" s="141">
        <v>4</v>
      </c>
      <c r="X95" s="141" t="s">
        <v>352</v>
      </c>
      <c r="Y95" s="141">
        <v>15</v>
      </c>
      <c r="Z95" s="142"/>
      <c r="AA95" s="145">
        <v>33</v>
      </c>
      <c r="AB95" s="141">
        <v>2.8375914576167496</v>
      </c>
      <c r="AC95" s="142">
        <f t="shared" si="15"/>
        <v>0.45294986805075826</v>
      </c>
      <c r="AD95" s="141"/>
      <c r="AE95" s="141"/>
      <c r="AF95" s="141"/>
      <c r="AG95" s="141" t="s">
        <v>3152</v>
      </c>
      <c r="AH95" s="142">
        <v>2</v>
      </c>
      <c r="AI95" s="142"/>
      <c r="AJ95" s="145">
        <v>21.4</v>
      </c>
      <c r="AK95" s="218">
        <f t="shared" si="16"/>
        <v>12.100000000000001</v>
      </c>
      <c r="AL95" s="142" t="s">
        <v>1509</v>
      </c>
      <c r="AM95" s="142" t="s">
        <v>1509</v>
      </c>
      <c r="AO95" s="151"/>
      <c r="AW95" s="144"/>
      <c r="BB95" s="144"/>
    </row>
    <row r="96" spans="1:54" ht="15" customHeight="1">
      <c r="A96" s="195" t="s">
        <v>3329</v>
      </c>
      <c r="B96" s="195" t="s">
        <v>3416</v>
      </c>
      <c r="C96" s="195" t="s">
        <v>3324</v>
      </c>
      <c r="D96" s="195" t="s">
        <v>4183</v>
      </c>
      <c r="E96" s="196">
        <v>7</v>
      </c>
      <c r="F96" s="197">
        <f t="shared" si="10"/>
        <v>0.84509804001425681</v>
      </c>
      <c r="G96" s="195" t="s">
        <v>3116</v>
      </c>
      <c r="H96" s="202">
        <v>0.75</v>
      </c>
      <c r="I96" s="197"/>
      <c r="J96" s="197">
        <f t="shared" si="11"/>
        <v>-0.12493873660829995</v>
      </c>
      <c r="K96" s="199">
        <v>51.492167000000002</v>
      </c>
      <c r="L96" s="199">
        <f t="shared" si="12"/>
        <v>51.492167000000002</v>
      </c>
      <c r="M96" s="199">
        <v>0.848306</v>
      </c>
      <c r="N96" s="195" t="s">
        <v>3117</v>
      </c>
      <c r="O96" s="198">
        <v>27.6</v>
      </c>
      <c r="P96" s="195" t="s">
        <v>3116</v>
      </c>
      <c r="Q96" s="201">
        <v>0.26</v>
      </c>
      <c r="R96" s="202">
        <f t="shared" si="13"/>
        <v>0.10037054511756291</v>
      </c>
      <c r="S96" s="195" t="s">
        <v>3116</v>
      </c>
      <c r="T96" s="203">
        <v>3.5723105620000002</v>
      </c>
      <c r="U96" s="204">
        <f t="shared" si="14"/>
        <v>0.55294920763531175</v>
      </c>
      <c r="V96" s="195" t="s">
        <v>3331</v>
      </c>
      <c r="W96" s="141">
        <v>18</v>
      </c>
      <c r="X96" s="141" t="s">
        <v>352</v>
      </c>
      <c r="Y96" s="141">
        <v>28</v>
      </c>
      <c r="Z96" s="141"/>
      <c r="AA96" s="141"/>
      <c r="AB96" s="142">
        <v>1.2</v>
      </c>
      <c r="AC96" s="142">
        <f t="shared" si="15"/>
        <v>7.9181246047624818E-2</v>
      </c>
      <c r="AD96" s="142"/>
      <c r="AE96" s="142"/>
      <c r="AF96" s="142"/>
      <c r="AG96" s="141"/>
      <c r="AH96" s="142">
        <v>4</v>
      </c>
      <c r="AI96" s="145">
        <v>4</v>
      </c>
      <c r="AJ96" s="145" t="s">
        <v>355</v>
      </c>
      <c r="AK96" s="218"/>
      <c r="AL96" s="142" t="s">
        <v>1509</v>
      </c>
      <c r="AM96" s="142" t="s">
        <v>4232</v>
      </c>
      <c r="AO96" s="153"/>
      <c r="AW96" s="144"/>
      <c r="BB96" s="144"/>
    </row>
    <row r="97" spans="1:54" ht="15" customHeight="1">
      <c r="A97" s="195" t="s">
        <v>3154</v>
      </c>
      <c r="B97" s="195" t="s">
        <v>3360</v>
      </c>
      <c r="C97" s="195" t="s">
        <v>3250</v>
      </c>
      <c r="D97" s="195" t="s">
        <v>4181</v>
      </c>
      <c r="E97" s="196">
        <v>14</v>
      </c>
      <c r="F97" s="197">
        <f t="shared" si="10"/>
        <v>1.146128035678238</v>
      </c>
      <c r="G97" s="195" t="s">
        <v>3116</v>
      </c>
      <c r="H97" s="196">
        <v>1</v>
      </c>
      <c r="I97" s="197"/>
      <c r="J97" s="197">
        <f t="shared" si="11"/>
        <v>0</v>
      </c>
      <c r="K97" s="199">
        <v>33.646965999999999</v>
      </c>
      <c r="L97" s="199">
        <f t="shared" si="12"/>
        <v>33.646965999999999</v>
      </c>
      <c r="M97" s="195">
        <v>-117.689218</v>
      </c>
      <c r="N97" s="195" t="s">
        <v>3150</v>
      </c>
      <c r="O97" s="198">
        <v>37.799999999999997</v>
      </c>
      <c r="P97" s="195" t="s">
        <v>3116</v>
      </c>
      <c r="Q97" s="201">
        <v>0.11</v>
      </c>
      <c r="R97" s="202">
        <f t="shared" si="13"/>
        <v>4.5322978786657475E-2</v>
      </c>
      <c r="S97" s="195" t="s">
        <v>3116</v>
      </c>
      <c r="T97" s="203">
        <v>3.597</v>
      </c>
      <c r="U97" s="204">
        <f t="shared" si="14"/>
        <v>0.5559404378185111</v>
      </c>
      <c r="V97" s="195" t="s">
        <v>3151</v>
      </c>
      <c r="W97" s="141">
        <v>2</v>
      </c>
      <c r="X97" s="141" t="s">
        <v>352</v>
      </c>
      <c r="Y97" s="141">
        <v>10</v>
      </c>
      <c r="Z97" s="145"/>
      <c r="AA97" s="145">
        <v>113</v>
      </c>
      <c r="AB97" s="142">
        <v>128.75559640704762</v>
      </c>
      <c r="AC97" s="142">
        <f t="shared" si="15"/>
        <v>2.1097661148850926</v>
      </c>
      <c r="AD97" s="142"/>
      <c r="AE97" s="142"/>
      <c r="AF97" s="142"/>
      <c r="AG97" s="141" t="s">
        <v>3152</v>
      </c>
      <c r="AH97" s="142">
        <v>3</v>
      </c>
      <c r="AI97" s="142"/>
      <c r="AJ97" s="142">
        <v>28.7</v>
      </c>
      <c r="AK97" s="218">
        <f t="shared" si="16"/>
        <v>9.0999999999999979</v>
      </c>
      <c r="AL97" s="142" t="s">
        <v>1509</v>
      </c>
      <c r="AM97" s="142" t="s">
        <v>1509</v>
      </c>
      <c r="AO97" s="130"/>
      <c r="AP97" s="130"/>
      <c r="AQ97" s="130"/>
      <c r="AR97" s="130"/>
      <c r="AW97" s="144"/>
      <c r="BB97" s="144"/>
    </row>
    <row r="98" spans="1:54" ht="15" customHeight="1">
      <c r="A98" s="195" t="s">
        <v>3418</v>
      </c>
      <c r="B98" s="195" t="s">
        <v>3419</v>
      </c>
      <c r="C98" s="195" t="s">
        <v>3420</v>
      </c>
      <c r="D98" s="195" t="s">
        <v>4181</v>
      </c>
      <c r="E98" s="196">
        <v>14</v>
      </c>
      <c r="F98" s="197">
        <f t="shared" si="10"/>
        <v>1.146128035678238</v>
      </c>
      <c r="G98" s="195" t="s">
        <v>3116</v>
      </c>
      <c r="H98" s="196">
        <v>1</v>
      </c>
      <c r="I98" s="197"/>
      <c r="J98" s="197">
        <f t="shared" si="11"/>
        <v>0</v>
      </c>
      <c r="K98" s="199">
        <v>33.646965999999999</v>
      </c>
      <c r="L98" s="199">
        <f t="shared" si="12"/>
        <v>33.646965999999999</v>
      </c>
      <c r="M98" s="195">
        <v>-117.689218</v>
      </c>
      <c r="N98" s="195" t="s">
        <v>3150</v>
      </c>
      <c r="O98" s="198">
        <v>36.6</v>
      </c>
      <c r="P98" s="195" t="s">
        <v>3116</v>
      </c>
      <c r="Q98" s="201">
        <v>0.19</v>
      </c>
      <c r="R98" s="202">
        <f t="shared" si="13"/>
        <v>7.554696139253074E-2</v>
      </c>
      <c r="S98" s="195" t="s">
        <v>3116</v>
      </c>
      <c r="T98" s="203">
        <v>3.597</v>
      </c>
      <c r="U98" s="204">
        <f t="shared" si="14"/>
        <v>0.5559404378185111</v>
      </c>
      <c r="V98" s="195" t="s">
        <v>3151</v>
      </c>
      <c r="W98" s="141">
        <v>2</v>
      </c>
      <c r="X98" s="141" t="s">
        <v>352</v>
      </c>
      <c r="Y98" s="141">
        <v>10</v>
      </c>
      <c r="Z98" s="145"/>
      <c r="AA98" s="145">
        <v>33</v>
      </c>
      <c r="AB98" s="142">
        <v>2.9385630097303546</v>
      </c>
      <c r="AC98" s="142">
        <f t="shared" si="15"/>
        <v>0.46813500744953768</v>
      </c>
      <c r="AD98" s="142"/>
      <c r="AE98" s="142"/>
      <c r="AF98" s="142"/>
      <c r="AG98" s="141" t="s">
        <v>3152</v>
      </c>
      <c r="AH98" s="142">
        <v>2</v>
      </c>
      <c r="AI98" s="142"/>
      <c r="AJ98" s="142">
        <v>28.7</v>
      </c>
      <c r="AK98" s="218">
        <f t="shared" si="16"/>
        <v>7.9000000000000021</v>
      </c>
      <c r="AL98" s="142" t="s">
        <v>1509</v>
      </c>
      <c r="AM98" s="142" t="s">
        <v>1509</v>
      </c>
      <c r="AN98" s="168"/>
      <c r="AW98" s="144"/>
      <c r="BB98" s="144"/>
    </row>
    <row r="99" spans="1:54" ht="15" customHeight="1">
      <c r="A99" s="195" t="s">
        <v>3421</v>
      </c>
      <c r="B99" s="195" t="s">
        <v>3422</v>
      </c>
      <c r="C99" s="195" t="s">
        <v>3423</v>
      </c>
      <c r="D99" s="195" t="s">
        <v>4181</v>
      </c>
      <c r="E99" s="196">
        <v>14</v>
      </c>
      <c r="F99" s="197">
        <f t="shared" si="10"/>
        <v>1.146128035678238</v>
      </c>
      <c r="G99" s="195" t="s">
        <v>3116</v>
      </c>
      <c r="H99" s="196">
        <v>1</v>
      </c>
      <c r="I99" s="197"/>
      <c r="J99" s="197">
        <f t="shared" si="11"/>
        <v>0</v>
      </c>
      <c r="K99" s="199">
        <v>33.646965999999999</v>
      </c>
      <c r="L99" s="199">
        <f t="shared" si="12"/>
        <v>33.646965999999999</v>
      </c>
      <c r="M99" s="195">
        <v>-117.689218</v>
      </c>
      <c r="N99" s="195" t="s">
        <v>3150</v>
      </c>
      <c r="O99" s="198">
        <v>40.299999999999997</v>
      </c>
      <c r="P99" s="195" t="s">
        <v>3116</v>
      </c>
      <c r="Q99" s="201">
        <v>0.19</v>
      </c>
      <c r="R99" s="202">
        <f t="shared" si="13"/>
        <v>7.554696139253074E-2</v>
      </c>
      <c r="S99" s="195" t="s">
        <v>3116</v>
      </c>
      <c r="T99" s="203">
        <v>3.597</v>
      </c>
      <c r="U99" s="204">
        <f t="shared" si="14"/>
        <v>0.5559404378185111</v>
      </c>
      <c r="V99" s="195" t="s">
        <v>3151</v>
      </c>
      <c r="W99" s="141">
        <v>2</v>
      </c>
      <c r="X99" s="141" t="s">
        <v>352</v>
      </c>
      <c r="Y99" s="141">
        <v>10</v>
      </c>
      <c r="Z99" s="145"/>
      <c r="AA99" s="145">
        <v>55</v>
      </c>
      <c r="AB99" s="142">
        <v>14.739803551052077</v>
      </c>
      <c r="AC99" s="142">
        <f t="shared" si="15"/>
        <v>1.1684916953776734</v>
      </c>
      <c r="AD99" s="142"/>
      <c r="AE99" s="142"/>
      <c r="AF99" s="142"/>
      <c r="AG99" s="141" t="s">
        <v>3152</v>
      </c>
      <c r="AH99" s="142">
        <v>2</v>
      </c>
      <c r="AI99" s="142"/>
      <c r="AJ99" s="145">
        <v>28.7</v>
      </c>
      <c r="AK99" s="218">
        <f t="shared" si="16"/>
        <v>11.599999999999998</v>
      </c>
      <c r="AL99" s="142" t="s">
        <v>1509</v>
      </c>
      <c r="AM99" s="142" t="s">
        <v>1509</v>
      </c>
      <c r="AO99" s="130"/>
      <c r="AP99" s="130"/>
      <c r="AQ99" s="130"/>
      <c r="AR99" s="130"/>
      <c r="AW99" s="144"/>
      <c r="BB99" s="144"/>
    </row>
    <row r="100" spans="1:54" ht="15" customHeight="1">
      <c r="A100" s="195" t="s">
        <v>3408</v>
      </c>
      <c r="B100" s="195" t="s">
        <v>3409</v>
      </c>
      <c r="C100" s="195" t="s">
        <v>3170</v>
      </c>
      <c r="D100" s="195" t="s">
        <v>4181</v>
      </c>
      <c r="E100" s="196">
        <v>10</v>
      </c>
      <c r="F100" s="197">
        <f t="shared" si="10"/>
        <v>1</v>
      </c>
      <c r="G100" s="195" t="s">
        <v>3116</v>
      </c>
      <c r="H100" s="196">
        <v>1</v>
      </c>
      <c r="I100" s="197"/>
      <c r="J100" s="197">
        <f t="shared" si="11"/>
        <v>0</v>
      </c>
      <c r="K100" s="195">
        <v>-37.87133</v>
      </c>
      <c r="L100" s="199">
        <f t="shared" si="12"/>
        <v>37.87133</v>
      </c>
      <c r="M100" s="200">
        <v>145.24245999999999</v>
      </c>
      <c r="N100" s="195" t="s">
        <v>3150</v>
      </c>
      <c r="O100" s="198">
        <v>33.5</v>
      </c>
      <c r="P100" s="195" t="s">
        <v>3116</v>
      </c>
      <c r="Q100" s="201">
        <v>0.03</v>
      </c>
      <c r="R100" s="202">
        <f t="shared" si="13"/>
        <v>1.2837224705172217E-2</v>
      </c>
      <c r="S100" s="195" t="s">
        <v>3116</v>
      </c>
      <c r="T100" s="203">
        <v>3.7530000000000001</v>
      </c>
      <c r="U100" s="204">
        <f t="shared" si="14"/>
        <v>0.57437856441308244</v>
      </c>
      <c r="V100" s="195" t="s">
        <v>3287</v>
      </c>
      <c r="W100" s="141">
        <v>4</v>
      </c>
      <c r="X100" s="141" t="s">
        <v>352</v>
      </c>
      <c r="Y100" s="141">
        <v>13</v>
      </c>
      <c r="Z100" s="142"/>
      <c r="AA100" s="145">
        <v>33</v>
      </c>
      <c r="AB100" s="141">
        <v>2.8375914576167496</v>
      </c>
      <c r="AC100" s="142">
        <f t="shared" si="15"/>
        <v>0.45294986805075826</v>
      </c>
      <c r="AD100" s="141"/>
      <c r="AE100" s="141"/>
      <c r="AF100" s="141"/>
      <c r="AG100" s="141" t="s">
        <v>3152</v>
      </c>
      <c r="AH100" s="142">
        <v>2</v>
      </c>
      <c r="AI100" s="142"/>
      <c r="AJ100" s="142">
        <v>26.2</v>
      </c>
      <c r="AK100" s="218">
        <f t="shared" si="16"/>
        <v>7.3000000000000007</v>
      </c>
      <c r="AL100" s="142" t="s">
        <v>1509</v>
      </c>
      <c r="AM100" s="142" t="s">
        <v>1509</v>
      </c>
      <c r="AN100" s="168"/>
      <c r="AW100" s="144"/>
      <c r="BB100" s="144"/>
    </row>
    <row r="101" spans="1:54" ht="15" customHeight="1">
      <c r="A101" s="195" t="s">
        <v>3285</v>
      </c>
      <c r="B101" s="195" t="s">
        <v>3425</v>
      </c>
      <c r="C101" s="195" t="s">
        <v>3282</v>
      </c>
      <c r="D101" s="195" t="s">
        <v>4181</v>
      </c>
      <c r="E101" s="196">
        <v>10</v>
      </c>
      <c r="F101" s="197">
        <f t="shared" si="10"/>
        <v>1</v>
      </c>
      <c r="G101" s="195" t="s">
        <v>3116</v>
      </c>
      <c r="H101" s="196">
        <v>1</v>
      </c>
      <c r="I101" s="197"/>
      <c r="J101" s="197">
        <f t="shared" si="11"/>
        <v>0</v>
      </c>
      <c r="K101" s="195">
        <v>-37.87133</v>
      </c>
      <c r="L101" s="199">
        <f t="shared" si="12"/>
        <v>37.87133</v>
      </c>
      <c r="M101" s="200">
        <v>145.24245999999999</v>
      </c>
      <c r="N101" s="195" t="s">
        <v>3150</v>
      </c>
      <c r="O101" s="196">
        <v>34</v>
      </c>
      <c r="P101" s="195" t="s">
        <v>3116</v>
      </c>
      <c r="Q101" s="201">
        <v>0.14000000000000001</v>
      </c>
      <c r="R101" s="202">
        <f t="shared" si="13"/>
        <v>5.6904851336472641E-2</v>
      </c>
      <c r="S101" s="195" t="s">
        <v>3116</v>
      </c>
      <c r="T101" s="203">
        <v>3.7530000000000001</v>
      </c>
      <c r="U101" s="204">
        <f t="shared" si="14"/>
        <v>0.57437856441308244</v>
      </c>
      <c r="V101" s="195" t="s">
        <v>3287</v>
      </c>
      <c r="W101" s="141">
        <v>4</v>
      </c>
      <c r="X101" s="141" t="s">
        <v>352</v>
      </c>
      <c r="Y101" s="141">
        <v>53</v>
      </c>
      <c r="Z101" s="142"/>
      <c r="AA101" s="145">
        <v>33</v>
      </c>
      <c r="AB101" s="142">
        <v>2.4008038575737882</v>
      </c>
      <c r="AC101" s="142">
        <f t="shared" si="15"/>
        <v>0.38035668023488345</v>
      </c>
      <c r="AD101" s="142"/>
      <c r="AE101" s="142"/>
      <c r="AF101" s="142"/>
      <c r="AG101" s="141" t="s">
        <v>3152</v>
      </c>
      <c r="AH101" s="145">
        <v>2</v>
      </c>
      <c r="AI101" s="145"/>
      <c r="AJ101" s="142">
        <v>26.2</v>
      </c>
      <c r="AK101" s="218">
        <f t="shared" si="16"/>
        <v>7.8000000000000007</v>
      </c>
      <c r="AL101" s="142" t="s">
        <v>1509</v>
      </c>
      <c r="AM101" s="142" t="s">
        <v>1509</v>
      </c>
      <c r="AO101" s="151"/>
      <c r="AW101" s="144"/>
      <c r="BB101" s="144"/>
    </row>
    <row r="102" spans="1:54" ht="15" customHeight="1">
      <c r="A102" s="195" t="s">
        <v>3408</v>
      </c>
      <c r="B102" s="195" t="s">
        <v>3409</v>
      </c>
      <c r="C102" s="195" t="s">
        <v>3170</v>
      </c>
      <c r="D102" s="195" t="s">
        <v>4181</v>
      </c>
      <c r="E102" s="196">
        <v>10</v>
      </c>
      <c r="F102" s="197">
        <f t="shared" si="10"/>
        <v>1</v>
      </c>
      <c r="G102" s="195" t="s">
        <v>3116</v>
      </c>
      <c r="H102" s="196">
        <v>1</v>
      </c>
      <c r="I102" s="197"/>
      <c r="J102" s="197">
        <f t="shared" si="11"/>
        <v>0</v>
      </c>
      <c r="K102" s="195">
        <v>-37.496175000000001</v>
      </c>
      <c r="L102" s="199">
        <f t="shared" si="12"/>
        <v>37.496175000000001</v>
      </c>
      <c r="M102" s="200">
        <v>148.17353</v>
      </c>
      <c r="N102" s="195" t="s">
        <v>3150</v>
      </c>
      <c r="O102" s="198">
        <v>35.5</v>
      </c>
      <c r="P102" s="195" t="s">
        <v>3116</v>
      </c>
      <c r="Q102" s="201">
        <v>0.16</v>
      </c>
      <c r="R102" s="202">
        <f t="shared" si="13"/>
        <v>6.445798922691845E-2</v>
      </c>
      <c r="S102" s="195" t="s">
        <v>3116</v>
      </c>
      <c r="T102" s="203">
        <v>3.7549999999999999</v>
      </c>
      <c r="U102" s="204">
        <f t="shared" si="14"/>
        <v>0.57460994134018717</v>
      </c>
      <c r="V102" s="195" t="s">
        <v>3287</v>
      </c>
      <c r="W102" s="141">
        <v>4</v>
      </c>
      <c r="X102" s="141" t="s">
        <v>352</v>
      </c>
      <c r="Y102" s="141">
        <v>13</v>
      </c>
      <c r="Z102" s="142"/>
      <c r="AA102" s="145">
        <v>33</v>
      </c>
      <c r="AB102" s="141">
        <v>2.8375914576167496</v>
      </c>
      <c r="AC102" s="142">
        <f t="shared" si="15"/>
        <v>0.45294986805075826</v>
      </c>
      <c r="AD102" s="141"/>
      <c r="AE102" s="141"/>
      <c r="AF102" s="141"/>
      <c r="AG102" s="141" t="s">
        <v>3152</v>
      </c>
      <c r="AH102" s="142">
        <v>2</v>
      </c>
      <c r="AI102" s="142"/>
      <c r="AJ102" s="142">
        <v>25.8</v>
      </c>
      <c r="AK102" s="218">
        <f t="shared" si="16"/>
        <v>9.6999999999999993</v>
      </c>
      <c r="AL102" s="142" t="s">
        <v>1509</v>
      </c>
      <c r="AM102" s="142" t="s">
        <v>1509</v>
      </c>
      <c r="AO102" s="151"/>
      <c r="AW102" s="144"/>
      <c r="BB102" s="144"/>
    </row>
    <row r="103" spans="1:54" ht="15" customHeight="1">
      <c r="A103" s="195" t="s">
        <v>3285</v>
      </c>
      <c r="B103" s="195" t="s">
        <v>3286</v>
      </c>
      <c r="C103" s="195" t="s">
        <v>3236</v>
      </c>
      <c r="D103" s="195" t="s">
        <v>4181</v>
      </c>
      <c r="E103" s="196">
        <v>10</v>
      </c>
      <c r="F103" s="197">
        <f t="shared" si="10"/>
        <v>1</v>
      </c>
      <c r="G103" s="195" t="s">
        <v>3116</v>
      </c>
      <c r="H103" s="196">
        <v>1</v>
      </c>
      <c r="I103" s="197"/>
      <c r="J103" s="197">
        <f t="shared" si="11"/>
        <v>0</v>
      </c>
      <c r="K103" s="195">
        <v>-37.496175000000001</v>
      </c>
      <c r="L103" s="199">
        <f t="shared" si="12"/>
        <v>37.496175000000001</v>
      </c>
      <c r="M103" s="200">
        <v>148.17353</v>
      </c>
      <c r="N103" s="195" t="s">
        <v>3150</v>
      </c>
      <c r="O103" s="198">
        <v>34.5</v>
      </c>
      <c r="P103" s="195" t="s">
        <v>3116</v>
      </c>
      <c r="Q103" s="201">
        <v>0.2</v>
      </c>
      <c r="R103" s="202">
        <f t="shared" si="13"/>
        <v>7.9181246047624818E-2</v>
      </c>
      <c r="S103" s="195" t="s">
        <v>3116</v>
      </c>
      <c r="T103" s="203">
        <v>3.7549999999999999</v>
      </c>
      <c r="U103" s="204">
        <f t="shared" si="14"/>
        <v>0.57460994134018717</v>
      </c>
      <c r="V103" s="195" t="s">
        <v>3287</v>
      </c>
      <c r="W103" s="141">
        <v>4</v>
      </c>
      <c r="X103" s="141" t="s">
        <v>352</v>
      </c>
      <c r="Y103" s="141">
        <v>5</v>
      </c>
      <c r="Z103" s="142"/>
      <c r="AA103" s="145">
        <v>55</v>
      </c>
      <c r="AB103" s="142">
        <v>11.058200030790768</v>
      </c>
      <c r="AC103" s="142">
        <f t="shared" si="15"/>
        <v>1.0436844415877893</v>
      </c>
      <c r="AD103" s="142"/>
      <c r="AE103" s="142"/>
      <c r="AF103" s="142"/>
      <c r="AG103" s="141" t="s">
        <v>3152</v>
      </c>
      <c r="AH103" s="145">
        <v>2</v>
      </c>
      <c r="AI103" s="145"/>
      <c r="AJ103" s="142">
        <v>25.8</v>
      </c>
      <c r="AK103" s="218">
        <f t="shared" si="16"/>
        <v>8.6999999999999993</v>
      </c>
      <c r="AL103" s="142" t="s">
        <v>1509</v>
      </c>
      <c r="AM103" s="142" t="s">
        <v>1509</v>
      </c>
      <c r="AO103" s="151"/>
      <c r="AW103" s="144"/>
      <c r="BB103" s="144"/>
    </row>
    <row r="104" spans="1:54" ht="15" customHeight="1">
      <c r="A104" s="195" t="s">
        <v>3285</v>
      </c>
      <c r="B104" s="195" t="s">
        <v>3286</v>
      </c>
      <c r="C104" s="195" t="s">
        <v>3236</v>
      </c>
      <c r="D104" s="195" t="s">
        <v>4181</v>
      </c>
      <c r="E104" s="196">
        <v>10</v>
      </c>
      <c r="F104" s="197">
        <f t="shared" si="10"/>
        <v>1</v>
      </c>
      <c r="G104" s="195" t="s">
        <v>3116</v>
      </c>
      <c r="H104" s="196">
        <v>1</v>
      </c>
      <c r="I104" s="197"/>
      <c r="J104" s="197">
        <f t="shared" si="11"/>
        <v>0</v>
      </c>
      <c r="K104" s="195">
        <v>-37.496546000000002</v>
      </c>
      <c r="L104" s="199">
        <f t="shared" si="12"/>
        <v>37.496546000000002</v>
      </c>
      <c r="M104" s="199">
        <v>148.23590799999999</v>
      </c>
      <c r="N104" s="195" t="s">
        <v>3150</v>
      </c>
      <c r="O104" s="198">
        <v>33.1</v>
      </c>
      <c r="P104" s="195" t="s">
        <v>3116</v>
      </c>
      <c r="Q104" s="201">
        <v>0.14000000000000001</v>
      </c>
      <c r="R104" s="202">
        <f t="shared" si="13"/>
        <v>5.6904851336472641E-2</v>
      </c>
      <c r="S104" s="195" t="s">
        <v>3116</v>
      </c>
      <c r="T104" s="203">
        <v>3.766</v>
      </c>
      <c r="U104" s="204">
        <f t="shared" si="14"/>
        <v>0.57588031568064602</v>
      </c>
      <c r="V104" s="195" t="s">
        <v>3287</v>
      </c>
      <c r="W104" s="141">
        <v>4</v>
      </c>
      <c r="X104" s="141" t="s">
        <v>352</v>
      </c>
      <c r="Y104" s="141">
        <v>35</v>
      </c>
      <c r="Z104" s="142"/>
      <c r="AA104" s="145">
        <v>55</v>
      </c>
      <c r="AB104" s="142">
        <v>11.058200030790768</v>
      </c>
      <c r="AC104" s="142">
        <f t="shared" si="15"/>
        <v>1.0436844415877893</v>
      </c>
      <c r="AD104" s="142"/>
      <c r="AE104" s="142"/>
      <c r="AF104" s="142"/>
      <c r="AG104" s="141" t="s">
        <v>3152</v>
      </c>
      <c r="AH104" s="145">
        <v>2</v>
      </c>
      <c r="AI104" s="145"/>
      <c r="AJ104" s="145">
        <v>25.7</v>
      </c>
      <c r="AK104" s="218">
        <f t="shared" si="16"/>
        <v>7.4000000000000021</v>
      </c>
      <c r="AL104" s="142" t="s">
        <v>1509</v>
      </c>
      <c r="AM104" s="142" t="s">
        <v>1509</v>
      </c>
      <c r="AO104" s="151"/>
      <c r="AW104" s="144"/>
      <c r="BB104" s="144"/>
    </row>
    <row r="105" spans="1:54" ht="15" customHeight="1">
      <c r="A105" s="195" t="s">
        <v>3428</v>
      </c>
      <c r="B105" s="195" t="s">
        <v>3429</v>
      </c>
      <c r="C105" s="195" t="s">
        <v>3379</v>
      </c>
      <c r="D105" s="195" t="s">
        <v>4183</v>
      </c>
      <c r="E105" s="196">
        <v>10</v>
      </c>
      <c r="F105" s="197">
        <f t="shared" si="10"/>
        <v>1</v>
      </c>
      <c r="G105" s="195" t="s">
        <v>3116</v>
      </c>
      <c r="H105" s="196">
        <v>1</v>
      </c>
      <c r="I105" s="197"/>
      <c r="J105" s="197">
        <f t="shared" si="11"/>
        <v>0</v>
      </c>
      <c r="K105" s="199">
        <v>63.797778000000001</v>
      </c>
      <c r="L105" s="199">
        <f t="shared" si="12"/>
        <v>63.797778000000001</v>
      </c>
      <c r="M105" s="195">
        <v>-22.72</v>
      </c>
      <c r="N105" s="195" t="s">
        <v>3150</v>
      </c>
      <c r="O105" s="198">
        <v>37.700000000000003</v>
      </c>
      <c r="P105" s="195" t="s">
        <v>3116</v>
      </c>
      <c r="Q105" s="201">
        <v>0.17</v>
      </c>
      <c r="R105" s="202">
        <f t="shared" si="13"/>
        <v>6.8185861746161619E-2</v>
      </c>
      <c r="S105" s="195" t="s">
        <v>3116</v>
      </c>
      <c r="T105" s="203">
        <v>3.774</v>
      </c>
      <c r="U105" s="204">
        <f t="shared" si="14"/>
        <v>0.57680189582891261</v>
      </c>
      <c r="V105" s="195" t="s">
        <v>3430</v>
      </c>
      <c r="W105" s="141">
        <v>25</v>
      </c>
      <c r="X105" s="141" t="s">
        <v>3431</v>
      </c>
      <c r="Y105" s="141">
        <v>30</v>
      </c>
      <c r="Z105" s="142"/>
      <c r="AA105" s="142"/>
      <c r="AB105" s="142">
        <f>AVERAGE(44.7, 45.7, 46.7)</f>
        <v>45.70000000000001</v>
      </c>
      <c r="AC105" s="142">
        <f t="shared" si="15"/>
        <v>1.6599162000698504</v>
      </c>
      <c r="AD105" s="142"/>
      <c r="AE105" s="142"/>
      <c r="AF105" s="142"/>
      <c r="AG105" s="141" t="s">
        <v>3432</v>
      </c>
      <c r="AH105" s="142">
        <v>2</v>
      </c>
      <c r="AI105" s="142"/>
      <c r="AJ105" s="142" t="s">
        <v>355</v>
      </c>
      <c r="AK105" s="218"/>
      <c r="AL105" s="142" t="s">
        <v>1509</v>
      </c>
      <c r="AM105" s="142" t="s">
        <v>4232</v>
      </c>
      <c r="AO105" s="151"/>
      <c r="AW105" s="144"/>
      <c r="BB105" s="144"/>
    </row>
    <row r="106" spans="1:54" ht="15" customHeight="1">
      <c r="A106" s="195" t="s">
        <v>3285</v>
      </c>
      <c r="B106" s="195" t="s">
        <v>3295</v>
      </c>
      <c r="C106" s="195" t="s">
        <v>3183</v>
      </c>
      <c r="D106" s="195" t="s">
        <v>4181</v>
      </c>
      <c r="E106" s="196">
        <v>10</v>
      </c>
      <c r="F106" s="197">
        <f t="shared" si="10"/>
        <v>1</v>
      </c>
      <c r="G106" s="195" t="s">
        <v>3116</v>
      </c>
      <c r="H106" s="196">
        <v>1</v>
      </c>
      <c r="I106" s="197"/>
      <c r="J106" s="197">
        <f t="shared" si="11"/>
        <v>0</v>
      </c>
      <c r="K106" s="195">
        <v>-33.456091000000001</v>
      </c>
      <c r="L106" s="199">
        <f t="shared" si="12"/>
        <v>33.456091000000001</v>
      </c>
      <c r="M106" s="199">
        <v>151.348206</v>
      </c>
      <c r="N106" s="195" t="s">
        <v>3150</v>
      </c>
      <c r="O106" s="198">
        <v>37.5</v>
      </c>
      <c r="P106" s="195" t="s">
        <v>3116</v>
      </c>
      <c r="Q106" s="201">
        <v>0.15</v>
      </c>
      <c r="R106" s="202">
        <f t="shared" si="13"/>
        <v>6.069784035361165E-2</v>
      </c>
      <c r="S106" s="195" t="s">
        <v>3116</v>
      </c>
      <c r="T106" s="203">
        <v>3.79</v>
      </c>
      <c r="U106" s="204">
        <f t="shared" si="14"/>
        <v>0.57863920996807239</v>
      </c>
      <c r="V106" s="195" t="s">
        <v>3287</v>
      </c>
      <c r="W106" s="141">
        <v>4</v>
      </c>
      <c r="X106" s="141" t="s">
        <v>352</v>
      </c>
      <c r="Y106" s="141">
        <v>27</v>
      </c>
      <c r="Z106" s="142"/>
      <c r="AA106" s="145">
        <v>33</v>
      </c>
      <c r="AB106" s="142">
        <v>2.4008038575737882</v>
      </c>
      <c r="AC106" s="142">
        <f t="shared" si="15"/>
        <v>0.38035668023488345</v>
      </c>
      <c r="AD106" s="142"/>
      <c r="AE106" s="142"/>
      <c r="AF106" s="142"/>
      <c r="AG106" s="141" t="s">
        <v>3152</v>
      </c>
      <c r="AH106" s="145">
        <v>2</v>
      </c>
      <c r="AI106" s="145"/>
      <c r="AJ106" s="145" t="s">
        <v>355</v>
      </c>
      <c r="AK106" s="218"/>
      <c r="AL106" s="142" t="s">
        <v>1509</v>
      </c>
      <c r="AM106" s="142" t="s">
        <v>4232</v>
      </c>
      <c r="AO106" s="151"/>
      <c r="AW106" s="144"/>
      <c r="BB106" s="144"/>
    </row>
    <row r="107" spans="1:54" ht="15" customHeight="1">
      <c r="A107" s="195" t="s">
        <v>3285</v>
      </c>
      <c r="B107" s="195" t="s">
        <v>3433</v>
      </c>
      <c r="C107" s="195" t="s">
        <v>3292</v>
      </c>
      <c r="D107" s="195" t="s">
        <v>4181</v>
      </c>
      <c r="E107" s="196">
        <v>10</v>
      </c>
      <c r="F107" s="197">
        <f t="shared" si="10"/>
        <v>1</v>
      </c>
      <c r="G107" s="195" t="s">
        <v>3116</v>
      </c>
      <c r="H107" s="196">
        <v>1</v>
      </c>
      <c r="I107" s="197"/>
      <c r="J107" s="197">
        <f t="shared" si="11"/>
        <v>0</v>
      </c>
      <c r="K107" s="195">
        <v>-33.456091000000001</v>
      </c>
      <c r="L107" s="199">
        <f t="shared" si="12"/>
        <v>33.456091000000001</v>
      </c>
      <c r="M107" s="199">
        <v>151.348206</v>
      </c>
      <c r="N107" s="195" t="s">
        <v>3150</v>
      </c>
      <c r="O107" s="198">
        <v>36.299999999999997</v>
      </c>
      <c r="P107" s="195" t="s">
        <v>3116</v>
      </c>
      <c r="Q107" s="201">
        <v>0.26</v>
      </c>
      <c r="R107" s="202">
        <f t="shared" si="13"/>
        <v>0.10037054511756291</v>
      </c>
      <c r="S107" s="195" t="s">
        <v>3116</v>
      </c>
      <c r="T107" s="203">
        <v>3.79</v>
      </c>
      <c r="U107" s="204">
        <f t="shared" si="14"/>
        <v>0.57863920996807239</v>
      </c>
      <c r="V107" s="195" t="s">
        <v>3287</v>
      </c>
      <c r="W107" s="141">
        <v>4</v>
      </c>
      <c r="X107" s="141" t="s">
        <v>352</v>
      </c>
      <c r="Y107" s="141">
        <v>38</v>
      </c>
      <c r="Z107" s="142"/>
      <c r="AA107" s="145">
        <v>55</v>
      </c>
      <c r="AB107" s="142">
        <v>11.058200030790768</v>
      </c>
      <c r="AC107" s="142">
        <f t="shared" si="15"/>
        <v>1.0436844415877893</v>
      </c>
      <c r="AD107" s="142"/>
      <c r="AE107" s="142"/>
      <c r="AF107" s="142"/>
      <c r="AG107" s="141" t="s">
        <v>3152</v>
      </c>
      <c r="AH107" s="145">
        <v>2</v>
      </c>
      <c r="AI107" s="145"/>
      <c r="AJ107" s="145" t="s">
        <v>355</v>
      </c>
      <c r="AK107" s="218"/>
      <c r="AL107" s="142" t="s">
        <v>1509</v>
      </c>
      <c r="AM107" s="142" t="s">
        <v>4232</v>
      </c>
      <c r="AO107" s="153"/>
      <c r="AW107" s="144"/>
      <c r="BB107" s="144"/>
    </row>
    <row r="108" spans="1:54" ht="15" customHeight="1">
      <c r="A108" s="195" t="s">
        <v>3435</v>
      </c>
      <c r="B108" s="195" t="s">
        <v>3436</v>
      </c>
      <c r="C108" s="195" t="s">
        <v>3437</v>
      </c>
      <c r="D108" s="195" t="s">
        <v>4181</v>
      </c>
      <c r="E108" s="196">
        <v>10</v>
      </c>
      <c r="F108" s="197">
        <f t="shared" si="10"/>
        <v>1</v>
      </c>
      <c r="G108" s="195" t="s">
        <v>3116</v>
      </c>
      <c r="H108" s="196">
        <v>1</v>
      </c>
      <c r="I108" s="197"/>
      <c r="J108" s="197">
        <f t="shared" si="11"/>
        <v>0</v>
      </c>
      <c r="K108" s="195">
        <v>-33.456091000000001</v>
      </c>
      <c r="L108" s="199">
        <f t="shared" si="12"/>
        <v>33.456091000000001</v>
      </c>
      <c r="M108" s="199">
        <v>151.348206</v>
      </c>
      <c r="N108" s="195" t="s">
        <v>3150</v>
      </c>
      <c r="O108" s="198">
        <v>36.200000000000003</v>
      </c>
      <c r="P108" s="195" t="s">
        <v>3116</v>
      </c>
      <c r="Q108" s="201">
        <v>0.28999999999999998</v>
      </c>
      <c r="R108" s="202">
        <f t="shared" si="13"/>
        <v>0.11058971029924898</v>
      </c>
      <c r="S108" s="195" t="s">
        <v>3116</v>
      </c>
      <c r="T108" s="203">
        <v>3.79</v>
      </c>
      <c r="U108" s="204">
        <f t="shared" si="14"/>
        <v>0.57863920996807239</v>
      </c>
      <c r="V108" s="195" t="s">
        <v>3287</v>
      </c>
      <c r="W108" s="141">
        <v>4</v>
      </c>
      <c r="X108" s="141" t="s">
        <v>352</v>
      </c>
      <c r="Y108" s="141">
        <v>13</v>
      </c>
      <c r="Z108" s="142"/>
      <c r="AA108" s="145">
        <v>33</v>
      </c>
      <c r="AB108" s="142">
        <v>3.1514127390732996</v>
      </c>
      <c r="AC108" s="142">
        <f t="shared" si="15"/>
        <v>0.49850528624709473</v>
      </c>
      <c r="AD108" s="142"/>
      <c r="AE108" s="142"/>
      <c r="AF108" s="142"/>
      <c r="AG108" s="141" t="s">
        <v>3152</v>
      </c>
      <c r="AH108" s="145">
        <v>3</v>
      </c>
      <c r="AI108" s="145"/>
      <c r="AJ108" s="142" t="s">
        <v>355</v>
      </c>
      <c r="AK108" s="218"/>
      <c r="AL108" s="142" t="s">
        <v>1509</v>
      </c>
      <c r="AM108" s="142" t="s">
        <v>4232</v>
      </c>
      <c r="AW108" s="144"/>
      <c r="BB108" s="144"/>
    </row>
    <row r="109" spans="1:54" ht="15" customHeight="1">
      <c r="A109" s="195" t="s">
        <v>3411</v>
      </c>
      <c r="B109" s="195" t="s">
        <v>3438</v>
      </c>
      <c r="C109" s="195" t="s">
        <v>3153</v>
      </c>
      <c r="D109" s="195" t="s">
        <v>4181</v>
      </c>
      <c r="E109" s="196">
        <v>7</v>
      </c>
      <c r="F109" s="197">
        <f t="shared" si="10"/>
        <v>0.84509804001425681</v>
      </c>
      <c r="G109" s="195" t="s">
        <v>3116</v>
      </c>
      <c r="H109" s="202">
        <v>0.31</v>
      </c>
      <c r="I109" s="197"/>
      <c r="J109" s="197">
        <f t="shared" si="11"/>
        <v>-0.50863830616572736</v>
      </c>
      <c r="K109" s="199">
        <v>24.552778</v>
      </c>
      <c r="L109" s="199">
        <f t="shared" si="12"/>
        <v>24.552778</v>
      </c>
      <c r="M109" s="199">
        <v>121.50027799999999</v>
      </c>
      <c r="N109" s="195" t="s">
        <v>3174</v>
      </c>
      <c r="O109" s="198">
        <v>44.7</v>
      </c>
      <c r="P109" s="195" t="s">
        <v>3116</v>
      </c>
      <c r="Q109" s="201">
        <v>0.01</v>
      </c>
      <c r="R109" s="202">
        <f t="shared" si="13"/>
        <v>4.3213737826425782E-3</v>
      </c>
      <c r="S109" s="195" t="s">
        <v>3116</v>
      </c>
      <c r="T109" s="203">
        <v>3.919</v>
      </c>
      <c r="U109" s="204">
        <f t="shared" si="14"/>
        <v>0.59317526347810257</v>
      </c>
      <c r="V109" s="195" t="s">
        <v>3413</v>
      </c>
      <c r="W109" s="141">
        <v>8</v>
      </c>
      <c r="X109" s="141" t="s">
        <v>380</v>
      </c>
      <c r="Y109" s="141">
        <v>12</v>
      </c>
      <c r="Z109" s="142"/>
      <c r="AA109" s="152">
        <f>AVERAGE(37,26)/2</f>
        <v>15.75</v>
      </c>
      <c r="AB109" s="141">
        <v>0.49694086230924506</v>
      </c>
      <c r="AC109" s="142">
        <f t="shared" si="15"/>
        <v>-0.3036952907453403</v>
      </c>
      <c r="AD109" s="141"/>
      <c r="AE109" s="141"/>
      <c r="AF109" s="141"/>
      <c r="AG109" s="141" t="s">
        <v>3414</v>
      </c>
      <c r="AH109" s="141">
        <v>3</v>
      </c>
      <c r="AI109" s="141"/>
      <c r="AJ109" s="145">
        <v>28.5</v>
      </c>
      <c r="AK109" s="218">
        <f t="shared" si="16"/>
        <v>16.200000000000003</v>
      </c>
      <c r="AL109" s="142" t="s">
        <v>1509</v>
      </c>
      <c r="AM109" s="142" t="s">
        <v>1509</v>
      </c>
      <c r="AW109" s="144"/>
      <c r="BB109" s="144"/>
    </row>
    <row r="110" spans="1:54" ht="15" customHeight="1">
      <c r="A110" s="195" t="s">
        <v>3440</v>
      </c>
      <c r="B110" s="195" t="s">
        <v>3441</v>
      </c>
      <c r="C110" s="195" t="s">
        <v>3442</v>
      </c>
      <c r="D110" s="195" t="s">
        <v>4180</v>
      </c>
      <c r="E110" s="196">
        <v>21</v>
      </c>
      <c r="F110" s="197">
        <f t="shared" si="10"/>
        <v>1.3222192947339193</v>
      </c>
      <c r="G110" s="198">
        <v>0.3</v>
      </c>
      <c r="H110" s="198">
        <v>0.3</v>
      </c>
      <c r="I110" s="197">
        <f>LOG(G110)</f>
        <v>-0.52287874528033762</v>
      </c>
      <c r="J110" s="197">
        <f t="shared" si="11"/>
        <v>-0.52287874528033762</v>
      </c>
      <c r="K110" s="199">
        <v>31.149953</v>
      </c>
      <c r="L110" s="199">
        <f t="shared" si="12"/>
        <v>31.149953</v>
      </c>
      <c r="M110" s="195">
        <v>-81.3</v>
      </c>
      <c r="N110" s="195" t="s">
        <v>3117</v>
      </c>
      <c r="O110" s="198">
        <v>42.5</v>
      </c>
      <c r="P110" s="195">
        <v>-1.1000000000000001</v>
      </c>
      <c r="Q110" s="201">
        <v>0.36</v>
      </c>
      <c r="R110" s="202">
        <f t="shared" si="13"/>
        <v>0.13353890837021748</v>
      </c>
      <c r="S110" s="202">
        <v>0.35</v>
      </c>
      <c r="T110" s="203">
        <v>3.9230829950000001</v>
      </c>
      <c r="U110" s="204">
        <f t="shared" si="14"/>
        <v>0.5936274959677349</v>
      </c>
      <c r="V110" s="195" t="s">
        <v>3443</v>
      </c>
      <c r="W110" s="141">
        <v>37</v>
      </c>
      <c r="X110" s="141" t="s">
        <v>352</v>
      </c>
      <c r="Y110" s="142">
        <v>15</v>
      </c>
      <c r="Z110" s="142">
        <v>12</v>
      </c>
      <c r="AA110" s="142">
        <v>66.3</v>
      </c>
      <c r="AB110" s="142">
        <v>3.43</v>
      </c>
      <c r="AC110" s="142">
        <f t="shared" si="15"/>
        <v>0.53529412004277055</v>
      </c>
      <c r="AD110" s="142">
        <v>66.3</v>
      </c>
      <c r="AE110" s="142">
        <v>3.43</v>
      </c>
      <c r="AF110" s="141">
        <f>LOG(AE110)</f>
        <v>0.53529412004277055</v>
      </c>
      <c r="AG110" s="141" t="s">
        <v>3444</v>
      </c>
      <c r="AH110" s="142">
        <v>7</v>
      </c>
      <c r="AI110" s="142">
        <v>7</v>
      </c>
      <c r="AJ110" s="145" t="s">
        <v>355</v>
      </c>
      <c r="AK110" s="218"/>
      <c r="AL110" s="142" t="s">
        <v>1509</v>
      </c>
      <c r="AM110" s="142" t="s">
        <v>4232</v>
      </c>
      <c r="AW110" s="144"/>
      <c r="BB110" s="144"/>
    </row>
    <row r="111" spans="1:54" ht="15" customHeight="1">
      <c r="A111" s="195" t="s">
        <v>3446</v>
      </c>
      <c r="B111" s="195" t="s">
        <v>3447</v>
      </c>
      <c r="C111" s="195" t="s">
        <v>3448</v>
      </c>
      <c r="D111" s="195" t="s">
        <v>4182</v>
      </c>
      <c r="E111" s="196">
        <v>7</v>
      </c>
      <c r="F111" s="197">
        <f t="shared" si="10"/>
        <v>0.84509804001425681</v>
      </c>
      <c r="G111" s="202">
        <v>0.25</v>
      </c>
      <c r="H111" s="202">
        <v>0.25</v>
      </c>
      <c r="I111" s="197">
        <f>LOG(G111)</f>
        <v>-0.6020599913279624</v>
      </c>
      <c r="J111" s="197">
        <f t="shared" si="11"/>
        <v>-0.6020599913279624</v>
      </c>
      <c r="K111" s="195">
        <v>-29.692778000000001</v>
      </c>
      <c r="L111" s="199">
        <f t="shared" si="12"/>
        <v>29.692778000000001</v>
      </c>
      <c r="M111" s="199">
        <v>152.932222</v>
      </c>
      <c r="N111" s="195" t="s">
        <v>3150</v>
      </c>
      <c r="O111" s="198">
        <v>46.4</v>
      </c>
      <c r="P111" s="198">
        <v>0.2</v>
      </c>
      <c r="Q111" s="201">
        <v>0.05</v>
      </c>
      <c r="R111" s="202">
        <f t="shared" si="13"/>
        <v>2.1189299069938092E-2</v>
      </c>
      <c r="S111" s="202">
        <v>0.16</v>
      </c>
      <c r="T111" s="203">
        <v>3.944</v>
      </c>
      <c r="U111" s="204">
        <f t="shared" si="14"/>
        <v>0.59593690626917362</v>
      </c>
      <c r="V111" s="195" t="s">
        <v>3449</v>
      </c>
      <c r="W111" s="141">
        <v>85</v>
      </c>
      <c r="X111" s="141" t="s">
        <v>352</v>
      </c>
      <c r="Y111" s="142">
        <v>30</v>
      </c>
      <c r="Z111" s="142">
        <v>30</v>
      </c>
      <c r="AA111" s="142"/>
      <c r="AB111" s="142">
        <f>AVERAGE(138,187)/1000</f>
        <v>0.16250000000000001</v>
      </c>
      <c r="AC111" s="142">
        <f t="shared" si="15"/>
        <v>-0.78914663468510682</v>
      </c>
      <c r="AD111" s="142"/>
      <c r="AE111" s="142">
        <f>AVERAGE(138,187)/1000</f>
        <v>0.16250000000000001</v>
      </c>
      <c r="AF111" s="142">
        <f>LOG(AE111)</f>
        <v>-0.78914663468510682</v>
      </c>
      <c r="AG111" s="142" t="s">
        <v>3450</v>
      </c>
      <c r="AH111" s="142">
        <v>5</v>
      </c>
      <c r="AI111" s="142">
        <v>5</v>
      </c>
      <c r="AJ111" s="145">
        <v>29.5</v>
      </c>
      <c r="AK111" s="218">
        <f t="shared" si="16"/>
        <v>16.899999999999999</v>
      </c>
      <c r="AL111" s="142" t="s">
        <v>1509</v>
      </c>
      <c r="AM111" s="142" t="s">
        <v>1509</v>
      </c>
      <c r="AW111" s="144"/>
      <c r="BB111" s="144"/>
    </row>
    <row r="112" spans="1:54" ht="15" customHeight="1">
      <c r="A112" s="195" t="s">
        <v>3452</v>
      </c>
      <c r="B112" s="195" t="s">
        <v>3453</v>
      </c>
      <c r="C112" s="195" t="s">
        <v>3454</v>
      </c>
      <c r="D112" s="195" t="s">
        <v>4181</v>
      </c>
      <c r="E112" s="196">
        <v>14</v>
      </c>
      <c r="F112" s="197">
        <f t="shared" si="10"/>
        <v>1.146128035678238</v>
      </c>
      <c r="G112" s="195" t="s">
        <v>3116</v>
      </c>
      <c r="H112" s="196">
        <v>1</v>
      </c>
      <c r="I112" s="197"/>
      <c r="J112" s="197">
        <f t="shared" si="11"/>
        <v>0</v>
      </c>
      <c r="K112" s="199">
        <v>24.771044</v>
      </c>
      <c r="L112" s="199">
        <f t="shared" si="12"/>
        <v>24.771044</v>
      </c>
      <c r="M112" s="195">
        <v>-107.694788</v>
      </c>
      <c r="N112" s="195" t="s">
        <v>3150</v>
      </c>
      <c r="O112" s="198">
        <v>40.4</v>
      </c>
      <c r="P112" s="195" t="s">
        <v>3116</v>
      </c>
      <c r="Q112" s="201">
        <v>0.28999999999999998</v>
      </c>
      <c r="R112" s="202">
        <f t="shared" si="13"/>
        <v>0.11058971029924898</v>
      </c>
      <c r="S112" s="195" t="s">
        <v>3116</v>
      </c>
      <c r="T112" s="203">
        <v>3.9489999999999998</v>
      </c>
      <c r="U112" s="204">
        <f t="shared" si="14"/>
        <v>0.59648713373654416</v>
      </c>
      <c r="V112" s="195" t="s">
        <v>3151</v>
      </c>
      <c r="W112" s="141">
        <v>2</v>
      </c>
      <c r="X112" s="141" t="s">
        <v>352</v>
      </c>
      <c r="Y112" s="141">
        <v>10</v>
      </c>
      <c r="Z112" s="145"/>
      <c r="AA112" s="145">
        <v>55</v>
      </c>
      <c r="AB112" s="142">
        <v>11.058200030790768</v>
      </c>
      <c r="AC112" s="142">
        <f t="shared" si="15"/>
        <v>1.0436844415877893</v>
      </c>
      <c r="AD112" s="142"/>
      <c r="AE112" s="142"/>
      <c r="AF112" s="142"/>
      <c r="AG112" s="141" t="s">
        <v>3152</v>
      </c>
      <c r="AH112" s="142">
        <v>2</v>
      </c>
      <c r="AI112" s="142"/>
      <c r="AJ112" s="141">
        <v>36.200000000000003</v>
      </c>
      <c r="AK112" s="218">
        <f t="shared" si="16"/>
        <v>4.1999999999999957</v>
      </c>
      <c r="AL112" s="142" t="s">
        <v>1509</v>
      </c>
      <c r="AM112" s="142" t="s">
        <v>1509</v>
      </c>
      <c r="AW112" s="144"/>
      <c r="BB112" s="144"/>
    </row>
    <row r="113" spans="1:54" ht="15" customHeight="1">
      <c r="A113" s="195" t="s">
        <v>3428</v>
      </c>
      <c r="B113" s="195" t="s">
        <v>3429</v>
      </c>
      <c r="C113" s="195" t="s">
        <v>3379</v>
      </c>
      <c r="D113" s="195" t="s">
        <v>4183</v>
      </c>
      <c r="E113" s="196">
        <v>10</v>
      </c>
      <c r="F113" s="197">
        <f t="shared" si="10"/>
        <v>1</v>
      </c>
      <c r="G113" s="195" t="s">
        <v>3116</v>
      </c>
      <c r="H113" s="196">
        <v>1</v>
      </c>
      <c r="I113" s="197"/>
      <c r="J113" s="197">
        <f t="shared" si="11"/>
        <v>0</v>
      </c>
      <c r="K113" s="199">
        <v>64.019722000000002</v>
      </c>
      <c r="L113" s="199">
        <f t="shared" si="12"/>
        <v>64.019722000000002</v>
      </c>
      <c r="M113" s="195">
        <v>-22.155277999999999</v>
      </c>
      <c r="N113" s="195" t="s">
        <v>3150</v>
      </c>
      <c r="O113" s="198">
        <v>37.9</v>
      </c>
      <c r="P113" s="195" t="s">
        <v>3116</v>
      </c>
      <c r="Q113" s="201">
        <v>0.19</v>
      </c>
      <c r="R113" s="202">
        <f t="shared" si="13"/>
        <v>7.554696139253074E-2</v>
      </c>
      <c r="S113" s="195" t="s">
        <v>3116</v>
      </c>
      <c r="T113" s="203">
        <v>3.9860000000000002</v>
      </c>
      <c r="U113" s="204">
        <f t="shared" si="14"/>
        <v>0.60053729436446879</v>
      </c>
      <c r="V113" s="195" t="s">
        <v>3430</v>
      </c>
      <c r="W113" s="141">
        <v>25</v>
      </c>
      <c r="X113" s="141" t="s">
        <v>3431</v>
      </c>
      <c r="Y113" s="141">
        <v>30</v>
      </c>
      <c r="Z113" s="142"/>
      <c r="AA113" s="142"/>
      <c r="AB113" s="142">
        <f>AVERAGE(47.3, 42.7, 45.2, 47.3)</f>
        <v>45.625</v>
      </c>
      <c r="AC113" s="142">
        <f t="shared" si="15"/>
        <v>1.6592028774645311</v>
      </c>
      <c r="AD113" s="142"/>
      <c r="AE113" s="142"/>
      <c r="AF113" s="142"/>
      <c r="AG113" s="141" t="s">
        <v>3432</v>
      </c>
      <c r="AH113" s="142">
        <v>3</v>
      </c>
      <c r="AI113" s="142"/>
      <c r="AJ113" s="142">
        <v>13.5</v>
      </c>
      <c r="AK113" s="218">
        <f t="shared" si="16"/>
        <v>24.4</v>
      </c>
      <c r="AL113" s="142" t="s">
        <v>1509</v>
      </c>
      <c r="AM113" s="142" t="s">
        <v>1509</v>
      </c>
      <c r="AW113" s="144"/>
      <c r="BB113" s="144"/>
    </row>
    <row r="114" spans="1:54" ht="15.95" customHeight="1">
      <c r="A114" s="195" t="s">
        <v>3408</v>
      </c>
      <c r="B114" s="195" t="s">
        <v>3456</v>
      </c>
      <c r="C114" s="195" t="s">
        <v>3457</v>
      </c>
      <c r="D114" s="195" t="s">
        <v>4181</v>
      </c>
      <c r="E114" s="196">
        <v>10</v>
      </c>
      <c r="F114" s="197">
        <f t="shared" si="10"/>
        <v>1</v>
      </c>
      <c r="G114" s="195" t="s">
        <v>3116</v>
      </c>
      <c r="H114" s="196">
        <v>1</v>
      </c>
      <c r="I114" s="197"/>
      <c r="J114" s="197">
        <f t="shared" si="11"/>
        <v>0</v>
      </c>
      <c r="K114" s="195">
        <v>-37.359262000000001</v>
      </c>
      <c r="L114" s="199">
        <f t="shared" si="12"/>
        <v>37.359262000000001</v>
      </c>
      <c r="M114" s="200">
        <v>142.59155000000001</v>
      </c>
      <c r="N114" s="195" t="s">
        <v>3150</v>
      </c>
      <c r="O114" s="198">
        <v>34.6</v>
      </c>
      <c r="P114" s="195" t="s">
        <v>3116</v>
      </c>
      <c r="Q114" s="201">
        <v>0.23</v>
      </c>
      <c r="R114" s="202">
        <f t="shared" si="13"/>
        <v>8.9905111439397931E-2</v>
      </c>
      <c r="S114" s="195" t="s">
        <v>3116</v>
      </c>
      <c r="T114" s="203">
        <v>4.0469999999999997</v>
      </c>
      <c r="U114" s="204">
        <f t="shared" si="14"/>
        <v>0.60713320439156671</v>
      </c>
      <c r="V114" s="195" t="s">
        <v>3287</v>
      </c>
      <c r="W114" s="141">
        <v>4</v>
      </c>
      <c r="X114" s="141" t="s">
        <v>352</v>
      </c>
      <c r="Y114" s="141">
        <v>9</v>
      </c>
      <c r="Z114" s="142"/>
      <c r="AA114" s="145">
        <v>33</v>
      </c>
      <c r="AB114" s="141">
        <v>2.8375914576167496</v>
      </c>
      <c r="AC114" s="142">
        <f t="shared" si="15"/>
        <v>0.45294986805075826</v>
      </c>
      <c r="AD114" s="141"/>
      <c r="AE114" s="141"/>
      <c r="AF114" s="141"/>
      <c r="AG114" s="141" t="s">
        <v>3458</v>
      </c>
      <c r="AH114" s="142">
        <v>2</v>
      </c>
      <c r="AI114" s="142"/>
      <c r="AJ114" s="142">
        <v>25.6</v>
      </c>
      <c r="AK114" s="218">
        <f t="shared" si="16"/>
        <v>9</v>
      </c>
      <c r="AL114" s="142" t="s">
        <v>1509</v>
      </c>
      <c r="AM114" s="142" t="s">
        <v>1509</v>
      </c>
      <c r="AW114" s="144"/>
      <c r="BB114" s="144"/>
    </row>
    <row r="115" spans="1:54" ht="15.95" customHeight="1">
      <c r="A115" s="195" t="s">
        <v>3408</v>
      </c>
      <c r="B115" s="195" t="s">
        <v>3409</v>
      </c>
      <c r="C115" s="195" t="s">
        <v>3170</v>
      </c>
      <c r="D115" s="195" t="s">
        <v>4181</v>
      </c>
      <c r="E115" s="196">
        <v>10</v>
      </c>
      <c r="F115" s="197">
        <f t="shared" si="10"/>
        <v>1</v>
      </c>
      <c r="G115" s="195" t="s">
        <v>3116</v>
      </c>
      <c r="H115" s="196">
        <v>1</v>
      </c>
      <c r="I115" s="197"/>
      <c r="J115" s="197">
        <f t="shared" si="11"/>
        <v>0</v>
      </c>
      <c r="K115" s="195">
        <v>-37.359262000000001</v>
      </c>
      <c r="L115" s="199">
        <f t="shared" si="12"/>
        <v>37.359262000000001</v>
      </c>
      <c r="M115" s="200">
        <v>142.59155000000001</v>
      </c>
      <c r="N115" s="195" t="s">
        <v>3150</v>
      </c>
      <c r="O115" s="198">
        <v>35.700000000000003</v>
      </c>
      <c r="P115" s="195" t="s">
        <v>3116</v>
      </c>
      <c r="Q115" s="201">
        <v>0.21</v>
      </c>
      <c r="R115" s="202">
        <f t="shared" si="13"/>
        <v>8.2785370316450071E-2</v>
      </c>
      <c r="S115" s="195" t="s">
        <v>3116</v>
      </c>
      <c r="T115" s="203">
        <v>4.0469999999999997</v>
      </c>
      <c r="U115" s="204">
        <f t="shared" si="14"/>
        <v>0.60713320439156671</v>
      </c>
      <c r="V115" s="195" t="s">
        <v>3287</v>
      </c>
      <c r="W115" s="141">
        <v>4</v>
      </c>
      <c r="X115" s="141" t="s">
        <v>352</v>
      </c>
      <c r="Y115" s="141">
        <v>39</v>
      </c>
      <c r="Z115" s="142"/>
      <c r="AA115" s="145">
        <v>33</v>
      </c>
      <c r="AB115" s="141">
        <v>2.8375914576167496</v>
      </c>
      <c r="AC115" s="142">
        <f t="shared" si="15"/>
        <v>0.45294986805075826</v>
      </c>
      <c r="AD115" s="141"/>
      <c r="AE115" s="141"/>
      <c r="AF115" s="141"/>
      <c r="AG115" s="141" t="s">
        <v>3152</v>
      </c>
      <c r="AH115" s="142">
        <v>2</v>
      </c>
      <c r="AI115" s="142"/>
      <c r="AJ115" s="142">
        <v>25.6</v>
      </c>
      <c r="AK115" s="218">
        <f t="shared" si="16"/>
        <v>10.100000000000001</v>
      </c>
      <c r="AL115" s="142" t="s">
        <v>1509</v>
      </c>
      <c r="AM115" s="142" t="s">
        <v>1509</v>
      </c>
      <c r="AW115" s="144"/>
      <c r="BB115" s="144"/>
    </row>
    <row r="116" spans="1:54" ht="15" customHeight="1">
      <c r="A116" s="195" t="s">
        <v>3285</v>
      </c>
      <c r="B116" s="195" t="s">
        <v>3425</v>
      </c>
      <c r="C116" s="195" t="s">
        <v>3282</v>
      </c>
      <c r="D116" s="195" t="s">
        <v>4181</v>
      </c>
      <c r="E116" s="196">
        <v>10</v>
      </c>
      <c r="F116" s="197">
        <f t="shared" si="10"/>
        <v>1</v>
      </c>
      <c r="G116" s="195" t="s">
        <v>3116</v>
      </c>
      <c r="H116" s="196">
        <v>1</v>
      </c>
      <c r="I116" s="197"/>
      <c r="J116" s="197">
        <f t="shared" si="11"/>
        <v>0</v>
      </c>
      <c r="K116" s="195">
        <v>-37.359262000000001</v>
      </c>
      <c r="L116" s="199">
        <f t="shared" si="12"/>
        <v>37.359262000000001</v>
      </c>
      <c r="M116" s="200">
        <v>142.59155000000001</v>
      </c>
      <c r="N116" s="195" t="s">
        <v>3150</v>
      </c>
      <c r="O116" s="198">
        <v>32.6</v>
      </c>
      <c r="P116" s="195" t="s">
        <v>3116</v>
      </c>
      <c r="Q116" s="201">
        <v>0.09</v>
      </c>
      <c r="R116" s="202">
        <f t="shared" si="13"/>
        <v>3.7426497940623665E-2</v>
      </c>
      <c r="S116" s="195" t="s">
        <v>3116</v>
      </c>
      <c r="T116" s="203">
        <v>4.0469999999999997</v>
      </c>
      <c r="U116" s="204">
        <f t="shared" si="14"/>
        <v>0.60713320439156671</v>
      </c>
      <c r="V116" s="195" t="s">
        <v>3287</v>
      </c>
      <c r="W116" s="141">
        <v>4</v>
      </c>
      <c r="X116" s="141" t="s">
        <v>352</v>
      </c>
      <c r="Y116" s="141">
        <v>8</v>
      </c>
      <c r="Z116" s="142"/>
      <c r="AA116" s="145">
        <v>33</v>
      </c>
      <c r="AB116" s="142">
        <v>2.4008038575737882</v>
      </c>
      <c r="AC116" s="142">
        <f t="shared" si="15"/>
        <v>0.38035668023488345</v>
      </c>
      <c r="AD116" s="142"/>
      <c r="AE116" s="142"/>
      <c r="AF116" s="142"/>
      <c r="AG116" s="141" t="s">
        <v>3152</v>
      </c>
      <c r="AH116" s="145">
        <v>2</v>
      </c>
      <c r="AI116" s="145"/>
      <c r="AJ116" s="142">
        <v>25.6</v>
      </c>
      <c r="AK116" s="218">
        <f t="shared" si="16"/>
        <v>7</v>
      </c>
      <c r="AL116" s="142" t="s">
        <v>1509</v>
      </c>
      <c r="AM116" s="142" t="s">
        <v>1509</v>
      </c>
      <c r="AW116" s="144"/>
      <c r="BB116" s="144"/>
    </row>
    <row r="117" spans="1:54" ht="15" customHeight="1">
      <c r="A117" s="195" t="s">
        <v>3285</v>
      </c>
      <c r="B117" s="195" t="s">
        <v>3461</v>
      </c>
      <c r="C117" s="195" t="s">
        <v>3462</v>
      </c>
      <c r="D117" s="195" t="s">
        <v>4181</v>
      </c>
      <c r="E117" s="196">
        <v>10</v>
      </c>
      <c r="F117" s="197">
        <f t="shared" si="10"/>
        <v>1</v>
      </c>
      <c r="G117" s="195" t="s">
        <v>3116</v>
      </c>
      <c r="H117" s="196">
        <v>1</v>
      </c>
      <c r="I117" s="197"/>
      <c r="J117" s="197">
        <f t="shared" si="11"/>
        <v>0</v>
      </c>
      <c r="K117" s="195">
        <v>-37.833306</v>
      </c>
      <c r="L117" s="199">
        <f t="shared" si="12"/>
        <v>37.833306</v>
      </c>
      <c r="M117" s="199">
        <v>146.266671</v>
      </c>
      <c r="N117" s="195" t="s">
        <v>3150</v>
      </c>
      <c r="O117" s="198">
        <v>32.200000000000003</v>
      </c>
      <c r="P117" s="195" t="s">
        <v>3116</v>
      </c>
      <c r="Q117" s="201">
        <v>0.16</v>
      </c>
      <c r="R117" s="202">
        <f t="shared" si="13"/>
        <v>6.445798922691845E-2</v>
      </c>
      <c r="S117" s="195" t="s">
        <v>3116</v>
      </c>
      <c r="T117" s="203">
        <v>4.18</v>
      </c>
      <c r="U117" s="204">
        <f t="shared" si="14"/>
        <v>0.62117628177503514</v>
      </c>
      <c r="V117" s="195" t="s">
        <v>3287</v>
      </c>
      <c r="W117" s="141">
        <v>4</v>
      </c>
      <c r="X117" s="141" t="s">
        <v>352</v>
      </c>
      <c r="Y117" s="141">
        <v>4</v>
      </c>
      <c r="Z117" s="142"/>
      <c r="AA117" s="145">
        <v>33</v>
      </c>
      <c r="AB117" s="141">
        <v>2.4008038575737882</v>
      </c>
      <c r="AC117" s="142">
        <f t="shared" si="15"/>
        <v>0.38035668023488345</v>
      </c>
      <c r="AD117" s="141"/>
      <c r="AE117" s="141"/>
      <c r="AF117" s="141"/>
      <c r="AG117" s="141" t="s">
        <v>3152</v>
      </c>
      <c r="AH117" s="142">
        <v>2</v>
      </c>
      <c r="AI117" s="142"/>
      <c r="AJ117" s="142">
        <v>19.3</v>
      </c>
      <c r="AK117" s="218">
        <f t="shared" si="16"/>
        <v>12.900000000000002</v>
      </c>
      <c r="AL117" s="142" t="s">
        <v>1509</v>
      </c>
      <c r="AM117" s="142" t="s">
        <v>1509</v>
      </c>
      <c r="AW117" s="144"/>
      <c r="BB117" s="144"/>
    </row>
    <row r="118" spans="1:54" ht="15" customHeight="1">
      <c r="A118" s="195" t="s">
        <v>3463</v>
      </c>
      <c r="B118" s="195" t="s">
        <v>3464</v>
      </c>
      <c r="C118" s="195" t="s">
        <v>3288</v>
      </c>
      <c r="D118" s="195" t="s">
        <v>4181</v>
      </c>
      <c r="E118" s="196">
        <v>10</v>
      </c>
      <c r="F118" s="197">
        <f t="shared" si="10"/>
        <v>1</v>
      </c>
      <c r="G118" s="195" t="s">
        <v>3116</v>
      </c>
      <c r="H118" s="196">
        <v>1</v>
      </c>
      <c r="I118" s="197"/>
      <c r="J118" s="197">
        <f t="shared" si="11"/>
        <v>0</v>
      </c>
      <c r="K118" s="195">
        <v>-37.833306</v>
      </c>
      <c r="L118" s="199">
        <f t="shared" si="12"/>
        <v>37.833306</v>
      </c>
      <c r="M118" s="199">
        <v>146.266671</v>
      </c>
      <c r="N118" s="195" t="s">
        <v>3150</v>
      </c>
      <c r="O118" s="198">
        <v>28.8</v>
      </c>
      <c r="P118" s="195" t="s">
        <v>3116</v>
      </c>
      <c r="Q118" s="201">
        <v>0.08</v>
      </c>
      <c r="R118" s="202">
        <f t="shared" si="13"/>
        <v>3.342375548694973E-2</v>
      </c>
      <c r="S118" s="195" t="s">
        <v>3116</v>
      </c>
      <c r="T118" s="203">
        <v>4.18</v>
      </c>
      <c r="U118" s="204">
        <f t="shared" si="14"/>
        <v>0.62117628177503514</v>
      </c>
      <c r="V118" s="195" t="s">
        <v>3287</v>
      </c>
      <c r="W118" s="141">
        <v>4</v>
      </c>
      <c r="X118" s="141" t="s">
        <v>352</v>
      </c>
      <c r="Y118" s="141">
        <v>28</v>
      </c>
      <c r="Z118" s="142"/>
      <c r="AA118" s="145">
        <v>55</v>
      </c>
      <c r="AB118" s="142">
        <v>14.545615794373079</v>
      </c>
      <c r="AC118" s="142">
        <f t="shared" si="15"/>
        <v>1.1627321120002061</v>
      </c>
      <c r="AD118" s="142"/>
      <c r="AE118" s="142"/>
      <c r="AF118" s="142"/>
      <c r="AG118" s="141" t="s">
        <v>3152</v>
      </c>
      <c r="AH118" s="145">
        <v>2</v>
      </c>
      <c r="AI118" s="145"/>
      <c r="AJ118" s="142">
        <v>19.3</v>
      </c>
      <c r="AK118" s="218">
        <f t="shared" si="16"/>
        <v>9.5</v>
      </c>
      <c r="AL118" s="142" t="s">
        <v>1509</v>
      </c>
      <c r="AM118" s="142" t="s">
        <v>1509</v>
      </c>
      <c r="AW118" s="144"/>
      <c r="BB118" s="144"/>
    </row>
    <row r="119" spans="1:54" ht="15" customHeight="1">
      <c r="A119" s="195" t="s">
        <v>3465</v>
      </c>
      <c r="B119" s="195" t="s">
        <v>3466</v>
      </c>
      <c r="C119" s="195" t="s">
        <v>3383</v>
      </c>
      <c r="D119" s="195" t="s">
        <v>4182</v>
      </c>
      <c r="E119" s="196">
        <v>2</v>
      </c>
      <c r="F119" s="197">
        <f t="shared" si="10"/>
        <v>0.3010299956639812</v>
      </c>
      <c r="G119" s="195" t="s">
        <v>3116</v>
      </c>
      <c r="H119" s="202">
        <v>0.34</v>
      </c>
      <c r="I119" s="197"/>
      <c r="J119" s="197">
        <f t="shared" si="11"/>
        <v>-0.46852108295774486</v>
      </c>
      <c r="K119" s="195">
        <v>-33.461666999999998</v>
      </c>
      <c r="L119" s="199">
        <f t="shared" si="12"/>
        <v>33.461666999999998</v>
      </c>
      <c r="M119" s="199">
        <v>19.616389000000002</v>
      </c>
      <c r="N119" s="195" t="s">
        <v>3174</v>
      </c>
      <c r="O119" s="198">
        <v>32.9</v>
      </c>
      <c r="P119" s="195" t="s">
        <v>3116</v>
      </c>
      <c r="Q119" s="201">
        <v>0.19</v>
      </c>
      <c r="R119" s="202">
        <f t="shared" si="13"/>
        <v>7.554696139253074E-2</v>
      </c>
      <c r="S119" s="195" t="s">
        <v>3116</v>
      </c>
      <c r="T119" s="203">
        <v>4.2439999999999998</v>
      </c>
      <c r="U119" s="204">
        <f t="shared" si="14"/>
        <v>0.62777537522930305</v>
      </c>
      <c r="V119" s="195" t="s">
        <v>3382</v>
      </c>
      <c r="W119" s="141">
        <v>83</v>
      </c>
      <c r="X119" s="141" t="s">
        <v>352</v>
      </c>
      <c r="Y119" s="142">
        <f>AVERAGE(31,52)</f>
        <v>41.5</v>
      </c>
      <c r="Z119" s="142"/>
      <c r="AA119" s="142"/>
      <c r="AB119" s="142">
        <f>5.35/1000</f>
        <v>5.3499999999999997E-3</v>
      </c>
      <c r="AC119" s="142">
        <f t="shared" si="15"/>
        <v>-2.2716462179787715</v>
      </c>
      <c r="AD119" s="142"/>
      <c r="AE119" s="142"/>
      <c r="AF119" s="142"/>
      <c r="AG119" s="141"/>
      <c r="AH119" s="142">
        <v>2</v>
      </c>
      <c r="AI119" s="142"/>
      <c r="AJ119" s="145">
        <v>29.8</v>
      </c>
      <c r="AK119" s="218">
        <f t="shared" si="16"/>
        <v>3.0999999999999979</v>
      </c>
      <c r="AL119" s="142" t="s">
        <v>1509</v>
      </c>
      <c r="AM119" s="142" t="s">
        <v>1509</v>
      </c>
      <c r="AW119" s="144"/>
      <c r="BB119" s="144"/>
    </row>
    <row r="120" spans="1:54" ht="15" customHeight="1">
      <c r="A120" s="195" t="s">
        <v>3380</v>
      </c>
      <c r="B120" s="195" t="s">
        <v>3381</v>
      </c>
      <c r="C120" s="195" t="s">
        <v>3227</v>
      </c>
      <c r="D120" s="195" t="s">
        <v>4182</v>
      </c>
      <c r="E120" s="196">
        <v>2</v>
      </c>
      <c r="F120" s="197">
        <f t="shared" si="10"/>
        <v>0.3010299956639812</v>
      </c>
      <c r="G120" s="195" t="s">
        <v>3116</v>
      </c>
      <c r="H120" s="202">
        <v>0.34</v>
      </c>
      <c r="I120" s="197"/>
      <c r="J120" s="197">
        <f t="shared" si="11"/>
        <v>-0.46852108295774486</v>
      </c>
      <c r="K120" s="195">
        <v>-33.461666999999998</v>
      </c>
      <c r="L120" s="199">
        <f t="shared" si="12"/>
        <v>33.461666999999998</v>
      </c>
      <c r="M120" s="199">
        <v>19.616389000000002</v>
      </c>
      <c r="N120" s="195" t="s">
        <v>3174</v>
      </c>
      <c r="O120" s="198">
        <v>31.7</v>
      </c>
      <c r="P120" s="195" t="s">
        <v>3116</v>
      </c>
      <c r="Q120" s="201">
        <v>0.16</v>
      </c>
      <c r="R120" s="202">
        <f t="shared" si="13"/>
        <v>6.445798922691845E-2</v>
      </c>
      <c r="S120" s="195" t="s">
        <v>3116</v>
      </c>
      <c r="T120" s="203">
        <v>4.2439999999999998</v>
      </c>
      <c r="U120" s="204">
        <f t="shared" si="14"/>
        <v>0.62777537522930305</v>
      </c>
      <c r="V120" s="195" t="s">
        <v>3382</v>
      </c>
      <c r="W120" s="141">
        <v>83</v>
      </c>
      <c r="X120" s="141" t="s">
        <v>352</v>
      </c>
      <c r="Y120" s="142">
        <f>AVERAGE(30,51)</f>
        <v>40.5</v>
      </c>
      <c r="Z120" s="142"/>
      <c r="AA120" s="142"/>
      <c r="AB120" s="142">
        <f>5.35/1000</f>
        <v>5.3499999999999997E-3</v>
      </c>
      <c r="AC120" s="142">
        <f t="shared" si="15"/>
        <v>-2.2716462179787715</v>
      </c>
      <c r="AD120" s="142"/>
      <c r="AE120" s="142"/>
      <c r="AF120" s="142"/>
      <c r="AG120" s="141"/>
      <c r="AH120" s="142">
        <v>2</v>
      </c>
      <c r="AI120" s="142"/>
      <c r="AJ120" s="142">
        <v>29.8</v>
      </c>
      <c r="AK120" s="218">
        <f t="shared" si="16"/>
        <v>1.8999999999999986</v>
      </c>
      <c r="AL120" s="142" t="s">
        <v>1509</v>
      </c>
      <c r="AM120" s="142" t="s">
        <v>1509</v>
      </c>
      <c r="AW120" s="144"/>
      <c r="BB120" s="144"/>
    </row>
    <row r="121" spans="1:54" ht="15" customHeight="1">
      <c r="A121" s="195" t="s">
        <v>3428</v>
      </c>
      <c r="B121" s="195" t="s">
        <v>3429</v>
      </c>
      <c r="C121" s="195" t="s">
        <v>3379</v>
      </c>
      <c r="D121" s="195" t="s">
        <v>4183</v>
      </c>
      <c r="E121" s="196">
        <v>10</v>
      </c>
      <c r="F121" s="197">
        <f t="shared" si="10"/>
        <v>1</v>
      </c>
      <c r="G121" s="195" t="s">
        <v>3116</v>
      </c>
      <c r="H121" s="196">
        <v>1</v>
      </c>
      <c r="I121" s="197"/>
      <c r="J121" s="197">
        <f t="shared" si="11"/>
        <v>0</v>
      </c>
      <c r="K121" s="199">
        <v>65.923610999999994</v>
      </c>
      <c r="L121" s="199">
        <f t="shared" si="12"/>
        <v>65.923610999999994</v>
      </c>
      <c r="M121" s="195">
        <v>-22.431388999999999</v>
      </c>
      <c r="N121" s="195" t="s">
        <v>3150</v>
      </c>
      <c r="O121" s="198">
        <v>38.6</v>
      </c>
      <c r="P121" s="195" t="s">
        <v>3116</v>
      </c>
      <c r="Q121" s="201">
        <v>0.14000000000000001</v>
      </c>
      <c r="R121" s="202">
        <f t="shared" si="13"/>
        <v>5.6904851336472641E-2</v>
      </c>
      <c r="S121" s="195" t="s">
        <v>3116</v>
      </c>
      <c r="T121" s="203">
        <v>4.2850000000000001</v>
      </c>
      <c r="U121" s="204">
        <f t="shared" si="14"/>
        <v>0.63195082625921695</v>
      </c>
      <c r="V121" s="195" t="s">
        <v>3430</v>
      </c>
      <c r="W121" s="141">
        <v>25</v>
      </c>
      <c r="X121" s="141" t="s">
        <v>3431</v>
      </c>
      <c r="Y121" s="141">
        <f>AVERAGE(30,30,25)</f>
        <v>28.333333333333332</v>
      </c>
      <c r="Z121" s="142"/>
      <c r="AA121" s="142"/>
      <c r="AB121" s="142">
        <f>AVERAGE(47.6, 51.2, 50.1)</f>
        <v>49.633333333333333</v>
      </c>
      <c r="AC121" s="142">
        <f t="shared" si="15"/>
        <v>1.6957734430325138</v>
      </c>
      <c r="AD121" s="142"/>
      <c r="AE121" s="142"/>
      <c r="AF121" s="142"/>
      <c r="AG121" s="141" t="s">
        <v>3432</v>
      </c>
      <c r="AH121" s="142">
        <v>2</v>
      </c>
      <c r="AI121" s="142"/>
      <c r="AJ121" s="145">
        <v>12.3</v>
      </c>
      <c r="AK121" s="218">
        <f t="shared" si="16"/>
        <v>26.3</v>
      </c>
      <c r="AL121" s="142" t="s">
        <v>1509</v>
      </c>
      <c r="AM121" s="142" t="s">
        <v>1509</v>
      </c>
      <c r="AW121" s="144"/>
      <c r="BB121" s="144"/>
    </row>
    <row r="122" spans="1:54" ht="15" customHeight="1">
      <c r="A122" s="195" t="s">
        <v>3428</v>
      </c>
      <c r="B122" s="195" t="s">
        <v>3429</v>
      </c>
      <c r="C122" s="195" t="s">
        <v>3379</v>
      </c>
      <c r="D122" s="195" t="s">
        <v>4183</v>
      </c>
      <c r="E122" s="196">
        <v>10</v>
      </c>
      <c r="F122" s="197">
        <f t="shared" si="10"/>
        <v>1</v>
      </c>
      <c r="G122" s="195" t="s">
        <v>3116</v>
      </c>
      <c r="H122" s="196">
        <v>1</v>
      </c>
      <c r="I122" s="197"/>
      <c r="J122" s="197">
        <f t="shared" si="11"/>
        <v>0</v>
      </c>
      <c r="K122" s="199">
        <v>65.821111000000002</v>
      </c>
      <c r="L122" s="199">
        <f t="shared" si="12"/>
        <v>65.821111000000002</v>
      </c>
      <c r="M122" s="195">
        <v>-22.488610999999999</v>
      </c>
      <c r="N122" s="195" t="s">
        <v>3150</v>
      </c>
      <c r="O122" s="198">
        <v>37.9</v>
      </c>
      <c r="P122" s="195" t="s">
        <v>3116</v>
      </c>
      <c r="Q122" s="201">
        <v>0.15</v>
      </c>
      <c r="R122" s="202">
        <f t="shared" si="13"/>
        <v>6.069784035361165E-2</v>
      </c>
      <c r="S122" s="195" t="s">
        <v>3116</v>
      </c>
      <c r="T122" s="203">
        <v>4.2939999999999996</v>
      </c>
      <c r="U122" s="204">
        <f t="shared" si="14"/>
        <v>0.63286204010022984</v>
      </c>
      <c r="V122" s="195" t="s">
        <v>3430</v>
      </c>
      <c r="W122" s="141">
        <v>25</v>
      </c>
      <c r="X122" s="141" t="s">
        <v>3431</v>
      </c>
      <c r="Y122" s="141">
        <f>AVERAGE(25,25,30)</f>
        <v>26.666666666666668</v>
      </c>
      <c r="Z122" s="142"/>
      <c r="AA122" s="142"/>
      <c r="AB122" s="142">
        <f>AVERAGE(38.8, 39.7, 40.1)</f>
        <v>39.533333333333331</v>
      </c>
      <c r="AC122" s="142">
        <f t="shared" si="15"/>
        <v>1.5969634343085815</v>
      </c>
      <c r="AD122" s="142"/>
      <c r="AE122" s="142"/>
      <c r="AF122" s="142"/>
      <c r="AG122" s="141" t="s">
        <v>3432</v>
      </c>
      <c r="AH122" s="142">
        <v>2</v>
      </c>
      <c r="AI122" s="142"/>
      <c r="AJ122" s="142" t="s">
        <v>355</v>
      </c>
      <c r="AK122" s="218"/>
      <c r="AL122" s="142" t="s">
        <v>1509</v>
      </c>
      <c r="AM122" s="142" t="s">
        <v>4232</v>
      </c>
      <c r="AN122" s="154"/>
      <c r="AO122" s="130"/>
      <c r="AP122" s="130"/>
      <c r="AW122" s="144"/>
      <c r="BB122" s="144"/>
    </row>
    <row r="123" spans="1:54" ht="15" customHeight="1">
      <c r="A123" s="195" t="s">
        <v>3468</v>
      </c>
      <c r="B123" s="195" t="s">
        <v>3469</v>
      </c>
      <c r="C123" s="195" t="s">
        <v>3439</v>
      </c>
      <c r="D123" s="195" t="s">
        <v>4180</v>
      </c>
      <c r="E123" s="196">
        <v>20</v>
      </c>
      <c r="F123" s="197">
        <f t="shared" si="10"/>
        <v>1.3010299956639813</v>
      </c>
      <c r="G123" s="198">
        <v>0.3</v>
      </c>
      <c r="H123" s="198">
        <v>0.3</v>
      </c>
      <c r="I123" s="197">
        <f>LOG(G123)</f>
        <v>-0.52287874528033762</v>
      </c>
      <c r="J123" s="197">
        <f t="shared" si="11"/>
        <v>-0.52287874528033762</v>
      </c>
      <c r="K123" s="199">
        <v>29.805766999999999</v>
      </c>
      <c r="L123" s="199">
        <f t="shared" si="12"/>
        <v>29.805766999999999</v>
      </c>
      <c r="M123" s="195">
        <v>-85.354374000000007</v>
      </c>
      <c r="N123" s="195" t="s">
        <v>3117</v>
      </c>
      <c r="O123" s="198">
        <v>43.2</v>
      </c>
      <c r="P123" s="198">
        <v>0.8</v>
      </c>
      <c r="Q123" s="201">
        <v>0.31</v>
      </c>
      <c r="R123" s="202">
        <f t="shared" si="13"/>
        <v>0.11727129565576427</v>
      </c>
      <c r="S123" s="202">
        <v>0.41</v>
      </c>
      <c r="T123" s="203">
        <v>4.381008048</v>
      </c>
      <c r="U123" s="204">
        <f t="shared" si="14"/>
        <v>0.64157405098661635</v>
      </c>
      <c r="V123" s="195" t="s">
        <v>3470</v>
      </c>
      <c r="W123" s="141">
        <v>42</v>
      </c>
      <c r="X123" s="141" t="s">
        <v>352</v>
      </c>
      <c r="Y123" s="142">
        <v>10</v>
      </c>
      <c r="Z123" s="142">
        <v>9</v>
      </c>
      <c r="AA123" s="142">
        <f>259</f>
        <v>259</v>
      </c>
      <c r="AB123" s="142">
        <f>0.7*1000</f>
        <v>700</v>
      </c>
      <c r="AC123" s="142">
        <f t="shared" si="15"/>
        <v>2.8450980400142569</v>
      </c>
      <c r="AD123" s="142">
        <f>259</f>
        <v>259</v>
      </c>
      <c r="AE123" s="142">
        <f>0.7*1000</f>
        <v>700</v>
      </c>
      <c r="AF123" s="142">
        <f>LOG(AE123)</f>
        <v>2.8450980400142569</v>
      </c>
      <c r="AG123" s="141" t="s">
        <v>3471</v>
      </c>
      <c r="AH123" s="142">
        <v>3</v>
      </c>
      <c r="AI123" s="142">
        <v>3</v>
      </c>
      <c r="AJ123" s="142" t="s">
        <v>355</v>
      </c>
      <c r="AK123" s="218"/>
      <c r="AL123" s="142" t="s">
        <v>1509</v>
      </c>
      <c r="AM123" s="142" t="s">
        <v>4232</v>
      </c>
      <c r="AN123" s="155"/>
      <c r="AW123" s="144"/>
      <c r="BB123" s="144"/>
    </row>
    <row r="124" spans="1:54" ht="15" customHeight="1">
      <c r="A124" s="195" t="s">
        <v>3473</v>
      </c>
      <c r="B124" s="195" t="s">
        <v>3474</v>
      </c>
      <c r="C124" s="195" t="s">
        <v>3146</v>
      </c>
      <c r="D124" s="195" t="s">
        <v>4180</v>
      </c>
      <c r="E124" s="196">
        <v>14</v>
      </c>
      <c r="F124" s="197">
        <f t="shared" si="10"/>
        <v>1.146128035678238</v>
      </c>
      <c r="G124" s="195" t="s">
        <v>3116</v>
      </c>
      <c r="H124" s="205">
        <v>3.3000000000000002E-2</v>
      </c>
      <c r="I124" s="197"/>
      <c r="J124" s="197">
        <f t="shared" si="11"/>
        <v>-1.4814860601221125</v>
      </c>
      <c r="K124" s="199">
        <v>54.243864000000002</v>
      </c>
      <c r="L124" s="199">
        <f t="shared" si="12"/>
        <v>54.243864000000002</v>
      </c>
      <c r="M124" s="195">
        <v>-3.0042819999999999</v>
      </c>
      <c r="N124" s="195" t="s">
        <v>3174</v>
      </c>
      <c r="O124" s="198">
        <v>32.700000000000003</v>
      </c>
      <c r="P124" s="195" t="s">
        <v>3116</v>
      </c>
      <c r="Q124" s="201">
        <v>0.02</v>
      </c>
      <c r="R124" s="202">
        <f t="shared" si="13"/>
        <v>8.6001717619175692E-3</v>
      </c>
      <c r="S124" s="195" t="s">
        <v>3116</v>
      </c>
      <c r="T124" s="203">
        <v>4.6230000000000002</v>
      </c>
      <c r="U124" s="204">
        <f t="shared" si="14"/>
        <v>0.66492389343808178</v>
      </c>
      <c r="V124" s="195" t="s">
        <v>3475</v>
      </c>
      <c r="W124" s="141">
        <v>57</v>
      </c>
      <c r="X124" s="141" t="s">
        <v>3271</v>
      </c>
      <c r="Y124" s="142">
        <v>10</v>
      </c>
      <c r="Z124" s="142"/>
      <c r="AA124" s="142">
        <v>7.5</v>
      </c>
      <c r="AB124" s="142">
        <v>6.5</v>
      </c>
      <c r="AC124" s="142">
        <f t="shared" si="15"/>
        <v>0.81291335664285558</v>
      </c>
      <c r="AD124" s="142"/>
      <c r="AE124" s="142"/>
      <c r="AF124" s="142"/>
      <c r="AG124" s="141" t="s">
        <v>3476</v>
      </c>
      <c r="AH124" s="142">
        <v>2</v>
      </c>
      <c r="AI124" s="142"/>
      <c r="AJ124" s="142">
        <v>19.3</v>
      </c>
      <c r="AK124" s="218">
        <f t="shared" si="16"/>
        <v>13.400000000000002</v>
      </c>
      <c r="AL124" s="142" t="s">
        <v>1509</v>
      </c>
      <c r="AM124" s="142" t="s">
        <v>1509</v>
      </c>
      <c r="AN124" s="155"/>
      <c r="AW124" s="144"/>
      <c r="BB124" s="144"/>
    </row>
    <row r="125" spans="1:54" ht="15" customHeight="1">
      <c r="A125" s="195" t="s">
        <v>3478</v>
      </c>
      <c r="B125" s="195" t="s">
        <v>3479</v>
      </c>
      <c r="C125" s="195" t="s">
        <v>3467</v>
      </c>
      <c r="D125" s="195" t="s">
        <v>4184</v>
      </c>
      <c r="E125" s="196">
        <v>14</v>
      </c>
      <c r="F125" s="197">
        <f t="shared" si="10"/>
        <v>1.146128035678238</v>
      </c>
      <c r="G125" s="202">
        <v>0.25</v>
      </c>
      <c r="H125" s="202">
        <v>0.25</v>
      </c>
      <c r="I125" s="197">
        <f>LOG(G125)</f>
        <v>-0.6020599913279624</v>
      </c>
      <c r="J125" s="197">
        <f t="shared" si="11"/>
        <v>-0.6020599913279624</v>
      </c>
      <c r="K125" s="202">
        <v>25.09</v>
      </c>
      <c r="L125" s="199">
        <f t="shared" si="12"/>
        <v>25.09</v>
      </c>
      <c r="M125" s="202">
        <v>121.56</v>
      </c>
      <c r="N125" s="195" t="s">
        <v>3150</v>
      </c>
      <c r="O125" s="198">
        <v>38.6</v>
      </c>
      <c r="P125" s="198">
        <v>3.5</v>
      </c>
      <c r="Q125" s="201">
        <v>0.05</v>
      </c>
      <c r="R125" s="202">
        <f t="shared" si="13"/>
        <v>2.1189299069938092E-2</v>
      </c>
      <c r="S125" s="202">
        <v>0.21</v>
      </c>
      <c r="T125" s="203">
        <v>4.7130000000000001</v>
      </c>
      <c r="U125" s="204">
        <f t="shared" si="14"/>
        <v>0.67329743975963574</v>
      </c>
      <c r="V125" s="195" t="s">
        <v>3377</v>
      </c>
      <c r="W125" s="141">
        <v>107</v>
      </c>
      <c r="X125" s="141" t="s">
        <v>352</v>
      </c>
      <c r="Y125" s="141">
        <v>25</v>
      </c>
      <c r="Z125" s="141">
        <v>33</v>
      </c>
      <c r="AA125" s="141">
        <f>AVERAGE(838,878)</f>
        <v>858</v>
      </c>
      <c r="AB125" s="142">
        <v>520.64785558160509</v>
      </c>
      <c r="AC125" s="142">
        <f t="shared" si="15"/>
        <v>2.7165440839803465</v>
      </c>
      <c r="AD125" s="141">
        <f>AVERAGE(838,878)</f>
        <v>858</v>
      </c>
      <c r="AE125" s="142">
        <v>520.64785558160509</v>
      </c>
      <c r="AF125" s="142">
        <f>LOG(AE125)</f>
        <v>2.7165440839803465</v>
      </c>
      <c r="AG125" s="141" t="s">
        <v>3480</v>
      </c>
      <c r="AH125" s="142">
        <v>3</v>
      </c>
      <c r="AI125" s="142">
        <v>3</v>
      </c>
      <c r="AJ125" s="142">
        <v>31.8</v>
      </c>
      <c r="AK125" s="218">
        <f t="shared" si="16"/>
        <v>6.8000000000000007</v>
      </c>
      <c r="AL125" s="142" t="s">
        <v>1509</v>
      </c>
      <c r="AM125" s="142" t="s">
        <v>1509</v>
      </c>
      <c r="AN125" s="155"/>
      <c r="AW125" s="144"/>
      <c r="BB125" s="144"/>
    </row>
    <row r="126" spans="1:54" ht="15" customHeight="1">
      <c r="A126" s="195" t="s">
        <v>3478</v>
      </c>
      <c r="B126" s="195" t="s">
        <v>3482</v>
      </c>
      <c r="C126" s="195" t="s">
        <v>3417</v>
      </c>
      <c r="D126" s="195" t="s">
        <v>4184</v>
      </c>
      <c r="E126" s="196">
        <v>14</v>
      </c>
      <c r="F126" s="197">
        <f t="shared" si="10"/>
        <v>1.146128035678238</v>
      </c>
      <c r="G126" s="202">
        <v>0.25</v>
      </c>
      <c r="H126" s="202">
        <v>0.25</v>
      </c>
      <c r="I126" s="197">
        <f>LOG(G126)</f>
        <v>-0.6020599913279624</v>
      </c>
      <c r="J126" s="197">
        <f t="shared" si="11"/>
        <v>-0.6020599913279624</v>
      </c>
      <c r="K126" s="202">
        <v>25.09</v>
      </c>
      <c r="L126" s="199">
        <f t="shared" si="12"/>
        <v>25.09</v>
      </c>
      <c r="M126" s="202">
        <v>121.56</v>
      </c>
      <c r="N126" s="195" t="s">
        <v>3150</v>
      </c>
      <c r="O126" s="198">
        <v>38.9</v>
      </c>
      <c r="P126" s="198">
        <v>5.6</v>
      </c>
      <c r="Q126" s="201">
        <v>0.04</v>
      </c>
      <c r="R126" s="202">
        <f t="shared" si="13"/>
        <v>1.703333929878037E-2</v>
      </c>
      <c r="S126" s="202">
        <v>0.13</v>
      </c>
      <c r="T126" s="203">
        <v>4.7130000000000001</v>
      </c>
      <c r="U126" s="204">
        <f t="shared" si="14"/>
        <v>0.67329743975963574</v>
      </c>
      <c r="V126" s="195" t="s">
        <v>3377</v>
      </c>
      <c r="W126" s="141">
        <v>107</v>
      </c>
      <c r="X126" s="141" t="s">
        <v>352</v>
      </c>
      <c r="Y126" s="141">
        <v>37</v>
      </c>
      <c r="Z126" s="141">
        <v>36</v>
      </c>
      <c r="AA126" s="141">
        <f>AVERAGE(506,550)</f>
        <v>528</v>
      </c>
      <c r="AB126" s="142">
        <v>142.5565922873777</v>
      </c>
      <c r="AC126" s="142">
        <f t="shared" si="15"/>
        <v>2.1539873053202112</v>
      </c>
      <c r="AD126" s="141">
        <f>AVERAGE(506,550)</f>
        <v>528</v>
      </c>
      <c r="AE126" s="142">
        <v>142.5565922873777</v>
      </c>
      <c r="AF126" s="142">
        <f>LOG(AE126)</f>
        <v>2.1539873053202112</v>
      </c>
      <c r="AG126" s="141" t="s">
        <v>3483</v>
      </c>
      <c r="AH126" s="142">
        <v>3</v>
      </c>
      <c r="AI126" s="142">
        <v>3</v>
      </c>
      <c r="AJ126" s="142">
        <v>31.8</v>
      </c>
      <c r="AK126" s="218">
        <f t="shared" si="16"/>
        <v>7.0999999999999979</v>
      </c>
      <c r="AL126" s="142" t="s">
        <v>1509</v>
      </c>
      <c r="AM126" s="142" t="s">
        <v>1509</v>
      </c>
      <c r="AN126" s="155"/>
      <c r="AW126" s="144"/>
      <c r="BB126" s="144"/>
    </row>
    <row r="127" spans="1:54" ht="15" customHeight="1">
      <c r="A127" s="195" t="s">
        <v>3435</v>
      </c>
      <c r="B127" s="195" t="s">
        <v>3484</v>
      </c>
      <c r="C127" s="195" t="s">
        <v>3485</v>
      </c>
      <c r="D127" s="195" t="s">
        <v>4181</v>
      </c>
      <c r="E127" s="196">
        <v>10</v>
      </c>
      <c r="F127" s="197">
        <f t="shared" si="10"/>
        <v>1</v>
      </c>
      <c r="G127" s="195" t="s">
        <v>3116</v>
      </c>
      <c r="H127" s="196">
        <v>1</v>
      </c>
      <c r="I127" s="197"/>
      <c r="J127" s="197">
        <f t="shared" si="11"/>
        <v>0</v>
      </c>
      <c r="K127" s="195">
        <v>-36.391784999999999</v>
      </c>
      <c r="L127" s="199">
        <f t="shared" si="12"/>
        <v>36.391784999999999</v>
      </c>
      <c r="M127" s="199">
        <v>148.42744200000001</v>
      </c>
      <c r="N127" s="195" t="s">
        <v>3150</v>
      </c>
      <c r="O127" s="198">
        <v>35.200000000000003</v>
      </c>
      <c r="P127" s="195" t="s">
        <v>3116</v>
      </c>
      <c r="Q127" s="201">
        <v>0.16</v>
      </c>
      <c r="R127" s="202">
        <f t="shared" si="13"/>
        <v>6.445798922691845E-2</v>
      </c>
      <c r="S127" s="195" t="s">
        <v>3116</v>
      </c>
      <c r="T127" s="203">
        <v>4.7220000000000004</v>
      </c>
      <c r="U127" s="204">
        <f t="shared" si="14"/>
        <v>0.67412598274270819</v>
      </c>
      <c r="V127" s="195" t="s">
        <v>3287</v>
      </c>
      <c r="W127" s="141">
        <v>4</v>
      </c>
      <c r="X127" s="141" t="s">
        <v>352</v>
      </c>
      <c r="Y127" s="141">
        <v>10</v>
      </c>
      <c r="Z127" s="142"/>
      <c r="AA127" s="145">
        <v>33</v>
      </c>
      <c r="AB127" s="141">
        <v>3.1514127390732996</v>
      </c>
      <c r="AC127" s="142">
        <f t="shared" si="15"/>
        <v>0.49850528624709473</v>
      </c>
      <c r="AD127" s="141"/>
      <c r="AE127" s="141"/>
      <c r="AF127" s="141"/>
      <c r="AG127" s="141" t="s">
        <v>3152</v>
      </c>
      <c r="AH127" s="141">
        <v>2</v>
      </c>
      <c r="AI127" s="141"/>
      <c r="AJ127" s="142">
        <v>18.399999999999999</v>
      </c>
      <c r="AK127" s="218">
        <f t="shared" si="16"/>
        <v>16.800000000000004</v>
      </c>
      <c r="AL127" s="142" t="s">
        <v>1509</v>
      </c>
      <c r="AM127" s="142" t="s">
        <v>1509</v>
      </c>
      <c r="AN127" s="155"/>
      <c r="AW127" s="144"/>
      <c r="BB127" s="144"/>
    </row>
    <row r="128" spans="1:54" ht="15" customHeight="1">
      <c r="A128" s="195" t="s">
        <v>3408</v>
      </c>
      <c r="B128" s="195" t="s">
        <v>3409</v>
      </c>
      <c r="C128" s="195" t="s">
        <v>3170</v>
      </c>
      <c r="D128" s="195" t="s">
        <v>4181</v>
      </c>
      <c r="E128" s="196">
        <v>10</v>
      </c>
      <c r="F128" s="197">
        <f t="shared" si="10"/>
        <v>1</v>
      </c>
      <c r="G128" s="195" t="s">
        <v>3116</v>
      </c>
      <c r="H128" s="196">
        <v>1</v>
      </c>
      <c r="I128" s="197"/>
      <c r="J128" s="197">
        <f t="shared" si="11"/>
        <v>0</v>
      </c>
      <c r="K128" s="195">
        <v>-30.514341999999999</v>
      </c>
      <c r="L128" s="199">
        <f t="shared" si="12"/>
        <v>30.514341999999999</v>
      </c>
      <c r="M128" s="199">
        <v>151.66696400000001</v>
      </c>
      <c r="N128" s="195" t="s">
        <v>3150</v>
      </c>
      <c r="O128" s="198">
        <v>35.299999999999997</v>
      </c>
      <c r="P128" s="195" t="s">
        <v>3116</v>
      </c>
      <c r="Q128" s="201">
        <v>0.15</v>
      </c>
      <c r="R128" s="202">
        <f t="shared" si="13"/>
        <v>6.069784035361165E-2</v>
      </c>
      <c r="S128" s="195" t="s">
        <v>3116</v>
      </c>
      <c r="T128" s="203">
        <v>4.742</v>
      </c>
      <c r="U128" s="204">
        <f t="shared" si="14"/>
        <v>0.67596154964216937</v>
      </c>
      <c r="V128" s="195" t="s">
        <v>3287</v>
      </c>
      <c r="W128" s="141">
        <v>4</v>
      </c>
      <c r="X128" s="141" t="s">
        <v>352</v>
      </c>
      <c r="Y128" s="141">
        <v>9</v>
      </c>
      <c r="Z128" s="142"/>
      <c r="AA128" s="145">
        <v>33</v>
      </c>
      <c r="AB128" s="141">
        <v>2.8375914576167496</v>
      </c>
      <c r="AC128" s="142">
        <f t="shared" si="15"/>
        <v>0.45294986805075826</v>
      </c>
      <c r="AD128" s="141"/>
      <c r="AE128" s="141"/>
      <c r="AF128" s="141"/>
      <c r="AG128" s="141" t="s">
        <v>3152</v>
      </c>
      <c r="AH128" s="142">
        <v>2</v>
      </c>
      <c r="AI128" s="142"/>
      <c r="AJ128" s="142">
        <v>26.2</v>
      </c>
      <c r="AK128" s="218">
        <f t="shared" si="16"/>
        <v>9.0999999999999979</v>
      </c>
      <c r="AL128" s="142" t="s">
        <v>1509</v>
      </c>
      <c r="AM128" s="142" t="s">
        <v>1509</v>
      </c>
      <c r="AN128" s="155"/>
      <c r="AW128" s="144"/>
      <c r="BB128" s="144"/>
    </row>
    <row r="129" spans="1:54" ht="15" customHeight="1">
      <c r="A129" s="195" t="s">
        <v>3289</v>
      </c>
      <c r="B129" s="195" t="s">
        <v>3487</v>
      </c>
      <c r="C129" s="195" t="s">
        <v>3488</v>
      </c>
      <c r="D129" s="195" t="s">
        <v>4181</v>
      </c>
      <c r="E129" s="196">
        <v>10</v>
      </c>
      <c r="F129" s="197">
        <f t="shared" si="10"/>
        <v>1</v>
      </c>
      <c r="G129" s="195" t="s">
        <v>3116</v>
      </c>
      <c r="H129" s="196">
        <v>1</v>
      </c>
      <c r="I129" s="197"/>
      <c r="J129" s="197">
        <f t="shared" si="11"/>
        <v>0</v>
      </c>
      <c r="K129" s="195">
        <v>-30.514341999999999</v>
      </c>
      <c r="L129" s="199">
        <f t="shared" si="12"/>
        <v>30.514341999999999</v>
      </c>
      <c r="M129" s="199">
        <v>151.66696400000001</v>
      </c>
      <c r="N129" s="195" t="s">
        <v>3150</v>
      </c>
      <c r="O129" s="198">
        <v>33.4</v>
      </c>
      <c r="P129" s="195" t="s">
        <v>3116</v>
      </c>
      <c r="Q129" s="201">
        <v>0.18</v>
      </c>
      <c r="R129" s="202">
        <f t="shared" si="13"/>
        <v>7.1882007306125359E-2</v>
      </c>
      <c r="S129" s="195" t="s">
        <v>3116</v>
      </c>
      <c r="T129" s="203">
        <v>4.742</v>
      </c>
      <c r="U129" s="204">
        <f t="shared" si="14"/>
        <v>0.67596154964216937</v>
      </c>
      <c r="V129" s="195" t="s">
        <v>3287</v>
      </c>
      <c r="W129" s="141">
        <v>4</v>
      </c>
      <c r="X129" s="141" t="s">
        <v>352</v>
      </c>
      <c r="Y129" s="141">
        <v>12</v>
      </c>
      <c r="Z129" s="142"/>
      <c r="AA129" s="145">
        <v>40</v>
      </c>
      <c r="AB129" s="141">
        <v>6.4164405934956728</v>
      </c>
      <c r="AC129" s="142">
        <f t="shared" si="15"/>
        <v>0.80729417771286249</v>
      </c>
      <c r="AD129" s="141"/>
      <c r="AE129" s="141"/>
      <c r="AF129" s="141"/>
      <c r="AG129" s="141" t="s">
        <v>3152</v>
      </c>
      <c r="AH129" s="142">
        <v>2</v>
      </c>
      <c r="AI129" s="142"/>
      <c r="AJ129" s="142">
        <v>26.2</v>
      </c>
      <c r="AK129" s="218">
        <f t="shared" si="16"/>
        <v>7.1999999999999993</v>
      </c>
      <c r="AL129" s="142" t="s">
        <v>1509</v>
      </c>
      <c r="AM129" s="142" t="s">
        <v>1509</v>
      </c>
      <c r="AN129" s="151"/>
      <c r="AW129" s="144"/>
      <c r="BB129" s="144"/>
    </row>
    <row r="130" spans="1:54" ht="15" customHeight="1">
      <c r="A130" s="195" t="s">
        <v>3285</v>
      </c>
      <c r="B130" s="195" t="s">
        <v>3425</v>
      </c>
      <c r="C130" s="195" t="s">
        <v>3282</v>
      </c>
      <c r="D130" s="195" t="s">
        <v>4181</v>
      </c>
      <c r="E130" s="196">
        <v>10</v>
      </c>
      <c r="F130" s="197">
        <f t="shared" si="10"/>
        <v>1</v>
      </c>
      <c r="G130" s="195" t="s">
        <v>3116</v>
      </c>
      <c r="H130" s="196">
        <v>1</v>
      </c>
      <c r="I130" s="197"/>
      <c r="J130" s="197">
        <f t="shared" si="11"/>
        <v>0</v>
      </c>
      <c r="K130" s="195">
        <v>-30.514341999999999</v>
      </c>
      <c r="L130" s="199">
        <f t="shared" si="12"/>
        <v>30.514341999999999</v>
      </c>
      <c r="M130" s="199">
        <v>151.66696400000001</v>
      </c>
      <c r="N130" s="195" t="s">
        <v>3150</v>
      </c>
      <c r="O130" s="198">
        <v>32.799999999999997</v>
      </c>
      <c r="P130" s="195" t="s">
        <v>3116</v>
      </c>
      <c r="Q130" s="201">
        <v>0.11</v>
      </c>
      <c r="R130" s="202">
        <f t="shared" si="13"/>
        <v>4.5322978786657475E-2</v>
      </c>
      <c r="S130" s="195" t="s">
        <v>3116</v>
      </c>
      <c r="T130" s="203">
        <v>4.742</v>
      </c>
      <c r="U130" s="204">
        <f t="shared" si="14"/>
        <v>0.67596154964216937</v>
      </c>
      <c r="V130" s="195" t="s">
        <v>3287</v>
      </c>
      <c r="W130" s="141">
        <v>4</v>
      </c>
      <c r="X130" s="141" t="s">
        <v>352</v>
      </c>
      <c r="Y130" s="141">
        <v>8</v>
      </c>
      <c r="Z130" s="142"/>
      <c r="AA130" s="145">
        <v>33</v>
      </c>
      <c r="AB130" s="141">
        <v>2.4008038575737882</v>
      </c>
      <c r="AC130" s="142">
        <f t="shared" si="15"/>
        <v>0.38035668023488345</v>
      </c>
      <c r="AD130" s="141"/>
      <c r="AE130" s="141"/>
      <c r="AF130" s="141"/>
      <c r="AG130" s="141" t="s">
        <v>3152</v>
      </c>
      <c r="AH130" s="145">
        <v>2</v>
      </c>
      <c r="AI130" s="145"/>
      <c r="AJ130" s="141">
        <v>26.2</v>
      </c>
      <c r="AK130" s="218">
        <f t="shared" si="16"/>
        <v>6.5999999999999979</v>
      </c>
      <c r="AL130" s="142" t="s">
        <v>1509</v>
      </c>
      <c r="AM130" s="142" t="s">
        <v>1509</v>
      </c>
      <c r="AN130" s="155"/>
      <c r="AW130" s="144"/>
      <c r="BB130" s="144"/>
    </row>
    <row r="131" spans="1:54" ht="15" customHeight="1">
      <c r="A131" s="195" t="s">
        <v>3285</v>
      </c>
      <c r="B131" s="195" t="s">
        <v>3433</v>
      </c>
      <c r="C131" s="195" t="s">
        <v>3292</v>
      </c>
      <c r="D131" s="195" t="s">
        <v>4181</v>
      </c>
      <c r="E131" s="196">
        <v>10</v>
      </c>
      <c r="F131" s="197">
        <f t="shared" si="10"/>
        <v>1</v>
      </c>
      <c r="G131" s="195" t="s">
        <v>3116</v>
      </c>
      <c r="H131" s="196">
        <v>1</v>
      </c>
      <c r="I131" s="197"/>
      <c r="J131" s="197">
        <f t="shared" si="11"/>
        <v>0</v>
      </c>
      <c r="K131" s="195">
        <v>-30.514341999999999</v>
      </c>
      <c r="L131" s="199">
        <f t="shared" si="12"/>
        <v>30.514341999999999</v>
      </c>
      <c r="M131" s="199">
        <v>151.66696400000001</v>
      </c>
      <c r="N131" s="195" t="s">
        <v>3150</v>
      </c>
      <c r="O131" s="198">
        <v>36.200000000000003</v>
      </c>
      <c r="P131" s="195" t="s">
        <v>3116</v>
      </c>
      <c r="Q131" s="201">
        <v>0.16</v>
      </c>
      <c r="R131" s="202">
        <f t="shared" si="13"/>
        <v>6.445798922691845E-2</v>
      </c>
      <c r="S131" s="195" t="s">
        <v>3116</v>
      </c>
      <c r="T131" s="203">
        <v>4.742</v>
      </c>
      <c r="U131" s="204">
        <f t="shared" si="14"/>
        <v>0.67596154964216937</v>
      </c>
      <c r="V131" s="195" t="s">
        <v>3287</v>
      </c>
      <c r="W131" s="141">
        <v>4</v>
      </c>
      <c r="X131" s="141" t="s">
        <v>352</v>
      </c>
      <c r="Y131" s="141">
        <v>4</v>
      </c>
      <c r="Z131" s="142"/>
      <c r="AA131" s="145">
        <v>55</v>
      </c>
      <c r="AB131" s="142">
        <v>11.058200030790768</v>
      </c>
      <c r="AC131" s="142">
        <f t="shared" si="15"/>
        <v>1.0436844415877893</v>
      </c>
      <c r="AD131" s="142"/>
      <c r="AE131" s="142"/>
      <c r="AF131" s="142"/>
      <c r="AG131" s="141" t="s">
        <v>3152</v>
      </c>
      <c r="AH131" s="145">
        <v>2</v>
      </c>
      <c r="AI131" s="145"/>
      <c r="AJ131" s="142">
        <v>26.2</v>
      </c>
      <c r="AK131" s="218">
        <f t="shared" si="16"/>
        <v>10.000000000000004</v>
      </c>
      <c r="AL131" s="142" t="s">
        <v>1509</v>
      </c>
      <c r="AM131" s="142" t="s">
        <v>1509</v>
      </c>
      <c r="AN131" s="155"/>
      <c r="AW131" s="144"/>
      <c r="BB131" s="144"/>
    </row>
    <row r="132" spans="1:54" ht="15" customHeight="1">
      <c r="A132" s="195" t="s">
        <v>3408</v>
      </c>
      <c r="B132" s="195" t="s">
        <v>3409</v>
      </c>
      <c r="C132" s="195" t="s">
        <v>3170</v>
      </c>
      <c r="D132" s="195" t="s">
        <v>4181</v>
      </c>
      <c r="E132" s="196">
        <v>10</v>
      </c>
      <c r="F132" s="197">
        <f t="shared" si="10"/>
        <v>1</v>
      </c>
      <c r="G132" s="195" t="s">
        <v>3116</v>
      </c>
      <c r="H132" s="196">
        <v>1</v>
      </c>
      <c r="I132" s="197"/>
      <c r="J132" s="197">
        <f t="shared" si="11"/>
        <v>0</v>
      </c>
      <c r="K132" s="195">
        <v>-36.455916999999999</v>
      </c>
      <c r="L132" s="199">
        <f t="shared" si="12"/>
        <v>36.455916999999999</v>
      </c>
      <c r="M132" s="199">
        <v>148.263588</v>
      </c>
      <c r="N132" s="195" t="s">
        <v>3150</v>
      </c>
      <c r="O132" s="198">
        <v>34.9</v>
      </c>
      <c r="P132" s="195" t="s">
        <v>3116</v>
      </c>
      <c r="Q132" s="201">
        <v>0.13</v>
      </c>
      <c r="R132" s="202">
        <f t="shared" si="13"/>
        <v>5.3078443483419682E-2</v>
      </c>
      <c r="S132" s="195" t="s">
        <v>3116</v>
      </c>
      <c r="T132" s="203">
        <v>4.8330000000000002</v>
      </c>
      <c r="U132" s="204">
        <f t="shared" si="14"/>
        <v>0.68421679513888045</v>
      </c>
      <c r="V132" s="195" t="s">
        <v>3287</v>
      </c>
      <c r="W132" s="141">
        <v>4</v>
      </c>
      <c r="X132" s="141" t="s">
        <v>352</v>
      </c>
      <c r="Y132" s="141">
        <v>12</v>
      </c>
      <c r="Z132" s="142"/>
      <c r="AA132" s="145">
        <v>33</v>
      </c>
      <c r="AB132" s="141">
        <v>2.8375914576167496</v>
      </c>
      <c r="AC132" s="142">
        <f t="shared" si="15"/>
        <v>0.45294986805075826</v>
      </c>
      <c r="AD132" s="141"/>
      <c r="AE132" s="141"/>
      <c r="AF132" s="141"/>
      <c r="AG132" s="141" t="s">
        <v>3152</v>
      </c>
      <c r="AH132" s="142">
        <v>2</v>
      </c>
      <c r="AI132" s="142"/>
      <c r="AJ132" s="142">
        <v>15.6</v>
      </c>
      <c r="AK132" s="218">
        <f t="shared" si="16"/>
        <v>19.299999999999997</v>
      </c>
      <c r="AL132" s="142" t="s">
        <v>1509</v>
      </c>
      <c r="AM132" s="142" t="s">
        <v>1509</v>
      </c>
      <c r="AN132" s="155"/>
      <c r="AW132" s="144"/>
      <c r="BB132" s="144"/>
    </row>
    <row r="133" spans="1:54" ht="15" customHeight="1">
      <c r="A133" s="195" t="s">
        <v>3285</v>
      </c>
      <c r="B133" s="195" t="s">
        <v>3461</v>
      </c>
      <c r="C133" s="195" t="s">
        <v>3462</v>
      </c>
      <c r="D133" s="195" t="s">
        <v>4181</v>
      </c>
      <c r="E133" s="196">
        <v>10</v>
      </c>
      <c r="F133" s="197">
        <f t="shared" ref="F133:F196" si="17">LOG(E133)</f>
        <v>1</v>
      </c>
      <c r="G133" s="195" t="s">
        <v>3116</v>
      </c>
      <c r="H133" s="196">
        <v>1</v>
      </c>
      <c r="I133" s="197"/>
      <c r="J133" s="197">
        <f t="shared" ref="J133:J196" si="18">LOG(H133)</f>
        <v>0</v>
      </c>
      <c r="K133" s="195">
        <v>-36.455916999999999</v>
      </c>
      <c r="L133" s="199">
        <f t="shared" ref="L133:L196" si="19">ABS(K133)</f>
        <v>36.455916999999999</v>
      </c>
      <c r="M133" s="199">
        <v>148.263588</v>
      </c>
      <c r="N133" s="195" t="s">
        <v>3150</v>
      </c>
      <c r="O133" s="198">
        <v>32.9</v>
      </c>
      <c r="P133" s="195" t="s">
        <v>3116</v>
      </c>
      <c r="Q133" s="201">
        <v>0.17</v>
      </c>
      <c r="R133" s="202">
        <f t="shared" ref="R133:R196" si="20">LOG(Q133+1)</f>
        <v>6.8185861746161619E-2</v>
      </c>
      <c r="S133" s="195" t="s">
        <v>3116</v>
      </c>
      <c r="T133" s="203">
        <v>4.8330000000000002</v>
      </c>
      <c r="U133" s="204">
        <f t="shared" ref="U133:U196" si="21">LOG(T133)</f>
        <v>0.68421679513888045</v>
      </c>
      <c r="V133" s="195" t="s">
        <v>3287</v>
      </c>
      <c r="W133" s="141">
        <v>4</v>
      </c>
      <c r="X133" s="141" t="s">
        <v>352</v>
      </c>
      <c r="Y133" s="141">
        <v>36</v>
      </c>
      <c r="Z133" s="142"/>
      <c r="AA133" s="145">
        <v>33</v>
      </c>
      <c r="AB133" s="141">
        <v>2.4008038575737882</v>
      </c>
      <c r="AC133" s="142">
        <f t="shared" ref="AC133:AC196" si="22">LOG(AB133)</f>
        <v>0.38035668023488345</v>
      </c>
      <c r="AD133" s="141"/>
      <c r="AE133" s="141"/>
      <c r="AF133" s="141"/>
      <c r="AG133" s="141" t="s">
        <v>3152</v>
      </c>
      <c r="AH133" s="142">
        <v>2</v>
      </c>
      <c r="AI133" s="142"/>
      <c r="AJ133" s="145">
        <v>15.6</v>
      </c>
      <c r="AK133" s="218">
        <f t="shared" si="16"/>
        <v>17.299999999999997</v>
      </c>
      <c r="AL133" s="142" t="s">
        <v>1509</v>
      </c>
      <c r="AM133" s="142" t="s">
        <v>1509</v>
      </c>
      <c r="AN133" s="155"/>
      <c r="AW133" s="144"/>
      <c r="BB133" s="144"/>
    </row>
    <row r="134" spans="1:54" ht="15" customHeight="1">
      <c r="A134" s="195" t="s">
        <v>3408</v>
      </c>
      <c r="B134" s="195" t="s">
        <v>3491</v>
      </c>
      <c r="C134" s="195" t="s">
        <v>3492</v>
      </c>
      <c r="D134" s="195" t="s">
        <v>4181</v>
      </c>
      <c r="E134" s="196">
        <v>10</v>
      </c>
      <c r="F134" s="197">
        <f t="shared" si="17"/>
        <v>1</v>
      </c>
      <c r="G134" s="195" t="s">
        <v>3116</v>
      </c>
      <c r="H134" s="196">
        <v>1</v>
      </c>
      <c r="I134" s="197"/>
      <c r="J134" s="197">
        <f t="shared" si="18"/>
        <v>0</v>
      </c>
      <c r="K134" s="195">
        <v>-36.758710999999998</v>
      </c>
      <c r="L134" s="199">
        <f t="shared" si="19"/>
        <v>36.758710999999998</v>
      </c>
      <c r="M134" s="199">
        <v>144.28374600000001</v>
      </c>
      <c r="N134" s="195" t="s">
        <v>3150</v>
      </c>
      <c r="O134" s="196">
        <v>35</v>
      </c>
      <c r="P134" s="195" t="s">
        <v>3116</v>
      </c>
      <c r="Q134" s="201">
        <v>0.13</v>
      </c>
      <c r="R134" s="202">
        <f t="shared" si="20"/>
        <v>5.3078443483419682E-2</v>
      </c>
      <c r="S134" s="195" t="s">
        <v>3116</v>
      </c>
      <c r="T134" s="203">
        <v>4.8440000000000003</v>
      </c>
      <c r="U134" s="204">
        <f t="shared" si="21"/>
        <v>0.68520413447101469</v>
      </c>
      <c r="V134" s="195" t="s">
        <v>3287</v>
      </c>
      <c r="W134" s="141">
        <v>4</v>
      </c>
      <c r="X134" s="141" t="s">
        <v>352</v>
      </c>
      <c r="Y134" s="141">
        <v>13</v>
      </c>
      <c r="Z134" s="142"/>
      <c r="AA134" s="145">
        <v>33</v>
      </c>
      <c r="AB134" s="141">
        <v>2.8375914576167496</v>
      </c>
      <c r="AC134" s="142">
        <f t="shared" si="22"/>
        <v>0.45294986805075826</v>
      </c>
      <c r="AD134" s="141"/>
      <c r="AE134" s="141"/>
      <c r="AF134" s="141"/>
      <c r="AG134" s="141" t="s">
        <v>3152</v>
      </c>
      <c r="AH134" s="142">
        <v>2</v>
      </c>
      <c r="AI134" s="142"/>
      <c r="AJ134" s="145">
        <v>28.9</v>
      </c>
      <c r="AK134" s="218">
        <f t="shared" ref="AK134:AK197" si="23">O134-AJ134</f>
        <v>6.1000000000000014</v>
      </c>
      <c r="AL134" s="142" t="s">
        <v>1509</v>
      </c>
      <c r="AM134" s="142" t="s">
        <v>1509</v>
      </c>
      <c r="AN134" s="155"/>
      <c r="AW134" s="144"/>
      <c r="BB134" s="144"/>
    </row>
    <row r="135" spans="1:54" ht="15" customHeight="1">
      <c r="A135" s="195" t="s">
        <v>3198</v>
      </c>
      <c r="B135" s="195" t="s">
        <v>3493</v>
      </c>
      <c r="C135" s="195" t="s">
        <v>3494</v>
      </c>
      <c r="D135" s="195" t="s">
        <v>4181</v>
      </c>
      <c r="E135" s="196">
        <v>14</v>
      </c>
      <c r="F135" s="197">
        <f t="shared" si="17"/>
        <v>1.146128035678238</v>
      </c>
      <c r="G135" s="195" t="s">
        <v>3116</v>
      </c>
      <c r="H135" s="196">
        <v>1</v>
      </c>
      <c r="I135" s="197"/>
      <c r="J135" s="197">
        <f t="shared" si="18"/>
        <v>0</v>
      </c>
      <c r="K135" s="196">
        <v>34</v>
      </c>
      <c r="L135" s="199">
        <f t="shared" si="19"/>
        <v>34</v>
      </c>
      <c r="M135" s="195">
        <v>-117.396119</v>
      </c>
      <c r="N135" s="195" t="s">
        <v>3150</v>
      </c>
      <c r="O135" s="198">
        <v>36.799999999999997</v>
      </c>
      <c r="P135" s="195" t="s">
        <v>3116</v>
      </c>
      <c r="Q135" s="201">
        <v>0.32</v>
      </c>
      <c r="R135" s="202">
        <f t="shared" si="20"/>
        <v>0.12057393120584989</v>
      </c>
      <c r="S135" s="195" t="s">
        <v>3116</v>
      </c>
      <c r="T135" s="203">
        <v>4.875</v>
      </c>
      <c r="U135" s="204">
        <f t="shared" si="21"/>
        <v>0.68797462003455567</v>
      </c>
      <c r="V135" s="195" t="s">
        <v>3151</v>
      </c>
      <c r="W135" s="141">
        <v>2</v>
      </c>
      <c r="X135" s="141" t="s">
        <v>352</v>
      </c>
      <c r="Y135" s="141">
        <v>10</v>
      </c>
      <c r="Z135" s="145"/>
      <c r="AA135" s="145">
        <v>33</v>
      </c>
      <c r="AB135" s="142">
        <v>2.4008038575737882</v>
      </c>
      <c r="AC135" s="142">
        <f t="shared" si="22"/>
        <v>0.38035668023488345</v>
      </c>
      <c r="AD135" s="142"/>
      <c r="AE135" s="142"/>
      <c r="AF135" s="142"/>
      <c r="AG135" s="141" t="s">
        <v>3152</v>
      </c>
      <c r="AH135" s="142">
        <v>2</v>
      </c>
      <c r="AI135" s="142"/>
      <c r="AJ135" s="142">
        <v>34.6</v>
      </c>
      <c r="AK135" s="218">
        <f t="shared" si="23"/>
        <v>2.1999999999999957</v>
      </c>
      <c r="AL135" s="142" t="s">
        <v>1509</v>
      </c>
      <c r="AM135" s="142" t="s">
        <v>1509</v>
      </c>
      <c r="AN135" s="155"/>
      <c r="AW135" s="144"/>
      <c r="BB135" s="144"/>
    </row>
    <row r="136" spans="1:54" ht="15" customHeight="1">
      <c r="A136" s="195" t="s">
        <v>3495</v>
      </c>
      <c r="B136" s="195" t="s">
        <v>3496</v>
      </c>
      <c r="C136" s="195" t="s">
        <v>3445</v>
      </c>
      <c r="D136" s="195" t="s">
        <v>4180</v>
      </c>
      <c r="E136" s="196">
        <v>30</v>
      </c>
      <c r="F136" s="197">
        <f t="shared" si="17"/>
        <v>1.4771212547196624</v>
      </c>
      <c r="G136" s="198">
        <v>0.1</v>
      </c>
      <c r="H136" s="198">
        <v>0.1</v>
      </c>
      <c r="I136" s="197">
        <f>LOG(G136)</f>
        <v>-1</v>
      </c>
      <c r="J136" s="197">
        <f t="shared" si="18"/>
        <v>-1</v>
      </c>
      <c r="K136" s="199">
        <v>26.065633999999999</v>
      </c>
      <c r="L136" s="199">
        <f t="shared" si="19"/>
        <v>26.065633999999999</v>
      </c>
      <c r="M136" s="195">
        <v>-97.158581999999996</v>
      </c>
      <c r="N136" s="195" t="s">
        <v>3174</v>
      </c>
      <c r="O136" s="198">
        <v>44.2</v>
      </c>
      <c r="P136" s="198">
        <v>0.6</v>
      </c>
      <c r="Q136" s="201">
        <v>0.28999999999999998</v>
      </c>
      <c r="R136" s="202">
        <f t="shared" si="20"/>
        <v>0.11058971029924898</v>
      </c>
      <c r="S136" s="202">
        <v>0.32</v>
      </c>
      <c r="T136" s="203">
        <v>4.91</v>
      </c>
      <c r="U136" s="204">
        <f t="shared" si="21"/>
        <v>0.69108149212296843</v>
      </c>
      <c r="V136" s="195" t="s">
        <v>3497</v>
      </c>
      <c r="W136" s="141">
        <v>47</v>
      </c>
      <c r="X136" s="141" t="s">
        <v>352</v>
      </c>
      <c r="Y136" s="142">
        <v>100</v>
      </c>
      <c r="Z136" s="142">
        <v>70</v>
      </c>
      <c r="AA136" s="142">
        <v>29</v>
      </c>
      <c r="AB136" s="142">
        <v>1.24</v>
      </c>
      <c r="AC136" s="142">
        <f t="shared" si="22"/>
        <v>9.3421685162235063E-2</v>
      </c>
      <c r="AD136" s="142">
        <v>29</v>
      </c>
      <c r="AE136" s="142">
        <v>1.24</v>
      </c>
      <c r="AF136" s="142">
        <f>LOG(AE136)</f>
        <v>9.3421685162235063E-2</v>
      </c>
      <c r="AG136" s="141" t="s">
        <v>3498</v>
      </c>
      <c r="AH136" s="142">
        <v>7</v>
      </c>
      <c r="AI136" s="142">
        <v>7</v>
      </c>
      <c r="AJ136" s="142">
        <v>32.5</v>
      </c>
      <c r="AK136" s="218">
        <f t="shared" si="23"/>
        <v>11.700000000000003</v>
      </c>
      <c r="AL136" s="142" t="s">
        <v>1509</v>
      </c>
      <c r="AM136" s="142" t="s">
        <v>1509</v>
      </c>
      <c r="AN136" s="155"/>
      <c r="AW136" s="144"/>
      <c r="BB136" s="144"/>
    </row>
    <row r="137" spans="1:54" ht="15.95" customHeight="1">
      <c r="A137" s="195" t="s">
        <v>3154</v>
      </c>
      <c r="B137" s="195" t="s">
        <v>3499</v>
      </c>
      <c r="C137" s="195" t="s">
        <v>3472</v>
      </c>
      <c r="D137" s="195" t="s">
        <v>4181</v>
      </c>
      <c r="E137" s="196">
        <v>14</v>
      </c>
      <c r="F137" s="197">
        <f t="shared" si="17"/>
        <v>1.146128035678238</v>
      </c>
      <c r="G137" s="195" t="s">
        <v>3116</v>
      </c>
      <c r="H137" s="196">
        <v>1</v>
      </c>
      <c r="I137" s="197"/>
      <c r="J137" s="197">
        <f t="shared" si="18"/>
        <v>0</v>
      </c>
      <c r="K137" s="199">
        <v>27.953365999999999</v>
      </c>
      <c r="L137" s="199">
        <f t="shared" si="19"/>
        <v>27.953365999999999</v>
      </c>
      <c r="M137" s="195">
        <v>-110.86929000000001</v>
      </c>
      <c r="N137" s="195" t="s">
        <v>3150</v>
      </c>
      <c r="O137" s="198">
        <v>39.9</v>
      </c>
      <c r="P137" s="195" t="s">
        <v>3116</v>
      </c>
      <c r="Q137" s="201">
        <v>0.18</v>
      </c>
      <c r="R137" s="202">
        <f t="shared" si="20"/>
        <v>7.1882007306125359E-2</v>
      </c>
      <c r="S137" s="195" t="s">
        <v>3116</v>
      </c>
      <c r="T137" s="203">
        <v>4.9409999999999998</v>
      </c>
      <c r="U137" s="204">
        <f t="shared" si="21"/>
        <v>0.69381485388941677</v>
      </c>
      <c r="V137" s="195" t="s">
        <v>3151</v>
      </c>
      <c r="W137" s="141">
        <v>2</v>
      </c>
      <c r="X137" s="141" t="s">
        <v>352</v>
      </c>
      <c r="Y137" s="141">
        <v>10</v>
      </c>
      <c r="Z137" s="145"/>
      <c r="AA137" s="145">
        <v>146</v>
      </c>
      <c r="AB137" s="142">
        <v>278.42106854902812</v>
      </c>
      <c r="AC137" s="142">
        <f t="shared" si="22"/>
        <v>2.4447020959111549</v>
      </c>
      <c r="AD137" s="142"/>
      <c r="AE137" s="142"/>
      <c r="AF137" s="142"/>
      <c r="AG137" s="141" t="s">
        <v>3152</v>
      </c>
      <c r="AH137" s="142">
        <v>3</v>
      </c>
      <c r="AI137" s="142"/>
      <c r="AJ137" s="142">
        <v>35.5</v>
      </c>
      <c r="AK137" s="218">
        <f t="shared" si="23"/>
        <v>4.3999999999999986</v>
      </c>
      <c r="AL137" s="142" t="s">
        <v>1509</v>
      </c>
      <c r="AM137" s="142" t="s">
        <v>1509</v>
      </c>
      <c r="AN137" s="130"/>
      <c r="AO137" s="130"/>
      <c r="AW137" s="144"/>
      <c r="BB137" s="144"/>
    </row>
    <row r="138" spans="1:54" ht="15.95" customHeight="1">
      <c r="A138" s="195" t="s">
        <v>3154</v>
      </c>
      <c r="B138" s="195" t="s">
        <v>3500</v>
      </c>
      <c r="C138" s="195" t="s">
        <v>3477</v>
      </c>
      <c r="D138" s="195" t="s">
        <v>4181</v>
      </c>
      <c r="E138" s="196">
        <v>14</v>
      </c>
      <c r="F138" s="197">
        <f t="shared" si="17"/>
        <v>1.146128035678238</v>
      </c>
      <c r="G138" s="195" t="s">
        <v>3116</v>
      </c>
      <c r="H138" s="196">
        <v>1</v>
      </c>
      <c r="I138" s="197"/>
      <c r="J138" s="197">
        <f t="shared" si="18"/>
        <v>0</v>
      </c>
      <c r="K138" s="199">
        <v>27.953365999999999</v>
      </c>
      <c r="L138" s="199">
        <f t="shared" si="19"/>
        <v>27.953365999999999</v>
      </c>
      <c r="M138" s="195">
        <v>-110.86929000000001</v>
      </c>
      <c r="N138" s="195" t="s">
        <v>3150</v>
      </c>
      <c r="O138" s="198">
        <v>41.3</v>
      </c>
      <c r="P138" s="195" t="s">
        <v>3116</v>
      </c>
      <c r="Q138" s="201">
        <v>0.18</v>
      </c>
      <c r="R138" s="202">
        <f t="shared" si="20"/>
        <v>7.1882007306125359E-2</v>
      </c>
      <c r="S138" s="195" t="s">
        <v>3116</v>
      </c>
      <c r="T138" s="203">
        <v>4.9409999999999998</v>
      </c>
      <c r="U138" s="204">
        <f t="shared" si="21"/>
        <v>0.69381485388941677</v>
      </c>
      <c r="V138" s="195" t="s">
        <v>3151</v>
      </c>
      <c r="W138" s="141">
        <v>2</v>
      </c>
      <c r="X138" s="141" t="s">
        <v>352</v>
      </c>
      <c r="Y138" s="141">
        <v>10</v>
      </c>
      <c r="Z138" s="145"/>
      <c r="AA138" s="145">
        <v>87</v>
      </c>
      <c r="AB138" s="142">
        <v>58.607466823651201</v>
      </c>
      <c r="AC138" s="142">
        <f t="shared" si="22"/>
        <v>1.7679529503820408</v>
      </c>
      <c r="AD138" s="142"/>
      <c r="AE138" s="142"/>
      <c r="AF138" s="142"/>
      <c r="AG138" s="141" t="s">
        <v>3152</v>
      </c>
      <c r="AH138" s="142">
        <v>3</v>
      </c>
      <c r="AI138" s="142"/>
      <c r="AJ138" s="142">
        <v>35.5</v>
      </c>
      <c r="AK138" s="218">
        <f t="shared" si="23"/>
        <v>5.7999999999999972</v>
      </c>
      <c r="AL138" s="142" t="s">
        <v>1509</v>
      </c>
      <c r="AM138" s="142" t="s">
        <v>1509</v>
      </c>
      <c r="AW138" s="144"/>
      <c r="BB138" s="144"/>
    </row>
    <row r="139" spans="1:54" ht="15" customHeight="1">
      <c r="A139" s="195" t="s">
        <v>3435</v>
      </c>
      <c r="B139" s="195" t="s">
        <v>3436</v>
      </c>
      <c r="C139" s="195" t="s">
        <v>3437</v>
      </c>
      <c r="D139" s="195" t="s">
        <v>4181</v>
      </c>
      <c r="E139" s="196">
        <v>10</v>
      </c>
      <c r="F139" s="197">
        <f t="shared" si="17"/>
        <v>1</v>
      </c>
      <c r="G139" s="195" t="s">
        <v>3116</v>
      </c>
      <c r="H139" s="196">
        <v>1</v>
      </c>
      <c r="I139" s="197"/>
      <c r="J139" s="197">
        <f t="shared" si="18"/>
        <v>0</v>
      </c>
      <c r="K139" s="195">
        <v>-36.691685</v>
      </c>
      <c r="L139" s="199">
        <f t="shared" si="19"/>
        <v>36.691685</v>
      </c>
      <c r="M139" s="199">
        <v>145.88673499999999</v>
      </c>
      <c r="N139" s="195" t="s">
        <v>3150</v>
      </c>
      <c r="O139" s="196">
        <v>35</v>
      </c>
      <c r="P139" s="195" t="s">
        <v>3116</v>
      </c>
      <c r="Q139" s="201">
        <v>0.17</v>
      </c>
      <c r="R139" s="202">
        <f t="shared" si="20"/>
        <v>6.8185861746161619E-2</v>
      </c>
      <c r="S139" s="195" t="s">
        <v>3116</v>
      </c>
      <c r="T139" s="203">
        <v>5.0369999999999999</v>
      </c>
      <c r="U139" s="204">
        <f t="shared" si="21"/>
        <v>0.70217195085771122</v>
      </c>
      <c r="V139" s="195" t="s">
        <v>3287</v>
      </c>
      <c r="W139" s="141">
        <v>4</v>
      </c>
      <c r="X139" s="141" t="s">
        <v>352</v>
      </c>
      <c r="Y139" s="141">
        <v>70</v>
      </c>
      <c r="Z139" s="142"/>
      <c r="AA139" s="145">
        <v>33</v>
      </c>
      <c r="AB139" s="141">
        <v>3.1514127390732996</v>
      </c>
      <c r="AC139" s="142">
        <f t="shared" si="22"/>
        <v>0.49850528624709473</v>
      </c>
      <c r="AD139" s="141"/>
      <c r="AE139" s="141"/>
      <c r="AF139" s="141"/>
      <c r="AG139" s="141" t="s">
        <v>3152</v>
      </c>
      <c r="AH139" s="141">
        <v>2</v>
      </c>
      <c r="AI139" s="141"/>
      <c r="AJ139" s="142">
        <v>29.5</v>
      </c>
      <c r="AK139" s="218">
        <f t="shared" si="23"/>
        <v>5.5</v>
      </c>
      <c r="AL139" s="142" t="s">
        <v>1509</v>
      </c>
      <c r="AM139" s="142" t="s">
        <v>1509</v>
      </c>
      <c r="AN139" s="155"/>
      <c r="AW139" s="144"/>
      <c r="BB139" s="144"/>
    </row>
    <row r="140" spans="1:54" ht="15" customHeight="1">
      <c r="A140" s="195" t="s">
        <v>3501</v>
      </c>
      <c r="B140" s="195" t="s">
        <v>3502</v>
      </c>
      <c r="C140" s="195" t="s">
        <v>3460</v>
      </c>
      <c r="D140" s="195" t="s">
        <v>4182</v>
      </c>
      <c r="E140" s="196">
        <v>3</v>
      </c>
      <c r="F140" s="197">
        <f t="shared" si="17"/>
        <v>0.47712125471966244</v>
      </c>
      <c r="G140" s="196">
        <v>1</v>
      </c>
      <c r="H140" s="196">
        <v>1</v>
      </c>
      <c r="I140" s="197">
        <f>LOG(G140)</f>
        <v>0</v>
      </c>
      <c r="J140" s="197">
        <f t="shared" si="18"/>
        <v>0</v>
      </c>
      <c r="K140" s="199">
        <v>37.042729000000001</v>
      </c>
      <c r="L140" s="199">
        <f t="shared" si="19"/>
        <v>37.042729000000001</v>
      </c>
      <c r="M140" s="195">
        <v>-6.4344469999999996</v>
      </c>
      <c r="N140" s="195" t="s">
        <v>3150</v>
      </c>
      <c r="O140" s="198">
        <v>46.6</v>
      </c>
      <c r="P140" s="195">
        <v>-7.2</v>
      </c>
      <c r="Q140" s="201">
        <v>0.05</v>
      </c>
      <c r="R140" s="202">
        <f t="shared" si="20"/>
        <v>2.1189299069938092E-2</v>
      </c>
      <c r="S140" s="202">
        <v>0.02</v>
      </c>
      <c r="T140" s="203">
        <v>5.1710000000000003</v>
      </c>
      <c r="U140" s="204">
        <f t="shared" si="21"/>
        <v>0.71357453777206981</v>
      </c>
      <c r="V140" s="195" t="s">
        <v>3503</v>
      </c>
      <c r="W140" s="141">
        <v>84</v>
      </c>
      <c r="X140" s="141" t="s">
        <v>352</v>
      </c>
      <c r="Y140" s="142">
        <v>20</v>
      </c>
      <c r="Z140" s="142">
        <v>20</v>
      </c>
      <c r="AA140" s="142"/>
      <c r="AB140" s="142">
        <f>5.35/1000</f>
        <v>5.3499999999999997E-3</v>
      </c>
      <c r="AC140" s="142">
        <f t="shared" si="22"/>
        <v>-2.2716462179787715</v>
      </c>
      <c r="AD140" s="142"/>
      <c r="AE140" s="142">
        <f>5.35/1000</f>
        <v>5.3499999999999997E-3</v>
      </c>
      <c r="AF140" s="142">
        <f>LOG(AE140)</f>
        <v>-2.2716462179787715</v>
      </c>
      <c r="AG140" s="141" t="s">
        <v>3504</v>
      </c>
      <c r="AH140" s="142">
        <v>3</v>
      </c>
      <c r="AI140" s="142">
        <v>3</v>
      </c>
      <c r="AJ140" s="142">
        <v>30.8</v>
      </c>
      <c r="AK140" s="218">
        <f t="shared" si="23"/>
        <v>15.8</v>
      </c>
      <c r="AL140" s="142" t="s">
        <v>1509</v>
      </c>
      <c r="AM140" s="142" t="s">
        <v>1509</v>
      </c>
      <c r="AN140" s="155"/>
      <c r="AW140" s="144"/>
      <c r="BB140" s="144"/>
    </row>
    <row r="141" spans="1:54" ht="15" customHeight="1">
      <c r="A141" s="195" t="s">
        <v>3289</v>
      </c>
      <c r="B141" s="195" t="s">
        <v>3361</v>
      </c>
      <c r="C141" s="195" t="s">
        <v>3228</v>
      </c>
      <c r="D141" s="195" t="s">
        <v>4181</v>
      </c>
      <c r="E141" s="196">
        <v>10</v>
      </c>
      <c r="F141" s="197">
        <f t="shared" si="17"/>
        <v>1</v>
      </c>
      <c r="G141" s="195" t="s">
        <v>3116</v>
      </c>
      <c r="H141" s="196">
        <v>1</v>
      </c>
      <c r="I141" s="197"/>
      <c r="J141" s="197">
        <f t="shared" si="18"/>
        <v>0</v>
      </c>
      <c r="K141" s="195">
        <v>-31.090741999999999</v>
      </c>
      <c r="L141" s="199">
        <f t="shared" si="19"/>
        <v>31.090741999999999</v>
      </c>
      <c r="M141" s="199">
        <v>150.93083799999999</v>
      </c>
      <c r="N141" s="195" t="s">
        <v>3150</v>
      </c>
      <c r="O141" s="198">
        <v>36.5</v>
      </c>
      <c r="P141" s="195" t="s">
        <v>3116</v>
      </c>
      <c r="Q141" s="201">
        <v>0.22</v>
      </c>
      <c r="R141" s="202">
        <f t="shared" si="20"/>
        <v>8.6359830674748214E-2</v>
      </c>
      <c r="S141" s="195" t="s">
        <v>3116</v>
      </c>
      <c r="T141" s="203">
        <v>5.1870000000000003</v>
      </c>
      <c r="U141" s="204">
        <f t="shared" si="21"/>
        <v>0.714916247993585</v>
      </c>
      <c r="V141" s="195" t="s">
        <v>3287</v>
      </c>
      <c r="W141" s="141">
        <v>4</v>
      </c>
      <c r="X141" s="141" t="s">
        <v>352</v>
      </c>
      <c r="Y141" s="141">
        <v>5</v>
      </c>
      <c r="Z141" s="142"/>
      <c r="AA141" s="145">
        <v>75</v>
      </c>
      <c r="AB141" s="141">
        <v>32.27806166280088</v>
      </c>
      <c r="AC141" s="142">
        <f t="shared" si="22"/>
        <v>1.5089074469166692</v>
      </c>
      <c r="AD141" s="141"/>
      <c r="AE141" s="141"/>
      <c r="AF141" s="141"/>
      <c r="AG141" s="141" t="s">
        <v>3152</v>
      </c>
      <c r="AH141" s="142">
        <v>2</v>
      </c>
      <c r="AI141" s="142"/>
      <c r="AJ141" s="142">
        <v>30.6</v>
      </c>
      <c r="AK141" s="218">
        <f t="shared" si="23"/>
        <v>5.8999999999999986</v>
      </c>
      <c r="AL141" s="142" t="s">
        <v>1509</v>
      </c>
      <c r="AM141" s="142" t="s">
        <v>1509</v>
      </c>
      <c r="AN141" s="155"/>
      <c r="AW141" s="144"/>
      <c r="BB141" s="144"/>
    </row>
    <row r="142" spans="1:54" ht="15" customHeight="1">
      <c r="A142" s="195" t="s">
        <v>3267</v>
      </c>
      <c r="B142" s="195" t="s">
        <v>3505</v>
      </c>
      <c r="C142" s="195" t="s">
        <v>3506</v>
      </c>
      <c r="D142" s="195" t="s">
        <v>4183</v>
      </c>
      <c r="E142" s="196">
        <v>21</v>
      </c>
      <c r="F142" s="197">
        <f t="shared" si="17"/>
        <v>1.3222192947339193</v>
      </c>
      <c r="G142" s="195" t="s">
        <v>3116</v>
      </c>
      <c r="H142" s="196">
        <v>1</v>
      </c>
      <c r="I142" s="197"/>
      <c r="J142" s="197">
        <f t="shared" si="18"/>
        <v>0</v>
      </c>
      <c r="K142" s="199">
        <v>26.900053</v>
      </c>
      <c r="L142" s="199">
        <f t="shared" si="19"/>
        <v>26.900053</v>
      </c>
      <c r="M142" s="195">
        <v>-112</v>
      </c>
      <c r="N142" s="195" t="s">
        <v>3174</v>
      </c>
      <c r="O142" s="196">
        <v>43</v>
      </c>
      <c r="P142" s="195" t="s">
        <v>3116</v>
      </c>
      <c r="Q142" s="201">
        <v>0.57999999999999996</v>
      </c>
      <c r="R142" s="202">
        <f t="shared" si="20"/>
        <v>0.19865708695442263</v>
      </c>
      <c r="S142" s="195" t="s">
        <v>3116</v>
      </c>
      <c r="T142" s="203">
        <v>5.2930000000000001</v>
      </c>
      <c r="U142" s="204">
        <f t="shared" si="21"/>
        <v>0.72370189399126783</v>
      </c>
      <c r="V142" s="195" t="s">
        <v>3507</v>
      </c>
      <c r="W142" s="141">
        <v>27</v>
      </c>
      <c r="X142" s="141" t="s">
        <v>3271</v>
      </c>
      <c r="Y142" s="142">
        <v>30</v>
      </c>
      <c r="Z142" s="142"/>
      <c r="AA142" s="142"/>
      <c r="AB142" s="142">
        <v>5.77</v>
      </c>
      <c r="AC142" s="142">
        <f t="shared" si="22"/>
        <v>0.76117581315573135</v>
      </c>
      <c r="AD142" s="142"/>
      <c r="AE142" s="142"/>
      <c r="AF142" s="142"/>
      <c r="AG142" s="141" t="s">
        <v>3508</v>
      </c>
      <c r="AH142" s="142">
        <v>4</v>
      </c>
      <c r="AI142" s="142"/>
      <c r="AJ142" s="141">
        <v>36.700000000000003</v>
      </c>
      <c r="AK142" s="218">
        <f t="shared" si="23"/>
        <v>6.2999999999999972</v>
      </c>
      <c r="AL142" s="142" t="s">
        <v>1509</v>
      </c>
      <c r="AM142" s="142" t="s">
        <v>1509</v>
      </c>
      <c r="AW142" s="144"/>
      <c r="BB142" s="144"/>
    </row>
    <row r="143" spans="1:54" ht="15" customHeight="1">
      <c r="A143" s="195" t="s">
        <v>3510</v>
      </c>
      <c r="B143" s="195" t="s">
        <v>3511</v>
      </c>
      <c r="C143" s="195" t="s">
        <v>3407</v>
      </c>
      <c r="D143" s="195" t="s">
        <v>4182</v>
      </c>
      <c r="E143" s="196">
        <v>15</v>
      </c>
      <c r="F143" s="197">
        <f t="shared" si="17"/>
        <v>1.1760912590556813</v>
      </c>
      <c r="G143" s="196">
        <v>1</v>
      </c>
      <c r="H143" s="196">
        <v>1</v>
      </c>
      <c r="I143" s="197">
        <f>LOG(G143)</f>
        <v>0</v>
      </c>
      <c r="J143" s="197">
        <f t="shared" si="18"/>
        <v>0</v>
      </c>
      <c r="K143" s="195">
        <v>-28</v>
      </c>
      <c r="L143" s="199">
        <f t="shared" si="19"/>
        <v>28</v>
      </c>
      <c r="M143" s="198">
        <v>25.5</v>
      </c>
      <c r="N143" s="195" t="s">
        <v>3150</v>
      </c>
      <c r="O143" s="198">
        <v>48.5</v>
      </c>
      <c r="P143" s="198">
        <v>5.2</v>
      </c>
      <c r="Q143" s="201">
        <v>0.16</v>
      </c>
      <c r="R143" s="202">
        <f t="shared" si="20"/>
        <v>6.445798922691845E-2</v>
      </c>
      <c r="S143" s="202">
        <v>0.14000000000000001</v>
      </c>
      <c r="T143" s="203">
        <v>5.3490000000000002</v>
      </c>
      <c r="U143" s="204">
        <f t="shared" si="21"/>
        <v>0.72827259789501708</v>
      </c>
      <c r="V143" s="195" t="s">
        <v>3512</v>
      </c>
      <c r="W143" s="141">
        <v>87</v>
      </c>
      <c r="X143" s="141" t="s">
        <v>352</v>
      </c>
      <c r="Y143" s="142">
        <f>AVERAGE(57, 80, 40)</f>
        <v>59</v>
      </c>
      <c r="Z143" s="142">
        <f>AVERAGE(57, 80, 40)</f>
        <v>59</v>
      </c>
      <c r="AA143" s="142"/>
      <c r="AB143" s="142">
        <f>AVERAGE(23.83, 9.27)/1000</f>
        <v>1.6549999999999999E-2</v>
      </c>
      <c r="AC143" s="142">
        <f t="shared" si="22"/>
        <v>-1.7812020018882624</v>
      </c>
      <c r="AD143" s="142"/>
      <c r="AE143" s="142">
        <f>AVERAGE(23.83, 9.27)/1000</f>
        <v>1.6549999999999999E-2</v>
      </c>
      <c r="AF143" s="142">
        <f>LOG(AE143)</f>
        <v>-1.7812020018882624</v>
      </c>
      <c r="AG143" s="141" t="s">
        <v>3513</v>
      </c>
      <c r="AH143" s="142">
        <v>5</v>
      </c>
      <c r="AI143" s="142">
        <v>5</v>
      </c>
      <c r="AJ143" s="142">
        <v>31.6</v>
      </c>
      <c r="AK143" s="218">
        <f t="shared" si="23"/>
        <v>16.899999999999999</v>
      </c>
      <c r="AL143" s="142" t="s">
        <v>1509</v>
      </c>
      <c r="AM143" s="142" t="s">
        <v>1509</v>
      </c>
      <c r="AN143" s="155"/>
      <c r="AW143" s="144"/>
      <c r="BB143" s="144"/>
    </row>
    <row r="144" spans="1:54" ht="15" customHeight="1">
      <c r="A144" s="195" t="s">
        <v>3446</v>
      </c>
      <c r="B144" s="195" t="s">
        <v>3447</v>
      </c>
      <c r="C144" s="195" t="s">
        <v>3448</v>
      </c>
      <c r="D144" s="195" t="s">
        <v>4182</v>
      </c>
      <c r="E144" s="196">
        <v>7</v>
      </c>
      <c r="F144" s="197">
        <f t="shared" si="17"/>
        <v>0.84509804001425681</v>
      </c>
      <c r="G144" s="202">
        <v>0.25</v>
      </c>
      <c r="H144" s="202">
        <v>0.25</v>
      </c>
      <c r="I144" s="197">
        <f>LOG(G144)</f>
        <v>-0.6020599913279624</v>
      </c>
      <c r="J144" s="197">
        <f t="shared" si="18"/>
        <v>-0.6020599913279624</v>
      </c>
      <c r="K144" s="195">
        <v>-31.248332999999999</v>
      </c>
      <c r="L144" s="199">
        <f t="shared" si="19"/>
        <v>31.248332999999999</v>
      </c>
      <c r="M144" s="199">
        <v>150.46722199999999</v>
      </c>
      <c r="N144" s="195" t="s">
        <v>3150</v>
      </c>
      <c r="O144" s="198">
        <v>46.1</v>
      </c>
      <c r="P144" s="198">
        <v>0.2</v>
      </c>
      <c r="Q144" s="201">
        <v>7.0000000000000007E-2</v>
      </c>
      <c r="R144" s="202">
        <f t="shared" si="20"/>
        <v>2.9383777685209667E-2</v>
      </c>
      <c r="S144" s="202">
        <v>0.16</v>
      </c>
      <c r="T144" s="203">
        <v>5.3639999999999999</v>
      </c>
      <c r="U144" s="204">
        <f t="shared" si="21"/>
        <v>0.72948876917956129</v>
      </c>
      <c r="V144" s="195" t="s">
        <v>3449</v>
      </c>
      <c r="W144" s="141">
        <v>85</v>
      </c>
      <c r="X144" s="141" t="s">
        <v>352</v>
      </c>
      <c r="Y144" s="142">
        <v>30</v>
      </c>
      <c r="Z144" s="142">
        <v>30</v>
      </c>
      <c r="AA144" s="142"/>
      <c r="AB144" s="142">
        <f>AVERAGE(138,187)/1000</f>
        <v>0.16250000000000001</v>
      </c>
      <c r="AC144" s="142">
        <f t="shared" si="22"/>
        <v>-0.78914663468510682</v>
      </c>
      <c r="AD144" s="142"/>
      <c r="AE144" s="142">
        <f>AVERAGE(138,187)/1000</f>
        <v>0.16250000000000001</v>
      </c>
      <c r="AF144" s="142">
        <f>LOG(AE144)</f>
        <v>-0.78914663468510682</v>
      </c>
      <c r="AG144" s="142" t="s">
        <v>3450</v>
      </c>
      <c r="AH144" s="142">
        <v>5</v>
      </c>
      <c r="AI144" s="142">
        <v>5</v>
      </c>
      <c r="AJ144" s="142">
        <v>32.1</v>
      </c>
      <c r="AK144" s="218">
        <f t="shared" si="23"/>
        <v>14</v>
      </c>
      <c r="AL144" s="142" t="s">
        <v>1509</v>
      </c>
      <c r="AM144" s="142" t="s">
        <v>1509</v>
      </c>
      <c r="AN144" s="155"/>
      <c r="AW144" s="144"/>
      <c r="BB144" s="144"/>
    </row>
    <row r="145" spans="1:54" ht="15" customHeight="1">
      <c r="A145" s="195" t="s">
        <v>3440</v>
      </c>
      <c r="B145" s="195" t="s">
        <v>3441</v>
      </c>
      <c r="C145" s="195" t="s">
        <v>3442</v>
      </c>
      <c r="D145" s="195" t="s">
        <v>4180</v>
      </c>
      <c r="E145" s="196">
        <v>21</v>
      </c>
      <c r="F145" s="197">
        <f t="shared" si="17"/>
        <v>1.3222192947339193</v>
      </c>
      <c r="G145" s="198">
        <v>0.3</v>
      </c>
      <c r="H145" s="198">
        <v>0.3</v>
      </c>
      <c r="I145" s="197">
        <f>LOG(G145)</f>
        <v>-0.52287874528033762</v>
      </c>
      <c r="J145" s="197">
        <f t="shared" si="18"/>
        <v>-0.52287874528033762</v>
      </c>
      <c r="K145" s="199">
        <v>42.923704000000001</v>
      </c>
      <c r="L145" s="199">
        <f t="shared" si="19"/>
        <v>42.923704000000001</v>
      </c>
      <c r="M145" s="195">
        <v>-70.8</v>
      </c>
      <c r="N145" s="195" t="s">
        <v>3117</v>
      </c>
      <c r="O145" s="198">
        <v>41.8</v>
      </c>
      <c r="P145" s="195">
        <v>-1.1000000000000001</v>
      </c>
      <c r="Q145" s="201">
        <v>0.41</v>
      </c>
      <c r="R145" s="202">
        <f t="shared" si="20"/>
        <v>0.14921911265537988</v>
      </c>
      <c r="S145" s="202">
        <v>0.28999999999999998</v>
      </c>
      <c r="T145" s="203">
        <v>5.5066632970000002</v>
      </c>
      <c r="U145" s="204">
        <f t="shared" si="21"/>
        <v>0.74088852250899517</v>
      </c>
      <c r="V145" s="195" t="s">
        <v>3443</v>
      </c>
      <c r="W145" s="141">
        <v>37</v>
      </c>
      <c r="X145" s="141" t="s">
        <v>352</v>
      </c>
      <c r="Y145" s="142">
        <v>14</v>
      </c>
      <c r="Z145" s="142">
        <v>14</v>
      </c>
      <c r="AA145" s="142">
        <v>65.7</v>
      </c>
      <c r="AB145" s="142">
        <v>3.33</v>
      </c>
      <c r="AC145" s="142">
        <f t="shared" si="22"/>
        <v>0.52244423350631986</v>
      </c>
      <c r="AD145" s="142">
        <v>65.7</v>
      </c>
      <c r="AE145" s="142">
        <v>3.33</v>
      </c>
      <c r="AF145" s="141">
        <f>LOG(AE145)</f>
        <v>0.52244423350631986</v>
      </c>
      <c r="AG145" s="141" t="s">
        <v>3444</v>
      </c>
      <c r="AH145" s="142">
        <v>7</v>
      </c>
      <c r="AI145" s="142">
        <v>7</v>
      </c>
      <c r="AJ145" s="142">
        <v>27.5</v>
      </c>
      <c r="AK145" s="218">
        <f t="shared" si="23"/>
        <v>14.299999999999997</v>
      </c>
      <c r="AL145" s="142" t="s">
        <v>1509</v>
      </c>
      <c r="AM145" s="142" t="s">
        <v>1509</v>
      </c>
      <c r="AW145" s="144"/>
      <c r="BB145" s="144"/>
    </row>
    <row r="146" spans="1:54" ht="15" customHeight="1">
      <c r="A146" s="195" t="s">
        <v>3154</v>
      </c>
      <c r="B146" s="195" t="s">
        <v>3514</v>
      </c>
      <c r="C146" s="195" t="s">
        <v>3356</v>
      </c>
      <c r="D146" s="195" t="s">
        <v>4181</v>
      </c>
      <c r="E146" s="196">
        <v>14</v>
      </c>
      <c r="F146" s="197">
        <f t="shared" si="17"/>
        <v>1.146128035678238</v>
      </c>
      <c r="G146" s="195" t="s">
        <v>3116</v>
      </c>
      <c r="H146" s="196">
        <v>1</v>
      </c>
      <c r="I146" s="197"/>
      <c r="J146" s="197">
        <f t="shared" si="18"/>
        <v>0</v>
      </c>
      <c r="K146" s="199">
        <v>37.911037</v>
      </c>
      <c r="L146" s="199">
        <f t="shared" si="19"/>
        <v>37.911037</v>
      </c>
      <c r="M146" s="195">
        <v>-119.25793</v>
      </c>
      <c r="N146" s="195" t="s">
        <v>3150</v>
      </c>
      <c r="O146" s="196">
        <v>38</v>
      </c>
      <c r="P146" s="195" t="s">
        <v>3116</v>
      </c>
      <c r="Q146" s="201">
        <v>0.14000000000000001</v>
      </c>
      <c r="R146" s="202">
        <f t="shared" si="20"/>
        <v>5.6904851336472641E-2</v>
      </c>
      <c r="S146" s="195" t="s">
        <v>3116</v>
      </c>
      <c r="T146" s="203">
        <v>5.64</v>
      </c>
      <c r="U146" s="204">
        <f t="shared" si="21"/>
        <v>0.7512791039833423</v>
      </c>
      <c r="V146" s="195" t="s">
        <v>3151</v>
      </c>
      <c r="W146" s="141">
        <v>2</v>
      </c>
      <c r="X146" s="141" t="s">
        <v>352</v>
      </c>
      <c r="Y146" s="141">
        <v>10</v>
      </c>
      <c r="Z146" s="145"/>
      <c r="AA146" s="145">
        <v>55</v>
      </c>
      <c r="AB146" s="142">
        <v>14.739803551052077</v>
      </c>
      <c r="AC146" s="142">
        <f t="shared" si="22"/>
        <v>1.1684916953776734</v>
      </c>
      <c r="AD146" s="142"/>
      <c r="AE146" s="142"/>
      <c r="AF146" s="142"/>
      <c r="AG146" s="141" t="s">
        <v>3152</v>
      </c>
      <c r="AH146" s="142">
        <v>3</v>
      </c>
      <c r="AI146" s="142"/>
      <c r="AJ146" s="142">
        <v>17.8</v>
      </c>
      <c r="AK146" s="218">
        <f t="shared" si="23"/>
        <v>20.2</v>
      </c>
      <c r="AL146" s="142" t="s">
        <v>1509</v>
      </c>
      <c r="AM146" s="142" t="s">
        <v>1509</v>
      </c>
      <c r="AW146" s="144"/>
      <c r="BB146" s="144"/>
    </row>
    <row r="147" spans="1:54" ht="15" customHeight="1">
      <c r="A147" s="195" t="s">
        <v>3473</v>
      </c>
      <c r="B147" s="195" t="s">
        <v>3519</v>
      </c>
      <c r="C147" s="195" t="s">
        <v>3187</v>
      </c>
      <c r="D147" s="195" t="s">
        <v>4180</v>
      </c>
      <c r="E147" s="196">
        <v>14</v>
      </c>
      <c r="F147" s="197">
        <f t="shared" si="17"/>
        <v>1.146128035678238</v>
      </c>
      <c r="G147" s="195" t="s">
        <v>3116</v>
      </c>
      <c r="H147" s="202">
        <v>0.02</v>
      </c>
      <c r="I147" s="197"/>
      <c r="J147" s="197">
        <f t="shared" si="18"/>
        <v>-1.6989700043360187</v>
      </c>
      <c r="K147" s="199">
        <v>33.931328999999998</v>
      </c>
      <c r="L147" s="199">
        <f t="shared" si="19"/>
        <v>33.931328999999998</v>
      </c>
      <c r="M147" s="195">
        <v>-109.58989</v>
      </c>
      <c r="N147" s="195" t="s">
        <v>3174</v>
      </c>
      <c r="O147" s="198">
        <v>29.9</v>
      </c>
      <c r="P147" s="195" t="s">
        <v>3116</v>
      </c>
      <c r="Q147" s="201">
        <v>0.09</v>
      </c>
      <c r="R147" s="202">
        <f t="shared" si="20"/>
        <v>3.7426497940623665E-2</v>
      </c>
      <c r="S147" s="195" t="s">
        <v>3116</v>
      </c>
      <c r="T147" s="203">
        <v>6.0140000000000002</v>
      </c>
      <c r="U147" s="204">
        <f t="shared" si="21"/>
        <v>0.77916342376449876</v>
      </c>
      <c r="V147" s="195" t="s">
        <v>3520</v>
      </c>
      <c r="W147" s="141">
        <v>56</v>
      </c>
      <c r="X147" s="141" t="s">
        <v>352</v>
      </c>
      <c r="Y147" s="142">
        <v>5</v>
      </c>
      <c r="Z147" s="142"/>
      <c r="AA147" s="142">
        <v>175</v>
      </c>
      <c r="AB147" s="142">
        <v>49.697534927062215</v>
      </c>
      <c r="AC147" s="142">
        <f t="shared" si="22"/>
        <v>1.6963348476040601</v>
      </c>
      <c r="AD147" s="142"/>
      <c r="AE147" s="142"/>
      <c r="AF147" s="142"/>
      <c r="AG147" s="141" t="s">
        <v>3521</v>
      </c>
      <c r="AH147" s="142">
        <v>2</v>
      </c>
      <c r="AI147" s="142"/>
      <c r="AJ147" s="142">
        <v>20.3</v>
      </c>
      <c r="AK147" s="218">
        <f t="shared" si="23"/>
        <v>9.5999999999999979</v>
      </c>
      <c r="AL147" s="142" t="s">
        <v>1509</v>
      </c>
      <c r="AM147" s="142" t="s">
        <v>1509</v>
      </c>
      <c r="AN147" s="155"/>
      <c r="AW147" s="144"/>
      <c r="BB147" s="144"/>
    </row>
    <row r="148" spans="1:54" ht="15" customHeight="1">
      <c r="A148" s="195" t="s">
        <v>3522</v>
      </c>
      <c r="B148" s="195" t="s">
        <v>3523</v>
      </c>
      <c r="C148" s="195" t="s">
        <v>3205</v>
      </c>
      <c r="D148" s="195" t="s">
        <v>4180</v>
      </c>
      <c r="E148" s="196">
        <v>14</v>
      </c>
      <c r="F148" s="197">
        <f t="shared" si="17"/>
        <v>1.146128035678238</v>
      </c>
      <c r="G148" s="195" t="s">
        <v>3116</v>
      </c>
      <c r="H148" s="202">
        <v>0.02</v>
      </c>
      <c r="I148" s="197"/>
      <c r="J148" s="197">
        <f t="shared" si="18"/>
        <v>-1.6989700043360187</v>
      </c>
      <c r="K148" s="199">
        <v>33.931328999999998</v>
      </c>
      <c r="L148" s="199">
        <f t="shared" si="19"/>
        <v>33.931328999999998</v>
      </c>
      <c r="M148" s="195">
        <v>-109.58989</v>
      </c>
      <c r="N148" s="195" t="s">
        <v>3174</v>
      </c>
      <c r="O148" s="198">
        <v>29.8</v>
      </c>
      <c r="P148" s="195" t="s">
        <v>3116</v>
      </c>
      <c r="Q148" s="201">
        <v>0.11</v>
      </c>
      <c r="R148" s="202">
        <f t="shared" si="20"/>
        <v>4.5322978786657475E-2</v>
      </c>
      <c r="S148" s="195" t="s">
        <v>3116</v>
      </c>
      <c r="T148" s="203">
        <v>6.0140000000000002</v>
      </c>
      <c r="U148" s="204">
        <f t="shared" si="21"/>
        <v>0.77916342376449876</v>
      </c>
      <c r="V148" s="195" t="s">
        <v>3520</v>
      </c>
      <c r="W148" s="141">
        <v>56</v>
      </c>
      <c r="X148" s="141" t="s">
        <v>352</v>
      </c>
      <c r="Y148" s="142">
        <v>5</v>
      </c>
      <c r="Z148" s="142"/>
      <c r="AA148" s="142">
        <v>175</v>
      </c>
      <c r="AB148" s="142">
        <v>52.948852280771874</v>
      </c>
      <c r="AC148" s="142">
        <f t="shared" si="22"/>
        <v>1.7238565507791093</v>
      </c>
      <c r="AD148" s="142"/>
      <c r="AE148" s="142"/>
      <c r="AF148" s="142"/>
      <c r="AG148" s="141" t="s">
        <v>3521</v>
      </c>
      <c r="AH148" s="142">
        <v>2</v>
      </c>
      <c r="AI148" s="142"/>
      <c r="AJ148" s="142">
        <v>20.3</v>
      </c>
      <c r="AK148" s="218">
        <f t="shared" si="23"/>
        <v>9.5</v>
      </c>
      <c r="AL148" s="142" t="s">
        <v>1509</v>
      </c>
      <c r="AM148" s="142" t="s">
        <v>1509</v>
      </c>
      <c r="AN148" s="155"/>
      <c r="AW148" s="144"/>
      <c r="BB148" s="144"/>
    </row>
    <row r="149" spans="1:54" ht="15" customHeight="1">
      <c r="A149" s="195" t="s">
        <v>3147</v>
      </c>
      <c r="B149" s="195" t="s">
        <v>3524</v>
      </c>
      <c r="C149" s="195" t="s">
        <v>3298</v>
      </c>
      <c r="D149" s="195" t="s">
        <v>4181</v>
      </c>
      <c r="E149" s="196">
        <v>14</v>
      </c>
      <c r="F149" s="197">
        <f t="shared" si="17"/>
        <v>1.146128035678238</v>
      </c>
      <c r="G149" s="195" t="s">
        <v>3116</v>
      </c>
      <c r="H149" s="196">
        <v>1</v>
      </c>
      <c r="I149" s="197"/>
      <c r="J149" s="197">
        <f t="shared" si="18"/>
        <v>0</v>
      </c>
      <c r="K149" s="199">
        <v>39.992683</v>
      </c>
      <c r="L149" s="199">
        <f t="shared" si="19"/>
        <v>39.992683</v>
      </c>
      <c r="M149" s="195">
        <v>-120.80394699999999</v>
      </c>
      <c r="N149" s="195" t="s">
        <v>3150</v>
      </c>
      <c r="O149" s="198">
        <v>33.6</v>
      </c>
      <c r="P149" s="195" t="s">
        <v>3116</v>
      </c>
      <c r="Q149" s="201">
        <v>0.12</v>
      </c>
      <c r="R149" s="202">
        <f t="shared" si="20"/>
        <v>4.9218022670181653E-2</v>
      </c>
      <c r="S149" s="195" t="s">
        <v>3116</v>
      </c>
      <c r="T149" s="203">
        <v>6.4139999999999997</v>
      </c>
      <c r="U149" s="204">
        <f t="shared" si="21"/>
        <v>0.80712895559242159</v>
      </c>
      <c r="V149" s="195" t="s">
        <v>3151</v>
      </c>
      <c r="W149" s="141">
        <v>2</v>
      </c>
      <c r="X149" s="141" t="s">
        <v>352</v>
      </c>
      <c r="Y149" s="141">
        <v>10</v>
      </c>
      <c r="Z149" s="145"/>
      <c r="AA149" s="145">
        <v>75</v>
      </c>
      <c r="AB149" s="142">
        <v>32.27806166280088</v>
      </c>
      <c r="AC149" s="142">
        <f t="shared" si="22"/>
        <v>1.5089074469166692</v>
      </c>
      <c r="AD149" s="142"/>
      <c r="AE149" s="142"/>
      <c r="AF149" s="142"/>
      <c r="AG149" s="141" t="s">
        <v>3152</v>
      </c>
      <c r="AH149" s="142">
        <v>3</v>
      </c>
      <c r="AI149" s="142"/>
      <c r="AJ149" s="142">
        <v>24.7</v>
      </c>
      <c r="AK149" s="218">
        <f t="shared" si="23"/>
        <v>8.9000000000000021</v>
      </c>
      <c r="AL149" s="142" t="s">
        <v>1509</v>
      </c>
      <c r="AM149" s="142" t="s">
        <v>1509</v>
      </c>
      <c r="AN149" s="155"/>
      <c r="AW149" s="144"/>
      <c r="BB149" s="144"/>
    </row>
    <row r="150" spans="1:54" ht="15" customHeight="1">
      <c r="A150" s="195" t="s">
        <v>3525</v>
      </c>
      <c r="B150" s="195" t="s">
        <v>3526</v>
      </c>
      <c r="C150" s="195" t="s">
        <v>3527</v>
      </c>
      <c r="D150" s="195" t="s">
        <v>4184</v>
      </c>
      <c r="E150" s="198">
        <v>8.5</v>
      </c>
      <c r="F150" s="197">
        <f t="shared" si="17"/>
        <v>0.92941892571429274</v>
      </c>
      <c r="G150" s="195" t="s">
        <v>3116</v>
      </c>
      <c r="H150" s="202">
        <v>0.02</v>
      </c>
      <c r="I150" s="197"/>
      <c r="J150" s="197">
        <f t="shared" si="18"/>
        <v>-1.6989700043360187</v>
      </c>
      <c r="K150" s="202">
        <v>33.93</v>
      </c>
      <c r="L150" s="199">
        <f t="shared" si="19"/>
        <v>33.93</v>
      </c>
      <c r="M150" s="195">
        <v>-116.64</v>
      </c>
      <c r="N150" s="195" t="s">
        <v>3150</v>
      </c>
      <c r="O150" s="198">
        <v>44.8</v>
      </c>
      <c r="P150" s="195" t="s">
        <v>3116</v>
      </c>
      <c r="Q150" s="201">
        <v>0.11</v>
      </c>
      <c r="R150" s="202">
        <f t="shared" si="20"/>
        <v>4.5322978786657475E-2</v>
      </c>
      <c r="S150" s="195" t="s">
        <v>3116</v>
      </c>
      <c r="T150" s="203">
        <v>6.47</v>
      </c>
      <c r="U150" s="204">
        <f t="shared" si="21"/>
        <v>0.81090428066870035</v>
      </c>
      <c r="V150" s="195" t="s">
        <v>3528</v>
      </c>
      <c r="W150" s="141">
        <v>104</v>
      </c>
      <c r="X150" s="141" t="s">
        <v>352</v>
      </c>
      <c r="Y150" s="141">
        <v>6</v>
      </c>
      <c r="Z150" s="141"/>
      <c r="AA150" s="141"/>
      <c r="AB150" s="142">
        <v>14</v>
      </c>
      <c r="AC150" s="142">
        <f t="shared" si="22"/>
        <v>1.146128035678238</v>
      </c>
      <c r="AD150" s="142"/>
      <c r="AE150" s="142"/>
      <c r="AF150" s="142"/>
      <c r="AG150" s="141" t="s">
        <v>3529</v>
      </c>
      <c r="AH150" s="142">
        <v>2</v>
      </c>
      <c r="AI150" s="142"/>
      <c r="AJ150" s="142">
        <v>39.299999999999997</v>
      </c>
      <c r="AK150" s="218">
        <f t="shared" si="23"/>
        <v>5.5</v>
      </c>
      <c r="AL150" s="142" t="s">
        <v>1509</v>
      </c>
      <c r="AM150" s="142" t="s">
        <v>1509</v>
      </c>
      <c r="AN150" s="155"/>
      <c r="AW150" s="144"/>
      <c r="BB150" s="144"/>
    </row>
    <row r="151" spans="1:54" ht="15" customHeight="1">
      <c r="A151" s="195" t="s">
        <v>3530</v>
      </c>
      <c r="B151" s="195" t="s">
        <v>3531</v>
      </c>
      <c r="C151" s="195" t="s">
        <v>3225</v>
      </c>
      <c r="D151" s="195" t="s">
        <v>4180</v>
      </c>
      <c r="E151" s="196">
        <v>14</v>
      </c>
      <c r="F151" s="197">
        <f t="shared" si="17"/>
        <v>1.146128035678238</v>
      </c>
      <c r="G151" s="195" t="s">
        <v>3116</v>
      </c>
      <c r="H151" s="202">
        <v>0.02</v>
      </c>
      <c r="I151" s="197"/>
      <c r="J151" s="197">
        <f t="shared" si="18"/>
        <v>-1.6989700043360187</v>
      </c>
      <c r="K151" s="199">
        <v>33.301321999999999</v>
      </c>
      <c r="L151" s="199">
        <f t="shared" si="19"/>
        <v>33.301321999999999</v>
      </c>
      <c r="M151" s="195">
        <v>-107.96392</v>
      </c>
      <c r="N151" s="195" t="s">
        <v>3174</v>
      </c>
      <c r="O151" s="198">
        <v>29.6</v>
      </c>
      <c r="P151" s="195" t="s">
        <v>3116</v>
      </c>
      <c r="Q151" s="201">
        <v>0.13</v>
      </c>
      <c r="R151" s="202">
        <f t="shared" si="20"/>
        <v>5.3078443483419682E-2</v>
      </c>
      <c r="S151" s="195" t="s">
        <v>3116</v>
      </c>
      <c r="T151" s="203">
        <v>6.77</v>
      </c>
      <c r="U151" s="204">
        <f t="shared" si="21"/>
        <v>0.83058866868514425</v>
      </c>
      <c r="V151" s="195" t="s">
        <v>3520</v>
      </c>
      <c r="W151" s="141">
        <v>56</v>
      </c>
      <c r="X151" s="141" t="s">
        <v>352</v>
      </c>
      <c r="Y151" s="142">
        <v>5</v>
      </c>
      <c r="Z151" s="142"/>
      <c r="AA151" s="142">
        <v>175</v>
      </c>
      <c r="AB151" s="142">
        <v>50.565302660415576</v>
      </c>
      <c r="AC151" s="142">
        <f t="shared" si="22"/>
        <v>1.703852611069484</v>
      </c>
      <c r="AD151" s="142"/>
      <c r="AE151" s="142"/>
      <c r="AF151" s="142"/>
      <c r="AG151" s="141" t="s">
        <v>3521</v>
      </c>
      <c r="AH151" s="142">
        <v>2</v>
      </c>
      <c r="AI151" s="142"/>
      <c r="AJ151" s="142">
        <v>27.3</v>
      </c>
      <c r="AK151" s="218">
        <f t="shared" si="23"/>
        <v>2.3000000000000007</v>
      </c>
      <c r="AL151" s="142" t="s">
        <v>1509</v>
      </c>
      <c r="AM151" s="142" t="s">
        <v>1509</v>
      </c>
      <c r="AN151" s="155"/>
      <c r="AW151" s="144"/>
      <c r="BB151" s="144"/>
    </row>
    <row r="152" spans="1:54" ht="15" customHeight="1">
      <c r="A152" s="195" t="s">
        <v>3530</v>
      </c>
      <c r="B152" s="195" t="s">
        <v>3532</v>
      </c>
      <c r="C152" s="195" t="s">
        <v>3193</v>
      </c>
      <c r="D152" s="195" t="s">
        <v>4180</v>
      </c>
      <c r="E152" s="196">
        <v>14</v>
      </c>
      <c r="F152" s="197">
        <f t="shared" si="17"/>
        <v>1.146128035678238</v>
      </c>
      <c r="G152" s="195" t="s">
        <v>3116</v>
      </c>
      <c r="H152" s="202">
        <v>0.02</v>
      </c>
      <c r="I152" s="197"/>
      <c r="J152" s="197">
        <f t="shared" si="18"/>
        <v>-1.6989700043360187</v>
      </c>
      <c r="K152" s="199">
        <v>33.691813000000003</v>
      </c>
      <c r="L152" s="199">
        <f t="shared" si="19"/>
        <v>33.691813000000003</v>
      </c>
      <c r="M152" s="195">
        <v>-109.78924000000001</v>
      </c>
      <c r="N152" s="195" t="s">
        <v>3174</v>
      </c>
      <c r="O152" s="198">
        <v>29.4</v>
      </c>
      <c r="P152" s="195" t="s">
        <v>3116</v>
      </c>
      <c r="Q152" s="201">
        <v>0.09</v>
      </c>
      <c r="R152" s="202">
        <f t="shared" si="20"/>
        <v>3.7426497940623665E-2</v>
      </c>
      <c r="S152" s="195" t="s">
        <v>3116</v>
      </c>
      <c r="T152" s="203">
        <v>6.8410000000000002</v>
      </c>
      <c r="U152" s="204">
        <f t="shared" si="21"/>
        <v>0.83511959042454964</v>
      </c>
      <c r="V152" s="195" t="s">
        <v>3520</v>
      </c>
      <c r="W152" s="141">
        <v>56</v>
      </c>
      <c r="X152" s="141" t="s">
        <v>352</v>
      </c>
      <c r="Y152" s="142">
        <v>5</v>
      </c>
      <c r="Z152" s="142"/>
      <c r="AA152" s="142">
        <v>175</v>
      </c>
      <c r="AB152" s="142">
        <v>50.565302660415576</v>
      </c>
      <c r="AC152" s="142">
        <f t="shared" si="22"/>
        <v>1.703852611069484</v>
      </c>
      <c r="AD152" s="142"/>
      <c r="AE152" s="142"/>
      <c r="AF152" s="142"/>
      <c r="AG152" s="141" t="s">
        <v>3521</v>
      </c>
      <c r="AH152" s="142">
        <v>2</v>
      </c>
      <c r="AI152" s="142"/>
      <c r="AJ152" s="142">
        <v>29.4</v>
      </c>
      <c r="AK152" s="218">
        <f t="shared" si="23"/>
        <v>0</v>
      </c>
      <c r="AL152" s="142" t="s">
        <v>1509</v>
      </c>
      <c r="AM152" s="142" t="s">
        <v>1509</v>
      </c>
      <c r="AN152" s="155"/>
      <c r="AW152" s="144"/>
      <c r="BB152" s="144"/>
    </row>
    <row r="153" spans="1:54" ht="15" customHeight="1">
      <c r="A153" s="195" t="s">
        <v>3533</v>
      </c>
      <c r="B153" s="195" t="s">
        <v>3534</v>
      </c>
      <c r="C153" s="195" t="s">
        <v>3535</v>
      </c>
      <c r="D153" s="195" t="s">
        <v>4180</v>
      </c>
      <c r="E153" s="196">
        <v>14</v>
      </c>
      <c r="F153" s="197">
        <f t="shared" si="17"/>
        <v>1.146128035678238</v>
      </c>
      <c r="G153" s="195" t="s">
        <v>3116</v>
      </c>
      <c r="H153" s="196">
        <v>1</v>
      </c>
      <c r="I153" s="197"/>
      <c r="J153" s="197">
        <f t="shared" si="18"/>
        <v>0</v>
      </c>
      <c r="K153" s="199">
        <v>33.289982999999999</v>
      </c>
      <c r="L153" s="199">
        <f t="shared" si="19"/>
        <v>33.289982999999999</v>
      </c>
      <c r="M153" s="195">
        <v>-81.727939000000006</v>
      </c>
      <c r="N153" s="195" t="s">
        <v>3174</v>
      </c>
      <c r="O153" s="198">
        <v>40.9</v>
      </c>
      <c r="P153" s="195" t="s">
        <v>3116</v>
      </c>
      <c r="Q153" s="201">
        <v>0.46</v>
      </c>
      <c r="R153" s="202">
        <f t="shared" si="20"/>
        <v>0.16435285578443709</v>
      </c>
      <c r="S153" s="195" t="s">
        <v>3116</v>
      </c>
      <c r="T153" s="203">
        <v>6.9459999999999997</v>
      </c>
      <c r="U153" s="204">
        <f t="shared" si="21"/>
        <v>0.84173477897474347</v>
      </c>
      <c r="V153" s="195" t="s">
        <v>3536</v>
      </c>
      <c r="W153" s="141">
        <v>55</v>
      </c>
      <c r="X153" s="141" t="s">
        <v>3271</v>
      </c>
      <c r="Y153" s="142">
        <f>AVERAGE(6,15)</f>
        <v>10.5</v>
      </c>
      <c r="Z153" s="142"/>
      <c r="AA153" s="142">
        <v>40</v>
      </c>
      <c r="AB153" s="142">
        <v>1.0679952835839528</v>
      </c>
      <c r="AC153" s="142">
        <f t="shared" si="22"/>
        <v>2.8569334791801213E-2</v>
      </c>
      <c r="AD153" s="142"/>
      <c r="AE153" s="142"/>
      <c r="AF153" s="142"/>
      <c r="AG153" s="141" t="s">
        <v>3537</v>
      </c>
      <c r="AH153" s="142">
        <v>3</v>
      </c>
      <c r="AI153" s="142"/>
      <c r="AJ153" s="142">
        <v>33.299999999999997</v>
      </c>
      <c r="AK153" s="218">
        <f t="shared" si="23"/>
        <v>7.6000000000000014</v>
      </c>
      <c r="AL153" s="142" t="s">
        <v>1509</v>
      </c>
      <c r="AM153" s="142" t="s">
        <v>1509</v>
      </c>
      <c r="AN153" s="155"/>
      <c r="AW153" s="144"/>
      <c r="BB153" s="144"/>
    </row>
    <row r="154" spans="1:54" ht="15" customHeight="1">
      <c r="A154" s="195" t="s">
        <v>3538</v>
      </c>
      <c r="B154" s="195" t="s">
        <v>3188</v>
      </c>
      <c r="C154" s="195" t="s">
        <v>3539</v>
      </c>
      <c r="D154" s="195" t="s">
        <v>4182</v>
      </c>
      <c r="E154" s="196">
        <v>2</v>
      </c>
      <c r="F154" s="197">
        <f t="shared" si="17"/>
        <v>0.3010299956639812</v>
      </c>
      <c r="G154" s="195" t="s">
        <v>3116</v>
      </c>
      <c r="H154" s="196">
        <v>2</v>
      </c>
      <c r="I154" s="197"/>
      <c r="J154" s="197">
        <f t="shared" si="18"/>
        <v>0.3010299956639812</v>
      </c>
      <c r="K154" s="199">
        <v>33.289982999999999</v>
      </c>
      <c r="L154" s="199">
        <f t="shared" si="19"/>
        <v>33.289982999999999</v>
      </c>
      <c r="M154" s="195">
        <v>-81.727939000000006</v>
      </c>
      <c r="N154" s="195" t="s">
        <v>3174</v>
      </c>
      <c r="O154" s="198">
        <v>42.2</v>
      </c>
      <c r="P154" s="195" t="s">
        <v>3116</v>
      </c>
      <c r="Q154" s="201">
        <v>0.15</v>
      </c>
      <c r="R154" s="202">
        <f t="shared" si="20"/>
        <v>6.069784035361165E-2</v>
      </c>
      <c r="S154" s="195" t="s">
        <v>3116</v>
      </c>
      <c r="T154" s="203">
        <v>6.9459999999999997</v>
      </c>
      <c r="U154" s="204">
        <f t="shared" si="21"/>
        <v>0.84173477897474347</v>
      </c>
      <c r="V154" s="195" t="s">
        <v>3540</v>
      </c>
      <c r="W154" s="141">
        <v>89</v>
      </c>
      <c r="X154" s="141" t="s">
        <v>380</v>
      </c>
      <c r="Y154" s="142">
        <v>9</v>
      </c>
      <c r="Z154" s="142"/>
      <c r="AA154" s="142">
        <v>11.61</v>
      </c>
      <c r="AB154" s="142">
        <v>7.8754707996797797E-3</v>
      </c>
      <c r="AC154" s="142">
        <f t="shared" si="22"/>
        <v>-2.1037234744156499</v>
      </c>
      <c r="AD154" s="142"/>
      <c r="AE154" s="142"/>
      <c r="AF154" s="142"/>
      <c r="AG154" s="142" t="s">
        <v>3541</v>
      </c>
      <c r="AH154" s="142">
        <v>6</v>
      </c>
      <c r="AI154" s="142"/>
      <c r="AJ154" s="142">
        <v>33.299999999999997</v>
      </c>
      <c r="AK154" s="218">
        <f t="shared" si="23"/>
        <v>8.9000000000000057</v>
      </c>
      <c r="AL154" s="142" t="s">
        <v>1509</v>
      </c>
      <c r="AM154" s="142" t="s">
        <v>1509</v>
      </c>
      <c r="AN154" s="155"/>
      <c r="AW154" s="144"/>
      <c r="BB154" s="144"/>
    </row>
    <row r="155" spans="1:54" ht="15" customHeight="1">
      <c r="A155" s="195" t="s">
        <v>3542</v>
      </c>
      <c r="B155" s="195" t="s">
        <v>3543</v>
      </c>
      <c r="C155" s="195" t="s">
        <v>3349</v>
      </c>
      <c r="D155" s="195" t="s">
        <v>4182</v>
      </c>
      <c r="E155" s="196">
        <v>2</v>
      </c>
      <c r="F155" s="197">
        <f t="shared" si="17"/>
        <v>0.3010299956639812</v>
      </c>
      <c r="G155" s="195" t="s">
        <v>3116</v>
      </c>
      <c r="H155" s="196">
        <v>2</v>
      </c>
      <c r="I155" s="197"/>
      <c r="J155" s="197">
        <f t="shared" si="18"/>
        <v>0.3010299956639812</v>
      </c>
      <c r="K155" s="199">
        <v>33.289982999999999</v>
      </c>
      <c r="L155" s="199">
        <f t="shared" si="19"/>
        <v>33.289982999999999</v>
      </c>
      <c r="M155" s="195">
        <v>-81.727939000000006</v>
      </c>
      <c r="N155" s="195" t="s">
        <v>3174</v>
      </c>
      <c r="O155" s="198">
        <v>41.4</v>
      </c>
      <c r="P155" s="195" t="s">
        <v>3116</v>
      </c>
      <c r="Q155" s="201">
        <v>7.0000000000000007E-2</v>
      </c>
      <c r="R155" s="202">
        <f t="shared" si="20"/>
        <v>2.9383777685209667E-2</v>
      </c>
      <c r="S155" s="195" t="s">
        <v>3116</v>
      </c>
      <c r="T155" s="203">
        <v>6.9459999999999997</v>
      </c>
      <c r="U155" s="204">
        <f t="shared" si="21"/>
        <v>0.84173477897474347</v>
      </c>
      <c r="V155" s="195" t="s">
        <v>3540</v>
      </c>
      <c r="W155" s="141">
        <v>89</v>
      </c>
      <c r="X155" s="141" t="s">
        <v>380</v>
      </c>
      <c r="Y155" s="142">
        <v>9</v>
      </c>
      <c r="Z155" s="142"/>
      <c r="AA155" s="142">
        <v>16.57</v>
      </c>
      <c r="AB155" s="142">
        <v>1.2220867253674023E-2</v>
      </c>
      <c r="AC155" s="142">
        <f t="shared" si="22"/>
        <v>-1.9128979732980085</v>
      </c>
      <c r="AD155" s="142"/>
      <c r="AE155" s="142"/>
      <c r="AF155" s="142"/>
      <c r="AG155" s="142" t="s">
        <v>3541</v>
      </c>
      <c r="AH155" s="142">
        <v>6</v>
      </c>
      <c r="AI155" s="142"/>
      <c r="AJ155" s="142">
        <v>33.299999999999997</v>
      </c>
      <c r="AK155" s="218">
        <f t="shared" si="23"/>
        <v>8.1000000000000014</v>
      </c>
      <c r="AL155" s="142" t="s">
        <v>1509</v>
      </c>
      <c r="AM155" s="142" t="s">
        <v>1509</v>
      </c>
      <c r="AN155" s="155"/>
      <c r="AW155" s="144"/>
      <c r="BB155" s="144"/>
    </row>
    <row r="156" spans="1:54" ht="15" customHeight="1">
      <c r="A156" s="195" t="s">
        <v>3544</v>
      </c>
      <c r="B156" s="195" t="s">
        <v>3545</v>
      </c>
      <c r="C156" s="195" t="s">
        <v>3241</v>
      </c>
      <c r="D156" s="195" t="s">
        <v>4182</v>
      </c>
      <c r="E156" s="196">
        <v>2</v>
      </c>
      <c r="F156" s="197">
        <f t="shared" si="17"/>
        <v>0.3010299956639812</v>
      </c>
      <c r="G156" s="195" t="s">
        <v>3116</v>
      </c>
      <c r="H156" s="196">
        <v>2</v>
      </c>
      <c r="I156" s="197"/>
      <c r="J156" s="197">
        <f t="shared" si="18"/>
        <v>0.3010299956639812</v>
      </c>
      <c r="K156" s="199">
        <v>33.289982999999999</v>
      </c>
      <c r="L156" s="199">
        <f t="shared" si="19"/>
        <v>33.289982999999999</v>
      </c>
      <c r="M156" s="195">
        <v>-81.727939000000006</v>
      </c>
      <c r="N156" s="195" t="s">
        <v>3174</v>
      </c>
      <c r="O156" s="198">
        <v>41.8</v>
      </c>
      <c r="P156" s="195" t="s">
        <v>3116</v>
      </c>
      <c r="Q156" s="201">
        <v>0.05</v>
      </c>
      <c r="R156" s="202">
        <f t="shared" si="20"/>
        <v>2.1189299069938092E-2</v>
      </c>
      <c r="S156" s="195" t="s">
        <v>3116</v>
      </c>
      <c r="T156" s="203">
        <v>6.9459999999999997</v>
      </c>
      <c r="U156" s="204">
        <f t="shared" si="21"/>
        <v>0.84173477897474347</v>
      </c>
      <c r="V156" s="195" t="s">
        <v>3540</v>
      </c>
      <c r="W156" s="141">
        <v>89</v>
      </c>
      <c r="X156" s="141" t="s">
        <v>380</v>
      </c>
      <c r="Y156" s="142">
        <v>9</v>
      </c>
      <c r="Z156" s="142"/>
      <c r="AA156" s="142">
        <v>18.010000000000002</v>
      </c>
      <c r="AB156" s="142">
        <v>3.0988659068869804E-2</v>
      </c>
      <c r="AC156" s="142">
        <f t="shared" si="22"/>
        <v>-1.5087972160030565</v>
      </c>
      <c r="AD156" s="142"/>
      <c r="AE156" s="142"/>
      <c r="AF156" s="142"/>
      <c r="AG156" s="142" t="s">
        <v>3541</v>
      </c>
      <c r="AH156" s="142">
        <v>6</v>
      </c>
      <c r="AI156" s="142"/>
      <c r="AJ156" s="142">
        <v>33.299999999999997</v>
      </c>
      <c r="AK156" s="218">
        <f t="shared" si="23"/>
        <v>8.5</v>
      </c>
      <c r="AL156" s="142" t="s">
        <v>1509</v>
      </c>
      <c r="AM156" s="142" t="s">
        <v>1509</v>
      </c>
      <c r="AN156" s="155"/>
      <c r="AW156" s="144"/>
      <c r="BB156" s="144"/>
    </row>
    <row r="157" spans="1:54" ht="15" customHeight="1">
      <c r="A157" s="195" t="s">
        <v>3547</v>
      </c>
      <c r="B157" s="195" t="s">
        <v>3548</v>
      </c>
      <c r="C157" s="195" t="s">
        <v>3415</v>
      </c>
      <c r="D157" s="195" t="s">
        <v>4182</v>
      </c>
      <c r="E157" s="196">
        <v>2</v>
      </c>
      <c r="F157" s="197">
        <f t="shared" si="17"/>
        <v>0.3010299956639812</v>
      </c>
      <c r="G157" s="195" t="s">
        <v>3116</v>
      </c>
      <c r="H157" s="196">
        <v>2</v>
      </c>
      <c r="I157" s="197"/>
      <c r="J157" s="197">
        <f t="shared" si="18"/>
        <v>0.3010299956639812</v>
      </c>
      <c r="K157" s="199">
        <v>33.289982999999999</v>
      </c>
      <c r="L157" s="199">
        <f t="shared" si="19"/>
        <v>33.289982999999999</v>
      </c>
      <c r="M157" s="195">
        <v>-81.727939000000006</v>
      </c>
      <c r="N157" s="195" t="s">
        <v>3174</v>
      </c>
      <c r="O157" s="196">
        <v>44</v>
      </c>
      <c r="P157" s="195" t="s">
        <v>3116</v>
      </c>
      <c r="Q157" s="201">
        <v>0.12</v>
      </c>
      <c r="R157" s="202">
        <f t="shared" si="20"/>
        <v>4.9218022670181653E-2</v>
      </c>
      <c r="S157" s="195" t="s">
        <v>3116</v>
      </c>
      <c r="T157" s="203">
        <v>6.9459999999999997</v>
      </c>
      <c r="U157" s="204">
        <f t="shared" si="21"/>
        <v>0.84173477897474347</v>
      </c>
      <c r="V157" s="195" t="s">
        <v>3540</v>
      </c>
      <c r="W157" s="141">
        <v>89</v>
      </c>
      <c r="X157" s="141" t="s">
        <v>380</v>
      </c>
      <c r="Y157" s="142">
        <v>9</v>
      </c>
      <c r="Z157" s="142"/>
      <c r="AA157" s="142">
        <v>15.51</v>
      </c>
      <c r="AB157" s="142">
        <v>1.9440561711209638E-2</v>
      </c>
      <c r="AC157" s="142">
        <f t="shared" si="22"/>
        <v>-1.7112911908215527</v>
      </c>
      <c r="AD157" s="142"/>
      <c r="AE157" s="142"/>
      <c r="AF157" s="142"/>
      <c r="AG157" s="142" t="s">
        <v>3541</v>
      </c>
      <c r="AH157" s="142">
        <v>6</v>
      </c>
      <c r="AI157" s="142"/>
      <c r="AJ157" s="142">
        <v>33.299999999999997</v>
      </c>
      <c r="AK157" s="218">
        <f t="shared" si="23"/>
        <v>10.700000000000003</v>
      </c>
      <c r="AL157" s="142" t="s">
        <v>1509</v>
      </c>
      <c r="AM157" s="142" t="s">
        <v>1509</v>
      </c>
      <c r="AN157" s="155"/>
      <c r="AW157" s="144"/>
      <c r="BB157" s="144"/>
    </row>
    <row r="158" spans="1:54" ht="15" customHeight="1">
      <c r="A158" s="195" t="s">
        <v>3547</v>
      </c>
      <c r="B158" s="195" t="s">
        <v>3548</v>
      </c>
      <c r="C158" s="195" t="s">
        <v>3415</v>
      </c>
      <c r="D158" s="195" t="s">
        <v>4182</v>
      </c>
      <c r="E158" s="196">
        <v>2</v>
      </c>
      <c r="F158" s="197">
        <f t="shared" si="17"/>
        <v>0.3010299956639812</v>
      </c>
      <c r="G158" s="195" t="s">
        <v>3116</v>
      </c>
      <c r="H158" s="196">
        <v>2</v>
      </c>
      <c r="I158" s="197"/>
      <c r="J158" s="197">
        <f t="shared" si="18"/>
        <v>0.3010299956639812</v>
      </c>
      <c r="K158" s="199">
        <v>33.289982999999999</v>
      </c>
      <c r="L158" s="199">
        <f t="shared" si="19"/>
        <v>33.289982999999999</v>
      </c>
      <c r="M158" s="195">
        <v>-81.727939000000006</v>
      </c>
      <c r="N158" s="195" t="s">
        <v>3174</v>
      </c>
      <c r="O158" s="198">
        <v>45.6</v>
      </c>
      <c r="P158" s="195" t="s">
        <v>3116</v>
      </c>
      <c r="Q158" s="201">
        <v>0.23</v>
      </c>
      <c r="R158" s="202">
        <f t="shared" si="20"/>
        <v>8.9905111439397931E-2</v>
      </c>
      <c r="S158" s="195" t="s">
        <v>3116</v>
      </c>
      <c r="T158" s="203">
        <v>6.9459999999999997</v>
      </c>
      <c r="U158" s="204">
        <f t="shared" si="21"/>
        <v>0.84173477897474347</v>
      </c>
      <c r="V158" s="195" t="s">
        <v>3540</v>
      </c>
      <c r="W158" s="141">
        <v>89</v>
      </c>
      <c r="X158" s="141" t="s">
        <v>380</v>
      </c>
      <c r="Y158" s="142">
        <v>9</v>
      </c>
      <c r="Z158" s="142"/>
      <c r="AA158" s="142">
        <v>17.93</v>
      </c>
      <c r="AB158" s="142">
        <v>3.0561207066316164E-2</v>
      </c>
      <c r="AC158" s="142">
        <f t="shared" si="22"/>
        <v>-1.5148294965659894</v>
      </c>
      <c r="AD158" s="142"/>
      <c r="AE158" s="142"/>
      <c r="AF158" s="142"/>
      <c r="AG158" s="142" t="s">
        <v>3541</v>
      </c>
      <c r="AH158" s="142">
        <v>6</v>
      </c>
      <c r="AI158" s="142"/>
      <c r="AJ158" s="142">
        <v>33.299999999999997</v>
      </c>
      <c r="AK158" s="218">
        <f t="shared" si="23"/>
        <v>12.300000000000004</v>
      </c>
      <c r="AL158" s="142" t="s">
        <v>1509</v>
      </c>
      <c r="AM158" s="142" t="s">
        <v>1509</v>
      </c>
      <c r="AW158" s="144"/>
      <c r="BB158" s="144"/>
    </row>
    <row r="159" spans="1:54" ht="15" customHeight="1">
      <c r="A159" s="195" t="s">
        <v>3550</v>
      </c>
      <c r="B159" s="195" t="s">
        <v>3551</v>
      </c>
      <c r="C159" s="195" t="s">
        <v>3278</v>
      </c>
      <c r="D159" s="195" t="s">
        <v>4182</v>
      </c>
      <c r="E159" s="196">
        <v>2</v>
      </c>
      <c r="F159" s="197">
        <f t="shared" si="17"/>
        <v>0.3010299956639812</v>
      </c>
      <c r="G159" s="195" t="s">
        <v>3116</v>
      </c>
      <c r="H159" s="196">
        <v>2</v>
      </c>
      <c r="I159" s="197"/>
      <c r="J159" s="197">
        <f t="shared" si="18"/>
        <v>0.3010299956639812</v>
      </c>
      <c r="K159" s="199">
        <v>33.289982999999999</v>
      </c>
      <c r="L159" s="199">
        <f t="shared" si="19"/>
        <v>33.289982999999999</v>
      </c>
      <c r="M159" s="195">
        <v>-81.727939000000006</v>
      </c>
      <c r="N159" s="195" t="s">
        <v>3174</v>
      </c>
      <c r="O159" s="198">
        <v>39.5</v>
      </c>
      <c r="P159" s="195" t="s">
        <v>3116</v>
      </c>
      <c r="Q159" s="201">
        <v>0.06</v>
      </c>
      <c r="R159" s="202">
        <f t="shared" si="20"/>
        <v>2.5305865264770262E-2</v>
      </c>
      <c r="S159" s="195" t="s">
        <v>3116</v>
      </c>
      <c r="T159" s="203">
        <v>6.9459999999999997</v>
      </c>
      <c r="U159" s="204">
        <f t="shared" si="21"/>
        <v>0.84173477897474347</v>
      </c>
      <c r="V159" s="195" t="s">
        <v>3540</v>
      </c>
      <c r="W159" s="141">
        <v>89</v>
      </c>
      <c r="X159" s="141" t="s">
        <v>380</v>
      </c>
      <c r="Y159" s="142">
        <v>9</v>
      </c>
      <c r="Z159" s="142"/>
      <c r="AA159" s="142">
        <v>17.14</v>
      </c>
      <c r="AB159" s="142">
        <v>2.6553009501484311E-2</v>
      </c>
      <c r="AC159" s="142">
        <f t="shared" si="22"/>
        <v>-1.5758862491280008</v>
      </c>
      <c r="AD159" s="142"/>
      <c r="AE159" s="142"/>
      <c r="AF159" s="142"/>
      <c r="AG159" s="142" t="s">
        <v>3541</v>
      </c>
      <c r="AH159" s="142">
        <v>6</v>
      </c>
      <c r="AI159" s="142"/>
      <c r="AJ159" s="142">
        <v>33.299999999999997</v>
      </c>
      <c r="AK159" s="218">
        <f t="shared" si="23"/>
        <v>6.2000000000000028</v>
      </c>
      <c r="AL159" s="142" t="s">
        <v>1509</v>
      </c>
      <c r="AM159" s="142" t="s">
        <v>1509</v>
      </c>
      <c r="AW159" s="144"/>
      <c r="BB159" s="144"/>
    </row>
    <row r="160" spans="1:54" ht="15" customHeight="1">
      <c r="A160" s="195" t="s">
        <v>3553</v>
      </c>
      <c r="B160" s="195" t="s">
        <v>3554</v>
      </c>
      <c r="C160" s="195" t="s">
        <v>3489</v>
      </c>
      <c r="D160" s="195" t="s">
        <v>4182</v>
      </c>
      <c r="E160" s="196">
        <v>2</v>
      </c>
      <c r="F160" s="197">
        <f t="shared" si="17"/>
        <v>0.3010299956639812</v>
      </c>
      <c r="G160" s="195" t="s">
        <v>3116</v>
      </c>
      <c r="H160" s="196">
        <v>2</v>
      </c>
      <c r="I160" s="197"/>
      <c r="J160" s="197">
        <f t="shared" si="18"/>
        <v>0.3010299956639812</v>
      </c>
      <c r="K160" s="199">
        <v>33.289982999999999</v>
      </c>
      <c r="L160" s="199">
        <f t="shared" si="19"/>
        <v>33.289982999999999</v>
      </c>
      <c r="M160" s="195">
        <v>-81.727939000000006</v>
      </c>
      <c r="N160" s="195" t="s">
        <v>3174</v>
      </c>
      <c r="O160" s="196">
        <v>39</v>
      </c>
      <c r="P160" s="195" t="s">
        <v>3116</v>
      </c>
      <c r="Q160" s="201">
        <v>0.11</v>
      </c>
      <c r="R160" s="202">
        <f t="shared" si="20"/>
        <v>4.5322978786657475E-2</v>
      </c>
      <c r="S160" s="195" t="s">
        <v>3116</v>
      </c>
      <c r="T160" s="203">
        <v>6.9459999999999997</v>
      </c>
      <c r="U160" s="204">
        <f t="shared" si="21"/>
        <v>0.84173477897474347</v>
      </c>
      <c r="V160" s="195" t="s">
        <v>3540</v>
      </c>
      <c r="W160" s="141">
        <v>89</v>
      </c>
      <c r="X160" s="141" t="s">
        <v>380</v>
      </c>
      <c r="Y160" s="142">
        <v>9</v>
      </c>
      <c r="Z160" s="142"/>
      <c r="AA160" s="142">
        <v>13.16</v>
      </c>
      <c r="AB160" s="142">
        <v>1.1643361312820767E-2</v>
      </c>
      <c r="AC160" s="142">
        <f t="shared" si="22"/>
        <v>-1.9339216254528375</v>
      </c>
      <c r="AD160" s="142"/>
      <c r="AE160" s="142"/>
      <c r="AF160" s="142"/>
      <c r="AG160" s="142" t="s">
        <v>3541</v>
      </c>
      <c r="AH160" s="142">
        <v>6</v>
      </c>
      <c r="AI160" s="142"/>
      <c r="AJ160" s="142">
        <v>33.299999999999997</v>
      </c>
      <c r="AK160" s="218">
        <f t="shared" si="23"/>
        <v>5.7000000000000028</v>
      </c>
      <c r="AL160" s="142" t="s">
        <v>1509</v>
      </c>
      <c r="AM160" s="142" t="s">
        <v>1509</v>
      </c>
      <c r="AW160" s="144"/>
      <c r="BB160" s="144"/>
    </row>
    <row r="161" spans="1:54" ht="15" customHeight="1">
      <c r="A161" s="195" t="s">
        <v>3555</v>
      </c>
      <c r="B161" s="195" t="s">
        <v>3556</v>
      </c>
      <c r="C161" s="195" t="s">
        <v>3455</v>
      </c>
      <c r="D161" s="195" t="s">
        <v>4182</v>
      </c>
      <c r="E161" s="196">
        <v>2</v>
      </c>
      <c r="F161" s="197">
        <f t="shared" si="17"/>
        <v>0.3010299956639812</v>
      </c>
      <c r="G161" s="195" t="s">
        <v>3116</v>
      </c>
      <c r="H161" s="196">
        <v>2</v>
      </c>
      <c r="I161" s="197"/>
      <c r="J161" s="197">
        <f t="shared" si="18"/>
        <v>0.3010299956639812</v>
      </c>
      <c r="K161" s="199">
        <v>33.289982999999999</v>
      </c>
      <c r="L161" s="199">
        <f t="shared" si="19"/>
        <v>33.289982999999999</v>
      </c>
      <c r="M161" s="195">
        <v>-81.727939000000006</v>
      </c>
      <c r="N161" s="195" t="s">
        <v>3174</v>
      </c>
      <c r="O161" s="198">
        <v>43.5</v>
      </c>
      <c r="P161" s="195" t="s">
        <v>3116</v>
      </c>
      <c r="Q161" s="201">
        <v>0.11</v>
      </c>
      <c r="R161" s="202">
        <f t="shared" si="20"/>
        <v>4.5322978786657475E-2</v>
      </c>
      <c r="S161" s="195" t="s">
        <v>3116</v>
      </c>
      <c r="T161" s="203">
        <v>6.9459999999999997</v>
      </c>
      <c r="U161" s="204">
        <f t="shared" si="21"/>
        <v>0.84173477897474347</v>
      </c>
      <c r="V161" s="195" t="s">
        <v>3540</v>
      </c>
      <c r="W161" s="141">
        <v>89</v>
      </c>
      <c r="X161" s="141" t="s">
        <v>380</v>
      </c>
      <c r="Y161" s="142">
        <v>9</v>
      </c>
      <c r="Z161" s="142"/>
      <c r="AA161" s="142">
        <v>13.46</v>
      </c>
      <c r="AB161" s="142">
        <v>1.2491672420724739E-2</v>
      </c>
      <c r="AC161" s="142">
        <f t="shared" si="22"/>
        <v>-1.9033794131495714</v>
      </c>
      <c r="AD161" s="142"/>
      <c r="AE161" s="142"/>
      <c r="AF161" s="142"/>
      <c r="AG161" s="142" t="s">
        <v>3541</v>
      </c>
      <c r="AH161" s="142">
        <v>6</v>
      </c>
      <c r="AI161" s="142"/>
      <c r="AJ161" s="142">
        <v>33.299999999999997</v>
      </c>
      <c r="AK161" s="218">
        <f t="shared" si="23"/>
        <v>10.200000000000003</v>
      </c>
      <c r="AL161" s="142" t="s">
        <v>1509</v>
      </c>
      <c r="AM161" s="142" t="s">
        <v>1509</v>
      </c>
      <c r="AN161" s="155"/>
      <c r="AW161" s="144"/>
      <c r="BB161" s="144"/>
    </row>
    <row r="162" spans="1:54" ht="15" customHeight="1">
      <c r="A162" s="195" t="s">
        <v>3555</v>
      </c>
      <c r="B162" s="195" t="s">
        <v>3556</v>
      </c>
      <c r="C162" s="195" t="s">
        <v>3455</v>
      </c>
      <c r="D162" s="195" t="s">
        <v>4182</v>
      </c>
      <c r="E162" s="196">
        <v>2</v>
      </c>
      <c r="F162" s="197">
        <f t="shared" si="17"/>
        <v>0.3010299956639812</v>
      </c>
      <c r="G162" s="195" t="s">
        <v>3116</v>
      </c>
      <c r="H162" s="196">
        <v>2</v>
      </c>
      <c r="I162" s="197"/>
      <c r="J162" s="197">
        <f t="shared" si="18"/>
        <v>0.3010299956639812</v>
      </c>
      <c r="K162" s="199">
        <v>33.289982999999999</v>
      </c>
      <c r="L162" s="199">
        <f t="shared" si="19"/>
        <v>33.289982999999999</v>
      </c>
      <c r="M162" s="195">
        <v>-81.727939000000006</v>
      </c>
      <c r="N162" s="195" t="s">
        <v>3174</v>
      </c>
      <c r="O162" s="198">
        <v>44.1</v>
      </c>
      <c r="P162" s="195" t="s">
        <v>3116</v>
      </c>
      <c r="Q162" s="201">
        <v>0.15</v>
      </c>
      <c r="R162" s="202">
        <f t="shared" si="20"/>
        <v>6.069784035361165E-2</v>
      </c>
      <c r="S162" s="195" t="s">
        <v>3116</v>
      </c>
      <c r="T162" s="203">
        <v>6.9459999999999997</v>
      </c>
      <c r="U162" s="204">
        <f t="shared" si="21"/>
        <v>0.84173477897474347</v>
      </c>
      <c r="V162" s="195" t="s">
        <v>3540</v>
      </c>
      <c r="W162" s="141">
        <v>89</v>
      </c>
      <c r="X162" s="141" t="s">
        <v>380</v>
      </c>
      <c r="Y162" s="142">
        <v>9</v>
      </c>
      <c r="Z162" s="142"/>
      <c r="AA162" s="142">
        <v>13.9</v>
      </c>
      <c r="AB162" s="142">
        <v>1.3810397432682494E-2</v>
      </c>
      <c r="AC162" s="142">
        <f t="shared" si="22"/>
        <v>-1.8597938232072233</v>
      </c>
      <c r="AD162" s="142"/>
      <c r="AE162" s="142"/>
      <c r="AF162" s="142"/>
      <c r="AG162" s="142" t="s">
        <v>3541</v>
      </c>
      <c r="AH162" s="142">
        <v>6</v>
      </c>
      <c r="AI162" s="142"/>
      <c r="AJ162" s="142">
        <v>33.299999999999997</v>
      </c>
      <c r="AK162" s="218">
        <f t="shared" si="23"/>
        <v>10.800000000000004</v>
      </c>
      <c r="AL162" s="142" t="s">
        <v>1509</v>
      </c>
      <c r="AM162" s="142" t="s">
        <v>1509</v>
      </c>
      <c r="AW162" s="144"/>
      <c r="BB162" s="144"/>
    </row>
    <row r="163" spans="1:54" ht="15" customHeight="1">
      <c r="A163" s="195" t="s">
        <v>3495</v>
      </c>
      <c r="B163" s="195" t="s">
        <v>3557</v>
      </c>
      <c r="C163" s="195" t="s">
        <v>3490</v>
      </c>
      <c r="D163" s="195" t="s">
        <v>4180</v>
      </c>
      <c r="E163" s="196">
        <v>7</v>
      </c>
      <c r="F163" s="197">
        <f t="shared" si="17"/>
        <v>0.84509804001425681</v>
      </c>
      <c r="G163" s="195" t="s">
        <v>3116</v>
      </c>
      <c r="H163" s="198">
        <v>0.5</v>
      </c>
      <c r="I163" s="197"/>
      <c r="J163" s="197">
        <f t="shared" si="18"/>
        <v>-0.3010299956639812</v>
      </c>
      <c r="K163" s="199">
        <v>32.057499</v>
      </c>
      <c r="L163" s="199">
        <f t="shared" si="19"/>
        <v>32.057499</v>
      </c>
      <c r="M163" s="195">
        <v>-111.666072</v>
      </c>
      <c r="N163" s="195" t="s">
        <v>3174</v>
      </c>
      <c r="O163" s="198">
        <v>43.2</v>
      </c>
      <c r="P163" s="195" t="s">
        <v>3116</v>
      </c>
      <c r="Q163" s="201">
        <v>0.3</v>
      </c>
      <c r="R163" s="202">
        <f t="shared" si="20"/>
        <v>0.11394335230683679</v>
      </c>
      <c r="S163" s="195" t="s">
        <v>3116</v>
      </c>
      <c r="T163" s="203">
        <v>7.0010000000000003</v>
      </c>
      <c r="U163" s="204">
        <f t="shared" si="21"/>
        <v>0.84516007765194578</v>
      </c>
      <c r="V163" s="195" t="s">
        <v>3558</v>
      </c>
      <c r="W163" s="141">
        <v>49</v>
      </c>
      <c r="X163" s="141" t="s">
        <v>352</v>
      </c>
      <c r="Y163" s="142">
        <f>AVERAGE(12,17, 19)</f>
        <v>16</v>
      </c>
      <c r="Z163" s="142"/>
      <c r="AA163" s="142">
        <f>AVERAGE(27.1,27.9)</f>
        <v>27.5</v>
      </c>
      <c r="AB163" s="142">
        <v>0.25719229109040836</v>
      </c>
      <c r="AC163" s="142">
        <f t="shared" si="22"/>
        <v>-0.58974205280485692</v>
      </c>
      <c r="AD163" s="142"/>
      <c r="AE163" s="142"/>
      <c r="AF163" s="142"/>
      <c r="AG163" s="157" t="s">
        <v>3559</v>
      </c>
      <c r="AH163" s="142">
        <v>3</v>
      </c>
      <c r="AI163" s="142"/>
      <c r="AJ163" s="142">
        <v>37.299999999999997</v>
      </c>
      <c r="AK163" s="218">
        <f t="shared" si="23"/>
        <v>5.9000000000000057</v>
      </c>
      <c r="AL163" s="142" t="s">
        <v>1509</v>
      </c>
      <c r="AM163" s="142" t="s">
        <v>1509</v>
      </c>
      <c r="AW163" s="144"/>
      <c r="BB163" s="144"/>
    </row>
    <row r="164" spans="1:54" ht="15" customHeight="1">
      <c r="A164" s="195" t="s">
        <v>3473</v>
      </c>
      <c r="B164" s="142" t="s">
        <v>3560</v>
      </c>
      <c r="C164" s="195" t="s">
        <v>3197</v>
      </c>
      <c r="D164" s="195" t="s">
        <v>4180</v>
      </c>
      <c r="E164" s="196">
        <v>14</v>
      </c>
      <c r="F164" s="197">
        <f t="shared" si="17"/>
        <v>1.146128035678238</v>
      </c>
      <c r="G164" s="195" t="s">
        <v>3116</v>
      </c>
      <c r="H164" s="202">
        <v>0.02</v>
      </c>
      <c r="I164" s="197"/>
      <c r="J164" s="197">
        <f t="shared" si="18"/>
        <v>-1.6989700043360187</v>
      </c>
      <c r="K164" s="199">
        <v>33.931328999999998</v>
      </c>
      <c r="L164" s="199">
        <f t="shared" si="19"/>
        <v>33.931328999999998</v>
      </c>
      <c r="M164" s="195">
        <v>-109.5899</v>
      </c>
      <c r="N164" s="195" t="s">
        <v>3174</v>
      </c>
      <c r="O164" s="198">
        <v>29.4</v>
      </c>
      <c r="P164" s="195" t="s">
        <v>3116</v>
      </c>
      <c r="Q164" s="201">
        <f>(29.35-28.45)/10</f>
        <v>9.0000000000000219E-2</v>
      </c>
      <c r="R164" s="202">
        <f t="shared" si="20"/>
        <v>3.7426497940623756E-2</v>
      </c>
      <c r="S164" s="195" t="s">
        <v>3116</v>
      </c>
      <c r="T164" s="203">
        <v>7.0140000000000002</v>
      </c>
      <c r="U164" s="204">
        <f t="shared" si="21"/>
        <v>0.84596576154548375</v>
      </c>
      <c r="V164" s="195" t="s">
        <v>3520</v>
      </c>
      <c r="W164" s="141">
        <v>57</v>
      </c>
      <c r="X164" s="141" t="s">
        <v>352</v>
      </c>
      <c r="Y164" s="142">
        <v>5</v>
      </c>
      <c r="Z164" s="142"/>
      <c r="AA164" s="142">
        <v>175</v>
      </c>
      <c r="AB164" s="142">
        <v>54.197378272387049</v>
      </c>
      <c r="AC164" s="142">
        <f t="shared" si="22"/>
        <v>1.7339782786163556</v>
      </c>
      <c r="AD164" s="142"/>
      <c r="AE164" s="142"/>
      <c r="AF164" s="142"/>
      <c r="AG164" s="141" t="s">
        <v>3521</v>
      </c>
      <c r="AH164" s="142">
        <v>2</v>
      </c>
      <c r="AI164" s="142"/>
      <c r="AJ164" s="142">
        <v>20.3</v>
      </c>
      <c r="AK164" s="218">
        <f t="shared" si="23"/>
        <v>9.0999999999999979</v>
      </c>
      <c r="AL164" s="142" t="s">
        <v>1509</v>
      </c>
      <c r="AM164" s="142" t="s">
        <v>1509</v>
      </c>
      <c r="AN164" s="155"/>
      <c r="AW164" s="144"/>
      <c r="BB164" s="144"/>
    </row>
    <row r="165" spans="1:54" ht="15" customHeight="1">
      <c r="A165" s="195" t="s">
        <v>3561</v>
      </c>
      <c r="B165" s="195" t="s">
        <v>950</v>
      </c>
      <c r="C165" s="195" t="s">
        <v>3562</v>
      </c>
      <c r="D165" s="195" t="s">
        <v>4184</v>
      </c>
      <c r="E165" s="196">
        <v>8</v>
      </c>
      <c r="F165" s="197">
        <f t="shared" si="17"/>
        <v>0.90308998699194354</v>
      </c>
      <c r="G165" s="195" t="s">
        <v>3116</v>
      </c>
      <c r="H165" s="202">
        <v>0.02</v>
      </c>
      <c r="I165" s="197"/>
      <c r="J165" s="197">
        <f t="shared" si="18"/>
        <v>-1.6989700043360187</v>
      </c>
      <c r="K165" s="199">
        <v>32.271892000000001</v>
      </c>
      <c r="L165" s="199">
        <f t="shared" si="19"/>
        <v>32.271892000000001</v>
      </c>
      <c r="M165" s="195">
        <v>-110.84349899999999</v>
      </c>
      <c r="N165" s="195" t="s">
        <v>3150</v>
      </c>
      <c r="O165" s="198">
        <v>44.5</v>
      </c>
      <c r="P165" s="195" t="s">
        <v>3116</v>
      </c>
      <c r="Q165" s="201">
        <v>0.13</v>
      </c>
      <c r="R165" s="202">
        <f t="shared" si="20"/>
        <v>5.3078443483419682E-2</v>
      </c>
      <c r="S165" s="195" t="s">
        <v>3116</v>
      </c>
      <c r="T165" s="203">
        <v>7.0670000000000002</v>
      </c>
      <c r="U165" s="204">
        <f t="shared" si="21"/>
        <v>0.84923509131472252</v>
      </c>
      <c r="V165" s="195" t="s">
        <v>3563</v>
      </c>
      <c r="W165" s="141">
        <v>105</v>
      </c>
      <c r="X165" s="141" t="s">
        <v>3564</v>
      </c>
      <c r="Y165" s="141">
        <v>13.5</v>
      </c>
      <c r="Z165" s="141"/>
      <c r="AA165" s="141"/>
      <c r="AB165" s="142">
        <f>AVERAGE(1.26,4.85)</f>
        <v>3.0549999999999997</v>
      </c>
      <c r="AC165" s="142">
        <f t="shared" si="22"/>
        <v>0.48501121457857299</v>
      </c>
      <c r="AD165" s="142"/>
      <c r="AE165" s="142"/>
      <c r="AF165" s="142"/>
      <c r="AG165" s="141" t="s">
        <v>3565</v>
      </c>
      <c r="AH165" s="142">
        <v>2</v>
      </c>
      <c r="AI165" s="142"/>
      <c r="AJ165" s="142">
        <v>38</v>
      </c>
      <c r="AK165" s="218">
        <f t="shared" si="23"/>
        <v>6.5</v>
      </c>
      <c r="AL165" s="142" t="s">
        <v>1509</v>
      </c>
      <c r="AM165" s="142" t="s">
        <v>1509</v>
      </c>
      <c r="AW165" s="144"/>
      <c r="BB165" s="144"/>
    </row>
    <row r="166" spans="1:54" ht="15" customHeight="1">
      <c r="A166" s="195" t="s">
        <v>3567</v>
      </c>
      <c r="B166" s="195" t="s">
        <v>3568</v>
      </c>
      <c r="C166" s="195" t="s">
        <v>3398</v>
      </c>
      <c r="D166" s="195" t="s">
        <v>4182</v>
      </c>
      <c r="E166" s="196">
        <v>5</v>
      </c>
      <c r="F166" s="197">
        <f t="shared" si="17"/>
        <v>0.69897000433601886</v>
      </c>
      <c r="G166" s="195" t="s">
        <v>3116</v>
      </c>
      <c r="H166" s="198">
        <v>0.5</v>
      </c>
      <c r="I166" s="197"/>
      <c r="J166" s="197">
        <f t="shared" si="18"/>
        <v>-0.3010299956639812</v>
      </c>
      <c r="K166" s="199">
        <v>35.106076999999999</v>
      </c>
      <c r="L166" s="199">
        <f t="shared" si="19"/>
        <v>35.106076999999999</v>
      </c>
      <c r="M166" s="195">
        <v>-82.625855999999999</v>
      </c>
      <c r="N166" s="195" t="s">
        <v>3150</v>
      </c>
      <c r="O166" s="198">
        <v>40.4</v>
      </c>
      <c r="P166" s="195" t="s">
        <v>3116</v>
      </c>
      <c r="Q166" s="201">
        <v>0.04</v>
      </c>
      <c r="R166" s="202">
        <f t="shared" si="20"/>
        <v>1.703333929878037E-2</v>
      </c>
      <c r="S166" s="195" t="s">
        <v>3116</v>
      </c>
      <c r="T166" s="203">
        <v>7.085</v>
      </c>
      <c r="U166" s="204">
        <f t="shared" si="21"/>
        <v>0.85033985458347916</v>
      </c>
      <c r="V166" s="195" t="s">
        <v>3569</v>
      </c>
      <c r="W166" s="141">
        <v>81</v>
      </c>
      <c r="X166" s="141" t="s">
        <v>352</v>
      </c>
      <c r="Y166" s="142">
        <v>60</v>
      </c>
      <c r="Z166" s="142"/>
      <c r="AA166" s="142"/>
      <c r="AB166" s="142">
        <f>2.13/1000</f>
        <v>2.1299999999999999E-3</v>
      </c>
      <c r="AC166" s="142">
        <f t="shared" si="22"/>
        <v>-2.6716203965612624</v>
      </c>
      <c r="AD166" s="142"/>
      <c r="AE166" s="142">
        <f>2.13/1000</f>
        <v>2.1299999999999999E-3</v>
      </c>
      <c r="AF166" s="142">
        <f>LOG(AE166)</f>
        <v>-2.6716203965612624</v>
      </c>
      <c r="AG166" s="141" t="s">
        <v>3219</v>
      </c>
      <c r="AH166" s="142">
        <v>4</v>
      </c>
      <c r="AI166" s="142"/>
      <c r="AJ166" s="142">
        <v>28</v>
      </c>
      <c r="AK166" s="218">
        <f t="shared" si="23"/>
        <v>12.399999999999999</v>
      </c>
      <c r="AL166" s="142" t="s">
        <v>1509</v>
      </c>
      <c r="AM166" s="142" t="s">
        <v>1509</v>
      </c>
      <c r="AW166" s="144"/>
      <c r="BB166" s="144"/>
    </row>
    <row r="167" spans="1:54" ht="15" customHeight="1">
      <c r="A167" s="195" t="s">
        <v>3567</v>
      </c>
      <c r="B167" s="195" t="s">
        <v>3571</v>
      </c>
      <c r="C167" s="195" t="s">
        <v>3424</v>
      </c>
      <c r="D167" s="195" t="s">
        <v>4182</v>
      </c>
      <c r="E167" s="196">
        <v>5</v>
      </c>
      <c r="F167" s="197">
        <f t="shared" si="17"/>
        <v>0.69897000433601886</v>
      </c>
      <c r="G167" s="195" t="s">
        <v>3116</v>
      </c>
      <c r="H167" s="198">
        <v>0.5</v>
      </c>
      <c r="I167" s="197"/>
      <c r="J167" s="197">
        <f t="shared" si="18"/>
        <v>-0.3010299956639812</v>
      </c>
      <c r="K167" s="199">
        <v>35.106076999999999</v>
      </c>
      <c r="L167" s="199">
        <f t="shared" si="19"/>
        <v>35.106076999999999</v>
      </c>
      <c r="M167" s="195">
        <v>-82.625855999999999</v>
      </c>
      <c r="N167" s="195" t="s">
        <v>3150</v>
      </c>
      <c r="O167" s="198">
        <v>41.3</v>
      </c>
      <c r="P167" s="195" t="s">
        <v>3116</v>
      </c>
      <c r="Q167" s="201">
        <v>0.05</v>
      </c>
      <c r="R167" s="202">
        <f t="shared" si="20"/>
        <v>2.1189299069938092E-2</v>
      </c>
      <c r="S167" s="195" t="s">
        <v>3116</v>
      </c>
      <c r="T167" s="203">
        <v>7.085</v>
      </c>
      <c r="U167" s="204">
        <f t="shared" si="21"/>
        <v>0.85033985458347916</v>
      </c>
      <c r="V167" s="195" t="s">
        <v>3569</v>
      </c>
      <c r="W167" s="141">
        <v>81</v>
      </c>
      <c r="X167" s="141" t="s">
        <v>352</v>
      </c>
      <c r="Y167" s="142">
        <v>60</v>
      </c>
      <c r="Z167" s="142"/>
      <c r="AA167" s="142"/>
      <c r="AB167" s="142">
        <f>2.13/1000</f>
        <v>2.1299999999999999E-3</v>
      </c>
      <c r="AC167" s="142">
        <f t="shared" si="22"/>
        <v>-2.6716203965612624</v>
      </c>
      <c r="AD167" s="142"/>
      <c r="AE167" s="142">
        <f>2.13/1000</f>
        <v>2.1299999999999999E-3</v>
      </c>
      <c r="AF167" s="142">
        <f>LOG(AE167)</f>
        <v>-2.6716203965612624</v>
      </c>
      <c r="AG167" s="141" t="s">
        <v>3219</v>
      </c>
      <c r="AH167" s="142">
        <v>4</v>
      </c>
      <c r="AI167" s="142"/>
      <c r="AJ167" s="142">
        <v>28</v>
      </c>
      <c r="AK167" s="218">
        <f t="shared" si="23"/>
        <v>13.299999999999997</v>
      </c>
      <c r="AL167" s="142" t="s">
        <v>1509</v>
      </c>
      <c r="AM167" s="142" t="s">
        <v>1509</v>
      </c>
      <c r="AW167" s="144"/>
      <c r="BB167" s="144"/>
    </row>
    <row r="168" spans="1:54" ht="15" customHeight="1">
      <c r="A168" s="195" t="s">
        <v>3567</v>
      </c>
      <c r="B168" s="195" t="s">
        <v>3572</v>
      </c>
      <c r="C168" s="195" t="s">
        <v>3389</v>
      </c>
      <c r="D168" s="195" t="s">
        <v>4182</v>
      </c>
      <c r="E168" s="196">
        <v>5</v>
      </c>
      <c r="F168" s="197">
        <f t="shared" si="17"/>
        <v>0.69897000433601886</v>
      </c>
      <c r="G168" s="195" t="s">
        <v>3116</v>
      </c>
      <c r="H168" s="198">
        <v>0.5</v>
      </c>
      <c r="I168" s="197"/>
      <c r="J168" s="197">
        <f t="shared" si="18"/>
        <v>-0.3010299956639812</v>
      </c>
      <c r="K168" s="199">
        <v>35.106076999999999</v>
      </c>
      <c r="L168" s="199">
        <f t="shared" si="19"/>
        <v>35.106076999999999</v>
      </c>
      <c r="M168" s="195">
        <v>-82.625855999999999</v>
      </c>
      <c r="N168" s="195" t="s">
        <v>3150</v>
      </c>
      <c r="O168" s="198">
        <v>40.1</v>
      </c>
      <c r="P168" s="195" t="s">
        <v>3116</v>
      </c>
      <c r="Q168" s="201">
        <v>0.03</v>
      </c>
      <c r="R168" s="202">
        <f t="shared" si="20"/>
        <v>1.2837224705172217E-2</v>
      </c>
      <c r="S168" s="195" t="s">
        <v>3116</v>
      </c>
      <c r="T168" s="203">
        <v>7.085</v>
      </c>
      <c r="U168" s="204">
        <f t="shared" si="21"/>
        <v>0.85033985458347916</v>
      </c>
      <c r="V168" s="195" t="s">
        <v>3569</v>
      </c>
      <c r="W168" s="141">
        <v>81</v>
      </c>
      <c r="X168" s="141" t="s">
        <v>352</v>
      </c>
      <c r="Y168" s="142">
        <v>60</v>
      </c>
      <c r="Z168" s="142"/>
      <c r="AA168" s="142"/>
      <c r="AB168" s="142">
        <f>2.13/1000</f>
        <v>2.1299999999999999E-3</v>
      </c>
      <c r="AC168" s="142">
        <f t="shared" si="22"/>
        <v>-2.6716203965612624</v>
      </c>
      <c r="AD168" s="142"/>
      <c r="AE168" s="142">
        <f>2.13/1000</f>
        <v>2.1299999999999999E-3</v>
      </c>
      <c r="AF168" s="142">
        <f>LOG(AE168)</f>
        <v>-2.6716203965612624</v>
      </c>
      <c r="AG168" s="141" t="s">
        <v>3219</v>
      </c>
      <c r="AH168" s="142">
        <v>4</v>
      </c>
      <c r="AI168" s="142"/>
      <c r="AJ168" s="142">
        <v>28</v>
      </c>
      <c r="AK168" s="218">
        <f t="shared" si="23"/>
        <v>12.100000000000001</v>
      </c>
      <c r="AL168" s="142" t="s">
        <v>1509</v>
      </c>
      <c r="AM168" s="142" t="s">
        <v>1509</v>
      </c>
      <c r="AW168" s="144"/>
      <c r="BB168" s="144"/>
    </row>
    <row r="169" spans="1:54" ht="15" customHeight="1">
      <c r="A169" s="195" t="s">
        <v>3574</v>
      </c>
      <c r="B169" s="195" t="s">
        <v>3575</v>
      </c>
      <c r="C169" s="195" t="s">
        <v>3546</v>
      </c>
      <c r="D169" s="195" t="s">
        <v>4181</v>
      </c>
      <c r="E169" s="196">
        <v>30</v>
      </c>
      <c r="F169" s="197">
        <f t="shared" si="17"/>
        <v>1.4771212547196624</v>
      </c>
      <c r="G169" s="195" t="s">
        <v>3116</v>
      </c>
      <c r="H169" s="202">
        <v>0.55000000000000004</v>
      </c>
      <c r="I169" s="197"/>
      <c r="J169" s="197">
        <f t="shared" si="18"/>
        <v>-0.25963731050575611</v>
      </c>
      <c r="K169" s="199">
        <v>36.494084000000001</v>
      </c>
      <c r="L169" s="199">
        <f t="shared" si="19"/>
        <v>36.494084000000001</v>
      </c>
      <c r="M169" s="195">
        <v>-81.119607999999999</v>
      </c>
      <c r="N169" s="195" t="s">
        <v>3150</v>
      </c>
      <c r="O169" s="198">
        <v>42.7</v>
      </c>
      <c r="P169" s="195" t="s">
        <v>3116</v>
      </c>
      <c r="Q169" s="201">
        <v>0.21</v>
      </c>
      <c r="R169" s="202">
        <f t="shared" si="20"/>
        <v>8.2785370316450071E-2</v>
      </c>
      <c r="S169" s="195" t="s">
        <v>3116</v>
      </c>
      <c r="T169" s="203">
        <v>7.3140000000000001</v>
      </c>
      <c r="U169" s="204">
        <f t="shared" si="21"/>
        <v>0.86415495600202552</v>
      </c>
      <c r="V169" s="195" t="s">
        <v>3576</v>
      </c>
      <c r="W169" s="141">
        <v>10</v>
      </c>
      <c r="X169" s="141" t="s">
        <v>352</v>
      </c>
      <c r="Y169" s="141">
        <v>10</v>
      </c>
      <c r="Z169" s="141"/>
      <c r="AA169" s="145">
        <v>78</v>
      </c>
      <c r="AB169" s="141">
        <v>2.2999999999999998</v>
      </c>
      <c r="AC169" s="142">
        <f t="shared" si="22"/>
        <v>0.36172783601759284</v>
      </c>
      <c r="AD169" s="141"/>
      <c r="AE169" s="141"/>
      <c r="AF169" s="141"/>
      <c r="AG169" s="141" t="s">
        <v>3577</v>
      </c>
      <c r="AH169" s="141">
        <v>6</v>
      </c>
      <c r="AI169" s="141"/>
      <c r="AJ169" s="142">
        <v>26.7</v>
      </c>
      <c r="AK169" s="218">
        <f t="shared" si="23"/>
        <v>16.000000000000004</v>
      </c>
      <c r="AL169" s="142" t="s">
        <v>1509</v>
      </c>
      <c r="AM169" s="142" t="s">
        <v>1509</v>
      </c>
      <c r="AW169" s="144"/>
      <c r="BB169" s="144"/>
    </row>
    <row r="170" spans="1:54" ht="15" customHeight="1">
      <c r="A170" s="195" t="s">
        <v>3578</v>
      </c>
      <c r="B170" s="195" t="s">
        <v>1115</v>
      </c>
      <c r="C170" s="195" t="s">
        <v>3310</v>
      </c>
      <c r="D170" s="195" t="s">
        <v>4181</v>
      </c>
      <c r="E170" s="196">
        <v>30</v>
      </c>
      <c r="F170" s="197">
        <f t="shared" si="17"/>
        <v>1.4771212547196624</v>
      </c>
      <c r="G170" s="195" t="s">
        <v>3116</v>
      </c>
      <c r="H170" s="202">
        <v>0.55000000000000004</v>
      </c>
      <c r="I170" s="197"/>
      <c r="J170" s="197">
        <f t="shared" si="18"/>
        <v>-0.25963731050575611</v>
      </c>
      <c r="K170" s="199">
        <v>35.994033000000002</v>
      </c>
      <c r="L170" s="199">
        <f t="shared" si="19"/>
        <v>35.994033000000002</v>
      </c>
      <c r="M170" s="195">
        <v>-78.898618999999997</v>
      </c>
      <c r="N170" s="195" t="s">
        <v>3150</v>
      </c>
      <c r="O170" s="198">
        <v>38.5</v>
      </c>
      <c r="P170" s="195" t="s">
        <v>3116</v>
      </c>
      <c r="Q170" s="201">
        <v>0.1</v>
      </c>
      <c r="R170" s="202">
        <f t="shared" si="20"/>
        <v>4.1392685158225077E-2</v>
      </c>
      <c r="S170" s="195" t="s">
        <v>3116</v>
      </c>
      <c r="T170" s="203">
        <v>7.6340000000000003</v>
      </c>
      <c r="U170" s="204">
        <f t="shared" si="21"/>
        <v>0.88275215561307996</v>
      </c>
      <c r="V170" s="195" t="s">
        <v>3576</v>
      </c>
      <c r="W170" s="141">
        <v>10</v>
      </c>
      <c r="X170" s="141" t="s">
        <v>352</v>
      </c>
      <c r="Y170" s="141">
        <f>AVERAGE(8, 8, 9, 10, 10, 8)</f>
        <v>8.8333333333333339</v>
      </c>
      <c r="Z170" s="141"/>
      <c r="AA170" s="145">
        <v>102</v>
      </c>
      <c r="AB170" s="141">
        <v>7</v>
      </c>
      <c r="AC170" s="142">
        <f t="shared" si="22"/>
        <v>0.84509804001425681</v>
      </c>
      <c r="AD170" s="141"/>
      <c r="AE170" s="141"/>
      <c r="AF170" s="141"/>
      <c r="AG170" s="141" t="s">
        <v>3579</v>
      </c>
      <c r="AH170" s="141">
        <v>6</v>
      </c>
      <c r="AI170" s="141"/>
      <c r="AJ170" s="142">
        <v>31.6</v>
      </c>
      <c r="AK170" s="218">
        <f t="shared" si="23"/>
        <v>6.8999999999999986</v>
      </c>
      <c r="AL170" s="142" t="s">
        <v>1509</v>
      </c>
      <c r="AM170" s="142" t="s">
        <v>1509</v>
      </c>
      <c r="AW170" s="144"/>
      <c r="BB170" s="144"/>
    </row>
    <row r="171" spans="1:54" ht="15" customHeight="1">
      <c r="A171" s="195" t="s">
        <v>3580</v>
      </c>
      <c r="B171" s="195" t="s">
        <v>3581</v>
      </c>
      <c r="C171" s="195" t="s">
        <v>3459</v>
      </c>
      <c r="D171" s="195" t="s">
        <v>4180</v>
      </c>
      <c r="E171" s="196">
        <v>30</v>
      </c>
      <c r="F171" s="197">
        <f t="shared" si="17"/>
        <v>1.4771212547196624</v>
      </c>
      <c r="G171" s="195" t="s">
        <v>3116</v>
      </c>
      <c r="H171" s="198">
        <v>0.3</v>
      </c>
      <c r="I171" s="197"/>
      <c r="J171" s="197">
        <f t="shared" si="18"/>
        <v>-0.52287874528033762</v>
      </c>
      <c r="K171" s="199">
        <v>32.998333000000002</v>
      </c>
      <c r="L171" s="199">
        <f t="shared" si="19"/>
        <v>32.998333000000002</v>
      </c>
      <c r="M171" s="195">
        <v>-109.9</v>
      </c>
      <c r="N171" s="195" t="s">
        <v>3174</v>
      </c>
      <c r="O171" s="198">
        <v>43.2</v>
      </c>
      <c r="P171" s="195" t="s">
        <v>3116</v>
      </c>
      <c r="Q171" s="201">
        <v>0.34</v>
      </c>
      <c r="R171" s="202">
        <f t="shared" si="20"/>
        <v>0.12710479836480765</v>
      </c>
      <c r="S171" s="195" t="s">
        <v>3116</v>
      </c>
      <c r="T171" s="203">
        <v>7.7539999999999996</v>
      </c>
      <c r="U171" s="204">
        <f t="shared" si="21"/>
        <v>0.88952579667119114</v>
      </c>
      <c r="V171" s="195" t="s">
        <v>3582</v>
      </c>
      <c r="W171" s="141">
        <v>52</v>
      </c>
      <c r="X171" s="141" t="s">
        <v>352</v>
      </c>
      <c r="Y171" s="142">
        <v>10</v>
      </c>
      <c r="Z171" s="142"/>
      <c r="AA171" s="142">
        <v>45</v>
      </c>
      <c r="AB171" s="142">
        <v>0.80222046034898487</v>
      </c>
      <c r="AC171" s="142">
        <f t="shared" si="22"/>
        <v>-9.5706265686027234E-2</v>
      </c>
      <c r="AD171" s="142"/>
      <c r="AE171" s="142"/>
      <c r="AF171" s="142"/>
      <c r="AG171" s="148" t="s">
        <v>3583</v>
      </c>
      <c r="AH171" s="142">
        <v>7</v>
      </c>
      <c r="AI171" s="142"/>
      <c r="AJ171" s="142">
        <v>37.6</v>
      </c>
      <c r="AK171" s="218">
        <f t="shared" si="23"/>
        <v>5.6000000000000014</v>
      </c>
      <c r="AL171" s="142" t="s">
        <v>1509</v>
      </c>
      <c r="AM171" s="142" t="s">
        <v>1509</v>
      </c>
      <c r="AW171" s="144"/>
      <c r="BB171" s="144"/>
    </row>
    <row r="172" spans="1:54" ht="15" customHeight="1">
      <c r="A172" s="195" t="s">
        <v>3533</v>
      </c>
      <c r="B172" s="195" t="s">
        <v>3584</v>
      </c>
      <c r="C172" s="195" t="s">
        <v>3585</v>
      </c>
      <c r="D172" s="195" t="s">
        <v>4180</v>
      </c>
      <c r="E172" s="196">
        <v>14</v>
      </c>
      <c r="F172" s="197">
        <f t="shared" si="17"/>
        <v>1.146128035678238</v>
      </c>
      <c r="G172" s="195" t="s">
        <v>3116</v>
      </c>
      <c r="H172" s="198">
        <v>0.3</v>
      </c>
      <c r="I172" s="197"/>
      <c r="J172" s="197">
        <f t="shared" si="18"/>
        <v>-0.52287874528033762</v>
      </c>
      <c r="K172" s="199">
        <v>46.285691</v>
      </c>
      <c r="L172" s="199">
        <f t="shared" si="19"/>
        <v>46.285691</v>
      </c>
      <c r="M172" s="195">
        <v>-119.284462</v>
      </c>
      <c r="N172" s="195" t="s">
        <v>3174</v>
      </c>
      <c r="O172" s="198">
        <v>35.1</v>
      </c>
      <c r="P172" s="195" t="s">
        <v>3116</v>
      </c>
      <c r="Q172" s="201">
        <v>0.5</v>
      </c>
      <c r="R172" s="202">
        <f t="shared" si="20"/>
        <v>0.17609125905568124</v>
      </c>
      <c r="S172" s="195" t="s">
        <v>3116</v>
      </c>
      <c r="T172" s="203">
        <v>7.8090000000000002</v>
      </c>
      <c r="U172" s="204">
        <f t="shared" si="21"/>
        <v>0.89259542282889814</v>
      </c>
      <c r="V172" s="195" t="s">
        <v>3586</v>
      </c>
      <c r="W172" s="141">
        <v>54</v>
      </c>
      <c r="X172" s="141" t="s">
        <v>352</v>
      </c>
      <c r="Y172" s="142">
        <v>24</v>
      </c>
      <c r="Z172" s="142"/>
      <c r="AA172" s="142">
        <v>115</v>
      </c>
      <c r="AB172" s="142">
        <f>AVERAGE(7,26)</f>
        <v>16.5</v>
      </c>
      <c r="AC172" s="142">
        <f t="shared" si="22"/>
        <v>1.2174839442139063</v>
      </c>
      <c r="AD172" s="142"/>
      <c r="AE172" s="142"/>
      <c r="AF172" s="142"/>
      <c r="AG172" s="141" t="s">
        <v>3587</v>
      </c>
      <c r="AH172" s="141">
        <v>2</v>
      </c>
      <c r="AI172" s="141"/>
      <c r="AJ172" s="141">
        <v>31.9</v>
      </c>
      <c r="AK172" s="218">
        <f t="shared" si="23"/>
        <v>3.2000000000000028</v>
      </c>
      <c r="AL172" s="142" t="s">
        <v>1509</v>
      </c>
      <c r="AM172" s="142" t="s">
        <v>1509</v>
      </c>
      <c r="AW172" s="144"/>
      <c r="BB172" s="144"/>
    </row>
    <row r="173" spans="1:54" ht="15" customHeight="1">
      <c r="A173" s="195" t="s">
        <v>3530</v>
      </c>
      <c r="B173" s="195" t="s">
        <v>3588</v>
      </c>
      <c r="C173" s="195" t="s">
        <v>3573</v>
      </c>
      <c r="D173" s="195" t="s">
        <v>4180</v>
      </c>
      <c r="E173" s="196">
        <v>14</v>
      </c>
      <c r="F173" s="197">
        <f t="shared" si="17"/>
        <v>1.146128035678238</v>
      </c>
      <c r="G173" s="195" t="s">
        <v>3116</v>
      </c>
      <c r="H173" s="198">
        <v>0.3</v>
      </c>
      <c r="I173" s="197"/>
      <c r="J173" s="197">
        <f t="shared" si="18"/>
        <v>-0.52287874528033762</v>
      </c>
      <c r="K173" s="199">
        <v>46.285691</v>
      </c>
      <c r="L173" s="199">
        <f t="shared" si="19"/>
        <v>46.285691</v>
      </c>
      <c r="M173" s="195">
        <v>-119.284462</v>
      </c>
      <c r="N173" s="195" t="s">
        <v>3174</v>
      </c>
      <c r="O173" s="198">
        <v>28.7</v>
      </c>
      <c r="P173" s="195" t="s">
        <v>3116</v>
      </c>
      <c r="Q173" s="201">
        <v>0.34</v>
      </c>
      <c r="R173" s="202">
        <f t="shared" si="20"/>
        <v>0.12710479836480765</v>
      </c>
      <c r="S173" s="195" t="s">
        <v>3116</v>
      </c>
      <c r="T173" s="203">
        <v>7.8090000000000002</v>
      </c>
      <c r="U173" s="204">
        <f t="shared" si="21"/>
        <v>0.89259542282889814</v>
      </c>
      <c r="V173" s="195" t="s">
        <v>3586</v>
      </c>
      <c r="W173" s="141">
        <v>54</v>
      </c>
      <c r="X173" s="141" t="s">
        <v>352</v>
      </c>
      <c r="Y173" s="142">
        <v>16</v>
      </c>
      <c r="Z173" s="142"/>
      <c r="AA173" s="142">
        <v>110</v>
      </c>
      <c r="AB173" s="142">
        <f>AVERAGE(12,68)</f>
        <v>40</v>
      </c>
      <c r="AC173" s="142">
        <f t="shared" si="22"/>
        <v>1.6020599913279623</v>
      </c>
      <c r="AD173" s="142"/>
      <c r="AE173" s="142"/>
      <c r="AF173" s="142"/>
      <c r="AG173" s="141" t="s">
        <v>3587</v>
      </c>
      <c r="AH173" s="141">
        <v>2</v>
      </c>
      <c r="AI173" s="141"/>
      <c r="AJ173" s="141">
        <v>31.9</v>
      </c>
      <c r="AK173" s="218">
        <f t="shared" si="23"/>
        <v>-3.1999999999999993</v>
      </c>
      <c r="AL173" s="142" t="s">
        <v>1509</v>
      </c>
      <c r="AM173" s="142" t="s">
        <v>1509</v>
      </c>
      <c r="AW173" s="144"/>
      <c r="BB173" s="144"/>
    </row>
    <row r="174" spans="1:54" ht="15" customHeight="1">
      <c r="A174" s="195" t="s">
        <v>3589</v>
      </c>
      <c r="B174" s="195" t="s">
        <v>3590</v>
      </c>
      <c r="C174" s="195" t="s">
        <v>3364</v>
      </c>
      <c r="D174" s="195" t="s">
        <v>4180</v>
      </c>
      <c r="E174" s="196">
        <v>14</v>
      </c>
      <c r="F174" s="197">
        <f t="shared" si="17"/>
        <v>1.146128035678238</v>
      </c>
      <c r="G174" s="195" t="s">
        <v>3116</v>
      </c>
      <c r="H174" s="198">
        <v>0.4</v>
      </c>
      <c r="I174" s="197"/>
      <c r="J174" s="197">
        <f t="shared" si="18"/>
        <v>-0.3979400086720376</v>
      </c>
      <c r="K174" s="199">
        <v>45.657305999999998</v>
      </c>
      <c r="L174" s="199">
        <f t="shared" si="19"/>
        <v>45.657305999999998</v>
      </c>
      <c r="M174" s="195">
        <v>-112.9033</v>
      </c>
      <c r="N174" s="195" t="s">
        <v>3174</v>
      </c>
      <c r="O174" s="198">
        <v>29.3</v>
      </c>
      <c r="P174" s="195" t="s">
        <v>3116</v>
      </c>
      <c r="Q174" s="201">
        <v>0.25</v>
      </c>
      <c r="R174" s="202">
        <f t="shared" si="20"/>
        <v>9.691001300805642E-2</v>
      </c>
      <c r="S174" s="195" t="s">
        <v>3116</v>
      </c>
      <c r="T174" s="203">
        <v>7.8090000000000002</v>
      </c>
      <c r="U174" s="204">
        <f t="shared" si="21"/>
        <v>0.89259542282889814</v>
      </c>
      <c r="V174" s="195" t="s">
        <v>3591</v>
      </c>
      <c r="W174" s="141">
        <v>58</v>
      </c>
      <c r="X174" s="141" t="s">
        <v>3271</v>
      </c>
      <c r="Y174" s="142">
        <f>AVERAGE(20,18,17)</f>
        <v>18.333333333333332</v>
      </c>
      <c r="Z174" s="142"/>
      <c r="AA174" s="142">
        <v>137.5</v>
      </c>
      <c r="AB174" s="142">
        <v>19.5</v>
      </c>
      <c r="AC174" s="142">
        <f t="shared" si="22"/>
        <v>1.2900346113625181</v>
      </c>
      <c r="AD174" s="142"/>
      <c r="AE174" s="142"/>
      <c r="AF174" s="142"/>
      <c r="AG174" s="141" t="s">
        <v>3592</v>
      </c>
      <c r="AH174" s="142">
        <v>3</v>
      </c>
      <c r="AI174" s="142"/>
      <c r="AJ174" s="142">
        <v>23.4</v>
      </c>
      <c r="AK174" s="218">
        <f t="shared" si="23"/>
        <v>5.9000000000000021</v>
      </c>
      <c r="AL174" s="142" t="s">
        <v>1509</v>
      </c>
      <c r="AM174" s="142" t="s">
        <v>1509</v>
      </c>
      <c r="AW174" s="144"/>
      <c r="BB174" s="144"/>
    </row>
    <row r="175" spans="1:54" ht="15" customHeight="1">
      <c r="A175" s="195" t="s">
        <v>3154</v>
      </c>
      <c r="B175" s="195" t="s">
        <v>3593</v>
      </c>
      <c r="C175" s="195" t="s">
        <v>3229</v>
      </c>
      <c r="D175" s="195" t="s">
        <v>4181</v>
      </c>
      <c r="E175" s="196">
        <v>14</v>
      </c>
      <c r="F175" s="197">
        <f t="shared" si="17"/>
        <v>1.146128035678238</v>
      </c>
      <c r="G175" s="195" t="s">
        <v>3116</v>
      </c>
      <c r="H175" s="196">
        <v>1</v>
      </c>
      <c r="I175" s="197"/>
      <c r="J175" s="197">
        <f t="shared" si="18"/>
        <v>0</v>
      </c>
      <c r="K175" s="199">
        <v>37.371667000000002</v>
      </c>
      <c r="L175" s="199">
        <f t="shared" si="19"/>
        <v>37.371667000000002</v>
      </c>
      <c r="M175" s="195">
        <v>-117.985</v>
      </c>
      <c r="N175" s="195" t="s">
        <v>3150</v>
      </c>
      <c r="O175" s="198">
        <v>37.1</v>
      </c>
      <c r="P175" s="195" t="s">
        <v>3116</v>
      </c>
      <c r="Q175" s="201">
        <v>0.08</v>
      </c>
      <c r="R175" s="202">
        <f t="shared" si="20"/>
        <v>3.342375548694973E-2</v>
      </c>
      <c r="S175" s="195" t="s">
        <v>3116</v>
      </c>
      <c r="T175" s="203">
        <v>7.8689999999999998</v>
      </c>
      <c r="U175" s="204">
        <f t="shared" si="21"/>
        <v>0.89591954531001594</v>
      </c>
      <c r="V175" s="195" t="s">
        <v>3151</v>
      </c>
      <c r="W175" s="141">
        <v>2</v>
      </c>
      <c r="X175" s="141" t="s">
        <v>352</v>
      </c>
      <c r="Y175" s="141">
        <v>10</v>
      </c>
      <c r="Z175" s="145"/>
      <c r="AA175" s="145">
        <v>55</v>
      </c>
      <c r="AB175" s="142">
        <v>14.739803551052077</v>
      </c>
      <c r="AC175" s="142">
        <f t="shared" si="22"/>
        <v>1.1684916953776734</v>
      </c>
      <c r="AD175" s="142"/>
      <c r="AE175" s="142"/>
      <c r="AF175" s="142"/>
      <c r="AG175" s="141" t="s">
        <v>3152</v>
      </c>
      <c r="AH175" s="142">
        <v>3</v>
      </c>
      <c r="AI175" s="142"/>
      <c r="AJ175" s="141">
        <v>33</v>
      </c>
      <c r="AK175" s="218">
        <f t="shared" si="23"/>
        <v>4.1000000000000014</v>
      </c>
      <c r="AL175" s="142" t="s">
        <v>1509</v>
      </c>
      <c r="AM175" s="142" t="s">
        <v>1509</v>
      </c>
      <c r="AW175" s="144"/>
      <c r="BB175" s="144"/>
    </row>
    <row r="176" spans="1:54" ht="15" customHeight="1">
      <c r="A176" s="195" t="s">
        <v>3594</v>
      </c>
      <c r="B176" s="195" t="s">
        <v>3595</v>
      </c>
      <c r="C176" s="195" t="s">
        <v>3570</v>
      </c>
      <c r="D176" s="195" t="s">
        <v>4184</v>
      </c>
      <c r="E176" s="196">
        <v>21</v>
      </c>
      <c r="F176" s="197">
        <f t="shared" si="17"/>
        <v>1.3222192947339193</v>
      </c>
      <c r="G176" s="202">
        <v>0.25</v>
      </c>
      <c r="H176" s="202">
        <v>0.25</v>
      </c>
      <c r="I176" s="197">
        <f>LOG(G176)</f>
        <v>-0.6020599913279624</v>
      </c>
      <c r="J176" s="197">
        <f t="shared" si="18"/>
        <v>-0.6020599913279624</v>
      </c>
      <c r="K176" s="202">
        <v>29.93</v>
      </c>
      <c r="L176" s="199">
        <f t="shared" si="19"/>
        <v>29.93</v>
      </c>
      <c r="M176" s="202">
        <v>121.85</v>
      </c>
      <c r="N176" s="195" t="s">
        <v>3150</v>
      </c>
      <c r="O176" s="198">
        <v>44.4</v>
      </c>
      <c r="P176" s="198">
        <v>4.9000000000000004</v>
      </c>
      <c r="Q176" s="201">
        <v>0.15</v>
      </c>
      <c r="R176" s="202">
        <f t="shared" si="20"/>
        <v>6.069784035361165E-2</v>
      </c>
      <c r="S176" s="202">
        <v>0.22</v>
      </c>
      <c r="T176" s="203">
        <v>7.915</v>
      </c>
      <c r="U176" s="204">
        <f t="shared" si="21"/>
        <v>0.89845091919837472</v>
      </c>
      <c r="V176" s="195" t="s">
        <v>3596</v>
      </c>
      <c r="W176" s="141">
        <v>100</v>
      </c>
      <c r="X176" s="141" t="s">
        <v>352</v>
      </c>
      <c r="Y176" s="141">
        <v>20</v>
      </c>
      <c r="Z176" s="141">
        <v>20</v>
      </c>
      <c r="AA176" s="141">
        <v>70</v>
      </c>
      <c r="AB176" s="142">
        <v>7.9778215208330945</v>
      </c>
      <c r="AC176" s="142">
        <f t="shared" si="22"/>
        <v>0.90188431608207253</v>
      </c>
      <c r="AD176" s="141">
        <v>70</v>
      </c>
      <c r="AE176" s="142">
        <v>7.9778215208330945</v>
      </c>
      <c r="AF176" s="142">
        <f>LOG(AE176)</f>
        <v>0.90188431608207253</v>
      </c>
      <c r="AG176" s="141" t="s">
        <v>3315</v>
      </c>
      <c r="AH176" s="142">
        <v>3</v>
      </c>
      <c r="AI176" s="142">
        <v>3</v>
      </c>
      <c r="AJ176" s="141" t="s">
        <v>355</v>
      </c>
      <c r="AK176" s="218"/>
      <c r="AL176" s="142" t="s">
        <v>1509</v>
      </c>
      <c r="AM176" s="142" t="s">
        <v>4232</v>
      </c>
      <c r="AW176" s="144"/>
      <c r="BB176" s="144"/>
    </row>
    <row r="177" spans="1:54" ht="15" customHeight="1">
      <c r="A177" s="195" t="s">
        <v>3601</v>
      </c>
      <c r="B177" s="195" t="s">
        <v>3602</v>
      </c>
      <c r="C177" s="195" t="s">
        <v>3603</v>
      </c>
      <c r="D177" s="195" t="s">
        <v>4180</v>
      </c>
      <c r="E177" s="196">
        <v>7</v>
      </c>
      <c r="F177" s="197">
        <f t="shared" si="17"/>
        <v>0.84509804001425681</v>
      </c>
      <c r="G177" s="195" t="s">
        <v>3116</v>
      </c>
      <c r="H177" s="198">
        <v>0.3</v>
      </c>
      <c r="I177" s="197"/>
      <c r="J177" s="197">
        <f t="shared" si="18"/>
        <v>-0.52287874528033762</v>
      </c>
      <c r="K177" s="199">
        <v>33.214841</v>
      </c>
      <c r="L177" s="199">
        <f t="shared" si="19"/>
        <v>33.214841</v>
      </c>
      <c r="M177" s="195">
        <v>-97.133067999999994</v>
      </c>
      <c r="N177" s="195" t="s">
        <v>3174</v>
      </c>
      <c r="O177" s="198">
        <v>40.4</v>
      </c>
      <c r="P177" s="195" t="s">
        <v>3116</v>
      </c>
      <c r="Q177" s="201">
        <v>0.45</v>
      </c>
      <c r="R177" s="202">
        <f t="shared" si="20"/>
        <v>0.16136800223497488</v>
      </c>
      <c r="S177" s="195" t="s">
        <v>3116</v>
      </c>
      <c r="T177" s="203">
        <v>7.9960000000000004</v>
      </c>
      <c r="U177" s="204">
        <f t="shared" si="21"/>
        <v>0.90287278544607941</v>
      </c>
      <c r="V177" s="195" t="s">
        <v>3604</v>
      </c>
      <c r="W177" s="141">
        <v>45</v>
      </c>
      <c r="X177" s="141" t="s">
        <v>352</v>
      </c>
      <c r="Y177" s="142">
        <v>9</v>
      </c>
      <c r="Z177" s="142"/>
      <c r="AA177" s="142">
        <f>AVERAGE(19,55)</f>
        <v>37</v>
      </c>
      <c r="AB177" s="142">
        <f>AVERAGE(0.13,3.23)</f>
        <v>1.68</v>
      </c>
      <c r="AC177" s="142">
        <f t="shared" si="22"/>
        <v>0.22530928172586284</v>
      </c>
      <c r="AD177" s="142"/>
      <c r="AE177" s="142"/>
      <c r="AF177" s="142"/>
      <c r="AG177" s="141" t="s">
        <v>3605</v>
      </c>
      <c r="AH177" s="142">
        <v>3</v>
      </c>
      <c r="AI177" s="142"/>
      <c r="AJ177" s="142">
        <v>35</v>
      </c>
      <c r="AK177" s="218">
        <f t="shared" si="23"/>
        <v>5.3999999999999986</v>
      </c>
      <c r="AL177" s="142" t="s">
        <v>1509</v>
      </c>
      <c r="AM177" s="142" t="s">
        <v>1509</v>
      </c>
      <c r="AW177" s="144"/>
      <c r="BB177" s="144"/>
    </row>
    <row r="178" spans="1:54" ht="15" customHeight="1">
      <c r="A178" s="195" t="s">
        <v>3610</v>
      </c>
      <c r="B178" s="195" t="s">
        <v>3611</v>
      </c>
      <c r="C178" s="195" t="s">
        <v>3427</v>
      </c>
      <c r="D178" s="195" t="s">
        <v>4182</v>
      </c>
      <c r="E178" s="196">
        <v>3</v>
      </c>
      <c r="F178" s="197">
        <f t="shared" si="17"/>
        <v>0.47712125471966244</v>
      </c>
      <c r="G178" s="195" t="s">
        <v>3116</v>
      </c>
      <c r="H178" s="198">
        <v>0.3</v>
      </c>
      <c r="I178" s="197"/>
      <c r="J178" s="197">
        <f t="shared" si="18"/>
        <v>-0.52287874528033762</v>
      </c>
      <c r="K178" s="199">
        <v>32.937621999999998</v>
      </c>
      <c r="L178" s="199">
        <f t="shared" si="19"/>
        <v>32.937621999999998</v>
      </c>
      <c r="M178" s="195">
        <v>-98.246992000000006</v>
      </c>
      <c r="N178" s="195" t="s">
        <v>3174</v>
      </c>
      <c r="O178" s="198">
        <v>37.4</v>
      </c>
      <c r="P178" s="195" t="s">
        <v>3116</v>
      </c>
      <c r="Q178" s="201">
        <v>0.22</v>
      </c>
      <c r="R178" s="202">
        <f t="shared" si="20"/>
        <v>8.6359830674748214E-2</v>
      </c>
      <c r="S178" s="195" t="s">
        <v>3116</v>
      </c>
      <c r="T178" s="203">
        <v>8.0190000000000001</v>
      </c>
      <c r="U178" s="204">
        <f t="shared" si="21"/>
        <v>0.90412021347619964</v>
      </c>
      <c r="V178" s="195" t="s">
        <v>3609</v>
      </c>
      <c r="W178" s="141">
        <v>90</v>
      </c>
      <c r="X178" s="141" t="s">
        <v>380</v>
      </c>
      <c r="Y178" s="142">
        <f>AVERAGE(20, 41, 50)</f>
        <v>37</v>
      </c>
      <c r="Z178" s="142"/>
      <c r="AA178" s="142">
        <v>13</v>
      </c>
      <c r="AB178" s="142">
        <f>1/1000*10</f>
        <v>0.01</v>
      </c>
      <c r="AC178" s="142">
        <f t="shared" si="22"/>
        <v>-2</v>
      </c>
      <c r="AD178" s="142"/>
      <c r="AE178" s="142"/>
      <c r="AF178" s="142"/>
      <c r="AG178" s="141"/>
      <c r="AH178" s="142">
        <v>3</v>
      </c>
      <c r="AI178" s="142"/>
      <c r="AJ178" s="142">
        <v>35.9</v>
      </c>
      <c r="AK178" s="218">
        <f t="shared" si="23"/>
        <v>1.5</v>
      </c>
      <c r="AL178" s="142" t="s">
        <v>1509</v>
      </c>
      <c r="AM178" s="142" t="s">
        <v>1509</v>
      </c>
      <c r="AW178" s="144"/>
      <c r="BB178" s="144"/>
    </row>
    <row r="179" spans="1:54" ht="15" customHeight="1">
      <c r="A179" s="195" t="s">
        <v>3154</v>
      </c>
      <c r="B179" s="195" t="s">
        <v>3360</v>
      </c>
      <c r="C179" s="195" t="s">
        <v>3250</v>
      </c>
      <c r="D179" s="195" t="s">
        <v>4181</v>
      </c>
      <c r="E179" s="196">
        <v>14</v>
      </c>
      <c r="F179" s="197">
        <f t="shared" si="17"/>
        <v>1.146128035678238</v>
      </c>
      <c r="G179" s="195" t="s">
        <v>3116</v>
      </c>
      <c r="H179" s="196">
        <v>1</v>
      </c>
      <c r="I179" s="197"/>
      <c r="J179" s="197">
        <f t="shared" si="18"/>
        <v>0</v>
      </c>
      <c r="K179" s="199">
        <v>51.091388999999999</v>
      </c>
      <c r="L179" s="199">
        <f t="shared" si="19"/>
        <v>51.091388999999999</v>
      </c>
      <c r="M179" s="195">
        <v>-121.58666700000001</v>
      </c>
      <c r="N179" s="195" t="s">
        <v>3150</v>
      </c>
      <c r="O179" s="198">
        <v>35.5</v>
      </c>
      <c r="P179" s="195" t="s">
        <v>3116</v>
      </c>
      <c r="Q179" s="201">
        <v>0.06</v>
      </c>
      <c r="R179" s="202">
        <f t="shared" si="20"/>
        <v>2.5305865264770262E-2</v>
      </c>
      <c r="S179" s="195" t="s">
        <v>3116</v>
      </c>
      <c r="T179" s="203">
        <v>8.02</v>
      </c>
      <c r="U179" s="204">
        <f t="shared" si="21"/>
        <v>0.90417436828416353</v>
      </c>
      <c r="V179" s="195" t="s">
        <v>3151</v>
      </c>
      <c r="W179" s="141">
        <v>2</v>
      </c>
      <c r="X179" s="141" t="s">
        <v>352</v>
      </c>
      <c r="Y179" s="141">
        <v>10</v>
      </c>
      <c r="Z179" s="145"/>
      <c r="AA179" s="145">
        <v>113</v>
      </c>
      <c r="AB179" s="142">
        <v>128.75559640704762</v>
      </c>
      <c r="AC179" s="142">
        <f t="shared" si="22"/>
        <v>2.1097661148850926</v>
      </c>
      <c r="AD179" s="142"/>
      <c r="AE179" s="142"/>
      <c r="AF179" s="142"/>
      <c r="AG179" s="141" t="s">
        <v>3152</v>
      </c>
      <c r="AH179" s="142">
        <v>2</v>
      </c>
      <c r="AI179" s="142"/>
      <c r="AJ179" s="142">
        <v>24.1</v>
      </c>
      <c r="AK179" s="218">
        <f t="shared" si="23"/>
        <v>11.399999999999999</v>
      </c>
      <c r="AL179" s="142" t="s">
        <v>1509</v>
      </c>
      <c r="AM179" s="142" t="s">
        <v>1509</v>
      </c>
      <c r="AW179" s="144"/>
      <c r="BB179" s="144"/>
    </row>
    <row r="180" spans="1:54" ht="15" customHeight="1">
      <c r="A180" s="195" t="s">
        <v>3147</v>
      </c>
      <c r="B180" s="195" t="s">
        <v>3612</v>
      </c>
      <c r="C180" s="195" t="s">
        <v>3328</v>
      </c>
      <c r="D180" s="195" t="s">
        <v>4181</v>
      </c>
      <c r="E180" s="196">
        <v>14</v>
      </c>
      <c r="F180" s="197">
        <f t="shared" si="17"/>
        <v>1.146128035678238</v>
      </c>
      <c r="G180" s="195" t="s">
        <v>3116</v>
      </c>
      <c r="H180" s="196">
        <v>1</v>
      </c>
      <c r="I180" s="197"/>
      <c r="J180" s="197">
        <f t="shared" si="18"/>
        <v>0</v>
      </c>
      <c r="K180" s="199">
        <v>51.091388999999999</v>
      </c>
      <c r="L180" s="199">
        <f t="shared" si="19"/>
        <v>51.091388999999999</v>
      </c>
      <c r="M180" s="195">
        <v>-121.58666700000001</v>
      </c>
      <c r="N180" s="195" t="s">
        <v>3150</v>
      </c>
      <c r="O180" s="198">
        <v>34.799999999999997</v>
      </c>
      <c r="P180" s="195" t="s">
        <v>3116</v>
      </c>
      <c r="Q180" s="201">
        <v>0.12</v>
      </c>
      <c r="R180" s="202">
        <f t="shared" si="20"/>
        <v>4.9218022670181653E-2</v>
      </c>
      <c r="S180" s="195" t="s">
        <v>3116</v>
      </c>
      <c r="T180" s="203">
        <v>8.02</v>
      </c>
      <c r="U180" s="204">
        <f t="shared" si="21"/>
        <v>0.90417436828416353</v>
      </c>
      <c r="V180" s="195" t="s">
        <v>3151</v>
      </c>
      <c r="W180" s="141">
        <v>2</v>
      </c>
      <c r="X180" s="141" t="s">
        <v>352</v>
      </c>
      <c r="Y180" s="141">
        <v>10</v>
      </c>
      <c r="Z180" s="145"/>
      <c r="AA180" s="145">
        <v>87</v>
      </c>
      <c r="AB180" s="142">
        <v>47.267700953100494</v>
      </c>
      <c r="AC180" s="142">
        <f t="shared" si="22"/>
        <v>1.6745644792298495</v>
      </c>
      <c r="AD180" s="142"/>
      <c r="AE180" s="142"/>
      <c r="AF180" s="142"/>
      <c r="AG180" s="141" t="s">
        <v>3152</v>
      </c>
      <c r="AH180" s="142">
        <v>3</v>
      </c>
      <c r="AI180" s="142"/>
      <c r="AJ180" s="142">
        <v>24.1</v>
      </c>
      <c r="AK180" s="218">
        <f t="shared" si="23"/>
        <v>10.699999999999996</v>
      </c>
      <c r="AL180" s="142" t="s">
        <v>1509</v>
      </c>
      <c r="AM180" s="142" t="s">
        <v>1509</v>
      </c>
      <c r="AW180" s="144"/>
      <c r="BB180" s="144"/>
    </row>
    <row r="181" spans="1:54" ht="15" customHeight="1">
      <c r="A181" s="195" t="s">
        <v>3147</v>
      </c>
      <c r="B181" s="195" t="s">
        <v>3613</v>
      </c>
      <c r="C181" s="195" t="s">
        <v>3333</v>
      </c>
      <c r="D181" s="195" t="s">
        <v>4181</v>
      </c>
      <c r="E181" s="196">
        <v>14</v>
      </c>
      <c r="F181" s="197">
        <f t="shared" si="17"/>
        <v>1.146128035678238</v>
      </c>
      <c r="G181" s="195" t="s">
        <v>3116</v>
      </c>
      <c r="H181" s="196">
        <v>1</v>
      </c>
      <c r="I181" s="197"/>
      <c r="J181" s="197">
        <f t="shared" si="18"/>
        <v>0</v>
      </c>
      <c r="K181" s="199">
        <v>51.091388999999999</v>
      </c>
      <c r="L181" s="199">
        <f t="shared" si="19"/>
        <v>51.091388999999999</v>
      </c>
      <c r="M181" s="195">
        <v>-121.58666700000001</v>
      </c>
      <c r="N181" s="195" t="s">
        <v>3150</v>
      </c>
      <c r="O181" s="198">
        <v>33.6</v>
      </c>
      <c r="P181" s="195" t="s">
        <v>3116</v>
      </c>
      <c r="Q181" s="201">
        <v>0.13</v>
      </c>
      <c r="R181" s="202">
        <f t="shared" si="20"/>
        <v>5.3078443483419682E-2</v>
      </c>
      <c r="S181" s="195" t="s">
        <v>3116</v>
      </c>
      <c r="T181" s="203">
        <v>8.02</v>
      </c>
      <c r="U181" s="204">
        <f t="shared" si="21"/>
        <v>0.90417436828416353</v>
      </c>
      <c r="V181" s="195" t="s">
        <v>3151</v>
      </c>
      <c r="W181" s="141">
        <v>2</v>
      </c>
      <c r="X181" s="141" t="s">
        <v>352</v>
      </c>
      <c r="Y181" s="141">
        <v>10</v>
      </c>
      <c r="Z181" s="145"/>
      <c r="AA181" s="145">
        <v>55</v>
      </c>
      <c r="AB181" s="142">
        <v>14.545615794373079</v>
      </c>
      <c r="AC181" s="142">
        <f t="shared" si="22"/>
        <v>1.1627321120002061</v>
      </c>
      <c r="AD181" s="142"/>
      <c r="AE181" s="142"/>
      <c r="AF181" s="142"/>
      <c r="AG181" s="141" t="s">
        <v>3152</v>
      </c>
      <c r="AH181" s="142">
        <v>3</v>
      </c>
      <c r="AI181" s="142"/>
      <c r="AJ181" s="142">
        <v>24.1</v>
      </c>
      <c r="AK181" s="218">
        <f t="shared" si="23"/>
        <v>9.5</v>
      </c>
      <c r="AL181" s="142" t="s">
        <v>1509</v>
      </c>
      <c r="AM181" s="142" t="s">
        <v>1509</v>
      </c>
      <c r="AW181" s="144"/>
      <c r="BB181" s="144"/>
    </row>
    <row r="182" spans="1:54" ht="15" customHeight="1">
      <c r="A182" s="195" t="s">
        <v>3614</v>
      </c>
      <c r="B182" s="195" t="s">
        <v>3293</v>
      </c>
      <c r="C182" s="195" t="s">
        <v>3362</v>
      </c>
      <c r="D182" s="195" t="s">
        <v>4180</v>
      </c>
      <c r="E182" s="196">
        <v>7</v>
      </c>
      <c r="F182" s="197">
        <f t="shared" si="17"/>
        <v>0.84509804001425681</v>
      </c>
      <c r="G182" s="202">
        <v>0.14000000000000001</v>
      </c>
      <c r="H182" s="202">
        <v>0.14000000000000001</v>
      </c>
      <c r="I182" s="197">
        <f>LOG(G182)</f>
        <v>-0.85387196432176193</v>
      </c>
      <c r="J182" s="197">
        <f t="shared" si="18"/>
        <v>-0.85387196432176193</v>
      </c>
      <c r="K182" s="199">
        <v>35.650789000000003</v>
      </c>
      <c r="L182" s="199">
        <f t="shared" si="19"/>
        <v>35.650789000000003</v>
      </c>
      <c r="M182" s="195">
        <v>-117.66173000000001</v>
      </c>
      <c r="N182" s="195" t="s">
        <v>3174</v>
      </c>
      <c r="O182" s="198">
        <v>36.200000000000003</v>
      </c>
      <c r="P182" s="198">
        <v>2.8</v>
      </c>
      <c r="Q182" s="201">
        <v>0.23</v>
      </c>
      <c r="R182" s="202">
        <f t="shared" si="20"/>
        <v>8.9905111439397931E-2</v>
      </c>
      <c r="S182" s="202">
        <v>0.37</v>
      </c>
      <c r="T182" s="203">
        <v>8.0419999999999998</v>
      </c>
      <c r="U182" s="204">
        <f t="shared" si="21"/>
        <v>0.90536406876689224</v>
      </c>
      <c r="V182" s="195" t="s">
        <v>3615</v>
      </c>
      <c r="W182" s="141">
        <v>44</v>
      </c>
      <c r="X182" s="141" t="s">
        <v>352</v>
      </c>
      <c r="Y182" s="142">
        <v>5</v>
      </c>
      <c r="Z182" s="142">
        <v>5</v>
      </c>
      <c r="AA182" s="142">
        <v>100</v>
      </c>
      <c r="AB182" s="142">
        <v>14.795926383959211</v>
      </c>
      <c r="AC182" s="142">
        <f t="shared" si="22"/>
        <v>1.1701421618485586</v>
      </c>
      <c r="AD182" s="142">
        <v>100</v>
      </c>
      <c r="AE182" s="142">
        <v>14.795926383959211</v>
      </c>
      <c r="AF182" s="142">
        <f>LOG(AE182)</f>
        <v>1.1701421618485586</v>
      </c>
      <c r="AG182" s="141" t="s">
        <v>3616</v>
      </c>
      <c r="AH182" s="142">
        <v>3</v>
      </c>
      <c r="AI182" s="142">
        <v>3</v>
      </c>
      <c r="AJ182" s="142">
        <v>39.200000000000003</v>
      </c>
      <c r="AK182" s="218">
        <f t="shared" si="23"/>
        <v>-3</v>
      </c>
      <c r="AL182" s="142" t="s">
        <v>1509</v>
      </c>
      <c r="AM182" s="142" t="s">
        <v>1509</v>
      </c>
      <c r="AW182" s="144"/>
      <c r="BB182" s="144"/>
    </row>
    <row r="183" spans="1:54" ht="15" customHeight="1">
      <c r="A183" s="195" t="s">
        <v>3617</v>
      </c>
      <c r="B183" s="195" t="s">
        <v>3148</v>
      </c>
      <c r="C183" s="195" t="s">
        <v>3549</v>
      </c>
      <c r="D183" s="195" t="s">
        <v>4182</v>
      </c>
      <c r="E183" s="198">
        <v>4.5</v>
      </c>
      <c r="F183" s="197">
        <f t="shared" si="17"/>
        <v>0.65321251377534373</v>
      </c>
      <c r="G183" s="195" t="s">
        <v>3116</v>
      </c>
      <c r="H183" s="198">
        <v>0.5</v>
      </c>
      <c r="I183" s="197"/>
      <c r="J183" s="197">
        <f t="shared" si="18"/>
        <v>-0.3010299956639812</v>
      </c>
      <c r="K183" s="199">
        <v>38.833882000000003</v>
      </c>
      <c r="L183" s="199">
        <f t="shared" si="19"/>
        <v>38.833882000000003</v>
      </c>
      <c r="M183" s="195">
        <v>-104.82136300000001</v>
      </c>
      <c r="N183" s="195" t="s">
        <v>3150</v>
      </c>
      <c r="O183" s="198">
        <v>43.4</v>
      </c>
      <c r="P183" s="195" t="s">
        <v>3116</v>
      </c>
      <c r="Q183" s="201">
        <v>0.11</v>
      </c>
      <c r="R183" s="202">
        <f t="shared" si="20"/>
        <v>4.5322978786657475E-2</v>
      </c>
      <c r="S183" s="195" t="s">
        <v>3116</v>
      </c>
      <c r="T183" s="203">
        <v>8.0570000000000004</v>
      </c>
      <c r="U183" s="204">
        <f t="shared" si="21"/>
        <v>0.90617336364404866</v>
      </c>
      <c r="V183" s="195" t="s">
        <v>3618</v>
      </c>
      <c r="W183" s="141">
        <v>80</v>
      </c>
      <c r="X183" s="141" t="s">
        <v>352</v>
      </c>
      <c r="Y183" s="142">
        <v>15</v>
      </c>
      <c r="Z183" s="142">
        <v>15</v>
      </c>
      <c r="AA183" s="142"/>
      <c r="AB183" s="142">
        <v>2.3500000000000001E-3</v>
      </c>
      <c r="AC183" s="142">
        <f t="shared" si="22"/>
        <v>-2.6289321377282637</v>
      </c>
      <c r="AD183" s="142"/>
      <c r="AE183" s="142"/>
      <c r="AF183" s="142"/>
      <c r="AG183" s="141" t="s">
        <v>3619</v>
      </c>
      <c r="AH183" s="142">
        <v>2</v>
      </c>
      <c r="AI183" s="142"/>
      <c r="AJ183" s="142">
        <v>29.9</v>
      </c>
      <c r="AK183" s="218">
        <f t="shared" si="23"/>
        <v>13.5</v>
      </c>
      <c r="AL183" s="142" t="s">
        <v>1509</v>
      </c>
      <c r="AM183" s="142" t="s">
        <v>1509</v>
      </c>
      <c r="AW183" s="144"/>
      <c r="BB183" s="144"/>
    </row>
    <row r="184" spans="1:54" ht="15" customHeight="1">
      <c r="A184" s="195" t="s">
        <v>3620</v>
      </c>
      <c r="B184" s="195" t="s">
        <v>3621</v>
      </c>
      <c r="C184" s="195" t="s">
        <v>3509</v>
      </c>
      <c r="D184" s="195" t="s">
        <v>4184</v>
      </c>
      <c r="E184" s="196">
        <v>21</v>
      </c>
      <c r="F184" s="197">
        <f t="shared" si="17"/>
        <v>1.3222192947339193</v>
      </c>
      <c r="G184" s="205">
        <v>0.17499999999999999</v>
      </c>
      <c r="H184" s="205">
        <v>0.17499999999999999</v>
      </c>
      <c r="I184" s="197">
        <f>LOG(G184)</f>
        <v>-0.75696195131370558</v>
      </c>
      <c r="J184" s="197">
        <f t="shared" si="18"/>
        <v>-0.75696195131370558</v>
      </c>
      <c r="K184" s="202">
        <v>35.57</v>
      </c>
      <c r="L184" s="199">
        <f t="shared" si="19"/>
        <v>35.57</v>
      </c>
      <c r="M184" s="202">
        <v>101.08</v>
      </c>
      <c r="N184" s="195" t="s">
        <v>3150</v>
      </c>
      <c r="O184" s="198">
        <v>46.6</v>
      </c>
      <c r="P184" s="198">
        <v>1.9</v>
      </c>
      <c r="Q184" s="201">
        <v>0.08</v>
      </c>
      <c r="R184" s="202">
        <f t="shared" si="20"/>
        <v>3.342375548694973E-2</v>
      </c>
      <c r="S184" s="202">
        <v>0.17</v>
      </c>
      <c r="T184" s="203">
        <v>8.0640000000000001</v>
      </c>
      <c r="U184" s="204">
        <f t="shared" si="21"/>
        <v>0.90655051910145013</v>
      </c>
      <c r="V184" s="195" t="s">
        <v>3622</v>
      </c>
      <c r="W184" s="141">
        <v>98</v>
      </c>
      <c r="X184" s="141" t="s">
        <v>352</v>
      </c>
      <c r="Y184" s="141">
        <f>AVERAGE(12, 13, 12)</f>
        <v>12.333333333333334</v>
      </c>
      <c r="Z184" s="141">
        <f>AVERAGE(12, 13, 12)</f>
        <v>12.333333333333334</v>
      </c>
      <c r="AA184" s="141">
        <f>AVERAGE(69,78)</f>
        <v>73.5</v>
      </c>
      <c r="AB184" s="142">
        <v>9.1432583864262895</v>
      </c>
      <c r="AC184" s="142">
        <f t="shared" si="22"/>
        <v>0.96110099300573104</v>
      </c>
      <c r="AD184" s="141">
        <f>AVERAGE(69,78)</f>
        <v>73.5</v>
      </c>
      <c r="AE184" s="142">
        <v>9.1432583864262895</v>
      </c>
      <c r="AF184" s="142">
        <f>LOG(AE184)</f>
        <v>0.96110099300573104</v>
      </c>
      <c r="AG184" s="141" t="s">
        <v>3315</v>
      </c>
      <c r="AH184" s="142">
        <v>3</v>
      </c>
      <c r="AI184" s="142">
        <v>3</v>
      </c>
      <c r="AJ184" s="142">
        <v>17.5</v>
      </c>
      <c r="AK184" s="218">
        <f t="shared" si="23"/>
        <v>29.1</v>
      </c>
      <c r="AL184" s="142" t="s">
        <v>1509</v>
      </c>
      <c r="AM184" s="142" t="s">
        <v>1509</v>
      </c>
      <c r="AW184" s="144"/>
      <c r="BB184" s="144"/>
    </row>
    <row r="185" spans="1:54" ht="15" customHeight="1">
      <c r="A185" s="195" t="s">
        <v>3623</v>
      </c>
      <c r="B185" s="195" t="s">
        <v>713</v>
      </c>
      <c r="C185" s="195" t="s">
        <v>3486</v>
      </c>
      <c r="D185" s="195" t="s">
        <v>4181</v>
      </c>
      <c r="E185" s="196">
        <v>6</v>
      </c>
      <c r="F185" s="197">
        <f t="shared" si="17"/>
        <v>0.77815125038364363</v>
      </c>
      <c r="G185" s="195" t="s">
        <v>3116</v>
      </c>
      <c r="H185" s="196">
        <v>1</v>
      </c>
      <c r="I185" s="197"/>
      <c r="J185" s="197">
        <f t="shared" si="18"/>
        <v>0</v>
      </c>
      <c r="K185" s="199">
        <v>46.877696</v>
      </c>
      <c r="L185" s="199">
        <f t="shared" si="19"/>
        <v>46.877696</v>
      </c>
      <c r="M185" s="195">
        <v>-113.990799</v>
      </c>
      <c r="N185" s="195" t="s">
        <v>3150</v>
      </c>
      <c r="O185" s="198">
        <v>29.5</v>
      </c>
      <c r="P185" s="195" t="s">
        <v>3116</v>
      </c>
      <c r="Q185" s="201">
        <v>0.11</v>
      </c>
      <c r="R185" s="202">
        <f t="shared" si="20"/>
        <v>4.5322978786657475E-2</v>
      </c>
      <c r="S185" s="195" t="s">
        <v>3116</v>
      </c>
      <c r="T185" s="203">
        <v>8.16</v>
      </c>
      <c r="U185" s="204">
        <f t="shared" si="21"/>
        <v>0.91169015875386117</v>
      </c>
      <c r="V185" s="195" t="s">
        <v>3624</v>
      </c>
      <c r="W185" s="141">
        <v>1</v>
      </c>
      <c r="X185" s="141" t="s">
        <v>352</v>
      </c>
      <c r="Y185" s="141">
        <f>AVERAGE(6,8,8)</f>
        <v>7.333333333333333</v>
      </c>
      <c r="Z185" s="141"/>
      <c r="AA185" s="141">
        <v>33</v>
      </c>
      <c r="AB185" s="142">
        <v>4.5</v>
      </c>
      <c r="AC185" s="142">
        <f t="shared" si="22"/>
        <v>0.65321251377534373</v>
      </c>
      <c r="AD185" s="142"/>
      <c r="AE185" s="142"/>
      <c r="AF185" s="142"/>
      <c r="AG185" s="141" t="s">
        <v>3625</v>
      </c>
      <c r="AH185" s="142">
        <v>3</v>
      </c>
      <c r="AI185" s="142"/>
      <c r="AJ185" s="142">
        <v>28.8</v>
      </c>
      <c r="AK185" s="218">
        <f t="shared" si="23"/>
        <v>0.69999999999999929</v>
      </c>
      <c r="AL185" s="142" t="s">
        <v>1509</v>
      </c>
      <c r="AM185" s="142" t="s">
        <v>1509</v>
      </c>
      <c r="AW185" s="144"/>
      <c r="BB185" s="144"/>
    </row>
    <row r="186" spans="1:54" ht="15.95" customHeight="1">
      <c r="A186" s="195" t="s">
        <v>3154</v>
      </c>
      <c r="B186" s="195" t="s">
        <v>3626</v>
      </c>
      <c r="C186" s="195" t="s">
        <v>3434</v>
      </c>
      <c r="D186" s="195" t="s">
        <v>4181</v>
      </c>
      <c r="E186" s="196">
        <v>14</v>
      </c>
      <c r="F186" s="197">
        <f t="shared" si="17"/>
        <v>1.146128035678238</v>
      </c>
      <c r="G186" s="195" t="s">
        <v>3116</v>
      </c>
      <c r="H186" s="196">
        <v>1</v>
      </c>
      <c r="I186" s="197"/>
      <c r="J186" s="197">
        <f t="shared" si="18"/>
        <v>0</v>
      </c>
      <c r="K186" s="199">
        <v>40.789141999999998</v>
      </c>
      <c r="L186" s="199">
        <f t="shared" si="19"/>
        <v>40.789141999999998</v>
      </c>
      <c r="M186" s="195">
        <v>-73.134960000000007</v>
      </c>
      <c r="N186" s="195" t="s">
        <v>3150</v>
      </c>
      <c r="O186" s="198">
        <v>36.6</v>
      </c>
      <c r="P186" s="195" t="s">
        <v>3116</v>
      </c>
      <c r="Q186" s="201">
        <v>0.16</v>
      </c>
      <c r="R186" s="202">
        <f t="shared" si="20"/>
        <v>6.445798922691845E-2</v>
      </c>
      <c r="S186" s="195" t="s">
        <v>3116</v>
      </c>
      <c r="T186" s="203">
        <v>8.2940000000000005</v>
      </c>
      <c r="U186" s="204">
        <f t="shared" si="21"/>
        <v>0.91876403102799908</v>
      </c>
      <c r="V186" s="195" t="s">
        <v>3151</v>
      </c>
      <c r="W186" s="141">
        <v>2</v>
      </c>
      <c r="X186" s="141" t="s">
        <v>352</v>
      </c>
      <c r="Y186" s="141">
        <v>10</v>
      </c>
      <c r="Z186" s="141"/>
      <c r="AA186" s="141">
        <v>55</v>
      </c>
      <c r="AB186" s="142">
        <v>14.739803551052077</v>
      </c>
      <c r="AC186" s="142">
        <f t="shared" si="22"/>
        <v>1.1684916953776734</v>
      </c>
      <c r="AD186" s="142"/>
      <c r="AE186" s="142"/>
      <c r="AF186" s="142"/>
      <c r="AG186" s="141" t="s">
        <v>3152</v>
      </c>
      <c r="AH186" s="142">
        <v>2</v>
      </c>
      <c r="AI186" s="142"/>
      <c r="AJ186" s="142">
        <v>27.8</v>
      </c>
      <c r="AK186" s="218">
        <f t="shared" si="23"/>
        <v>8.8000000000000007</v>
      </c>
      <c r="AL186" s="142" t="s">
        <v>1509</v>
      </c>
      <c r="AM186" s="142" t="s">
        <v>1509</v>
      </c>
      <c r="AW186" s="144"/>
      <c r="BB186" s="144"/>
    </row>
    <row r="187" spans="1:54" ht="15" customHeight="1">
      <c r="A187" s="195" t="s">
        <v>3147</v>
      </c>
      <c r="B187" s="195" t="s">
        <v>3627</v>
      </c>
      <c r="C187" s="195" t="s">
        <v>3351</v>
      </c>
      <c r="D187" s="195" t="s">
        <v>4181</v>
      </c>
      <c r="E187" s="196">
        <v>14</v>
      </c>
      <c r="F187" s="197">
        <f t="shared" si="17"/>
        <v>1.146128035678238</v>
      </c>
      <c r="G187" s="195" t="s">
        <v>3116</v>
      </c>
      <c r="H187" s="196">
        <v>1</v>
      </c>
      <c r="I187" s="197"/>
      <c r="J187" s="197">
        <f t="shared" si="18"/>
        <v>0</v>
      </c>
      <c r="K187" s="199">
        <v>40.789141999999998</v>
      </c>
      <c r="L187" s="199">
        <f t="shared" si="19"/>
        <v>40.789141999999998</v>
      </c>
      <c r="M187" s="195">
        <v>-73.134960000000007</v>
      </c>
      <c r="N187" s="195" t="s">
        <v>3150</v>
      </c>
      <c r="O187" s="198">
        <v>33.6</v>
      </c>
      <c r="P187" s="195" t="s">
        <v>3116</v>
      </c>
      <c r="Q187" s="201">
        <v>0.11</v>
      </c>
      <c r="R187" s="202">
        <f t="shared" si="20"/>
        <v>4.5322978786657475E-2</v>
      </c>
      <c r="S187" s="195" t="s">
        <v>3116</v>
      </c>
      <c r="T187" s="203">
        <v>8.2940000000000005</v>
      </c>
      <c r="U187" s="204">
        <f t="shared" si="21"/>
        <v>0.91876403102799908</v>
      </c>
      <c r="V187" s="195" t="s">
        <v>3151</v>
      </c>
      <c r="W187" s="141">
        <v>2</v>
      </c>
      <c r="X187" s="141" t="s">
        <v>352</v>
      </c>
      <c r="Y187" s="141">
        <v>10</v>
      </c>
      <c r="Z187" s="145"/>
      <c r="AA187" s="145">
        <v>146</v>
      </c>
      <c r="AB187" s="142">
        <v>178.80795628365576</v>
      </c>
      <c r="AC187" s="142">
        <f t="shared" si="22"/>
        <v>2.2523868393660034</v>
      </c>
      <c r="AD187" s="142"/>
      <c r="AE187" s="142"/>
      <c r="AF187" s="142"/>
      <c r="AG187" s="141" t="s">
        <v>3152</v>
      </c>
      <c r="AH187" s="142">
        <v>2</v>
      </c>
      <c r="AI187" s="142"/>
      <c r="AJ187" s="142">
        <v>27.8</v>
      </c>
      <c r="AK187" s="218">
        <f t="shared" si="23"/>
        <v>5.8000000000000007</v>
      </c>
      <c r="AL187" s="142" t="s">
        <v>1509</v>
      </c>
      <c r="AM187" s="142" t="s">
        <v>1509</v>
      </c>
      <c r="AW187" s="144"/>
      <c r="BB187" s="144"/>
    </row>
    <row r="188" spans="1:54" ht="15" customHeight="1">
      <c r="A188" s="195" t="s">
        <v>3147</v>
      </c>
      <c r="B188" s="195" t="s">
        <v>3628</v>
      </c>
      <c r="C188" s="195" t="s">
        <v>3629</v>
      </c>
      <c r="D188" s="195" t="s">
        <v>4181</v>
      </c>
      <c r="E188" s="196">
        <v>14</v>
      </c>
      <c r="F188" s="197">
        <f t="shared" si="17"/>
        <v>1.146128035678238</v>
      </c>
      <c r="G188" s="195" t="s">
        <v>3116</v>
      </c>
      <c r="H188" s="196">
        <v>1</v>
      </c>
      <c r="I188" s="197"/>
      <c r="J188" s="197">
        <f t="shared" si="18"/>
        <v>0</v>
      </c>
      <c r="K188" s="199">
        <v>40.789141999999998</v>
      </c>
      <c r="L188" s="199">
        <f t="shared" si="19"/>
        <v>40.789141999999998</v>
      </c>
      <c r="M188" s="195">
        <v>-73.134960000000007</v>
      </c>
      <c r="N188" s="195" t="s">
        <v>3150</v>
      </c>
      <c r="O188" s="196">
        <v>35</v>
      </c>
      <c r="P188" s="195" t="s">
        <v>3116</v>
      </c>
      <c r="Q188" s="201">
        <v>0.31</v>
      </c>
      <c r="R188" s="202">
        <f t="shared" si="20"/>
        <v>0.11727129565576427</v>
      </c>
      <c r="S188" s="195" t="s">
        <v>3116</v>
      </c>
      <c r="T188" s="203">
        <v>8.2940000000000005</v>
      </c>
      <c r="U188" s="204">
        <f t="shared" si="21"/>
        <v>0.91876403102799908</v>
      </c>
      <c r="V188" s="195" t="s">
        <v>3151</v>
      </c>
      <c r="W188" s="141">
        <v>2</v>
      </c>
      <c r="X188" s="141" t="s">
        <v>352</v>
      </c>
      <c r="Y188" s="141">
        <v>10</v>
      </c>
      <c r="Z188" s="145"/>
      <c r="AA188" s="145">
        <v>87</v>
      </c>
      <c r="AB188" s="142">
        <v>47.267700953100494</v>
      </c>
      <c r="AC188" s="142">
        <f t="shared" si="22"/>
        <v>1.6745644792298495</v>
      </c>
      <c r="AD188" s="142"/>
      <c r="AE188" s="142"/>
      <c r="AF188" s="142"/>
      <c r="AG188" s="141" t="s">
        <v>3152</v>
      </c>
      <c r="AH188" s="142">
        <v>2</v>
      </c>
      <c r="AI188" s="142"/>
      <c r="AJ188" s="142">
        <v>27.8</v>
      </c>
      <c r="AK188" s="218">
        <f t="shared" si="23"/>
        <v>7.1999999999999993</v>
      </c>
      <c r="AL188" s="142" t="s">
        <v>1509</v>
      </c>
      <c r="AM188" s="142" t="s">
        <v>1509</v>
      </c>
      <c r="AW188" s="144"/>
      <c r="BB188" s="144"/>
    </row>
    <row r="189" spans="1:54" ht="15" customHeight="1">
      <c r="A189" s="195" t="s">
        <v>3147</v>
      </c>
      <c r="B189" s="195" t="s">
        <v>3630</v>
      </c>
      <c r="C189" s="195" t="s">
        <v>3237</v>
      </c>
      <c r="D189" s="195" t="s">
        <v>4181</v>
      </c>
      <c r="E189" s="196">
        <v>14</v>
      </c>
      <c r="F189" s="197">
        <f t="shared" si="17"/>
        <v>1.146128035678238</v>
      </c>
      <c r="G189" s="195" t="s">
        <v>3116</v>
      </c>
      <c r="H189" s="196">
        <v>1</v>
      </c>
      <c r="I189" s="197"/>
      <c r="J189" s="197">
        <f t="shared" si="18"/>
        <v>0</v>
      </c>
      <c r="K189" s="199">
        <v>40.789141999999998</v>
      </c>
      <c r="L189" s="199">
        <f t="shared" si="19"/>
        <v>40.789141999999998</v>
      </c>
      <c r="M189" s="195">
        <v>-73.134960000000007</v>
      </c>
      <c r="N189" s="195" t="s">
        <v>3150</v>
      </c>
      <c r="O189" s="198">
        <v>31.3</v>
      </c>
      <c r="P189" s="195" t="s">
        <v>3116</v>
      </c>
      <c r="Q189" s="201">
        <v>0.09</v>
      </c>
      <c r="R189" s="202">
        <f t="shared" si="20"/>
        <v>3.7426497940623665E-2</v>
      </c>
      <c r="S189" s="195" t="s">
        <v>3116</v>
      </c>
      <c r="T189" s="203">
        <v>8.2940000000000005</v>
      </c>
      <c r="U189" s="204">
        <f t="shared" si="21"/>
        <v>0.91876403102799908</v>
      </c>
      <c r="V189" s="195" t="s">
        <v>3151</v>
      </c>
      <c r="W189" s="141">
        <v>2</v>
      </c>
      <c r="X189" s="141" t="s">
        <v>352</v>
      </c>
      <c r="Y189" s="141">
        <v>10</v>
      </c>
      <c r="Z189" s="145"/>
      <c r="AA189" s="145">
        <v>55</v>
      </c>
      <c r="AB189" s="142">
        <v>14.545615794373079</v>
      </c>
      <c r="AC189" s="142">
        <f t="shared" si="22"/>
        <v>1.1627321120002061</v>
      </c>
      <c r="AD189" s="142"/>
      <c r="AE189" s="142"/>
      <c r="AF189" s="142"/>
      <c r="AG189" s="141" t="s">
        <v>3152</v>
      </c>
      <c r="AH189" s="142">
        <v>2</v>
      </c>
      <c r="AI189" s="142"/>
      <c r="AJ189" s="142">
        <v>27.8</v>
      </c>
      <c r="AK189" s="218">
        <f t="shared" si="23"/>
        <v>3.5</v>
      </c>
      <c r="AL189" s="142" t="s">
        <v>1509</v>
      </c>
      <c r="AM189" s="142" t="s">
        <v>1509</v>
      </c>
      <c r="AW189" s="144"/>
      <c r="BB189" s="144"/>
    </row>
    <row r="190" spans="1:54" ht="15" customHeight="1">
      <c r="A190" s="195" t="s">
        <v>3421</v>
      </c>
      <c r="B190" s="195" t="s">
        <v>3631</v>
      </c>
      <c r="C190" s="195" t="s">
        <v>3632</v>
      </c>
      <c r="D190" s="195" t="s">
        <v>4181</v>
      </c>
      <c r="E190" s="196">
        <v>14</v>
      </c>
      <c r="F190" s="197">
        <f t="shared" si="17"/>
        <v>1.146128035678238</v>
      </c>
      <c r="G190" s="195" t="s">
        <v>3116</v>
      </c>
      <c r="H190" s="196">
        <v>1</v>
      </c>
      <c r="I190" s="197"/>
      <c r="J190" s="197">
        <f t="shared" si="18"/>
        <v>0</v>
      </c>
      <c r="K190" s="199">
        <v>40.789141999999998</v>
      </c>
      <c r="L190" s="199">
        <f t="shared" si="19"/>
        <v>40.789141999999998</v>
      </c>
      <c r="M190" s="195">
        <v>-73.134960000000007</v>
      </c>
      <c r="N190" s="195" t="s">
        <v>3150</v>
      </c>
      <c r="O190" s="196">
        <v>34</v>
      </c>
      <c r="P190" s="195" t="s">
        <v>3116</v>
      </c>
      <c r="Q190" s="201">
        <v>0.33</v>
      </c>
      <c r="R190" s="202">
        <f t="shared" si="20"/>
        <v>0.12385164096708581</v>
      </c>
      <c r="S190" s="195" t="s">
        <v>3116</v>
      </c>
      <c r="T190" s="203">
        <v>8.2940000000000005</v>
      </c>
      <c r="U190" s="204">
        <f t="shared" si="21"/>
        <v>0.91876403102799908</v>
      </c>
      <c r="V190" s="195" t="s">
        <v>3151</v>
      </c>
      <c r="W190" s="141">
        <v>2</v>
      </c>
      <c r="X190" s="141" t="s">
        <v>352</v>
      </c>
      <c r="Y190" s="141">
        <v>10</v>
      </c>
      <c r="Z190" s="145"/>
      <c r="AA190" s="145">
        <v>55</v>
      </c>
      <c r="AB190" s="142">
        <v>14.739803551052077</v>
      </c>
      <c r="AC190" s="142">
        <f t="shared" si="22"/>
        <v>1.1684916953776734</v>
      </c>
      <c r="AD190" s="142"/>
      <c r="AE190" s="142"/>
      <c r="AF190" s="142"/>
      <c r="AG190" s="141" t="s">
        <v>3152</v>
      </c>
      <c r="AH190" s="142">
        <v>2</v>
      </c>
      <c r="AI190" s="142"/>
      <c r="AJ190" s="142">
        <v>27.8</v>
      </c>
      <c r="AK190" s="218">
        <f t="shared" si="23"/>
        <v>6.1999999999999993</v>
      </c>
      <c r="AL190" s="142" t="s">
        <v>1509</v>
      </c>
      <c r="AM190" s="142" t="s">
        <v>1509</v>
      </c>
      <c r="AW190" s="144"/>
      <c r="BB190" s="144"/>
    </row>
    <row r="191" spans="1:54" ht="15" customHeight="1">
      <c r="A191" s="195" t="s">
        <v>3147</v>
      </c>
      <c r="B191" s="195" t="s">
        <v>588</v>
      </c>
      <c r="C191" s="195" t="s">
        <v>3515</v>
      </c>
      <c r="D191" s="195" t="s">
        <v>4181</v>
      </c>
      <c r="E191" s="196">
        <v>6</v>
      </c>
      <c r="F191" s="197">
        <f t="shared" si="17"/>
        <v>0.77815125038364363</v>
      </c>
      <c r="G191" s="195" t="s">
        <v>3116</v>
      </c>
      <c r="H191" s="202">
        <v>0.54</v>
      </c>
      <c r="I191" s="197"/>
      <c r="J191" s="197">
        <f t="shared" si="18"/>
        <v>-0.26760624017703144</v>
      </c>
      <c r="K191" s="202">
        <v>39.86</v>
      </c>
      <c r="L191" s="199">
        <f t="shared" si="19"/>
        <v>39.86</v>
      </c>
      <c r="M191" s="195">
        <v>-74.69</v>
      </c>
      <c r="N191" s="195" t="s">
        <v>3150</v>
      </c>
      <c r="O191" s="196">
        <v>38</v>
      </c>
      <c r="P191" s="195" t="s">
        <v>3116</v>
      </c>
      <c r="Q191" s="201">
        <v>0.11</v>
      </c>
      <c r="R191" s="202">
        <f t="shared" si="20"/>
        <v>4.5322978786657475E-2</v>
      </c>
      <c r="S191" s="195" t="s">
        <v>3116</v>
      </c>
      <c r="T191" s="203">
        <v>8.4049999999999994</v>
      </c>
      <c r="U191" s="204">
        <f t="shared" si="21"/>
        <v>0.92453771777548976</v>
      </c>
      <c r="V191" s="195" t="s">
        <v>3633</v>
      </c>
      <c r="W191" s="141">
        <v>7</v>
      </c>
      <c r="X191" s="141" t="s">
        <v>352</v>
      </c>
      <c r="Y191" s="141">
        <v>22</v>
      </c>
      <c r="Z191" s="142"/>
      <c r="AA191" s="145">
        <v>55</v>
      </c>
      <c r="AB191" s="141">
        <v>14.545615794373079</v>
      </c>
      <c r="AC191" s="142">
        <f t="shared" si="22"/>
        <v>1.1627321120002061</v>
      </c>
      <c r="AD191" s="141"/>
      <c r="AE191" s="141"/>
      <c r="AF191" s="141"/>
      <c r="AG191" s="141" t="s">
        <v>3152</v>
      </c>
      <c r="AH191" s="141">
        <v>3</v>
      </c>
      <c r="AI191" s="141"/>
      <c r="AJ191" s="142">
        <v>29.6</v>
      </c>
      <c r="AK191" s="218">
        <f t="shared" si="23"/>
        <v>8.3999999999999986</v>
      </c>
      <c r="AL191" s="142" t="s">
        <v>1509</v>
      </c>
      <c r="AM191" s="142" t="s">
        <v>1509</v>
      </c>
      <c r="AW191" s="144"/>
      <c r="BB191" s="144"/>
    </row>
    <row r="192" spans="1:54" ht="15" customHeight="1">
      <c r="A192" s="195" t="s">
        <v>3620</v>
      </c>
      <c r="B192" s="195" t="s">
        <v>3634</v>
      </c>
      <c r="C192" s="195" t="s">
        <v>3552</v>
      </c>
      <c r="D192" s="195" t="s">
        <v>4184</v>
      </c>
      <c r="E192" s="196">
        <v>21</v>
      </c>
      <c r="F192" s="197">
        <f t="shared" si="17"/>
        <v>1.3222192947339193</v>
      </c>
      <c r="G192" s="205">
        <v>0.17499999999999999</v>
      </c>
      <c r="H192" s="205">
        <v>0.17499999999999999</v>
      </c>
      <c r="I192" s="197">
        <f>LOG(G192)</f>
        <v>-0.75696195131370558</v>
      </c>
      <c r="J192" s="197">
        <f t="shared" si="18"/>
        <v>-0.75696195131370558</v>
      </c>
      <c r="K192" s="202">
        <v>36.57</v>
      </c>
      <c r="L192" s="199">
        <f t="shared" si="19"/>
        <v>36.57</v>
      </c>
      <c r="M192" s="202">
        <v>101.82</v>
      </c>
      <c r="N192" s="195" t="s">
        <v>3150</v>
      </c>
      <c r="O192" s="198">
        <v>46.5</v>
      </c>
      <c r="P192" s="198">
        <v>1.4</v>
      </c>
      <c r="Q192" s="201">
        <v>0.12</v>
      </c>
      <c r="R192" s="202">
        <f t="shared" si="20"/>
        <v>4.9218022670181653E-2</v>
      </c>
      <c r="S192" s="202">
        <v>0.23</v>
      </c>
      <c r="T192" s="203">
        <v>8.4489999999999998</v>
      </c>
      <c r="U192" s="204">
        <f t="shared" si="21"/>
        <v>0.92680531011160605</v>
      </c>
      <c r="V192" s="195" t="s">
        <v>3622</v>
      </c>
      <c r="W192" s="141">
        <v>98</v>
      </c>
      <c r="X192" s="141" t="s">
        <v>352</v>
      </c>
      <c r="Y192" s="141">
        <f>AVERAGE(13,14,17)</f>
        <v>14.666666666666666</v>
      </c>
      <c r="Z192" s="141">
        <f>AVERAGE(13,14,17)</f>
        <v>14.666666666666666</v>
      </c>
      <c r="AA192" s="141">
        <f>AVERAGE(57,75)</f>
        <v>66</v>
      </c>
      <c r="AB192" s="142">
        <v>6.5683836884372324</v>
      </c>
      <c r="AC192" s="142">
        <f t="shared" si="22"/>
        <v>0.81745851392016278</v>
      </c>
      <c r="AD192" s="141">
        <f>AVERAGE(57,75)</f>
        <v>66</v>
      </c>
      <c r="AE192" s="142">
        <v>6.5683836884372324</v>
      </c>
      <c r="AF192" s="142">
        <f>LOG(AE192)</f>
        <v>0.81745851392016278</v>
      </c>
      <c r="AG192" s="141" t="s">
        <v>3315</v>
      </c>
      <c r="AH192" s="142">
        <v>3</v>
      </c>
      <c r="AI192" s="142">
        <v>3</v>
      </c>
      <c r="AJ192" s="142">
        <v>24.6</v>
      </c>
      <c r="AK192" s="218">
        <f t="shared" si="23"/>
        <v>21.9</v>
      </c>
      <c r="AL192" s="142" t="s">
        <v>1509</v>
      </c>
      <c r="AM192" s="142" t="s">
        <v>1509</v>
      </c>
      <c r="AW192" s="144"/>
      <c r="BB192" s="144"/>
    </row>
    <row r="193" spans="1:54" ht="15" customHeight="1">
      <c r="A193" s="195" t="s">
        <v>3154</v>
      </c>
      <c r="B193" s="195" t="s">
        <v>3635</v>
      </c>
      <c r="C193" s="195" t="s">
        <v>3214</v>
      </c>
      <c r="D193" s="195" t="s">
        <v>4181</v>
      </c>
      <c r="E193" s="196">
        <v>14</v>
      </c>
      <c r="F193" s="197">
        <f t="shared" si="17"/>
        <v>1.146128035678238</v>
      </c>
      <c r="G193" s="195" t="s">
        <v>3116</v>
      </c>
      <c r="H193" s="196">
        <v>1</v>
      </c>
      <c r="I193" s="197"/>
      <c r="J193" s="197">
        <f t="shared" si="18"/>
        <v>0</v>
      </c>
      <c r="K193" s="199">
        <v>36.908557000000002</v>
      </c>
      <c r="L193" s="199">
        <f t="shared" si="19"/>
        <v>36.908557000000002</v>
      </c>
      <c r="M193" s="195">
        <v>-116.759226</v>
      </c>
      <c r="N193" s="195" t="s">
        <v>3150</v>
      </c>
      <c r="O193" s="198">
        <v>36.200000000000003</v>
      </c>
      <c r="P193" s="195" t="s">
        <v>3116</v>
      </c>
      <c r="Q193" s="201">
        <v>0.04</v>
      </c>
      <c r="R193" s="202">
        <f t="shared" si="20"/>
        <v>1.703333929878037E-2</v>
      </c>
      <c r="S193" s="195" t="s">
        <v>3116</v>
      </c>
      <c r="T193" s="203">
        <v>8.56</v>
      </c>
      <c r="U193" s="204">
        <f t="shared" si="21"/>
        <v>0.93247376467715326</v>
      </c>
      <c r="V193" s="195" t="s">
        <v>3151</v>
      </c>
      <c r="W193" s="141">
        <v>2</v>
      </c>
      <c r="X193" s="141" t="s">
        <v>352</v>
      </c>
      <c r="Y193" s="141">
        <v>10</v>
      </c>
      <c r="Z193" s="145"/>
      <c r="AA193" s="145">
        <v>58</v>
      </c>
      <c r="AB193" s="142">
        <v>17.294908178837339</v>
      </c>
      <c r="AC193" s="142">
        <f t="shared" si="22"/>
        <v>1.2379182606244408</v>
      </c>
      <c r="AD193" s="142"/>
      <c r="AE193" s="142"/>
      <c r="AF193" s="142"/>
      <c r="AG193" s="141" t="s">
        <v>3152</v>
      </c>
      <c r="AH193" s="142">
        <v>2</v>
      </c>
      <c r="AI193" s="142"/>
      <c r="AJ193" s="142">
        <v>37.700000000000003</v>
      </c>
      <c r="AK193" s="218">
        <f t="shared" si="23"/>
        <v>-1.5</v>
      </c>
      <c r="AL193" s="142" t="s">
        <v>1509</v>
      </c>
      <c r="AM193" s="142" t="s">
        <v>1509</v>
      </c>
      <c r="AW193" s="144"/>
      <c r="BB193" s="144"/>
    </row>
    <row r="194" spans="1:54" ht="15" customHeight="1">
      <c r="A194" s="195" t="s">
        <v>3637</v>
      </c>
      <c r="B194" s="195" t="s">
        <v>3638</v>
      </c>
      <c r="C194" s="195" t="s">
        <v>3284</v>
      </c>
      <c r="D194" s="195" t="s">
        <v>4183</v>
      </c>
      <c r="E194" s="196">
        <v>6</v>
      </c>
      <c r="F194" s="197">
        <f t="shared" si="17"/>
        <v>0.77815125038364363</v>
      </c>
      <c r="G194" s="195" t="s">
        <v>3116</v>
      </c>
      <c r="H194" s="198">
        <v>0.6</v>
      </c>
      <c r="I194" s="197"/>
      <c r="J194" s="197">
        <f t="shared" si="18"/>
        <v>-0.22184874961635639</v>
      </c>
      <c r="K194" s="199">
        <v>39.440463000000001</v>
      </c>
      <c r="L194" s="199">
        <f t="shared" si="19"/>
        <v>39.440463000000001</v>
      </c>
      <c r="M194" s="195">
        <v>-84.522219000000007</v>
      </c>
      <c r="N194" s="195" t="s">
        <v>3174</v>
      </c>
      <c r="O194" s="198">
        <v>41.3</v>
      </c>
      <c r="P194" s="195" t="s">
        <v>3116</v>
      </c>
      <c r="Q194" s="201">
        <v>0.24</v>
      </c>
      <c r="R194" s="202">
        <f t="shared" si="20"/>
        <v>9.3421685162235063E-2</v>
      </c>
      <c r="S194" s="195" t="s">
        <v>3116</v>
      </c>
      <c r="T194" s="203">
        <v>9.0830000000000002</v>
      </c>
      <c r="U194" s="204">
        <f t="shared" si="21"/>
        <v>0.9582293141883822</v>
      </c>
      <c r="V194" s="195" t="s">
        <v>3639</v>
      </c>
      <c r="W194" s="141">
        <v>26</v>
      </c>
      <c r="X194" s="141" t="s">
        <v>352</v>
      </c>
      <c r="Y194" s="142">
        <f>AVERAGE(6,6,5,4)</f>
        <v>5.25</v>
      </c>
      <c r="Z194" s="142"/>
      <c r="AA194" s="142"/>
      <c r="AB194" s="142">
        <f>AVERAGE(0.3,17.3)</f>
        <v>8.8000000000000007</v>
      </c>
      <c r="AC194" s="142">
        <f t="shared" si="22"/>
        <v>0.94448267215016868</v>
      </c>
      <c r="AD194" s="142"/>
      <c r="AE194" s="142"/>
      <c r="AF194" s="142"/>
      <c r="AG194" s="141" t="s">
        <v>3640</v>
      </c>
      <c r="AH194" s="142">
        <v>4</v>
      </c>
      <c r="AI194" s="142"/>
      <c r="AJ194" s="141">
        <v>30.1</v>
      </c>
      <c r="AK194" s="218">
        <f t="shared" si="23"/>
        <v>11.199999999999996</v>
      </c>
      <c r="AL194" s="142" t="s">
        <v>1509</v>
      </c>
      <c r="AM194" s="142" t="s">
        <v>1509</v>
      </c>
      <c r="AW194" s="144"/>
      <c r="BB194" s="144"/>
    </row>
    <row r="195" spans="1:54" ht="15" customHeight="1">
      <c r="A195" s="195" t="s">
        <v>3637</v>
      </c>
      <c r="B195" s="195" t="s">
        <v>3641</v>
      </c>
      <c r="C195" s="195" t="s">
        <v>3208</v>
      </c>
      <c r="D195" s="195" t="s">
        <v>4183</v>
      </c>
      <c r="E195" s="196">
        <v>6</v>
      </c>
      <c r="F195" s="197">
        <f t="shared" si="17"/>
        <v>0.77815125038364363</v>
      </c>
      <c r="G195" s="195" t="s">
        <v>3116</v>
      </c>
      <c r="H195" s="198">
        <v>0.6</v>
      </c>
      <c r="I195" s="197"/>
      <c r="J195" s="197">
        <f t="shared" si="18"/>
        <v>-0.22184874961635639</v>
      </c>
      <c r="K195" s="199">
        <v>39.440463000000001</v>
      </c>
      <c r="L195" s="199">
        <f t="shared" si="19"/>
        <v>39.440463000000001</v>
      </c>
      <c r="M195" s="195">
        <v>-84.522219000000007</v>
      </c>
      <c r="N195" s="195" t="s">
        <v>3174</v>
      </c>
      <c r="O195" s="198">
        <v>39.200000000000003</v>
      </c>
      <c r="P195" s="195" t="s">
        <v>3116</v>
      </c>
      <c r="Q195" s="201">
        <v>0.18</v>
      </c>
      <c r="R195" s="202">
        <f t="shared" si="20"/>
        <v>7.1882007306125359E-2</v>
      </c>
      <c r="S195" s="195" t="s">
        <v>3116</v>
      </c>
      <c r="T195" s="203">
        <v>9.0830000000000002</v>
      </c>
      <c r="U195" s="204">
        <f t="shared" si="21"/>
        <v>0.9582293141883822</v>
      </c>
      <c r="V195" s="195" t="s">
        <v>3639</v>
      </c>
      <c r="W195" s="141">
        <v>26</v>
      </c>
      <c r="X195" s="141" t="s">
        <v>352</v>
      </c>
      <c r="Y195" s="142">
        <v>4</v>
      </c>
      <c r="Z195" s="142"/>
      <c r="AA195" s="142"/>
      <c r="AB195" s="142">
        <f>AVERAGE(18,53.9)</f>
        <v>35.950000000000003</v>
      </c>
      <c r="AC195" s="142">
        <f t="shared" si="22"/>
        <v>1.5556988947189014</v>
      </c>
      <c r="AD195" s="142"/>
      <c r="AE195" s="142"/>
      <c r="AF195" s="142"/>
      <c r="AG195" s="141" t="s">
        <v>3640</v>
      </c>
      <c r="AH195" s="142">
        <v>2</v>
      </c>
      <c r="AI195" s="142"/>
      <c r="AJ195" s="142">
        <v>30.1</v>
      </c>
      <c r="AK195" s="218">
        <f t="shared" si="23"/>
        <v>9.1000000000000014</v>
      </c>
      <c r="AL195" s="142" t="s">
        <v>1509</v>
      </c>
      <c r="AM195" s="142" t="s">
        <v>1509</v>
      </c>
      <c r="AW195" s="144"/>
      <c r="BB195" s="144"/>
    </row>
    <row r="196" spans="1:54" ht="15" customHeight="1">
      <c r="A196" s="195" t="s">
        <v>3578</v>
      </c>
      <c r="B196" s="195" t="s">
        <v>3643</v>
      </c>
      <c r="C196" s="195" t="s">
        <v>3365</v>
      </c>
      <c r="D196" s="195" t="s">
        <v>4181</v>
      </c>
      <c r="E196" s="196">
        <v>10</v>
      </c>
      <c r="F196" s="197">
        <f t="shared" si="17"/>
        <v>1</v>
      </c>
      <c r="G196" s="195" t="s">
        <v>3116</v>
      </c>
      <c r="H196" s="198">
        <v>0.6</v>
      </c>
      <c r="I196" s="197"/>
      <c r="J196" s="197">
        <f t="shared" si="18"/>
        <v>-0.22184874961635639</v>
      </c>
      <c r="K196" s="199">
        <v>39.424142000000003</v>
      </c>
      <c r="L196" s="199">
        <f t="shared" si="19"/>
        <v>39.424142000000003</v>
      </c>
      <c r="M196" s="195">
        <v>-84.185711999999995</v>
      </c>
      <c r="N196" s="195" t="s">
        <v>3150</v>
      </c>
      <c r="O196" s="198">
        <v>36.1</v>
      </c>
      <c r="P196" s="195" t="s">
        <v>3116</v>
      </c>
      <c r="Q196" s="201">
        <v>0.08</v>
      </c>
      <c r="R196" s="202">
        <f t="shared" si="20"/>
        <v>3.342375548694973E-2</v>
      </c>
      <c r="S196" s="195" t="s">
        <v>3116</v>
      </c>
      <c r="T196" s="203">
        <v>9.0879999999999992</v>
      </c>
      <c r="U196" s="204">
        <f t="shared" si="21"/>
        <v>0.95846831836694357</v>
      </c>
      <c r="V196" s="195" t="s">
        <v>3644</v>
      </c>
      <c r="W196" s="141">
        <v>9</v>
      </c>
      <c r="X196" s="141" t="s">
        <v>352</v>
      </c>
      <c r="Y196" s="141">
        <f>AVERAGE(8,8,10)</f>
        <v>8.6666666666666661</v>
      </c>
      <c r="Z196" s="141"/>
      <c r="AA196" s="145">
        <v>78</v>
      </c>
      <c r="AB196" s="141">
        <v>6</v>
      </c>
      <c r="AC196" s="142">
        <f t="shared" si="22"/>
        <v>0.77815125038364363</v>
      </c>
      <c r="AD196" s="141"/>
      <c r="AE196" s="141"/>
      <c r="AF196" s="141"/>
      <c r="AG196" s="141" t="s">
        <v>3579</v>
      </c>
      <c r="AH196" s="141">
        <v>3</v>
      </c>
      <c r="AI196" s="141"/>
      <c r="AJ196" s="142">
        <v>29.4</v>
      </c>
      <c r="AK196" s="218">
        <f t="shared" si="23"/>
        <v>6.7000000000000028</v>
      </c>
      <c r="AL196" s="142" t="s">
        <v>1509</v>
      </c>
      <c r="AM196" s="142" t="s">
        <v>1509</v>
      </c>
      <c r="AW196" s="144"/>
      <c r="BB196" s="144"/>
    </row>
    <row r="197" spans="1:54" ht="15" customHeight="1">
      <c r="A197" s="195" t="s">
        <v>3580</v>
      </c>
      <c r="B197" s="195" t="s">
        <v>3645</v>
      </c>
      <c r="C197" s="195" t="s">
        <v>3459</v>
      </c>
      <c r="D197" s="195" t="s">
        <v>4180</v>
      </c>
      <c r="E197" s="196">
        <v>30</v>
      </c>
      <c r="F197" s="197">
        <f t="shared" ref="F197:F259" si="24">LOG(E197)</f>
        <v>1.4771212547196624</v>
      </c>
      <c r="G197" s="195" t="s">
        <v>3116</v>
      </c>
      <c r="H197" s="198">
        <v>0.3</v>
      </c>
      <c r="I197" s="197"/>
      <c r="J197" s="197">
        <f t="shared" ref="J197:J259" si="25">LOG(H197)</f>
        <v>-0.52287874528033762</v>
      </c>
      <c r="K197" s="199">
        <v>40.806280999999998</v>
      </c>
      <c r="L197" s="199">
        <f t="shared" ref="L197:L259" si="26">ABS(K197)</f>
        <v>40.806280999999998</v>
      </c>
      <c r="M197" s="195">
        <v>-111.947806</v>
      </c>
      <c r="N197" s="195" t="s">
        <v>3174</v>
      </c>
      <c r="O197" s="198">
        <v>42.1</v>
      </c>
      <c r="P197" s="195" t="s">
        <v>3116</v>
      </c>
      <c r="Q197" s="201">
        <v>0.36</v>
      </c>
      <c r="R197" s="202">
        <f t="shared" ref="R197:R259" si="27">LOG(Q197+1)</f>
        <v>0.13353890837021748</v>
      </c>
      <c r="S197" s="195" t="s">
        <v>3116</v>
      </c>
      <c r="T197" s="203">
        <v>9.093</v>
      </c>
      <c r="U197" s="204">
        <f t="shared" ref="U197:U212" si="28">LOG(T197)</f>
        <v>0.95870719108728475</v>
      </c>
      <c r="V197" s="195" t="s">
        <v>3582</v>
      </c>
      <c r="W197" s="141">
        <v>52</v>
      </c>
      <c r="X197" s="141" t="s">
        <v>352</v>
      </c>
      <c r="Y197" s="142">
        <v>10</v>
      </c>
      <c r="Z197" s="142"/>
      <c r="AA197" s="142">
        <v>45</v>
      </c>
      <c r="AB197" s="142">
        <v>0.80222046034898487</v>
      </c>
      <c r="AC197" s="142">
        <f t="shared" ref="AC197:AC259" si="29">LOG(AB197)</f>
        <v>-9.5706265686027234E-2</v>
      </c>
      <c r="AD197" s="142"/>
      <c r="AE197" s="142"/>
      <c r="AF197" s="142"/>
      <c r="AG197" s="148" t="s">
        <v>3583</v>
      </c>
      <c r="AH197" s="141">
        <v>7</v>
      </c>
      <c r="AI197" s="141"/>
      <c r="AJ197" s="142">
        <v>33.299999999999997</v>
      </c>
      <c r="AK197" s="218">
        <f t="shared" si="23"/>
        <v>8.8000000000000043</v>
      </c>
      <c r="AL197" s="142" t="s">
        <v>1509</v>
      </c>
      <c r="AM197" s="142" t="s">
        <v>1509</v>
      </c>
      <c r="AW197" s="144"/>
      <c r="BB197" s="144"/>
    </row>
    <row r="198" spans="1:54" ht="15" customHeight="1">
      <c r="A198" s="195" t="s">
        <v>3646</v>
      </c>
      <c r="B198" s="195" t="s">
        <v>3647</v>
      </c>
      <c r="C198" s="195" t="s">
        <v>3566</v>
      </c>
      <c r="D198" s="195" t="s">
        <v>4180</v>
      </c>
      <c r="E198" s="196">
        <v>14</v>
      </c>
      <c r="F198" s="197">
        <f t="shared" si="24"/>
        <v>1.146128035678238</v>
      </c>
      <c r="G198" s="195" t="s">
        <v>3116</v>
      </c>
      <c r="H198" s="196">
        <v>1</v>
      </c>
      <c r="I198" s="197"/>
      <c r="J198" s="197">
        <f t="shared" si="25"/>
        <v>0</v>
      </c>
      <c r="K198" s="199">
        <v>39.516666999999998</v>
      </c>
      <c r="L198" s="199">
        <f t="shared" si="26"/>
        <v>39.516666999999998</v>
      </c>
      <c r="M198" s="195">
        <v>-84.708332999999996</v>
      </c>
      <c r="N198" s="195" t="s">
        <v>3174</v>
      </c>
      <c r="O198" s="198">
        <v>35.799999999999997</v>
      </c>
      <c r="P198" s="195" t="s">
        <v>3116</v>
      </c>
      <c r="Q198" s="201">
        <v>0.45</v>
      </c>
      <c r="R198" s="202">
        <f t="shared" si="27"/>
        <v>0.16136800223497488</v>
      </c>
      <c r="S198" s="195" t="s">
        <v>3116</v>
      </c>
      <c r="T198" s="203">
        <v>9.0980000000000008</v>
      </c>
      <c r="U198" s="204">
        <f t="shared" si="28"/>
        <v>0.95894593249393645</v>
      </c>
      <c r="V198" s="195" t="s">
        <v>3648</v>
      </c>
      <c r="W198" s="141">
        <v>43</v>
      </c>
      <c r="X198" s="141" t="s">
        <v>352</v>
      </c>
      <c r="Y198" s="142">
        <v>9</v>
      </c>
      <c r="Z198" s="142"/>
      <c r="AA198" s="142">
        <v>47.5</v>
      </c>
      <c r="AB198" s="142">
        <v>1.5622727690033023</v>
      </c>
      <c r="AC198" s="142">
        <f t="shared" si="29"/>
        <v>0.19375686291565569</v>
      </c>
      <c r="AD198" s="142"/>
      <c r="AE198" s="142"/>
      <c r="AF198" s="142"/>
      <c r="AG198" s="141" t="s">
        <v>3649</v>
      </c>
      <c r="AH198" s="142">
        <v>2</v>
      </c>
      <c r="AI198" s="142"/>
      <c r="AJ198" s="142">
        <v>29.7</v>
      </c>
      <c r="AK198" s="218">
        <f t="shared" ref="AK198:AK211" si="30">O198-AJ198</f>
        <v>6.0999999999999979</v>
      </c>
      <c r="AL198" s="142" t="s">
        <v>1509</v>
      </c>
      <c r="AM198" s="142" t="s">
        <v>1509</v>
      </c>
      <c r="AW198" s="144"/>
      <c r="BB198" s="144"/>
    </row>
    <row r="199" spans="1:54" ht="15" customHeight="1">
      <c r="A199" s="195" t="s">
        <v>3495</v>
      </c>
      <c r="B199" s="195" t="s">
        <v>3650</v>
      </c>
      <c r="C199" s="195" t="s">
        <v>3220</v>
      </c>
      <c r="D199" s="195" t="s">
        <v>4180</v>
      </c>
      <c r="E199" s="196">
        <v>7</v>
      </c>
      <c r="F199" s="197">
        <f t="shared" si="24"/>
        <v>0.84509804001425681</v>
      </c>
      <c r="G199" s="202">
        <v>0.03</v>
      </c>
      <c r="H199" s="202">
        <v>0.03</v>
      </c>
      <c r="I199" s="197">
        <f>LOG(G199)</f>
        <v>-1.5228787452803376</v>
      </c>
      <c r="J199" s="197">
        <f t="shared" si="25"/>
        <v>-1.5228787452803376</v>
      </c>
      <c r="K199" s="199">
        <v>36.243561999999997</v>
      </c>
      <c r="L199" s="199">
        <f t="shared" si="26"/>
        <v>36.243561999999997</v>
      </c>
      <c r="M199" s="195">
        <v>-116.856719</v>
      </c>
      <c r="N199" s="195" t="s">
        <v>3174</v>
      </c>
      <c r="O199" s="198">
        <v>42.7</v>
      </c>
      <c r="P199" s="198">
        <v>0.8</v>
      </c>
      <c r="Q199" s="201">
        <v>0.14000000000000001</v>
      </c>
      <c r="R199" s="202">
        <f t="shared" si="27"/>
        <v>5.6904851336472641E-2</v>
      </c>
      <c r="S199" s="202">
        <v>0.17</v>
      </c>
      <c r="T199" s="203">
        <v>9.1159999999999997</v>
      </c>
      <c r="U199" s="204">
        <f t="shared" si="28"/>
        <v>0.95980431650833797</v>
      </c>
      <c r="V199" s="195" t="s">
        <v>3651</v>
      </c>
      <c r="W199" s="141">
        <v>50</v>
      </c>
      <c r="X199" s="141" t="s">
        <v>352</v>
      </c>
      <c r="Y199" s="142">
        <f>AVERAGE(17, 18, 20, 20, 20)</f>
        <v>19</v>
      </c>
      <c r="Z199" s="142">
        <f>AVERAGE(25,16, 11, 27, 19, 13)</f>
        <v>18.5</v>
      </c>
      <c r="AA199" s="142">
        <f>AVERAGE(27.1,27.9)</f>
        <v>27.5</v>
      </c>
      <c r="AB199" s="142">
        <v>0.2631077137854877</v>
      </c>
      <c r="AC199" s="142">
        <f t="shared" si="29"/>
        <v>-0.57986641909269687</v>
      </c>
      <c r="AD199" s="142">
        <f>AVERAGE(27.1,27.9)</f>
        <v>27.5</v>
      </c>
      <c r="AE199" s="142">
        <v>0.2631077137854877</v>
      </c>
      <c r="AF199" s="142">
        <f>LOG(AE199)</f>
        <v>-0.57986641909269687</v>
      </c>
      <c r="AG199" s="157" t="s">
        <v>3559</v>
      </c>
      <c r="AH199" s="142">
        <v>3</v>
      </c>
      <c r="AI199" s="142">
        <v>3</v>
      </c>
      <c r="AJ199" s="141">
        <v>45.2</v>
      </c>
      <c r="AK199" s="218">
        <f t="shared" si="30"/>
        <v>-2.5</v>
      </c>
      <c r="AL199" s="142" t="s">
        <v>1509</v>
      </c>
      <c r="AM199" s="142" t="s">
        <v>1509</v>
      </c>
      <c r="AW199" s="144"/>
      <c r="BB199" s="144"/>
    </row>
    <row r="200" spans="1:54" ht="15" customHeight="1">
      <c r="A200" s="195" t="s">
        <v>3652</v>
      </c>
      <c r="B200" s="195" t="s">
        <v>3653</v>
      </c>
      <c r="C200" s="195" t="s">
        <v>3426</v>
      </c>
      <c r="D200" s="195" t="s">
        <v>4184</v>
      </c>
      <c r="E200" s="196">
        <v>21</v>
      </c>
      <c r="F200" s="197">
        <f t="shared" si="24"/>
        <v>1.3222192947339193</v>
      </c>
      <c r="G200" s="195" t="s">
        <v>3116</v>
      </c>
      <c r="H200" s="196">
        <v>1</v>
      </c>
      <c r="I200" s="197"/>
      <c r="J200" s="197">
        <f t="shared" si="25"/>
        <v>0</v>
      </c>
      <c r="K200" s="199">
        <v>42.964303000000001</v>
      </c>
      <c r="L200" s="199">
        <f t="shared" si="26"/>
        <v>42.964303000000001</v>
      </c>
      <c r="M200" s="195">
        <v>-78.950036999999995</v>
      </c>
      <c r="N200" s="195" t="s">
        <v>3150</v>
      </c>
      <c r="O200" s="198">
        <v>41.4</v>
      </c>
      <c r="P200" s="195" t="s">
        <v>3116</v>
      </c>
      <c r="Q200" s="201">
        <v>0.18</v>
      </c>
      <c r="R200" s="202">
        <f t="shared" si="27"/>
        <v>7.1882007306125359E-2</v>
      </c>
      <c r="S200" s="195" t="s">
        <v>3116</v>
      </c>
      <c r="T200" s="203">
        <v>9.1890000000000001</v>
      </c>
      <c r="U200" s="204">
        <f t="shared" si="28"/>
        <v>0.96326825152623508</v>
      </c>
      <c r="V200" s="195" t="s">
        <v>3654</v>
      </c>
      <c r="W200" s="141">
        <v>108</v>
      </c>
      <c r="X200" s="141" t="s">
        <v>3271</v>
      </c>
      <c r="Y200" s="141">
        <v>10</v>
      </c>
      <c r="Z200" s="141"/>
      <c r="AA200" s="141"/>
      <c r="AB200" s="142">
        <f>AVERAGE(10,25)</f>
        <v>17.5</v>
      </c>
      <c r="AC200" s="142">
        <f t="shared" si="29"/>
        <v>1.2430380486862944</v>
      </c>
      <c r="AD200" s="142"/>
      <c r="AE200" s="142"/>
      <c r="AF200" s="142"/>
      <c r="AG200" s="141" t="s">
        <v>3655</v>
      </c>
      <c r="AH200" s="142">
        <v>2</v>
      </c>
      <c r="AI200" s="142"/>
      <c r="AJ200" s="141">
        <v>26.5</v>
      </c>
      <c r="AK200" s="218">
        <f t="shared" si="30"/>
        <v>14.899999999999999</v>
      </c>
      <c r="AL200" s="142" t="s">
        <v>1509</v>
      </c>
      <c r="AM200" s="142" t="s">
        <v>1509</v>
      </c>
      <c r="AW200" s="144"/>
      <c r="BB200" s="144"/>
    </row>
    <row r="201" spans="1:54" ht="15" customHeight="1">
      <c r="A201" s="195" t="s">
        <v>3656</v>
      </c>
      <c r="B201" s="195" t="s">
        <v>351</v>
      </c>
      <c r="C201" s="195" t="s">
        <v>3369</v>
      </c>
      <c r="D201" s="195" t="s">
        <v>4181</v>
      </c>
      <c r="E201" s="196">
        <v>7</v>
      </c>
      <c r="F201" s="197">
        <f t="shared" si="24"/>
        <v>0.84509804001425681</v>
      </c>
      <c r="G201" s="202">
        <v>0.75</v>
      </c>
      <c r="H201" s="202">
        <v>0.75</v>
      </c>
      <c r="I201" s="197">
        <f>LOG(G201)</f>
        <v>-0.12493873660829995</v>
      </c>
      <c r="J201" s="197">
        <f t="shared" si="25"/>
        <v>-0.12493873660829995</v>
      </c>
      <c r="K201" s="199">
        <v>39.777825</v>
      </c>
      <c r="L201" s="199">
        <f t="shared" si="26"/>
        <v>39.777825</v>
      </c>
      <c r="M201" s="195">
        <v>-84.689749000000006</v>
      </c>
      <c r="N201" s="195" t="s">
        <v>3150</v>
      </c>
      <c r="O201" s="198">
        <v>34.9</v>
      </c>
      <c r="P201" s="195" t="s">
        <v>3657</v>
      </c>
      <c r="Q201" s="201">
        <v>0.08</v>
      </c>
      <c r="R201" s="202">
        <f t="shared" si="27"/>
        <v>3.342375548694973E-2</v>
      </c>
      <c r="S201" s="202">
        <v>0.19</v>
      </c>
      <c r="T201" s="203">
        <v>9.2249999999999996</v>
      </c>
      <c r="U201" s="204">
        <f t="shared" si="28"/>
        <v>0.96496637483109793</v>
      </c>
      <c r="V201" s="195" t="s">
        <v>3658</v>
      </c>
      <c r="W201" s="141">
        <v>13</v>
      </c>
      <c r="X201" s="141" t="s">
        <v>352</v>
      </c>
      <c r="Y201" s="141">
        <v>7</v>
      </c>
      <c r="Z201" s="141">
        <v>6</v>
      </c>
      <c r="AA201" s="141">
        <f>AVERAGE(60,140)</f>
        <v>100</v>
      </c>
      <c r="AB201" s="141">
        <v>6</v>
      </c>
      <c r="AC201" s="142">
        <f t="shared" si="29"/>
        <v>0.77815125038364363</v>
      </c>
      <c r="AD201" s="141">
        <f>AVERAGE(60,140)</f>
        <v>100</v>
      </c>
      <c r="AE201" s="141">
        <v>6</v>
      </c>
      <c r="AF201" s="141">
        <f>LOG(AE201)</f>
        <v>0.77815125038364363</v>
      </c>
      <c r="AG201" s="141" t="s">
        <v>3659</v>
      </c>
      <c r="AH201" s="141">
        <v>2</v>
      </c>
      <c r="AI201" s="141">
        <v>2</v>
      </c>
      <c r="AJ201" s="142">
        <v>29.2</v>
      </c>
      <c r="AK201" s="218">
        <f t="shared" si="30"/>
        <v>5.6999999999999993</v>
      </c>
      <c r="AL201" s="142" t="s">
        <v>1509</v>
      </c>
      <c r="AM201" s="142" t="s">
        <v>1509</v>
      </c>
      <c r="AW201" s="144"/>
      <c r="BB201" s="144"/>
    </row>
    <row r="202" spans="1:54" ht="15" customHeight="1">
      <c r="A202" s="195" t="s">
        <v>3660</v>
      </c>
      <c r="B202" s="195" t="s">
        <v>394</v>
      </c>
      <c r="C202" s="195" t="s">
        <v>3481</v>
      </c>
      <c r="D202" s="195" t="s">
        <v>4181</v>
      </c>
      <c r="E202" s="196">
        <v>7</v>
      </c>
      <c r="F202" s="197">
        <f t="shared" si="24"/>
        <v>0.84509804001425681</v>
      </c>
      <c r="G202" s="202">
        <v>0.75</v>
      </c>
      <c r="H202" s="202">
        <v>0.75</v>
      </c>
      <c r="I202" s="197">
        <f>LOG(G202)</f>
        <v>-0.12493873660829995</v>
      </c>
      <c r="J202" s="197">
        <f t="shared" si="25"/>
        <v>-0.12493873660829995</v>
      </c>
      <c r="K202" s="199">
        <v>39.777825</v>
      </c>
      <c r="L202" s="199">
        <f t="shared" si="26"/>
        <v>39.777825</v>
      </c>
      <c r="M202" s="195">
        <v>-84.689749000000006</v>
      </c>
      <c r="N202" s="195" t="s">
        <v>3150</v>
      </c>
      <c r="O202" s="198">
        <v>35.5</v>
      </c>
      <c r="P202" s="195" t="s">
        <v>3661</v>
      </c>
      <c r="Q202" s="201">
        <v>0.11</v>
      </c>
      <c r="R202" s="202">
        <f t="shared" si="27"/>
        <v>4.5322978786657475E-2</v>
      </c>
      <c r="S202" s="202">
        <v>0.23</v>
      </c>
      <c r="T202" s="203">
        <v>9.2249999999999996</v>
      </c>
      <c r="U202" s="204">
        <f t="shared" si="28"/>
        <v>0.96496637483109793</v>
      </c>
      <c r="V202" s="195" t="s">
        <v>3662</v>
      </c>
      <c r="W202" s="141">
        <v>14</v>
      </c>
      <c r="X202" s="141" t="s">
        <v>352</v>
      </c>
      <c r="Y202" s="141">
        <v>7</v>
      </c>
      <c r="Z202" s="141">
        <v>6</v>
      </c>
      <c r="AA202" s="145">
        <v>78</v>
      </c>
      <c r="AB202" s="141">
        <v>1</v>
      </c>
      <c r="AC202" s="142">
        <f t="shared" si="29"/>
        <v>0</v>
      </c>
      <c r="AD202" s="145">
        <v>78</v>
      </c>
      <c r="AE202" s="141">
        <v>1</v>
      </c>
      <c r="AF202" s="141">
        <f>LOG(AE202)</f>
        <v>0</v>
      </c>
      <c r="AG202" s="141" t="s">
        <v>3663</v>
      </c>
      <c r="AH202" s="141">
        <v>2</v>
      </c>
      <c r="AI202" s="141">
        <v>2</v>
      </c>
      <c r="AJ202" s="142">
        <v>29.2</v>
      </c>
      <c r="AK202" s="218">
        <f t="shared" si="30"/>
        <v>6.3000000000000007</v>
      </c>
      <c r="AL202" s="142" t="s">
        <v>1509</v>
      </c>
      <c r="AM202" s="142" t="s">
        <v>1509</v>
      </c>
      <c r="AW202" s="144"/>
      <c r="BB202" s="144"/>
    </row>
    <row r="203" spans="1:54" ht="15" customHeight="1">
      <c r="A203" s="195" t="s">
        <v>3495</v>
      </c>
      <c r="B203" s="195" t="s">
        <v>3188</v>
      </c>
      <c r="C203" s="195" t="s">
        <v>3240</v>
      </c>
      <c r="D203" s="195" t="s">
        <v>4180</v>
      </c>
      <c r="E203" s="196">
        <v>7</v>
      </c>
      <c r="F203" s="197">
        <f t="shared" si="24"/>
        <v>0.84509804001425681</v>
      </c>
      <c r="G203" s="195" t="s">
        <v>3116</v>
      </c>
      <c r="H203" s="198">
        <v>0.3</v>
      </c>
      <c r="I203" s="197"/>
      <c r="J203" s="197">
        <f t="shared" si="25"/>
        <v>-0.52287874528033762</v>
      </c>
      <c r="K203" s="199">
        <v>36.513858999999997</v>
      </c>
      <c r="L203" s="199">
        <f t="shared" si="26"/>
        <v>36.513858999999997</v>
      </c>
      <c r="M203" s="195">
        <v>-116.977884</v>
      </c>
      <c r="N203" s="195" t="s">
        <v>3174</v>
      </c>
      <c r="O203" s="198">
        <v>43.6</v>
      </c>
      <c r="P203" s="195" t="s">
        <v>3116</v>
      </c>
      <c r="Q203" s="201">
        <v>0.23</v>
      </c>
      <c r="R203" s="202">
        <f t="shared" si="27"/>
        <v>8.9905111439397931E-2</v>
      </c>
      <c r="S203" s="195" t="s">
        <v>3116</v>
      </c>
      <c r="T203" s="203">
        <v>9.2799999999999994</v>
      </c>
      <c r="U203" s="204">
        <f t="shared" si="28"/>
        <v>0.96754797621886202</v>
      </c>
      <c r="V203" s="195" t="s">
        <v>3664</v>
      </c>
      <c r="W203" s="141">
        <v>48</v>
      </c>
      <c r="X203" s="141" t="s">
        <v>352</v>
      </c>
      <c r="Y203" s="142">
        <v>5</v>
      </c>
      <c r="Z203" s="142"/>
      <c r="AA203" s="142">
        <f>AVERAGE(27.1,27.9)</f>
        <v>27.5</v>
      </c>
      <c r="AB203" s="142">
        <v>0.25719229109040836</v>
      </c>
      <c r="AC203" s="142">
        <f t="shared" si="29"/>
        <v>-0.58974205280485692</v>
      </c>
      <c r="AD203" s="142"/>
      <c r="AE203" s="142"/>
      <c r="AF203" s="142"/>
      <c r="AG203" s="157" t="s">
        <v>3559</v>
      </c>
      <c r="AH203" s="142">
        <v>4</v>
      </c>
      <c r="AI203" s="142"/>
      <c r="AJ203" s="142">
        <v>45.4</v>
      </c>
      <c r="AK203" s="218">
        <f t="shared" si="30"/>
        <v>-1.7999999999999972</v>
      </c>
      <c r="AL203" s="142" t="s">
        <v>1509</v>
      </c>
      <c r="AM203" s="142" t="s">
        <v>1509</v>
      </c>
      <c r="AW203" s="144"/>
      <c r="BB203" s="144"/>
    </row>
    <row r="204" spans="1:54" ht="15" customHeight="1">
      <c r="A204" s="195" t="s">
        <v>3665</v>
      </c>
      <c r="B204" s="195" t="s">
        <v>3666</v>
      </c>
      <c r="C204" s="195" t="s">
        <v>3636</v>
      </c>
      <c r="D204" s="195" t="s">
        <v>4184</v>
      </c>
      <c r="E204" s="196">
        <v>21</v>
      </c>
      <c r="F204" s="197">
        <f t="shared" si="24"/>
        <v>1.3222192947339193</v>
      </c>
      <c r="G204" s="202">
        <v>0.25</v>
      </c>
      <c r="H204" s="202">
        <v>0.25</v>
      </c>
      <c r="I204" s="197">
        <f>LOG(G204)</f>
        <v>-0.6020599913279624</v>
      </c>
      <c r="J204" s="197">
        <f t="shared" si="25"/>
        <v>-0.6020599913279624</v>
      </c>
      <c r="K204" s="202">
        <v>33.630000000000003</v>
      </c>
      <c r="L204" s="199">
        <f t="shared" si="26"/>
        <v>33.630000000000003</v>
      </c>
      <c r="M204" s="202">
        <v>116.98</v>
      </c>
      <c r="N204" s="195" t="s">
        <v>3150</v>
      </c>
      <c r="O204" s="198">
        <v>44.5</v>
      </c>
      <c r="P204" s="196">
        <v>5</v>
      </c>
      <c r="Q204" s="201">
        <v>0.2</v>
      </c>
      <c r="R204" s="202">
        <f t="shared" si="27"/>
        <v>7.9181246047624818E-2</v>
      </c>
      <c r="S204" s="202">
        <v>0.42</v>
      </c>
      <c r="T204" s="203">
        <v>9.5419999999999998</v>
      </c>
      <c r="U204" s="204">
        <f t="shared" si="28"/>
        <v>0.97963941222290729</v>
      </c>
      <c r="V204" s="195" t="s">
        <v>3667</v>
      </c>
      <c r="W204" s="141">
        <v>101</v>
      </c>
      <c r="X204" s="141" t="s">
        <v>352</v>
      </c>
      <c r="Y204" s="141">
        <v>12</v>
      </c>
      <c r="Z204" s="141">
        <v>12</v>
      </c>
      <c r="AA204" s="141"/>
      <c r="AB204" s="142">
        <f>AVERAGE(3.3,5.8)</f>
        <v>4.55</v>
      </c>
      <c r="AC204" s="142">
        <f t="shared" si="29"/>
        <v>0.65801139665711239</v>
      </c>
      <c r="AD204" s="142"/>
      <c r="AE204" s="142">
        <f>AVERAGE(3.3,5.8)</f>
        <v>4.55</v>
      </c>
      <c r="AF204" s="142">
        <f>LOG(AE204)</f>
        <v>0.65801139665711239</v>
      </c>
      <c r="AG204" s="141" t="s">
        <v>3668</v>
      </c>
      <c r="AH204" s="142">
        <v>3</v>
      </c>
      <c r="AI204" s="142">
        <v>3</v>
      </c>
      <c r="AJ204" s="141">
        <v>32.299999999999997</v>
      </c>
      <c r="AK204" s="218">
        <f t="shared" si="30"/>
        <v>12.200000000000003</v>
      </c>
      <c r="AL204" s="142" t="s">
        <v>1509</v>
      </c>
      <c r="AM204" s="142" t="s">
        <v>1509</v>
      </c>
      <c r="AW204" s="144"/>
      <c r="BB204" s="144"/>
    </row>
    <row r="205" spans="1:54" ht="15" customHeight="1">
      <c r="A205" s="195" t="s">
        <v>3665</v>
      </c>
      <c r="B205" s="195" t="s">
        <v>3669</v>
      </c>
      <c r="C205" s="195" t="s">
        <v>3321</v>
      </c>
      <c r="D205" s="195" t="s">
        <v>4184</v>
      </c>
      <c r="E205" s="196">
        <v>21</v>
      </c>
      <c r="F205" s="197">
        <f t="shared" si="24"/>
        <v>1.3222192947339193</v>
      </c>
      <c r="G205" s="202">
        <v>0.25</v>
      </c>
      <c r="H205" s="202">
        <v>0.25</v>
      </c>
      <c r="I205" s="197">
        <f>LOG(G205)</f>
        <v>-0.6020599913279624</v>
      </c>
      <c r="J205" s="197">
        <f t="shared" si="25"/>
        <v>-0.6020599913279624</v>
      </c>
      <c r="K205" s="198">
        <v>36.1</v>
      </c>
      <c r="L205" s="199">
        <f t="shared" si="26"/>
        <v>36.1</v>
      </c>
      <c r="M205" s="202">
        <v>111.33</v>
      </c>
      <c r="N205" s="195" t="s">
        <v>3150</v>
      </c>
      <c r="O205" s="196">
        <v>45</v>
      </c>
      <c r="P205" s="196">
        <v>8</v>
      </c>
      <c r="Q205" s="201">
        <v>0.04</v>
      </c>
      <c r="R205" s="202">
        <f t="shared" si="27"/>
        <v>1.703333929878037E-2</v>
      </c>
      <c r="S205" s="202">
        <v>0.25</v>
      </c>
      <c r="T205" s="203">
        <v>9.7050000000000001</v>
      </c>
      <c r="U205" s="204">
        <f t="shared" si="28"/>
        <v>0.98699553972438159</v>
      </c>
      <c r="V205" s="195" t="s">
        <v>3667</v>
      </c>
      <c r="W205" s="141">
        <v>101</v>
      </c>
      <c r="X205" s="141" t="s">
        <v>352</v>
      </c>
      <c r="Y205" s="141">
        <v>12</v>
      </c>
      <c r="Z205" s="141">
        <v>12</v>
      </c>
      <c r="AA205" s="141"/>
      <c r="AB205" s="142">
        <f>AVERAGE(2.8,4.7)</f>
        <v>3.75</v>
      </c>
      <c r="AC205" s="142">
        <f t="shared" si="29"/>
        <v>0.57403126772771884</v>
      </c>
      <c r="AD205" s="142"/>
      <c r="AE205" s="142">
        <f>AVERAGE(2.8,4.7)</f>
        <v>3.75</v>
      </c>
      <c r="AF205" s="142">
        <f>LOG(AE205)</f>
        <v>0.57403126772771884</v>
      </c>
      <c r="AG205" s="141" t="s">
        <v>3668</v>
      </c>
      <c r="AH205" s="142">
        <v>3</v>
      </c>
      <c r="AI205" s="142">
        <v>3</v>
      </c>
      <c r="AJ205" s="141">
        <v>28</v>
      </c>
      <c r="AK205" s="218">
        <f t="shared" si="30"/>
        <v>17</v>
      </c>
      <c r="AL205" s="142" t="s">
        <v>1509</v>
      </c>
      <c r="AM205" s="142" t="s">
        <v>1509</v>
      </c>
      <c r="AW205" s="144"/>
      <c r="BB205" s="144"/>
    </row>
    <row r="206" spans="1:54" ht="15" customHeight="1">
      <c r="A206" s="195" t="s">
        <v>3670</v>
      </c>
      <c r="B206" s="195" t="s">
        <v>3500</v>
      </c>
      <c r="C206" s="195" t="s">
        <v>3642</v>
      </c>
      <c r="D206" s="195" t="s">
        <v>4180</v>
      </c>
      <c r="E206" s="196">
        <v>14</v>
      </c>
      <c r="F206" s="197">
        <f t="shared" si="24"/>
        <v>1.146128035678238</v>
      </c>
      <c r="G206" s="195" t="s">
        <v>3116</v>
      </c>
      <c r="H206" s="198">
        <v>0.5</v>
      </c>
      <c r="I206" s="197"/>
      <c r="J206" s="197">
        <f t="shared" si="25"/>
        <v>-0.3010299956639812</v>
      </c>
      <c r="K206" s="202">
        <v>41.88</v>
      </c>
      <c r="L206" s="199">
        <f t="shared" si="26"/>
        <v>41.88</v>
      </c>
      <c r="M206" s="195">
        <v>-87.63</v>
      </c>
      <c r="N206" s="195" t="s">
        <v>3174</v>
      </c>
      <c r="O206" s="198">
        <v>29.4</v>
      </c>
      <c r="P206" s="195" t="s">
        <v>3116</v>
      </c>
      <c r="Q206" s="201">
        <v>0.43</v>
      </c>
      <c r="R206" s="202">
        <f t="shared" si="27"/>
        <v>0.1553360374650618</v>
      </c>
      <c r="S206" s="195" t="s">
        <v>3116</v>
      </c>
      <c r="T206" s="203">
        <v>9.8510000000000009</v>
      </c>
      <c r="U206" s="204">
        <f t="shared" si="28"/>
        <v>0.99348031906999656</v>
      </c>
      <c r="V206" s="195" t="s">
        <v>3671</v>
      </c>
      <c r="W206" s="141">
        <v>59</v>
      </c>
      <c r="X206" s="141" t="s">
        <v>352</v>
      </c>
      <c r="Y206" s="142">
        <v>10</v>
      </c>
      <c r="Z206" s="142"/>
      <c r="AA206" s="142">
        <v>85</v>
      </c>
      <c r="AB206" s="142">
        <v>5.8406267609653222</v>
      </c>
      <c r="AC206" s="142">
        <f t="shared" si="29"/>
        <v>0.76645945399994808</v>
      </c>
      <c r="AD206" s="142"/>
      <c r="AE206" s="142"/>
      <c r="AF206" s="142"/>
      <c r="AG206" s="141" t="s">
        <v>3672</v>
      </c>
      <c r="AH206" s="142">
        <v>4</v>
      </c>
      <c r="AI206" s="142"/>
      <c r="AJ206" s="142">
        <v>28.6</v>
      </c>
      <c r="AK206" s="218">
        <f t="shared" si="30"/>
        <v>0.79999999999999716</v>
      </c>
      <c r="AL206" s="142" t="s">
        <v>1509</v>
      </c>
      <c r="AM206" s="142" t="s">
        <v>1509</v>
      </c>
      <c r="AW206" s="144"/>
      <c r="BB206" s="144"/>
    </row>
    <row r="207" spans="1:54" ht="15" customHeight="1">
      <c r="A207" s="195" t="s">
        <v>3674</v>
      </c>
      <c r="B207" s="195" t="s">
        <v>890</v>
      </c>
      <c r="C207" s="195" t="s">
        <v>3177</v>
      </c>
      <c r="D207" s="195" t="s">
        <v>4181</v>
      </c>
      <c r="E207" s="196">
        <v>14</v>
      </c>
      <c r="F207" s="197">
        <f t="shared" si="24"/>
        <v>1.146128035678238</v>
      </c>
      <c r="G207" s="195" t="s">
        <v>3116</v>
      </c>
      <c r="H207" s="196">
        <v>1</v>
      </c>
      <c r="I207" s="197"/>
      <c r="J207" s="197">
        <f t="shared" si="25"/>
        <v>0</v>
      </c>
      <c r="K207" s="199">
        <v>45.638378000000003</v>
      </c>
      <c r="L207" s="199">
        <f t="shared" si="26"/>
        <v>45.638378000000003</v>
      </c>
      <c r="M207" s="195">
        <v>-89.413769000000002</v>
      </c>
      <c r="N207" s="195" t="s">
        <v>3174</v>
      </c>
      <c r="O207" s="198">
        <v>35.700000000000003</v>
      </c>
      <c r="P207" s="195" t="s">
        <v>3116</v>
      </c>
      <c r="Q207" s="201">
        <v>0.17</v>
      </c>
      <c r="R207" s="202">
        <f t="shared" si="27"/>
        <v>6.8185861746161619E-2</v>
      </c>
      <c r="S207" s="195" t="s">
        <v>3116</v>
      </c>
      <c r="T207" s="203">
        <v>11</v>
      </c>
      <c r="U207" s="204">
        <f t="shared" si="28"/>
        <v>1.0413926851582251</v>
      </c>
      <c r="V207" s="195" t="s">
        <v>3675</v>
      </c>
      <c r="W207" s="141">
        <v>12</v>
      </c>
      <c r="X207" s="141" t="s">
        <v>352</v>
      </c>
      <c r="Y207" s="141">
        <f>AVERAGE(21,10,16)</f>
        <v>15.666666666666666</v>
      </c>
      <c r="Z207" s="141"/>
      <c r="AA207" s="145">
        <v>265</v>
      </c>
      <c r="AB207" s="141">
        <v>102</v>
      </c>
      <c r="AC207" s="142">
        <f t="shared" si="29"/>
        <v>2.0086001717619175</v>
      </c>
      <c r="AD207" s="141"/>
      <c r="AE207" s="141"/>
      <c r="AF207" s="141"/>
      <c r="AG207" s="141" t="s">
        <v>3676</v>
      </c>
      <c r="AH207" s="141">
        <v>3</v>
      </c>
      <c r="AI207" s="141"/>
      <c r="AJ207" s="142">
        <v>26.1</v>
      </c>
      <c r="AK207" s="218">
        <f t="shared" si="30"/>
        <v>9.6000000000000014</v>
      </c>
      <c r="AL207" s="142" t="s">
        <v>1509</v>
      </c>
      <c r="AM207" s="142" t="s">
        <v>1509</v>
      </c>
      <c r="AW207" s="144"/>
      <c r="BB207" s="144"/>
    </row>
    <row r="208" spans="1:54" ht="15" customHeight="1">
      <c r="A208" s="195" t="s">
        <v>3677</v>
      </c>
      <c r="B208" s="195" t="s">
        <v>3678</v>
      </c>
      <c r="C208" s="195" t="s">
        <v>3451</v>
      </c>
      <c r="D208" s="195" t="s">
        <v>4181</v>
      </c>
      <c r="E208" s="196">
        <v>5</v>
      </c>
      <c r="F208" s="197">
        <f t="shared" si="24"/>
        <v>0.69897000433601886</v>
      </c>
      <c r="G208" s="195" t="s">
        <v>3116</v>
      </c>
      <c r="H208" s="198">
        <v>0.6</v>
      </c>
      <c r="I208" s="197"/>
      <c r="J208" s="197">
        <f t="shared" si="25"/>
        <v>-0.22184874961635639</v>
      </c>
      <c r="K208" s="199">
        <v>42.779442000000003</v>
      </c>
      <c r="L208" s="199">
        <f t="shared" si="26"/>
        <v>42.779442000000003</v>
      </c>
      <c r="M208" s="195">
        <v>-96.929209999999998</v>
      </c>
      <c r="N208" s="195" t="s">
        <v>3150</v>
      </c>
      <c r="O208" s="198">
        <v>43.2</v>
      </c>
      <c r="P208" s="195" t="s">
        <v>3116</v>
      </c>
      <c r="Q208" s="201">
        <v>0.08</v>
      </c>
      <c r="R208" s="202">
        <f t="shared" si="27"/>
        <v>3.342375548694973E-2</v>
      </c>
      <c r="S208" s="195" t="s">
        <v>3116</v>
      </c>
      <c r="T208" s="203">
        <v>11.144</v>
      </c>
      <c r="U208" s="204">
        <f t="shared" si="28"/>
        <v>1.0470411034159071</v>
      </c>
      <c r="V208" s="195" t="s">
        <v>3679</v>
      </c>
      <c r="W208" s="141">
        <v>5</v>
      </c>
      <c r="X208" s="141" t="s">
        <v>352</v>
      </c>
      <c r="Y208" s="141">
        <f>AVERAGE(11, 10, 15, 12)</f>
        <v>12</v>
      </c>
      <c r="Z208" s="142"/>
      <c r="AA208" s="145">
        <v>33</v>
      </c>
      <c r="AB208" s="141">
        <v>1.1100000000000001</v>
      </c>
      <c r="AC208" s="142">
        <f t="shared" si="29"/>
        <v>4.5322978786657475E-2</v>
      </c>
      <c r="AD208" s="141"/>
      <c r="AE208" s="141"/>
      <c r="AF208" s="141"/>
      <c r="AG208" s="141" t="s">
        <v>3680</v>
      </c>
      <c r="AH208" s="141">
        <v>4</v>
      </c>
      <c r="AI208" s="141"/>
      <c r="AJ208" s="142">
        <v>30.6</v>
      </c>
      <c r="AK208" s="218">
        <f t="shared" si="30"/>
        <v>12.600000000000001</v>
      </c>
      <c r="AL208" s="142" t="s">
        <v>1509</v>
      </c>
      <c r="AM208" s="142" t="s">
        <v>1509</v>
      </c>
      <c r="AW208" s="144"/>
      <c r="BB208" s="144"/>
    </row>
    <row r="209" spans="1:54" ht="15" customHeight="1">
      <c r="A209" s="195" t="s">
        <v>3418</v>
      </c>
      <c r="B209" s="195" t="s">
        <v>3681</v>
      </c>
      <c r="C209" s="195" t="s">
        <v>3410</v>
      </c>
      <c r="D209" s="195" t="s">
        <v>4181</v>
      </c>
      <c r="E209" s="196">
        <v>5</v>
      </c>
      <c r="F209" s="197">
        <f t="shared" si="24"/>
        <v>0.69897000433601886</v>
      </c>
      <c r="G209" s="195" t="s">
        <v>3116</v>
      </c>
      <c r="H209" s="198">
        <v>0.6</v>
      </c>
      <c r="I209" s="197"/>
      <c r="J209" s="197">
        <f t="shared" si="25"/>
        <v>-0.22184874961635639</v>
      </c>
      <c r="K209" s="199">
        <v>42.779442000000003</v>
      </c>
      <c r="L209" s="199">
        <f t="shared" si="26"/>
        <v>42.779442000000003</v>
      </c>
      <c r="M209" s="195">
        <v>-96.929209999999998</v>
      </c>
      <c r="N209" s="195" t="s">
        <v>3150</v>
      </c>
      <c r="O209" s="198">
        <v>40.4</v>
      </c>
      <c r="P209" s="195" t="s">
        <v>3116</v>
      </c>
      <c r="Q209" s="201">
        <v>7.0000000000000007E-2</v>
      </c>
      <c r="R209" s="202">
        <f t="shared" si="27"/>
        <v>2.9383777685209667E-2</v>
      </c>
      <c r="S209" s="195" t="s">
        <v>3116</v>
      </c>
      <c r="T209" s="203">
        <v>11.144</v>
      </c>
      <c r="U209" s="204">
        <f t="shared" si="28"/>
        <v>1.0470411034159071</v>
      </c>
      <c r="V209" s="195" t="s">
        <v>3679</v>
      </c>
      <c r="W209" s="141">
        <v>5</v>
      </c>
      <c r="X209" s="141" t="s">
        <v>352</v>
      </c>
      <c r="Y209" s="141">
        <f>AVERAGE(8, 11, 11, 25)</f>
        <v>13.75</v>
      </c>
      <c r="Z209" s="142"/>
      <c r="AA209" s="145">
        <v>33</v>
      </c>
      <c r="AB209" s="141">
        <v>1.42</v>
      </c>
      <c r="AC209" s="142">
        <f t="shared" si="29"/>
        <v>0.15228834438305647</v>
      </c>
      <c r="AD209" s="141"/>
      <c r="AE209" s="141"/>
      <c r="AF209" s="141"/>
      <c r="AG209" s="141" t="s">
        <v>3680</v>
      </c>
      <c r="AH209" s="141">
        <v>4</v>
      </c>
      <c r="AI209" s="141"/>
      <c r="AJ209" s="142">
        <v>30.6</v>
      </c>
      <c r="AK209" s="218">
        <f t="shared" si="30"/>
        <v>9.7999999999999972</v>
      </c>
      <c r="AL209" s="142" t="s">
        <v>1509</v>
      </c>
      <c r="AM209" s="142" t="s">
        <v>1509</v>
      </c>
      <c r="AW209" s="144"/>
      <c r="BB209" s="144"/>
    </row>
    <row r="210" spans="1:54" ht="15" customHeight="1">
      <c r="A210" s="195" t="s">
        <v>3620</v>
      </c>
      <c r="B210" s="195" t="s">
        <v>3682</v>
      </c>
      <c r="C210" s="195" t="s">
        <v>3372</v>
      </c>
      <c r="D210" s="195" t="s">
        <v>4184</v>
      </c>
      <c r="E210" s="196">
        <v>21</v>
      </c>
      <c r="F210" s="197">
        <f t="shared" si="24"/>
        <v>1.3222192947339193</v>
      </c>
      <c r="G210" s="205">
        <v>0.17499999999999999</v>
      </c>
      <c r="H210" s="205">
        <v>0.17499999999999999</v>
      </c>
      <c r="I210" s="197">
        <f>LOG(G210)</f>
        <v>-0.75696195131370558</v>
      </c>
      <c r="J210" s="197">
        <f t="shared" si="25"/>
        <v>-0.75696195131370558</v>
      </c>
      <c r="K210" s="202">
        <v>41.45</v>
      </c>
      <c r="L210" s="199">
        <f t="shared" si="26"/>
        <v>41.45</v>
      </c>
      <c r="M210" s="202">
        <v>106.98</v>
      </c>
      <c r="N210" s="195" t="s">
        <v>3150</v>
      </c>
      <c r="O210" s="198">
        <v>47.1</v>
      </c>
      <c r="P210" s="198">
        <v>4.8</v>
      </c>
      <c r="Q210" s="201">
        <v>0.04</v>
      </c>
      <c r="R210" s="202">
        <f t="shared" si="27"/>
        <v>1.703333929878037E-2</v>
      </c>
      <c r="S210" s="202">
        <v>0.4</v>
      </c>
      <c r="T210" s="203">
        <v>11.904999999999999</v>
      </c>
      <c r="U210" s="204">
        <f t="shared" si="28"/>
        <v>1.0757293997408985</v>
      </c>
      <c r="V210" s="195" t="s">
        <v>3622</v>
      </c>
      <c r="W210" s="141">
        <v>98</v>
      </c>
      <c r="X210" s="141" t="s">
        <v>352</v>
      </c>
      <c r="Y210" s="141">
        <f>AVERAGE(13, 18, 20)</f>
        <v>17</v>
      </c>
      <c r="Z210" s="141">
        <f>AVERAGE(13, 18, 20)</f>
        <v>17</v>
      </c>
      <c r="AA210" s="141">
        <f>AVERAGE(47,59)</f>
        <v>53</v>
      </c>
      <c r="AB210" s="142">
        <v>3.3473393834687095</v>
      </c>
      <c r="AC210" s="142">
        <f t="shared" si="29"/>
        <v>0.52469974728322477</v>
      </c>
      <c r="AD210" s="141">
        <f>AVERAGE(47,59)</f>
        <v>53</v>
      </c>
      <c r="AE210" s="142">
        <v>3.3473393834687095</v>
      </c>
      <c r="AF210" s="142">
        <f>LOG(AE210)</f>
        <v>0.52469974728322477</v>
      </c>
      <c r="AG210" s="141" t="s">
        <v>3315</v>
      </c>
      <c r="AH210" s="142">
        <v>3</v>
      </c>
      <c r="AI210" s="142">
        <v>3</v>
      </c>
      <c r="AJ210" s="141">
        <v>26.6</v>
      </c>
      <c r="AK210" s="218">
        <f t="shared" si="30"/>
        <v>20.5</v>
      </c>
      <c r="AL210" s="142" t="s">
        <v>1509</v>
      </c>
      <c r="AM210" s="142" t="s">
        <v>1509</v>
      </c>
      <c r="AW210" s="144"/>
      <c r="BB210" s="144"/>
    </row>
    <row r="211" spans="1:54" ht="15" customHeight="1">
      <c r="A211" s="195" t="s">
        <v>3665</v>
      </c>
      <c r="B211" s="195" t="s">
        <v>3683</v>
      </c>
      <c r="C211" s="195" t="s">
        <v>3673</v>
      </c>
      <c r="D211" s="195" t="s">
        <v>4184</v>
      </c>
      <c r="E211" s="196">
        <v>21</v>
      </c>
      <c r="F211" s="197">
        <f t="shared" si="24"/>
        <v>1.3222192947339193</v>
      </c>
      <c r="G211" s="202">
        <v>0.25</v>
      </c>
      <c r="H211" s="202">
        <v>0.25</v>
      </c>
      <c r="I211" s="197">
        <f>LOG(G211)</f>
        <v>-0.6020599913279624</v>
      </c>
      <c r="J211" s="197">
        <f t="shared" si="25"/>
        <v>-0.6020599913279624</v>
      </c>
      <c r="K211" s="202">
        <v>41.45</v>
      </c>
      <c r="L211" s="199">
        <f t="shared" si="26"/>
        <v>41.45</v>
      </c>
      <c r="M211" s="202">
        <v>106.98</v>
      </c>
      <c r="N211" s="195" t="s">
        <v>3150</v>
      </c>
      <c r="O211" s="198">
        <v>43.5</v>
      </c>
      <c r="P211" s="198">
        <v>9.1999999999999993</v>
      </c>
      <c r="Q211" s="201">
        <v>0.24</v>
      </c>
      <c r="R211" s="202">
        <f t="shared" si="27"/>
        <v>9.3421685162235063E-2</v>
      </c>
      <c r="S211" s="202">
        <v>0.28000000000000003</v>
      </c>
      <c r="T211" s="203">
        <v>11.904999999999999</v>
      </c>
      <c r="U211" s="204">
        <f t="shared" si="28"/>
        <v>1.0757293997408985</v>
      </c>
      <c r="V211" s="195" t="s">
        <v>3667</v>
      </c>
      <c r="W211" s="141">
        <v>101</v>
      </c>
      <c r="X211" s="141" t="s">
        <v>352</v>
      </c>
      <c r="Y211" s="141">
        <v>12</v>
      </c>
      <c r="Z211" s="141">
        <v>12</v>
      </c>
      <c r="AA211" s="141"/>
      <c r="AB211" s="142">
        <f>AVERAGE(3.6,6.4)</f>
        <v>5</v>
      </c>
      <c r="AC211" s="142">
        <f t="shared" si="29"/>
        <v>0.69897000433601886</v>
      </c>
      <c r="AD211" s="142"/>
      <c r="AE211" s="142">
        <f>AVERAGE(3.6,6.4)</f>
        <v>5</v>
      </c>
      <c r="AF211" s="142">
        <f>LOG(AE211)</f>
        <v>0.69897000433601886</v>
      </c>
      <c r="AG211" s="141" t="s">
        <v>3668</v>
      </c>
      <c r="AH211" s="142">
        <v>3</v>
      </c>
      <c r="AI211" s="142">
        <v>3</v>
      </c>
      <c r="AJ211" s="141">
        <v>26.6</v>
      </c>
      <c r="AK211" s="218">
        <f t="shared" si="30"/>
        <v>16.899999999999999</v>
      </c>
      <c r="AL211" s="142" t="s">
        <v>1509</v>
      </c>
      <c r="AM211" s="142" t="s">
        <v>1509</v>
      </c>
      <c r="AW211" s="144"/>
      <c r="BB211" s="144"/>
    </row>
    <row r="212" spans="1:54" ht="15" customHeight="1">
      <c r="A212" s="195" t="s">
        <v>3285</v>
      </c>
      <c r="B212" s="195" t="s">
        <v>3297</v>
      </c>
      <c r="C212" s="195" t="s">
        <v>3222</v>
      </c>
      <c r="D212" s="195" t="s">
        <v>4181</v>
      </c>
      <c r="E212" s="196">
        <v>10</v>
      </c>
      <c r="F212" s="197">
        <f t="shared" si="24"/>
        <v>1</v>
      </c>
      <c r="G212" s="195" t="s">
        <v>3116</v>
      </c>
      <c r="H212" s="196">
        <v>1</v>
      </c>
      <c r="I212" s="197"/>
      <c r="J212" s="197">
        <f t="shared" si="25"/>
        <v>0</v>
      </c>
      <c r="K212" s="195">
        <v>-17.093285999999999</v>
      </c>
      <c r="L212" s="199">
        <f t="shared" si="26"/>
        <v>17.093285999999999</v>
      </c>
      <c r="M212" s="199">
        <v>145.92352199999999</v>
      </c>
      <c r="N212" s="195" t="s">
        <v>3150</v>
      </c>
      <c r="O212" s="198">
        <v>39.4</v>
      </c>
      <c r="P212" s="195" t="s">
        <v>3116</v>
      </c>
      <c r="Q212" s="201">
        <v>0.38</v>
      </c>
      <c r="R212" s="202">
        <f t="shared" si="27"/>
        <v>0.13987908640123647</v>
      </c>
      <c r="S212" s="195" t="s">
        <v>3116</v>
      </c>
      <c r="T212" s="203">
        <v>2.4769999999999999</v>
      </c>
      <c r="U212" s="204">
        <f t="shared" si="28"/>
        <v>0.39392600658583699</v>
      </c>
      <c r="V212" s="195" t="s">
        <v>3287</v>
      </c>
      <c r="W212" s="141">
        <v>4</v>
      </c>
      <c r="X212" s="141" t="s">
        <v>352</v>
      </c>
      <c r="Y212" s="141">
        <v>25</v>
      </c>
      <c r="Z212" s="142"/>
      <c r="AA212" s="145">
        <v>33</v>
      </c>
      <c r="AB212" s="142">
        <v>2.4008038575737882</v>
      </c>
      <c r="AC212" s="142">
        <f t="shared" si="29"/>
        <v>0.38035668023488345</v>
      </c>
      <c r="AD212" s="142"/>
      <c r="AE212" s="142"/>
      <c r="AF212" s="142"/>
      <c r="AG212" s="141" t="s">
        <v>3152</v>
      </c>
      <c r="AH212" s="145">
        <v>2</v>
      </c>
      <c r="AI212" s="145"/>
      <c r="AJ212" s="141" t="s">
        <v>355</v>
      </c>
      <c r="AK212" s="218"/>
      <c r="AL212" s="142" t="s">
        <v>1509</v>
      </c>
      <c r="AM212" s="142" t="s">
        <v>4232</v>
      </c>
      <c r="AW212" s="144"/>
      <c r="BB212" s="144"/>
    </row>
    <row r="213" spans="1:54" ht="15" customHeight="1">
      <c r="A213" s="195" t="s">
        <v>3154</v>
      </c>
      <c r="B213" s="195" t="s">
        <v>3360</v>
      </c>
      <c r="C213" s="195" t="s">
        <v>3250</v>
      </c>
      <c r="D213" s="195" t="s">
        <v>4181</v>
      </c>
      <c r="E213" s="196">
        <v>14</v>
      </c>
      <c r="F213" s="197">
        <f t="shared" si="24"/>
        <v>1.146128035678238</v>
      </c>
      <c r="G213" s="195" t="s">
        <v>3116</v>
      </c>
      <c r="H213" s="196">
        <v>1</v>
      </c>
      <c r="I213" s="197"/>
      <c r="J213" s="197">
        <f t="shared" si="25"/>
        <v>0</v>
      </c>
      <c r="K213" s="196">
        <v>35</v>
      </c>
      <c r="L213" s="199">
        <f t="shared" si="26"/>
        <v>35</v>
      </c>
      <c r="M213" s="195" t="s">
        <v>3116</v>
      </c>
      <c r="N213" s="195" t="s">
        <v>3150</v>
      </c>
      <c r="O213" s="198">
        <v>36.5</v>
      </c>
      <c r="P213" s="195" t="s">
        <v>3116</v>
      </c>
      <c r="Q213" s="201">
        <v>0.1</v>
      </c>
      <c r="R213" s="202">
        <f t="shared" si="27"/>
        <v>4.1392685158225077E-2</v>
      </c>
      <c r="S213" s="195" t="s">
        <v>3116</v>
      </c>
      <c r="T213" s="207" t="s">
        <v>3116</v>
      </c>
      <c r="U213" s="204"/>
      <c r="V213" s="195" t="s">
        <v>3151</v>
      </c>
      <c r="W213" s="141">
        <v>2</v>
      </c>
      <c r="X213" s="141" t="s">
        <v>352</v>
      </c>
      <c r="Y213" s="141">
        <v>10</v>
      </c>
      <c r="Z213" s="145"/>
      <c r="AA213" s="145">
        <v>113</v>
      </c>
      <c r="AB213" s="142">
        <v>128.75559640704762</v>
      </c>
      <c r="AC213" s="142">
        <f t="shared" si="29"/>
        <v>2.1097661148850926</v>
      </c>
      <c r="AD213" s="142"/>
      <c r="AE213" s="142"/>
      <c r="AF213" s="142"/>
      <c r="AG213" s="141" t="s">
        <v>3152</v>
      </c>
      <c r="AH213" s="142">
        <v>2</v>
      </c>
      <c r="AI213" s="142"/>
      <c r="AJ213" s="142"/>
      <c r="AK213" s="218"/>
      <c r="AL213" s="142" t="s">
        <v>3684</v>
      </c>
      <c r="AM213" s="142" t="s">
        <v>3684</v>
      </c>
    </row>
    <row r="214" spans="1:54" ht="15" customHeight="1">
      <c r="A214" s="195" t="s">
        <v>3685</v>
      </c>
      <c r="B214" s="195" t="s">
        <v>3686</v>
      </c>
      <c r="C214" s="195" t="s">
        <v>3687</v>
      </c>
      <c r="D214" s="195" t="s">
        <v>4181</v>
      </c>
      <c r="E214" s="196">
        <v>14</v>
      </c>
      <c r="F214" s="197">
        <f t="shared" si="24"/>
        <v>1.146128035678238</v>
      </c>
      <c r="G214" s="195" t="s">
        <v>3116</v>
      </c>
      <c r="H214" s="196">
        <v>1</v>
      </c>
      <c r="I214" s="197"/>
      <c r="J214" s="197">
        <f t="shared" si="25"/>
        <v>0</v>
      </c>
      <c r="K214" s="196">
        <v>30</v>
      </c>
      <c r="L214" s="199">
        <f t="shared" si="26"/>
        <v>30</v>
      </c>
      <c r="M214" s="195" t="s">
        <v>3116</v>
      </c>
      <c r="N214" s="195" t="s">
        <v>3150</v>
      </c>
      <c r="O214" s="198">
        <v>39.799999999999997</v>
      </c>
      <c r="P214" s="195" t="s">
        <v>3116</v>
      </c>
      <c r="Q214" s="201">
        <v>0.56000000000000005</v>
      </c>
      <c r="R214" s="202">
        <f t="shared" si="27"/>
        <v>0.19312459835446161</v>
      </c>
      <c r="S214" s="195" t="s">
        <v>3116</v>
      </c>
      <c r="T214" s="207" t="s">
        <v>3116</v>
      </c>
      <c r="U214" s="204"/>
      <c r="V214" s="195" t="s">
        <v>3151</v>
      </c>
      <c r="W214" s="141">
        <v>2</v>
      </c>
      <c r="X214" s="141" t="s">
        <v>352</v>
      </c>
      <c r="Y214" s="141">
        <v>10</v>
      </c>
      <c r="Z214" s="145"/>
      <c r="AA214" s="145">
        <v>33</v>
      </c>
      <c r="AB214" s="142">
        <v>3.5753630440963144</v>
      </c>
      <c r="AC214" s="142">
        <f t="shared" si="29"/>
        <v>0.55332014684831643</v>
      </c>
      <c r="AD214" s="142"/>
      <c r="AE214" s="142"/>
      <c r="AF214" s="142"/>
      <c r="AG214" s="141" t="s">
        <v>3152</v>
      </c>
      <c r="AH214" s="142">
        <v>2</v>
      </c>
      <c r="AI214" s="142"/>
      <c r="AJ214" s="142"/>
      <c r="AK214" s="218"/>
      <c r="AL214" s="142" t="s">
        <v>3684</v>
      </c>
      <c r="AM214" s="142" t="s">
        <v>3684</v>
      </c>
    </row>
    <row r="215" spans="1:54" ht="15" customHeight="1">
      <c r="A215" s="195" t="s">
        <v>3418</v>
      </c>
      <c r="B215" s="195" t="s">
        <v>3419</v>
      </c>
      <c r="C215" s="195" t="s">
        <v>3420</v>
      </c>
      <c r="D215" s="195" t="s">
        <v>4181</v>
      </c>
      <c r="E215" s="196">
        <v>14</v>
      </c>
      <c r="F215" s="197">
        <f t="shared" si="24"/>
        <v>1.146128035678238</v>
      </c>
      <c r="G215" s="195" t="s">
        <v>3116</v>
      </c>
      <c r="H215" s="196">
        <v>1</v>
      </c>
      <c r="I215" s="197"/>
      <c r="J215" s="197">
        <f t="shared" si="25"/>
        <v>0</v>
      </c>
      <c r="K215" s="196">
        <v>35</v>
      </c>
      <c r="L215" s="199">
        <f t="shared" si="26"/>
        <v>35</v>
      </c>
      <c r="M215" s="195" t="s">
        <v>3116</v>
      </c>
      <c r="N215" s="195" t="s">
        <v>3150</v>
      </c>
      <c r="O215" s="198">
        <v>37.700000000000003</v>
      </c>
      <c r="P215" s="195" t="s">
        <v>3116</v>
      </c>
      <c r="Q215" s="201">
        <v>0.2</v>
      </c>
      <c r="R215" s="202">
        <f t="shared" si="27"/>
        <v>7.9181246047624818E-2</v>
      </c>
      <c r="S215" s="195" t="s">
        <v>3116</v>
      </c>
      <c r="T215" s="207" t="s">
        <v>3116</v>
      </c>
      <c r="U215" s="204"/>
      <c r="V215" s="195" t="s">
        <v>3151</v>
      </c>
      <c r="W215" s="141">
        <v>2</v>
      </c>
      <c r="X215" s="141" t="s">
        <v>352</v>
      </c>
      <c r="Y215" s="141">
        <v>10</v>
      </c>
      <c r="Z215" s="145"/>
      <c r="AA215" s="145">
        <v>33</v>
      </c>
      <c r="AB215" s="142">
        <v>2.9385630097303546</v>
      </c>
      <c r="AC215" s="142">
        <f t="shared" si="29"/>
        <v>0.46813500744953768</v>
      </c>
      <c r="AD215" s="142"/>
      <c r="AE215" s="142"/>
      <c r="AF215" s="142"/>
      <c r="AG215" s="141" t="s">
        <v>3152</v>
      </c>
      <c r="AH215" s="142">
        <v>2</v>
      </c>
      <c r="AI215" s="142"/>
      <c r="AJ215" s="145"/>
      <c r="AK215" s="218"/>
      <c r="AL215" s="142" t="s">
        <v>3684</v>
      </c>
      <c r="AM215" s="142" t="s">
        <v>3684</v>
      </c>
    </row>
    <row r="216" spans="1:54" ht="15.95" customHeight="1">
      <c r="A216" s="195" t="s">
        <v>3147</v>
      </c>
      <c r="B216" s="195" t="s">
        <v>3688</v>
      </c>
      <c r="C216" s="195" t="s">
        <v>3689</v>
      </c>
      <c r="D216" s="195" t="s">
        <v>4181</v>
      </c>
      <c r="E216" s="196">
        <v>14</v>
      </c>
      <c r="F216" s="197">
        <f t="shared" si="24"/>
        <v>1.146128035678238</v>
      </c>
      <c r="G216" s="195" t="s">
        <v>3116</v>
      </c>
      <c r="H216" s="196">
        <v>1</v>
      </c>
      <c r="I216" s="197"/>
      <c r="J216" s="197">
        <f t="shared" si="25"/>
        <v>0</v>
      </c>
      <c r="K216" s="196">
        <v>42</v>
      </c>
      <c r="L216" s="199">
        <f t="shared" si="26"/>
        <v>42</v>
      </c>
      <c r="M216" s="195" t="s">
        <v>3116</v>
      </c>
      <c r="N216" s="195" t="s">
        <v>3150</v>
      </c>
      <c r="O216" s="196">
        <v>34</v>
      </c>
      <c r="P216" s="195" t="s">
        <v>3116</v>
      </c>
      <c r="Q216" s="201">
        <v>0.12</v>
      </c>
      <c r="R216" s="202">
        <f t="shared" si="27"/>
        <v>4.9218022670181653E-2</v>
      </c>
      <c r="S216" s="195" t="s">
        <v>3116</v>
      </c>
      <c r="T216" s="207" t="s">
        <v>3116</v>
      </c>
      <c r="U216" s="204"/>
      <c r="V216" s="195" t="s">
        <v>3151</v>
      </c>
      <c r="W216" s="141">
        <v>2</v>
      </c>
      <c r="X216" s="141" t="s">
        <v>352</v>
      </c>
      <c r="Y216" s="141">
        <v>10</v>
      </c>
      <c r="Z216" s="145"/>
      <c r="AA216" s="145">
        <v>55</v>
      </c>
      <c r="AB216" s="142">
        <v>14.545615794373079</v>
      </c>
      <c r="AC216" s="142">
        <f t="shared" si="29"/>
        <v>1.1627321120002061</v>
      </c>
      <c r="AD216" s="142"/>
      <c r="AE216" s="142"/>
      <c r="AF216" s="142"/>
      <c r="AG216" s="141" t="s">
        <v>3152</v>
      </c>
      <c r="AH216" s="142">
        <v>3</v>
      </c>
      <c r="AI216" s="142"/>
      <c r="AJ216" s="142"/>
      <c r="AK216" s="218"/>
      <c r="AL216" s="142" t="s">
        <v>3684</v>
      </c>
      <c r="AM216" s="142" t="s">
        <v>3684</v>
      </c>
    </row>
    <row r="217" spans="1:54" ht="15.95" customHeight="1">
      <c r="A217" s="195" t="s">
        <v>3147</v>
      </c>
      <c r="B217" s="195" t="s">
        <v>3148</v>
      </c>
      <c r="C217" s="195" t="s">
        <v>3149</v>
      </c>
      <c r="D217" s="195" t="s">
        <v>4181</v>
      </c>
      <c r="E217" s="196">
        <v>14</v>
      </c>
      <c r="F217" s="197">
        <f t="shared" si="24"/>
        <v>1.146128035678238</v>
      </c>
      <c r="G217" s="195" t="s">
        <v>3116</v>
      </c>
      <c r="H217" s="196">
        <v>1</v>
      </c>
      <c r="I217" s="197"/>
      <c r="J217" s="197">
        <f t="shared" si="25"/>
        <v>0</v>
      </c>
      <c r="K217" s="196">
        <v>45</v>
      </c>
      <c r="L217" s="199">
        <f t="shared" si="26"/>
        <v>45</v>
      </c>
      <c r="M217" s="195" t="s">
        <v>3116</v>
      </c>
      <c r="N217" s="195" t="s">
        <v>3150</v>
      </c>
      <c r="O217" s="198">
        <v>35.4</v>
      </c>
      <c r="P217" s="195" t="s">
        <v>3116</v>
      </c>
      <c r="Q217" s="201">
        <v>0.16</v>
      </c>
      <c r="R217" s="202">
        <f t="shared" si="27"/>
        <v>6.445798922691845E-2</v>
      </c>
      <c r="S217" s="195" t="s">
        <v>3116</v>
      </c>
      <c r="T217" s="207" t="s">
        <v>3116</v>
      </c>
      <c r="U217" s="204"/>
      <c r="V217" s="195" t="s">
        <v>3151</v>
      </c>
      <c r="W217" s="141">
        <v>2</v>
      </c>
      <c r="X217" s="141" t="s">
        <v>352</v>
      </c>
      <c r="Y217" s="141">
        <v>10</v>
      </c>
      <c r="Z217" s="145"/>
      <c r="AA217" s="145">
        <v>113</v>
      </c>
      <c r="AB217" s="142">
        <v>92.557496600095675</v>
      </c>
      <c r="AC217" s="142">
        <f t="shared" si="29"/>
        <v>1.9664115997523879</v>
      </c>
      <c r="AD217" s="142"/>
      <c r="AE217" s="142"/>
      <c r="AF217" s="142"/>
      <c r="AG217" s="141" t="s">
        <v>3152</v>
      </c>
      <c r="AH217" s="142">
        <v>3</v>
      </c>
      <c r="AI217" s="142"/>
      <c r="AJ217" s="142"/>
      <c r="AK217" s="218"/>
      <c r="AL217" s="142" t="s">
        <v>3684</v>
      </c>
      <c r="AM217" s="142" t="s">
        <v>3684</v>
      </c>
      <c r="AN217" s="155"/>
    </row>
    <row r="218" spans="1:54" ht="15" customHeight="1">
      <c r="A218" s="195" t="s">
        <v>3147</v>
      </c>
      <c r="B218" s="195" t="s">
        <v>3148</v>
      </c>
      <c r="C218" s="195" t="s">
        <v>3149</v>
      </c>
      <c r="D218" s="195" t="s">
        <v>4181</v>
      </c>
      <c r="E218" s="196">
        <v>14</v>
      </c>
      <c r="F218" s="197">
        <f t="shared" si="24"/>
        <v>1.146128035678238</v>
      </c>
      <c r="G218" s="195" t="s">
        <v>3116</v>
      </c>
      <c r="H218" s="196">
        <v>1</v>
      </c>
      <c r="I218" s="197"/>
      <c r="J218" s="197">
        <f t="shared" si="25"/>
        <v>0</v>
      </c>
      <c r="K218" s="196">
        <v>17</v>
      </c>
      <c r="L218" s="199">
        <f t="shared" si="26"/>
        <v>17</v>
      </c>
      <c r="M218" s="195" t="s">
        <v>3116</v>
      </c>
      <c r="N218" s="195" t="s">
        <v>3150</v>
      </c>
      <c r="O218" s="198">
        <v>35.200000000000003</v>
      </c>
      <c r="P218" s="195" t="s">
        <v>3116</v>
      </c>
      <c r="Q218" s="201">
        <v>0.21</v>
      </c>
      <c r="R218" s="202">
        <f t="shared" si="27"/>
        <v>8.2785370316450071E-2</v>
      </c>
      <c r="S218" s="195" t="s">
        <v>3116</v>
      </c>
      <c r="T218" s="207" t="s">
        <v>3116</v>
      </c>
      <c r="U218" s="204"/>
      <c r="V218" s="195" t="s">
        <v>3151</v>
      </c>
      <c r="W218" s="141">
        <v>2</v>
      </c>
      <c r="X218" s="141" t="s">
        <v>352</v>
      </c>
      <c r="Y218" s="141">
        <v>10</v>
      </c>
      <c r="Z218" s="145"/>
      <c r="AA218" s="145">
        <v>113</v>
      </c>
      <c r="AB218" s="142">
        <v>92.557496600095675</v>
      </c>
      <c r="AC218" s="142">
        <f t="shared" si="29"/>
        <v>1.9664115997523879</v>
      </c>
      <c r="AD218" s="142"/>
      <c r="AE218" s="142"/>
      <c r="AF218" s="142"/>
      <c r="AG218" s="141" t="s">
        <v>3152</v>
      </c>
      <c r="AH218" s="142">
        <v>2</v>
      </c>
      <c r="AI218" s="142"/>
      <c r="AJ218" s="142"/>
      <c r="AK218" s="218"/>
      <c r="AL218" s="142" t="s">
        <v>3684</v>
      </c>
      <c r="AM218" s="142" t="s">
        <v>3684</v>
      </c>
      <c r="AN218" s="155"/>
    </row>
    <row r="219" spans="1:54" ht="15" customHeight="1">
      <c r="A219" s="195" t="s">
        <v>3147</v>
      </c>
      <c r="B219" s="195" t="s">
        <v>3148</v>
      </c>
      <c r="C219" s="195" t="s">
        <v>3149</v>
      </c>
      <c r="D219" s="195" t="s">
        <v>4181</v>
      </c>
      <c r="E219" s="196">
        <v>14</v>
      </c>
      <c r="F219" s="197">
        <f t="shared" si="24"/>
        <v>1.146128035678238</v>
      </c>
      <c r="G219" s="195" t="s">
        <v>3116</v>
      </c>
      <c r="H219" s="196">
        <v>1</v>
      </c>
      <c r="I219" s="197"/>
      <c r="J219" s="197">
        <f t="shared" si="25"/>
        <v>0</v>
      </c>
      <c r="K219" s="196">
        <v>17</v>
      </c>
      <c r="L219" s="199">
        <f t="shared" si="26"/>
        <v>17</v>
      </c>
      <c r="M219" s="195" t="s">
        <v>3116</v>
      </c>
      <c r="N219" s="195" t="s">
        <v>3150</v>
      </c>
      <c r="O219" s="196">
        <v>37</v>
      </c>
      <c r="P219" s="195" t="s">
        <v>3116</v>
      </c>
      <c r="Q219" s="201">
        <v>0.33</v>
      </c>
      <c r="R219" s="202">
        <f t="shared" si="27"/>
        <v>0.12385164096708581</v>
      </c>
      <c r="S219" s="195" t="s">
        <v>3116</v>
      </c>
      <c r="T219" s="207" t="s">
        <v>3116</v>
      </c>
      <c r="U219" s="204"/>
      <c r="V219" s="195" t="s">
        <v>3151</v>
      </c>
      <c r="W219" s="141">
        <v>2</v>
      </c>
      <c r="X219" s="141" t="s">
        <v>352</v>
      </c>
      <c r="Y219" s="141">
        <v>10</v>
      </c>
      <c r="Z219" s="145"/>
      <c r="AA219" s="145">
        <v>113</v>
      </c>
      <c r="AB219" s="142">
        <v>92.557496600095675</v>
      </c>
      <c r="AC219" s="142">
        <f t="shared" si="29"/>
        <v>1.9664115997523879</v>
      </c>
      <c r="AD219" s="142"/>
      <c r="AE219" s="142"/>
      <c r="AF219" s="142"/>
      <c r="AG219" s="141" t="s">
        <v>3152</v>
      </c>
      <c r="AH219" s="142">
        <v>2</v>
      </c>
      <c r="AI219" s="142"/>
      <c r="AJ219" s="142"/>
      <c r="AK219" s="218"/>
      <c r="AL219" s="142" t="s">
        <v>3684</v>
      </c>
      <c r="AM219" s="142" t="s">
        <v>3684</v>
      </c>
      <c r="AN219" s="155"/>
    </row>
    <row r="220" spans="1:54" ht="15" customHeight="1">
      <c r="A220" s="195" t="s">
        <v>3421</v>
      </c>
      <c r="B220" s="195" t="s">
        <v>3422</v>
      </c>
      <c r="C220" s="195" t="s">
        <v>3423</v>
      </c>
      <c r="D220" s="195" t="s">
        <v>4181</v>
      </c>
      <c r="E220" s="196">
        <v>14</v>
      </c>
      <c r="F220" s="197">
        <f t="shared" si="24"/>
        <v>1.146128035678238</v>
      </c>
      <c r="G220" s="195" t="s">
        <v>3116</v>
      </c>
      <c r="H220" s="196">
        <v>1</v>
      </c>
      <c r="I220" s="197"/>
      <c r="J220" s="197">
        <f t="shared" si="25"/>
        <v>0</v>
      </c>
      <c r="K220" s="196">
        <v>31</v>
      </c>
      <c r="L220" s="199">
        <f t="shared" si="26"/>
        <v>31</v>
      </c>
      <c r="M220" s="195" t="s">
        <v>3116</v>
      </c>
      <c r="N220" s="195" t="s">
        <v>3150</v>
      </c>
      <c r="O220" s="196">
        <v>40</v>
      </c>
      <c r="P220" s="195" t="s">
        <v>3116</v>
      </c>
      <c r="Q220" s="201">
        <v>0.27</v>
      </c>
      <c r="R220" s="202">
        <f t="shared" si="27"/>
        <v>0.10380372095595687</v>
      </c>
      <c r="S220" s="195" t="s">
        <v>3116</v>
      </c>
      <c r="T220" s="207" t="s">
        <v>3116</v>
      </c>
      <c r="U220" s="204"/>
      <c r="V220" s="195" t="s">
        <v>3151</v>
      </c>
      <c r="W220" s="141">
        <v>2</v>
      </c>
      <c r="X220" s="141" t="s">
        <v>352</v>
      </c>
      <c r="Y220" s="141">
        <v>10</v>
      </c>
      <c r="Z220" s="145"/>
      <c r="AA220" s="145">
        <v>55</v>
      </c>
      <c r="AB220" s="142">
        <v>14.739803551052077</v>
      </c>
      <c r="AC220" s="142">
        <f t="shared" si="29"/>
        <v>1.1684916953776734</v>
      </c>
      <c r="AD220" s="142"/>
      <c r="AE220" s="142"/>
      <c r="AF220" s="142"/>
      <c r="AG220" s="141" t="s">
        <v>3152</v>
      </c>
      <c r="AH220" s="142">
        <v>2</v>
      </c>
      <c r="AI220" s="142"/>
      <c r="AJ220" s="142"/>
      <c r="AK220" s="218"/>
      <c r="AL220" s="142" t="s">
        <v>3684</v>
      </c>
      <c r="AM220" s="142" t="s">
        <v>3684</v>
      </c>
      <c r="AN220" s="155"/>
    </row>
    <row r="221" spans="1:54" ht="15" customHeight="1">
      <c r="A221" s="195" t="s">
        <v>3329</v>
      </c>
      <c r="B221" s="195" t="s">
        <v>3690</v>
      </c>
      <c r="C221" s="195" t="s">
        <v>3691</v>
      </c>
      <c r="D221" s="195" t="s">
        <v>4183</v>
      </c>
      <c r="E221" s="196">
        <v>7</v>
      </c>
      <c r="F221" s="197">
        <f t="shared" si="24"/>
        <v>0.84509804001425681</v>
      </c>
      <c r="G221" s="195" t="s">
        <v>3116</v>
      </c>
      <c r="H221" s="202">
        <v>0.75</v>
      </c>
      <c r="I221" s="197"/>
      <c r="J221" s="197">
        <f t="shared" si="25"/>
        <v>-0.12493873660829995</v>
      </c>
      <c r="K221" s="202">
        <v>28.16</v>
      </c>
      <c r="L221" s="199">
        <f t="shared" si="26"/>
        <v>28.16</v>
      </c>
      <c r="M221" s="195" t="s">
        <v>3116</v>
      </c>
      <c r="N221" s="195" t="s">
        <v>3117</v>
      </c>
      <c r="O221" s="198">
        <v>37.799999999999997</v>
      </c>
      <c r="P221" s="195" t="s">
        <v>3116</v>
      </c>
      <c r="Q221" s="201">
        <v>0.39</v>
      </c>
      <c r="R221" s="202">
        <f t="shared" si="27"/>
        <v>0.14301480025409513</v>
      </c>
      <c r="S221" s="195" t="s">
        <v>3116</v>
      </c>
      <c r="T221" s="207" t="s">
        <v>3116</v>
      </c>
      <c r="U221" s="204"/>
      <c r="V221" s="195" t="s">
        <v>3331</v>
      </c>
      <c r="W221" s="141">
        <v>18</v>
      </c>
      <c r="X221" s="141" t="s">
        <v>352</v>
      </c>
      <c r="Y221" s="142">
        <v>7</v>
      </c>
      <c r="Z221" s="142"/>
      <c r="AA221" s="142">
        <v>45</v>
      </c>
      <c r="AB221" s="150">
        <f>AVERAGE(0.9, 0.7, 0.8, 0.7)</f>
        <v>0.77500000000000013</v>
      </c>
      <c r="AC221" s="142">
        <f t="shared" si="29"/>
        <v>-0.11069829749368963</v>
      </c>
      <c r="AD221" s="150"/>
      <c r="AE221" s="150"/>
      <c r="AF221" s="150"/>
      <c r="AG221" s="141" t="s">
        <v>3692</v>
      </c>
      <c r="AH221" s="142">
        <v>4</v>
      </c>
      <c r="AI221" s="145">
        <v>4</v>
      </c>
      <c r="AJ221" s="142"/>
      <c r="AK221" s="218"/>
      <c r="AL221" s="142" t="s">
        <v>3684</v>
      </c>
      <c r="AM221" s="142" t="s">
        <v>3684</v>
      </c>
      <c r="AN221" s="155"/>
    </row>
    <row r="222" spans="1:54" ht="15" customHeight="1">
      <c r="A222" s="195" t="s">
        <v>3693</v>
      </c>
      <c r="B222" s="195" t="s">
        <v>3694</v>
      </c>
      <c r="C222" s="195" t="s">
        <v>3695</v>
      </c>
      <c r="D222" s="195" t="s">
        <v>4183</v>
      </c>
      <c r="E222" s="196">
        <v>21</v>
      </c>
      <c r="F222" s="197">
        <f t="shared" si="24"/>
        <v>1.3222192947339193</v>
      </c>
      <c r="G222" s="195" t="s">
        <v>3116</v>
      </c>
      <c r="H222" s="202">
        <v>0.75</v>
      </c>
      <c r="I222" s="197"/>
      <c r="J222" s="197">
        <f t="shared" si="25"/>
        <v>-0.12493873660829995</v>
      </c>
      <c r="K222" s="198">
        <v>41.9</v>
      </c>
      <c r="L222" s="199">
        <f t="shared" si="26"/>
        <v>41.9</v>
      </c>
      <c r="M222" s="195" t="s">
        <v>3116</v>
      </c>
      <c r="N222" s="195" t="s">
        <v>3117</v>
      </c>
      <c r="O222" s="196">
        <v>30</v>
      </c>
      <c r="P222" s="195" t="s">
        <v>3116</v>
      </c>
      <c r="Q222" s="201">
        <v>0.31</v>
      </c>
      <c r="R222" s="202">
        <f t="shared" si="27"/>
        <v>0.11727129565576427</v>
      </c>
      <c r="S222" s="195" t="s">
        <v>3116</v>
      </c>
      <c r="T222" s="207" t="s">
        <v>3116</v>
      </c>
      <c r="U222" s="204"/>
      <c r="V222" s="195" t="s">
        <v>3696</v>
      </c>
      <c r="W222" s="141">
        <v>31</v>
      </c>
      <c r="X222" s="141" t="s">
        <v>3697</v>
      </c>
      <c r="Y222" s="142">
        <f>AVERAGE(8,24)</f>
        <v>16</v>
      </c>
      <c r="Z222" s="142"/>
      <c r="AA222" s="142">
        <v>85</v>
      </c>
      <c r="AB222" s="142">
        <v>600</v>
      </c>
      <c r="AC222" s="142">
        <f t="shared" si="29"/>
        <v>2.7781512503836434</v>
      </c>
      <c r="AD222" s="142"/>
      <c r="AE222" s="142"/>
      <c r="AF222" s="142"/>
      <c r="AG222" s="141" t="s">
        <v>3698</v>
      </c>
      <c r="AH222" s="142">
        <v>2</v>
      </c>
      <c r="AI222" s="142"/>
      <c r="AJ222" s="142"/>
      <c r="AK222" s="218"/>
      <c r="AL222" s="142" t="s">
        <v>3684</v>
      </c>
      <c r="AM222" s="142" t="s">
        <v>3684</v>
      </c>
      <c r="AN222" s="155"/>
    </row>
    <row r="223" spans="1:54" ht="15" customHeight="1">
      <c r="A223" s="195" t="s">
        <v>3267</v>
      </c>
      <c r="B223" s="195" t="s">
        <v>3699</v>
      </c>
      <c r="C223" s="195" t="s">
        <v>3700</v>
      </c>
      <c r="D223" s="195" t="s">
        <v>4183</v>
      </c>
      <c r="E223" s="196">
        <v>28</v>
      </c>
      <c r="F223" s="197">
        <f t="shared" si="24"/>
        <v>1.4471580313422192</v>
      </c>
      <c r="G223" s="196">
        <v>1</v>
      </c>
      <c r="H223" s="196">
        <v>1</v>
      </c>
      <c r="I223" s="197">
        <f>LOG(G223)</f>
        <v>0</v>
      </c>
      <c r="J223" s="197">
        <f t="shared" si="25"/>
        <v>0</v>
      </c>
      <c r="K223" s="202">
        <v>3.96</v>
      </c>
      <c r="L223" s="199">
        <f t="shared" si="26"/>
        <v>3.96</v>
      </c>
      <c r="M223" s="195" t="s">
        <v>3116</v>
      </c>
      <c r="N223" s="195" t="s">
        <v>3117</v>
      </c>
      <c r="O223" s="196">
        <v>42</v>
      </c>
      <c r="P223" s="198">
        <v>10.5</v>
      </c>
      <c r="Q223" s="201">
        <v>0.47</v>
      </c>
      <c r="R223" s="202">
        <f t="shared" si="27"/>
        <v>0.16731733474817609</v>
      </c>
      <c r="S223" s="202">
        <v>0.5</v>
      </c>
      <c r="T223" s="207" t="s">
        <v>3116</v>
      </c>
      <c r="U223" s="204"/>
      <c r="V223" s="195" t="s">
        <v>3701</v>
      </c>
      <c r="W223" s="141">
        <v>32</v>
      </c>
      <c r="X223" s="141" t="s">
        <v>3271</v>
      </c>
      <c r="Y223" s="142">
        <v>30</v>
      </c>
      <c r="Z223" s="142">
        <v>30</v>
      </c>
      <c r="AA223" s="142"/>
      <c r="AB223" s="142">
        <f>AVERAGE(0.6,1.7)</f>
        <v>1.1499999999999999</v>
      </c>
      <c r="AC223" s="142">
        <f t="shared" si="29"/>
        <v>6.069784035361165E-2</v>
      </c>
      <c r="AD223" s="142"/>
      <c r="AE223" s="142">
        <f>AVERAGE(0.6,1.7)</f>
        <v>1.1499999999999999</v>
      </c>
      <c r="AF223" s="141">
        <f>LOG(AE223)</f>
        <v>6.069784035361165E-2</v>
      </c>
      <c r="AG223" s="141" t="s">
        <v>3702</v>
      </c>
      <c r="AH223" s="142">
        <v>5</v>
      </c>
      <c r="AI223" s="142">
        <v>5</v>
      </c>
      <c r="AJ223" s="142"/>
      <c r="AK223" s="218"/>
      <c r="AL223" s="142" t="s">
        <v>3684</v>
      </c>
      <c r="AM223" s="142" t="s">
        <v>3684</v>
      </c>
      <c r="AN223" s="155"/>
    </row>
    <row r="224" spans="1:54" ht="15" customHeight="1">
      <c r="A224" s="195" t="s">
        <v>3703</v>
      </c>
      <c r="B224" s="195" t="s">
        <v>3704</v>
      </c>
      <c r="C224" s="195" t="s">
        <v>3705</v>
      </c>
      <c r="D224" s="195" t="s">
        <v>4183</v>
      </c>
      <c r="E224" s="196">
        <v>30</v>
      </c>
      <c r="F224" s="197">
        <f t="shared" si="24"/>
        <v>1.4771212547196624</v>
      </c>
      <c r="G224" s="202">
        <v>0.02</v>
      </c>
      <c r="H224" s="202">
        <v>0.02</v>
      </c>
      <c r="I224" s="197">
        <f>LOG(G224)</f>
        <v>-1.6989700043360187</v>
      </c>
      <c r="J224" s="197">
        <f t="shared" si="25"/>
        <v>-1.6989700043360187</v>
      </c>
      <c r="K224" s="202">
        <v>12.17</v>
      </c>
      <c r="L224" s="199">
        <f t="shared" si="26"/>
        <v>12.17</v>
      </c>
      <c r="M224" s="195" t="s">
        <v>3116</v>
      </c>
      <c r="N224" s="195" t="s">
        <v>3117</v>
      </c>
      <c r="O224" s="198">
        <v>42.2</v>
      </c>
      <c r="P224" s="198">
        <v>7.5</v>
      </c>
      <c r="Q224" s="201">
        <v>0.41</v>
      </c>
      <c r="R224" s="202">
        <f t="shared" si="27"/>
        <v>0.14921911265537988</v>
      </c>
      <c r="S224" s="202">
        <v>0.24</v>
      </c>
      <c r="T224" s="207" t="s">
        <v>3116</v>
      </c>
      <c r="U224" s="204"/>
      <c r="V224" s="195" t="s">
        <v>3706</v>
      </c>
      <c r="W224" s="141">
        <v>33</v>
      </c>
      <c r="X224" s="141" t="s">
        <v>3271</v>
      </c>
      <c r="Y224" s="142">
        <v>30</v>
      </c>
      <c r="Z224" s="142">
        <v>30</v>
      </c>
      <c r="AA224" s="142"/>
      <c r="AB224" s="142">
        <f>AVERAGE(10.64,10.97)</f>
        <v>10.805</v>
      </c>
      <c r="AC224" s="142">
        <f t="shared" si="29"/>
        <v>1.0336247712192601</v>
      </c>
      <c r="AD224" s="142"/>
      <c r="AE224" s="142">
        <f>AVERAGE(10.64,10.97)</f>
        <v>10.805</v>
      </c>
      <c r="AF224" s="141">
        <f>LOG(AE224)</f>
        <v>1.0336247712192601</v>
      </c>
      <c r="AG224" s="141" t="s">
        <v>3707</v>
      </c>
      <c r="AH224" s="142">
        <v>4</v>
      </c>
      <c r="AI224" s="142">
        <v>4</v>
      </c>
      <c r="AJ224" s="145"/>
      <c r="AK224" s="218"/>
      <c r="AL224" s="142" t="s">
        <v>3684</v>
      </c>
      <c r="AM224" s="142" t="s">
        <v>3684</v>
      </c>
      <c r="AN224" s="155"/>
    </row>
    <row r="225" spans="1:40" ht="15" customHeight="1">
      <c r="A225" s="195" t="s">
        <v>3708</v>
      </c>
      <c r="B225" s="195" t="s">
        <v>3709</v>
      </c>
      <c r="C225" s="195" t="s">
        <v>3710</v>
      </c>
      <c r="D225" s="195" t="s">
        <v>4183</v>
      </c>
      <c r="E225" s="196">
        <v>21</v>
      </c>
      <c r="F225" s="197">
        <f t="shared" si="24"/>
        <v>1.3222192947339193</v>
      </c>
      <c r="G225" s="198">
        <v>0.2</v>
      </c>
      <c r="H225" s="198">
        <v>0.2</v>
      </c>
      <c r="I225" s="197">
        <f>LOG(G225)</f>
        <v>-0.69897000433601875</v>
      </c>
      <c r="J225" s="197">
        <f t="shared" si="25"/>
        <v>-0.69897000433601875</v>
      </c>
      <c r="K225" s="202">
        <v>22.12</v>
      </c>
      <c r="L225" s="199">
        <f t="shared" si="26"/>
        <v>22.12</v>
      </c>
      <c r="M225" s="195" t="s">
        <v>3116</v>
      </c>
      <c r="N225" s="195" t="s">
        <v>3117</v>
      </c>
      <c r="O225" s="198">
        <v>42.3</v>
      </c>
      <c r="P225" s="198">
        <v>11.6</v>
      </c>
      <c r="Q225" s="201">
        <v>0.22</v>
      </c>
      <c r="R225" s="202">
        <f t="shared" si="27"/>
        <v>8.6359830674748214E-2</v>
      </c>
      <c r="S225" s="202">
        <v>0.37</v>
      </c>
      <c r="T225" s="207" t="s">
        <v>3116</v>
      </c>
      <c r="U225" s="204"/>
      <c r="V225" s="195" t="s">
        <v>3711</v>
      </c>
      <c r="W225" s="141">
        <v>36</v>
      </c>
      <c r="X225" s="141" t="s">
        <v>3712</v>
      </c>
      <c r="Y225" s="142">
        <v>9</v>
      </c>
      <c r="Z225" s="142">
        <v>9</v>
      </c>
      <c r="AA225" s="142">
        <f>AVERAGE(90,150)</f>
        <v>120</v>
      </c>
      <c r="AB225" s="142">
        <v>108</v>
      </c>
      <c r="AC225" s="142">
        <f t="shared" si="29"/>
        <v>2.0334237554869499</v>
      </c>
      <c r="AD225" s="142">
        <f>AVERAGE(90,150)</f>
        <v>120</v>
      </c>
      <c r="AE225" s="142">
        <v>108</v>
      </c>
      <c r="AF225" s="141">
        <f>LOG(AE225)</f>
        <v>2.0334237554869499</v>
      </c>
      <c r="AG225" s="126" t="s">
        <v>3713</v>
      </c>
      <c r="AH225" s="142">
        <v>3</v>
      </c>
      <c r="AI225" s="142">
        <v>3</v>
      </c>
      <c r="AJ225" s="142"/>
      <c r="AK225" s="218"/>
      <c r="AL225" s="142" t="s">
        <v>3684</v>
      </c>
      <c r="AM225" s="142" t="s">
        <v>3684</v>
      </c>
      <c r="AN225" s="155"/>
    </row>
    <row r="226" spans="1:40" ht="15" customHeight="1">
      <c r="A226" s="195" t="s">
        <v>3714</v>
      </c>
      <c r="B226" s="195" t="s">
        <v>3715</v>
      </c>
      <c r="C226" s="195" t="s">
        <v>3716</v>
      </c>
      <c r="D226" s="195" t="s">
        <v>4180</v>
      </c>
      <c r="E226" s="196">
        <v>7</v>
      </c>
      <c r="F226" s="197">
        <f t="shared" si="24"/>
        <v>0.84509804001425681</v>
      </c>
      <c r="G226" s="195" t="s">
        <v>3116</v>
      </c>
      <c r="H226" s="198">
        <v>0.1</v>
      </c>
      <c r="I226" s="197"/>
      <c r="J226" s="197">
        <f t="shared" si="25"/>
        <v>-1</v>
      </c>
      <c r="K226" s="202">
        <v>32.89</v>
      </c>
      <c r="L226" s="199">
        <f t="shared" si="26"/>
        <v>32.89</v>
      </c>
      <c r="M226" s="195" t="s">
        <v>3116</v>
      </c>
      <c r="N226" s="195" t="s">
        <v>3174</v>
      </c>
      <c r="O226" s="198">
        <v>35.1</v>
      </c>
      <c r="P226" s="195" t="s">
        <v>3116</v>
      </c>
      <c r="Q226" s="201">
        <v>0.3</v>
      </c>
      <c r="R226" s="202">
        <f t="shared" si="27"/>
        <v>0.11394335230683679</v>
      </c>
      <c r="S226" s="195" t="s">
        <v>3116</v>
      </c>
      <c r="T226" s="207" t="s">
        <v>3116</v>
      </c>
      <c r="U226" s="204"/>
      <c r="V226" s="195" t="s">
        <v>3717</v>
      </c>
      <c r="W226" s="141">
        <v>60</v>
      </c>
      <c r="X226" s="141" t="s">
        <v>3271</v>
      </c>
      <c r="Y226" s="142">
        <v>30.5</v>
      </c>
      <c r="Z226" s="142"/>
      <c r="AA226" s="142">
        <v>135</v>
      </c>
      <c r="AB226" s="142">
        <v>10.7</v>
      </c>
      <c r="AC226" s="142">
        <f t="shared" si="29"/>
        <v>1.0293837776852097</v>
      </c>
      <c r="AD226" s="142"/>
      <c r="AE226" s="142"/>
      <c r="AF226" s="142"/>
      <c r="AG226" s="141" t="s">
        <v>3718</v>
      </c>
      <c r="AH226" s="142">
        <v>2</v>
      </c>
      <c r="AI226" s="142"/>
      <c r="AJ226" s="142"/>
      <c r="AK226" s="218"/>
      <c r="AL226" s="142" t="s">
        <v>3684</v>
      </c>
      <c r="AM226" s="142" t="s">
        <v>3684</v>
      </c>
    </row>
    <row r="227" spans="1:40" ht="15" customHeight="1">
      <c r="A227" s="195" t="s">
        <v>3719</v>
      </c>
      <c r="B227" s="195" t="s">
        <v>3720</v>
      </c>
      <c r="C227" s="195" t="s">
        <v>3721</v>
      </c>
      <c r="D227" s="195" t="s">
        <v>4180</v>
      </c>
      <c r="E227" s="196">
        <v>30</v>
      </c>
      <c r="F227" s="197">
        <f t="shared" si="24"/>
        <v>1.4771212547196624</v>
      </c>
      <c r="G227" s="198">
        <v>0.1</v>
      </c>
      <c r="H227" s="198">
        <v>0.1</v>
      </c>
      <c r="I227" s="197">
        <f t="shared" ref="I227:I232" si="31">LOG(G227)</f>
        <v>-1</v>
      </c>
      <c r="J227" s="197">
        <f t="shared" si="25"/>
        <v>-1</v>
      </c>
      <c r="K227" s="195">
        <v>-22</v>
      </c>
      <c r="L227" s="199">
        <f t="shared" si="26"/>
        <v>22</v>
      </c>
      <c r="M227" s="195" t="s">
        <v>3116</v>
      </c>
      <c r="N227" s="195" t="s">
        <v>3174</v>
      </c>
      <c r="O227" s="198">
        <v>42.6</v>
      </c>
      <c r="P227" s="198">
        <v>6.5</v>
      </c>
      <c r="Q227" s="201">
        <v>0.47</v>
      </c>
      <c r="R227" s="202">
        <f t="shared" si="27"/>
        <v>0.16731733474817609</v>
      </c>
      <c r="S227" s="202">
        <v>0.41</v>
      </c>
      <c r="T227" s="207" t="s">
        <v>3116</v>
      </c>
      <c r="U227" s="204"/>
      <c r="V227" s="195" t="s">
        <v>3722</v>
      </c>
      <c r="W227" s="141">
        <v>61</v>
      </c>
      <c r="X227" s="141" t="s">
        <v>352</v>
      </c>
      <c r="Y227" s="142">
        <v>10</v>
      </c>
      <c r="Z227" s="142">
        <v>10</v>
      </c>
      <c r="AA227" s="142">
        <v>233</v>
      </c>
      <c r="AB227" s="142">
        <v>249</v>
      </c>
      <c r="AC227" s="142">
        <f t="shared" si="29"/>
        <v>2.3961993470957363</v>
      </c>
      <c r="AD227" s="142">
        <v>233</v>
      </c>
      <c r="AE227" s="142">
        <v>249</v>
      </c>
      <c r="AF227" s="142">
        <f t="shared" ref="AF227:AF232" si="32">LOG(AE227)</f>
        <v>2.3961993470957363</v>
      </c>
      <c r="AG227" s="141" t="s">
        <v>3723</v>
      </c>
      <c r="AH227" s="142">
        <v>5</v>
      </c>
      <c r="AI227" s="142">
        <v>5</v>
      </c>
      <c r="AJ227" s="142"/>
      <c r="AK227" s="218"/>
      <c r="AL227" s="142" t="s">
        <v>3684</v>
      </c>
      <c r="AM227" s="142" t="s">
        <v>3684</v>
      </c>
    </row>
    <row r="228" spans="1:40" ht="15" customHeight="1">
      <c r="A228" s="195" t="s">
        <v>3724</v>
      </c>
      <c r="B228" s="195" t="s">
        <v>1927</v>
      </c>
      <c r="C228" s="195" t="s">
        <v>3725</v>
      </c>
      <c r="D228" s="195" t="s">
        <v>4180</v>
      </c>
      <c r="E228" s="196">
        <v>30</v>
      </c>
      <c r="F228" s="197">
        <f t="shared" si="24"/>
        <v>1.4771212547196624</v>
      </c>
      <c r="G228" s="198">
        <v>0.3</v>
      </c>
      <c r="H228" s="198">
        <v>0.3</v>
      </c>
      <c r="I228" s="197">
        <f t="shared" si="31"/>
        <v>-0.52287874528033762</v>
      </c>
      <c r="J228" s="197">
        <f t="shared" si="25"/>
        <v>-0.52287874528033762</v>
      </c>
      <c r="K228" s="202">
        <v>20.440000000000001</v>
      </c>
      <c r="L228" s="199">
        <f t="shared" si="26"/>
        <v>20.440000000000001</v>
      </c>
      <c r="M228" s="195" t="s">
        <v>3116</v>
      </c>
      <c r="N228" s="195" t="s">
        <v>3174</v>
      </c>
      <c r="O228" s="198">
        <v>42.7</v>
      </c>
      <c r="P228" s="198">
        <v>13.9</v>
      </c>
      <c r="Q228" s="201">
        <v>0.24</v>
      </c>
      <c r="R228" s="202">
        <f t="shared" si="27"/>
        <v>9.3421685162235063E-2</v>
      </c>
      <c r="S228" s="202">
        <v>0.18</v>
      </c>
      <c r="T228" s="207" t="s">
        <v>3116</v>
      </c>
      <c r="U228" s="204"/>
      <c r="V228" s="195" t="s">
        <v>3726</v>
      </c>
      <c r="W228" s="141">
        <v>62</v>
      </c>
      <c r="X228" s="141" t="s">
        <v>3271</v>
      </c>
      <c r="Y228" s="142">
        <v>6</v>
      </c>
      <c r="Z228" s="142">
        <v>6</v>
      </c>
      <c r="AA228" s="143">
        <v>112.8670925570861</v>
      </c>
      <c r="AB228" s="142">
        <v>28</v>
      </c>
      <c r="AC228" s="142">
        <f t="shared" si="29"/>
        <v>1.4471580313422192</v>
      </c>
      <c r="AD228" s="142">
        <v>7</v>
      </c>
      <c r="AE228" s="142">
        <v>28</v>
      </c>
      <c r="AF228" s="142">
        <f t="shared" si="32"/>
        <v>1.4471580313422192</v>
      </c>
      <c r="AG228" s="141" t="s">
        <v>3727</v>
      </c>
      <c r="AH228" s="142">
        <v>4</v>
      </c>
      <c r="AI228" s="142">
        <v>4</v>
      </c>
      <c r="AJ228" s="142"/>
      <c r="AK228" s="218"/>
      <c r="AL228" s="142" t="s">
        <v>3684</v>
      </c>
      <c r="AM228" s="142" t="s">
        <v>3684</v>
      </c>
    </row>
    <row r="229" spans="1:40" ht="15" customHeight="1">
      <c r="A229" s="195" t="s">
        <v>3728</v>
      </c>
      <c r="B229" s="195" t="s">
        <v>3729</v>
      </c>
      <c r="C229" s="195" t="s">
        <v>3730</v>
      </c>
      <c r="D229" s="195" t="s">
        <v>4180</v>
      </c>
      <c r="E229" s="196">
        <v>30</v>
      </c>
      <c r="F229" s="197">
        <f t="shared" si="24"/>
        <v>1.4771212547196624</v>
      </c>
      <c r="G229" s="198">
        <v>0.3</v>
      </c>
      <c r="H229" s="198">
        <v>0.3</v>
      </c>
      <c r="I229" s="197">
        <f t="shared" si="31"/>
        <v>-0.52287874528033762</v>
      </c>
      <c r="J229" s="197">
        <f t="shared" si="25"/>
        <v>-0.52287874528033762</v>
      </c>
      <c r="K229" s="202">
        <v>20.63</v>
      </c>
      <c r="L229" s="199">
        <f t="shared" si="26"/>
        <v>20.63</v>
      </c>
      <c r="M229" s="195" t="s">
        <v>3116</v>
      </c>
      <c r="N229" s="195" t="s">
        <v>3174</v>
      </c>
      <c r="O229" s="198">
        <v>43.1</v>
      </c>
      <c r="P229" s="198">
        <v>12.1</v>
      </c>
      <c r="Q229" s="201">
        <v>0.08</v>
      </c>
      <c r="R229" s="202">
        <f t="shared" si="27"/>
        <v>3.342375548694973E-2</v>
      </c>
      <c r="S229" s="202">
        <v>0.19</v>
      </c>
      <c r="T229" s="207" t="s">
        <v>3116</v>
      </c>
      <c r="U229" s="204"/>
      <c r="V229" s="195" t="s">
        <v>3726</v>
      </c>
      <c r="W229" s="141">
        <v>62</v>
      </c>
      <c r="X229" s="141" t="s">
        <v>3271</v>
      </c>
      <c r="Y229" s="142">
        <v>6</v>
      </c>
      <c r="Z229" s="142">
        <v>6</v>
      </c>
      <c r="AA229" s="143">
        <v>132.9590880152939</v>
      </c>
      <c r="AB229" s="142">
        <v>25</v>
      </c>
      <c r="AC229" s="142">
        <f t="shared" si="29"/>
        <v>1.3979400086720377</v>
      </c>
      <c r="AD229" s="142">
        <v>7</v>
      </c>
      <c r="AE229" s="142">
        <v>25</v>
      </c>
      <c r="AF229" s="142">
        <f t="shared" si="32"/>
        <v>1.3979400086720377</v>
      </c>
      <c r="AG229" s="141" t="s">
        <v>3727</v>
      </c>
      <c r="AH229" s="142">
        <v>4</v>
      </c>
      <c r="AI229" s="142">
        <v>4</v>
      </c>
      <c r="AJ229" s="142"/>
      <c r="AK229" s="218"/>
      <c r="AL229" s="142" t="s">
        <v>3684</v>
      </c>
      <c r="AM229" s="142" t="s">
        <v>3684</v>
      </c>
    </row>
    <row r="230" spans="1:40" ht="15" customHeight="1">
      <c r="A230" s="195" t="s">
        <v>3731</v>
      </c>
      <c r="B230" s="195" t="s">
        <v>3732</v>
      </c>
      <c r="C230" s="195" t="s">
        <v>3733</v>
      </c>
      <c r="D230" s="195" t="s">
        <v>4180</v>
      </c>
      <c r="E230" s="196">
        <v>30</v>
      </c>
      <c r="F230" s="197">
        <f t="shared" si="24"/>
        <v>1.4771212547196624</v>
      </c>
      <c r="G230" s="198">
        <v>0.3</v>
      </c>
      <c r="H230" s="198">
        <v>0.3</v>
      </c>
      <c r="I230" s="197">
        <f t="shared" si="31"/>
        <v>-0.52287874528033762</v>
      </c>
      <c r="J230" s="197">
        <f t="shared" si="25"/>
        <v>-0.52287874528033762</v>
      </c>
      <c r="K230" s="198">
        <v>18.899999999999999</v>
      </c>
      <c r="L230" s="199">
        <f t="shared" si="26"/>
        <v>18.899999999999999</v>
      </c>
      <c r="M230" s="195" t="s">
        <v>3116</v>
      </c>
      <c r="N230" s="195" t="s">
        <v>3174</v>
      </c>
      <c r="O230" s="198">
        <v>42.9</v>
      </c>
      <c r="P230" s="198">
        <v>13.7</v>
      </c>
      <c r="Q230" s="201">
        <v>0.24</v>
      </c>
      <c r="R230" s="202">
        <f t="shared" si="27"/>
        <v>9.3421685162235063E-2</v>
      </c>
      <c r="S230" s="202">
        <v>0.19</v>
      </c>
      <c r="T230" s="207" t="s">
        <v>3116</v>
      </c>
      <c r="U230" s="204"/>
      <c r="V230" s="195" t="s">
        <v>3726</v>
      </c>
      <c r="W230" s="141">
        <v>62</v>
      </c>
      <c r="X230" s="141" t="s">
        <v>3271</v>
      </c>
      <c r="Y230" s="142">
        <v>6</v>
      </c>
      <c r="Z230" s="142">
        <v>6</v>
      </c>
      <c r="AA230" s="143">
        <v>141.61272094481856</v>
      </c>
      <c r="AB230" s="142">
        <v>30</v>
      </c>
      <c r="AC230" s="142">
        <f t="shared" si="29"/>
        <v>1.4771212547196624</v>
      </c>
      <c r="AD230" s="142">
        <v>7</v>
      </c>
      <c r="AE230" s="142">
        <v>30</v>
      </c>
      <c r="AF230" s="142">
        <f t="shared" si="32"/>
        <v>1.4771212547196624</v>
      </c>
      <c r="AG230" s="141" t="s">
        <v>3727</v>
      </c>
      <c r="AH230" s="142">
        <v>4</v>
      </c>
      <c r="AI230" s="142">
        <v>4</v>
      </c>
      <c r="AJ230" s="142"/>
      <c r="AK230" s="218"/>
      <c r="AL230" s="142" t="s">
        <v>3684</v>
      </c>
      <c r="AM230" s="142" t="s">
        <v>3684</v>
      </c>
    </row>
    <row r="231" spans="1:40" ht="15" customHeight="1">
      <c r="A231" s="195" t="s">
        <v>3734</v>
      </c>
      <c r="B231" s="195" t="s">
        <v>972</v>
      </c>
      <c r="C231" s="195" t="s">
        <v>3735</v>
      </c>
      <c r="D231" s="195" t="s">
        <v>4180</v>
      </c>
      <c r="E231" s="196">
        <v>20</v>
      </c>
      <c r="F231" s="197">
        <f t="shared" si="24"/>
        <v>1.3010299956639813</v>
      </c>
      <c r="G231" s="198">
        <v>0.3</v>
      </c>
      <c r="H231" s="198">
        <v>0.3</v>
      </c>
      <c r="I231" s="197">
        <f t="shared" si="31"/>
        <v>-0.52287874528033762</v>
      </c>
      <c r="J231" s="197">
        <f t="shared" si="25"/>
        <v>-0.52287874528033762</v>
      </c>
      <c r="K231" s="202">
        <v>24.45</v>
      </c>
      <c r="L231" s="199">
        <f t="shared" si="26"/>
        <v>24.45</v>
      </c>
      <c r="M231" s="195" t="s">
        <v>3116</v>
      </c>
      <c r="N231" s="195" t="s">
        <v>3174</v>
      </c>
      <c r="O231" s="198">
        <v>43.6</v>
      </c>
      <c r="P231" s="198">
        <v>0.3</v>
      </c>
      <c r="Q231" s="201">
        <v>0.44</v>
      </c>
      <c r="R231" s="202">
        <f t="shared" si="27"/>
        <v>0.15836249209524964</v>
      </c>
      <c r="S231" s="202">
        <v>0.41</v>
      </c>
      <c r="T231" s="207" t="s">
        <v>3116</v>
      </c>
      <c r="U231" s="204"/>
      <c r="V231" s="195" t="s">
        <v>3736</v>
      </c>
      <c r="W231" s="141">
        <v>63</v>
      </c>
      <c r="X231" s="141" t="s">
        <v>352</v>
      </c>
      <c r="Y231" s="142">
        <v>30</v>
      </c>
      <c r="Z231" s="142">
        <v>30</v>
      </c>
      <c r="AA231" s="142">
        <v>64</v>
      </c>
      <c r="AB231" s="142">
        <v>3.8441974233396907</v>
      </c>
      <c r="AC231" s="142">
        <f t="shared" si="29"/>
        <v>0.58480568327989801</v>
      </c>
      <c r="AD231" s="142">
        <v>64</v>
      </c>
      <c r="AE231" s="142">
        <v>3.8441974233396907</v>
      </c>
      <c r="AF231" s="142">
        <f t="shared" si="32"/>
        <v>0.58480568327989801</v>
      </c>
      <c r="AG231" s="141" t="s">
        <v>3737</v>
      </c>
      <c r="AH231" s="142">
        <v>4</v>
      </c>
      <c r="AI231" s="142">
        <v>4</v>
      </c>
      <c r="AJ231" s="142"/>
      <c r="AK231" s="218"/>
      <c r="AL231" s="142" t="s">
        <v>3684</v>
      </c>
      <c r="AM231" s="142" t="s">
        <v>3684</v>
      </c>
    </row>
    <row r="232" spans="1:40" ht="15" customHeight="1">
      <c r="A232" s="195" t="s">
        <v>3738</v>
      </c>
      <c r="B232" s="195" t="s">
        <v>3739</v>
      </c>
      <c r="C232" s="195" t="s">
        <v>3740</v>
      </c>
      <c r="D232" s="195" t="s">
        <v>4180</v>
      </c>
      <c r="E232" s="196">
        <v>11</v>
      </c>
      <c r="F232" s="197">
        <f t="shared" si="24"/>
        <v>1.0413926851582251</v>
      </c>
      <c r="G232" s="198">
        <v>0.3</v>
      </c>
      <c r="H232" s="198">
        <v>0.3</v>
      </c>
      <c r="I232" s="197">
        <f t="shared" si="31"/>
        <v>-0.52287874528033762</v>
      </c>
      <c r="J232" s="197">
        <f t="shared" si="25"/>
        <v>-0.52287874528033762</v>
      </c>
      <c r="K232" s="202">
        <v>21.37</v>
      </c>
      <c r="L232" s="199">
        <f t="shared" si="26"/>
        <v>21.37</v>
      </c>
      <c r="M232" s="195" t="s">
        <v>3116</v>
      </c>
      <c r="N232" s="195" t="s">
        <v>3174</v>
      </c>
      <c r="O232" s="198">
        <v>41.7</v>
      </c>
      <c r="P232" s="198">
        <v>6.2</v>
      </c>
      <c r="Q232" s="201">
        <v>0.25</v>
      </c>
      <c r="R232" s="202">
        <f t="shared" si="27"/>
        <v>9.691001300805642E-2</v>
      </c>
      <c r="S232" s="202">
        <v>0.44</v>
      </c>
      <c r="T232" s="207" t="s">
        <v>3116</v>
      </c>
      <c r="U232" s="204"/>
      <c r="V232" s="195" t="s">
        <v>3741</v>
      </c>
      <c r="W232" s="141">
        <v>64</v>
      </c>
      <c r="X232" s="141" t="s">
        <v>352</v>
      </c>
      <c r="Y232" s="142">
        <v>20</v>
      </c>
      <c r="Z232" s="142">
        <v>20</v>
      </c>
      <c r="AA232" s="142">
        <f>AVERAGE(32,45)</f>
        <v>38.5</v>
      </c>
      <c r="AB232" s="142">
        <f>AVERAGE(0.5,1.1)</f>
        <v>0.8</v>
      </c>
      <c r="AC232" s="142">
        <f t="shared" si="29"/>
        <v>-9.6910013008056392E-2</v>
      </c>
      <c r="AD232" s="142">
        <f>AVERAGE(32,45)</f>
        <v>38.5</v>
      </c>
      <c r="AE232" s="142">
        <f>AVERAGE(0.5,1.1)</f>
        <v>0.8</v>
      </c>
      <c r="AF232" s="142">
        <f t="shared" si="32"/>
        <v>-9.6910013008056392E-2</v>
      </c>
      <c r="AG232" s="141" t="s">
        <v>3742</v>
      </c>
      <c r="AH232" s="142">
        <v>2</v>
      </c>
      <c r="AI232" s="142">
        <v>2</v>
      </c>
      <c r="AJ232" s="142"/>
      <c r="AK232" s="218"/>
      <c r="AL232" s="142" t="s">
        <v>3684</v>
      </c>
      <c r="AM232" s="142" t="s">
        <v>3684</v>
      </c>
    </row>
    <row r="233" spans="1:40" ht="15" customHeight="1">
      <c r="A233" s="195" t="s">
        <v>3743</v>
      </c>
      <c r="B233" s="195" t="s">
        <v>3744</v>
      </c>
      <c r="C233" s="195" t="s">
        <v>3745</v>
      </c>
      <c r="D233" s="195" t="s">
        <v>4180</v>
      </c>
      <c r="E233" s="196">
        <v>30</v>
      </c>
      <c r="F233" s="197">
        <f t="shared" si="24"/>
        <v>1.4771212547196624</v>
      </c>
      <c r="G233" s="195" t="s">
        <v>3116</v>
      </c>
      <c r="H233" s="198">
        <v>0.3</v>
      </c>
      <c r="I233" s="197"/>
      <c r="J233" s="197">
        <f t="shared" si="25"/>
        <v>-0.52287874528033762</v>
      </c>
      <c r="K233" s="202">
        <v>21.95</v>
      </c>
      <c r="L233" s="199">
        <f t="shared" si="26"/>
        <v>21.95</v>
      </c>
      <c r="M233" s="195" t="s">
        <v>3116</v>
      </c>
      <c r="N233" s="195" t="s">
        <v>3174</v>
      </c>
      <c r="O233" s="198">
        <v>41.8</v>
      </c>
      <c r="P233" s="195" t="s">
        <v>3116</v>
      </c>
      <c r="Q233" s="201">
        <v>0.47</v>
      </c>
      <c r="R233" s="202">
        <f t="shared" si="27"/>
        <v>0.16731733474817609</v>
      </c>
      <c r="S233" s="195" t="s">
        <v>3116</v>
      </c>
      <c r="T233" s="207" t="s">
        <v>3116</v>
      </c>
      <c r="U233" s="204"/>
      <c r="V233" s="195" t="s">
        <v>3746</v>
      </c>
      <c r="W233" s="141">
        <v>65</v>
      </c>
      <c r="X233" s="141" t="s">
        <v>3271</v>
      </c>
      <c r="Y233" s="142">
        <v>20</v>
      </c>
      <c r="Z233" s="142"/>
      <c r="AA233" s="142">
        <v>130</v>
      </c>
      <c r="AB233" s="142">
        <v>13.62</v>
      </c>
      <c r="AC233" s="142">
        <f t="shared" si="29"/>
        <v>1.1341771075767664</v>
      </c>
      <c r="AD233" s="142"/>
      <c r="AE233" s="142"/>
      <c r="AF233" s="142"/>
      <c r="AG233" s="141" t="s">
        <v>3747</v>
      </c>
      <c r="AH233" s="142">
        <v>5</v>
      </c>
      <c r="AI233" s="142"/>
      <c r="AJ233" s="142"/>
      <c r="AK233" s="218"/>
      <c r="AL233" s="142" t="s">
        <v>3684</v>
      </c>
      <c r="AM233" s="142" t="s">
        <v>3684</v>
      </c>
    </row>
    <row r="234" spans="1:40" ht="15" customHeight="1">
      <c r="A234" s="195" t="s">
        <v>3748</v>
      </c>
      <c r="B234" s="195" t="s">
        <v>3749</v>
      </c>
      <c r="C234" s="195" t="s">
        <v>3750</v>
      </c>
      <c r="D234" s="195" t="s">
        <v>4180</v>
      </c>
      <c r="E234" s="196">
        <v>7</v>
      </c>
      <c r="F234" s="197">
        <f t="shared" si="24"/>
        <v>0.84509804001425681</v>
      </c>
      <c r="G234" s="202">
        <v>0.13</v>
      </c>
      <c r="H234" s="202">
        <v>0.13</v>
      </c>
      <c r="I234" s="197">
        <f>LOG(G234)</f>
        <v>-0.88605664769316317</v>
      </c>
      <c r="J234" s="197">
        <f t="shared" si="25"/>
        <v>-0.88605664769316317</v>
      </c>
      <c r="K234" s="198">
        <v>21.9</v>
      </c>
      <c r="L234" s="199">
        <f t="shared" si="26"/>
        <v>21.9</v>
      </c>
      <c r="M234" s="195" t="s">
        <v>3116</v>
      </c>
      <c r="N234" s="195" t="s">
        <v>3174</v>
      </c>
      <c r="O234" s="198">
        <v>41.5</v>
      </c>
      <c r="P234" s="198">
        <v>9.6</v>
      </c>
      <c r="Q234" s="201">
        <v>0.11</v>
      </c>
      <c r="R234" s="202">
        <f t="shared" si="27"/>
        <v>4.5322978786657475E-2</v>
      </c>
      <c r="S234" s="202">
        <v>0.39</v>
      </c>
      <c r="T234" s="207" t="s">
        <v>3116</v>
      </c>
      <c r="U234" s="204"/>
      <c r="V234" s="195" t="s">
        <v>3751</v>
      </c>
      <c r="W234" s="141">
        <v>66</v>
      </c>
      <c r="X234" s="141" t="s">
        <v>352</v>
      </c>
      <c r="Y234" s="142">
        <v>10</v>
      </c>
      <c r="Z234" s="142">
        <v>10</v>
      </c>
      <c r="AA234" s="142">
        <v>36</v>
      </c>
      <c r="AB234" s="142">
        <v>0.3989931076553353</v>
      </c>
      <c r="AC234" s="142">
        <f t="shared" si="29"/>
        <v>-0.39903460640124377</v>
      </c>
      <c r="AD234" s="142">
        <v>36</v>
      </c>
      <c r="AE234" s="142">
        <v>0.3989931076553353</v>
      </c>
      <c r="AF234" s="142">
        <f>LOG(AE234)</f>
        <v>-0.39903460640124377</v>
      </c>
      <c r="AG234" s="141" t="s">
        <v>3752</v>
      </c>
      <c r="AH234" s="142">
        <v>4</v>
      </c>
      <c r="AI234" s="142">
        <v>4</v>
      </c>
      <c r="AJ234" s="142"/>
      <c r="AK234" s="218"/>
      <c r="AL234" s="142" t="s">
        <v>3684</v>
      </c>
      <c r="AM234" s="142" t="s">
        <v>3684</v>
      </c>
    </row>
    <row r="235" spans="1:40" ht="15.95" customHeight="1">
      <c r="A235" s="195" t="s">
        <v>3753</v>
      </c>
      <c r="B235" s="195" t="s">
        <v>3754</v>
      </c>
      <c r="C235" s="195" t="s">
        <v>3755</v>
      </c>
      <c r="D235" s="195" t="s">
        <v>4180</v>
      </c>
      <c r="E235" s="196">
        <v>30</v>
      </c>
      <c r="F235" s="197">
        <f t="shared" si="24"/>
        <v>1.4771212547196624</v>
      </c>
      <c r="G235" s="198">
        <v>0.3</v>
      </c>
      <c r="H235" s="198">
        <v>0.3</v>
      </c>
      <c r="I235" s="197">
        <f>LOG(G235)</f>
        <v>-0.52287874528033762</v>
      </c>
      <c r="J235" s="197">
        <f t="shared" si="25"/>
        <v>-0.52287874528033762</v>
      </c>
      <c r="K235" s="202">
        <v>9.4499999999999993</v>
      </c>
      <c r="L235" s="199">
        <f t="shared" si="26"/>
        <v>9.4499999999999993</v>
      </c>
      <c r="M235" s="195" t="s">
        <v>3116</v>
      </c>
      <c r="N235" s="195" t="s">
        <v>3174</v>
      </c>
      <c r="O235" s="198">
        <v>41.9</v>
      </c>
      <c r="P235" s="198">
        <v>12.4</v>
      </c>
      <c r="Q235" s="201">
        <v>0.17</v>
      </c>
      <c r="R235" s="202">
        <f t="shared" si="27"/>
        <v>6.8185861746161619E-2</v>
      </c>
      <c r="S235" s="202">
        <v>0.15</v>
      </c>
      <c r="T235" s="207" t="s">
        <v>3116</v>
      </c>
      <c r="U235" s="204"/>
      <c r="V235" s="195" t="s">
        <v>3756</v>
      </c>
      <c r="W235" s="141">
        <v>68</v>
      </c>
      <c r="X235" s="141" t="s">
        <v>352</v>
      </c>
      <c r="Y235" s="142">
        <v>5</v>
      </c>
      <c r="Z235" s="142">
        <v>5</v>
      </c>
      <c r="AA235" s="142">
        <v>120</v>
      </c>
      <c r="AB235" s="142">
        <v>17.03</v>
      </c>
      <c r="AC235" s="142">
        <f t="shared" si="29"/>
        <v>1.2312146479626012</v>
      </c>
      <c r="AD235" s="142">
        <v>120</v>
      </c>
      <c r="AE235" s="142">
        <v>17.03</v>
      </c>
      <c r="AF235" s="142">
        <f>LOG(AE235)</f>
        <v>1.2312146479626012</v>
      </c>
      <c r="AG235" s="141" t="s">
        <v>3757</v>
      </c>
      <c r="AH235" s="142">
        <v>3</v>
      </c>
      <c r="AI235" s="142">
        <v>3</v>
      </c>
      <c r="AJ235" s="142"/>
      <c r="AK235" s="218"/>
      <c r="AL235" s="142" t="s">
        <v>3684</v>
      </c>
      <c r="AM235" s="142" t="s">
        <v>3684</v>
      </c>
    </row>
    <row r="236" spans="1:40" ht="15.95" customHeight="1">
      <c r="A236" s="195" t="s">
        <v>3758</v>
      </c>
      <c r="B236" s="195" t="s">
        <v>3759</v>
      </c>
      <c r="C236" s="195" t="s">
        <v>3760</v>
      </c>
      <c r="D236" s="195" t="s">
        <v>4180</v>
      </c>
      <c r="E236" s="196">
        <v>20</v>
      </c>
      <c r="F236" s="197">
        <f t="shared" si="24"/>
        <v>1.3010299956639813</v>
      </c>
      <c r="G236" s="198">
        <v>0.3</v>
      </c>
      <c r="H236" s="198">
        <v>0.3</v>
      </c>
      <c r="I236" s="197">
        <f>LOG(G236)</f>
        <v>-0.52287874528033762</v>
      </c>
      <c r="J236" s="197">
        <f t="shared" si="25"/>
        <v>-0.52287874528033762</v>
      </c>
      <c r="K236" s="202">
        <v>36.729999999999997</v>
      </c>
      <c r="L236" s="199">
        <f t="shared" si="26"/>
        <v>36.729999999999997</v>
      </c>
      <c r="M236" s="195" t="s">
        <v>3116</v>
      </c>
      <c r="N236" s="195" t="s">
        <v>3174</v>
      </c>
      <c r="O236" s="198">
        <v>40.299999999999997</v>
      </c>
      <c r="P236" s="198">
        <v>2.7</v>
      </c>
      <c r="Q236" s="201">
        <v>0.39</v>
      </c>
      <c r="R236" s="202">
        <f t="shared" si="27"/>
        <v>0.14301480025409513</v>
      </c>
      <c r="S236" s="202">
        <v>0.71</v>
      </c>
      <c r="T236" s="207" t="s">
        <v>3116</v>
      </c>
      <c r="U236" s="204"/>
      <c r="V236" s="195" t="s">
        <v>3761</v>
      </c>
      <c r="W236" s="141">
        <v>69</v>
      </c>
      <c r="X236" s="141" t="s">
        <v>3271</v>
      </c>
      <c r="Y236" s="142">
        <v>20</v>
      </c>
      <c r="Z236" s="142">
        <v>20</v>
      </c>
      <c r="AA236" s="142">
        <v>100</v>
      </c>
      <c r="AB236" s="142">
        <v>15</v>
      </c>
      <c r="AC236" s="142">
        <f t="shared" si="29"/>
        <v>1.1760912590556813</v>
      </c>
      <c r="AD236" s="142">
        <v>100</v>
      </c>
      <c r="AE236" s="142">
        <v>15</v>
      </c>
      <c r="AF236" s="142">
        <f>LOG(AE236)</f>
        <v>1.1760912590556813</v>
      </c>
      <c r="AG236" s="141" t="s">
        <v>3762</v>
      </c>
      <c r="AH236" s="142">
        <v>3</v>
      </c>
      <c r="AI236" s="142">
        <v>3</v>
      </c>
      <c r="AJ236" s="142"/>
      <c r="AK236" s="218"/>
      <c r="AL236" s="142" t="s">
        <v>3684</v>
      </c>
      <c r="AM236" s="142" t="s">
        <v>3684</v>
      </c>
    </row>
    <row r="237" spans="1:40" ht="15" customHeight="1">
      <c r="A237" s="195" t="s">
        <v>3763</v>
      </c>
      <c r="B237" s="195" t="s">
        <v>3764</v>
      </c>
      <c r="C237" s="195" t="s">
        <v>3765</v>
      </c>
      <c r="D237" s="195" t="s">
        <v>4180</v>
      </c>
      <c r="E237" s="196">
        <v>20</v>
      </c>
      <c r="F237" s="197">
        <f t="shared" si="24"/>
        <v>1.3010299956639813</v>
      </c>
      <c r="G237" s="198">
        <v>0.3</v>
      </c>
      <c r="H237" s="198">
        <v>0.3</v>
      </c>
      <c r="I237" s="197">
        <f>LOG(G237)</f>
        <v>-0.52287874528033762</v>
      </c>
      <c r="J237" s="197">
        <f t="shared" si="25"/>
        <v>-0.52287874528033762</v>
      </c>
      <c r="K237" s="198">
        <v>34.700000000000003</v>
      </c>
      <c r="L237" s="199">
        <f t="shared" si="26"/>
        <v>34.700000000000003</v>
      </c>
      <c r="M237" s="195" t="s">
        <v>3116</v>
      </c>
      <c r="N237" s="195" t="s">
        <v>3174</v>
      </c>
      <c r="O237" s="198">
        <v>38.5</v>
      </c>
      <c r="P237" s="198">
        <v>3.2</v>
      </c>
      <c r="Q237" s="201">
        <v>0.31</v>
      </c>
      <c r="R237" s="202">
        <f t="shared" si="27"/>
        <v>0.11727129565576427</v>
      </c>
      <c r="S237" s="202">
        <v>0.75</v>
      </c>
      <c r="T237" s="207" t="s">
        <v>3116</v>
      </c>
      <c r="U237" s="204"/>
      <c r="V237" s="195" t="s">
        <v>3761</v>
      </c>
      <c r="W237" s="141">
        <v>69</v>
      </c>
      <c r="X237" s="141" t="s">
        <v>3271</v>
      </c>
      <c r="Y237" s="142">
        <v>20</v>
      </c>
      <c r="Z237" s="142">
        <v>20</v>
      </c>
      <c r="AA237" s="142">
        <v>100</v>
      </c>
      <c r="AB237" s="142">
        <v>15</v>
      </c>
      <c r="AC237" s="142">
        <f t="shared" si="29"/>
        <v>1.1760912590556813</v>
      </c>
      <c r="AD237" s="142">
        <v>100</v>
      </c>
      <c r="AE237" s="142">
        <v>15</v>
      </c>
      <c r="AF237" s="142">
        <f>LOG(AE237)</f>
        <v>1.1760912590556813</v>
      </c>
      <c r="AG237" s="141" t="s">
        <v>3762</v>
      </c>
      <c r="AH237" s="142">
        <v>3</v>
      </c>
      <c r="AI237" s="142">
        <v>3</v>
      </c>
      <c r="AJ237" s="142"/>
      <c r="AK237" s="218"/>
      <c r="AL237" s="142" t="s">
        <v>3684</v>
      </c>
      <c r="AM237" s="142" t="s">
        <v>3684</v>
      </c>
    </row>
    <row r="238" spans="1:40" ht="15" customHeight="1">
      <c r="A238" s="195" t="s">
        <v>3530</v>
      </c>
      <c r="B238" s="195" t="s">
        <v>3766</v>
      </c>
      <c r="C238" s="195" t="s">
        <v>3767</v>
      </c>
      <c r="D238" s="195" t="s">
        <v>4180</v>
      </c>
      <c r="E238" s="196">
        <v>20</v>
      </c>
      <c r="F238" s="197">
        <f t="shared" si="24"/>
        <v>1.3010299956639813</v>
      </c>
      <c r="G238" s="198">
        <v>0.3</v>
      </c>
      <c r="H238" s="198">
        <v>0.3</v>
      </c>
      <c r="I238" s="197">
        <f>LOG(G238)</f>
        <v>-0.52287874528033762</v>
      </c>
      <c r="J238" s="197">
        <f t="shared" si="25"/>
        <v>-0.52287874528033762</v>
      </c>
      <c r="K238" s="198">
        <v>38.299999999999997</v>
      </c>
      <c r="L238" s="199">
        <f t="shared" si="26"/>
        <v>38.299999999999997</v>
      </c>
      <c r="M238" s="195" t="s">
        <v>3116</v>
      </c>
      <c r="N238" s="195" t="s">
        <v>3174</v>
      </c>
      <c r="O238" s="198">
        <v>29.8</v>
      </c>
      <c r="P238" s="196">
        <v>0</v>
      </c>
      <c r="Q238" s="201">
        <v>0.18</v>
      </c>
      <c r="R238" s="202">
        <f t="shared" si="27"/>
        <v>7.1882007306125359E-2</v>
      </c>
      <c r="S238" s="202">
        <v>0.2</v>
      </c>
      <c r="T238" s="207" t="s">
        <v>3116</v>
      </c>
      <c r="U238" s="204"/>
      <c r="V238" s="195" t="s">
        <v>3761</v>
      </c>
      <c r="W238" s="141">
        <v>69</v>
      </c>
      <c r="X238" s="141" t="s">
        <v>3271</v>
      </c>
      <c r="Y238" s="142">
        <v>20</v>
      </c>
      <c r="Z238" s="142">
        <v>20</v>
      </c>
      <c r="AA238" s="142">
        <v>40</v>
      </c>
      <c r="AB238" s="142">
        <v>2</v>
      </c>
      <c r="AC238" s="142">
        <f t="shared" si="29"/>
        <v>0.3010299956639812</v>
      </c>
      <c r="AD238" s="142">
        <v>40</v>
      </c>
      <c r="AE238" s="142">
        <v>2</v>
      </c>
      <c r="AF238" s="142">
        <f>LOG(AE238)</f>
        <v>0.3010299956639812</v>
      </c>
      <c r="AG238" s="141" t="s">
        <v>3762</v>
      </c>
      <c r="AH238" s="142">
        <v>3</v>
      </c>
      <c r="AI238" s="142">
        <v>3</v>
      </c>
      <c r="AJ238" s="142"/>
      <c r="AK238" s="218"/>
      <c r="AL238" s="142" t="s">
        <v>3684</v>
      </c>
      <c r="AM238" s="142" t="s">
        <v>3684</v>
      </c>
      <c r="AN238" s="155"/>
    </row>
    <row r="239" spans="1:40" ht="15" customHeight="1">
      <c r="A239" s="195" t="s">
        <v>3768</v>
      </c>
      <c r="B239" s="195" t="s">
        <v>3769</v>
      </c>
      <c r="C239" s="195" t="s">
        <v>3770</v>
      </c>
      <c r="D239" s="195" t="s">
        <v>4180</v>
      </c>
      <c r="E239" s="196">
        <v>30</v>
      </c>
      <c r="F239" s="197">
        <f t="shared" si="24"/>
        <v>1.4771212547196624</v>
      </c>
      <c r="G239" s="195" t="s">
        <v>3116</v>
      </c>
      <c r="H239" s="196">
        <v>1</v>
      </c>
      <c r="I239" s="197"/>
      <c r="J239" s="197">
        <f t="shared" si="25"/>
        <v>0</v>
      </c>
      <c r="K239" s="195">
        <v>-2.17</v>
      </c>
      <c r="L239" s="199">
        <f t="shared" si="26"/>
        <v>2.17</v>
      </c>
      <c r="M239" s="195" t="s">
        <v>3116</v>
      </c>
      <c r="N239" s="195" t="s">
        <v>3174</v>
      </c>
      <c r="O239" s="198">
        <v>41.2</v>
      </c>
      <c r="P239" s="195" t="s">
        <v>3116</v>
      </c>
      <c r="Q239" s="201">
        <v>0.41</v>
      </c>
      <c r="R239" s="202">
        <f t="shared" si="27"/>
        <v>0.14921911265537988</v>
      </c>
      <c r="S239" s="195" t="s">
        <v>3116</v>
      </c>
      <c r="T239" s="207" t="s">
        <v>3116</v>
      </c>
      <c r="U239" s="204"/>
      <c r="V239" s="195" t="s">
        <v>3771</v>
      </c>
      <c r="W239" s="141">
        <v>70</v>
      </c>
      <c r="X239" s="141" t="s">
        <v>352</v>
      </c>
      <c r="Y239" s="142">
        <v>120</v>
      </c>
      <c r="Z239" s="142"/>
      <c r="AA239" s="142">
        <v>90</v>
      </c>
      <c r="AB239" s="142">
        <f>AVERAGE(5.2,12.5)</f>
        <v>8.85</v>
      </c>
      <c r="AC239" s="142">
        <f t="shared" si="29"/>
        <v>0.94694327069782547</v>
      </c>
      <c r="AD239" s="142"/>
      <c r="AE239" s="142"/>
      <c r="AF239" s="142"/>
      <c r="AG239" s="141" t="s">
        <v>3772</v>
      </c>
      <c r="AH239" s="142">
        <v>4</v>
      </c>
      <c r="AI239" s="142"/>
      <c r="AJ239" s="142"/>
      <c r="AK239" s="218"/>
      <c r="AL239" s="142" t="s">
        <v>3684</v>
      </c>
      <c r="AM239" s="142" t="s">
        <v>3684</v>
      </c>
      <c r="AN239" s="155"/>
    </row>
    <row r="240" spans="1:40" ht="15" customHeight="1">
      <c r="A240" s="195" t="s">
        <v>3773</v>
      </c>
      <c r="B240" s="195" t="s">
        <v>3774</v>
      </c>
      <c r="C240" s="195" t="s">
        <v>3775</v>
      </c>
      <c r="D240" s="195" t="s">
        <v>4180</v>
      </c>
      <c r="E240" s="196">
        <v>35</v>
      </c>
      <c r="F240" s="197">
        <f t="shared" si="24"/>
        <v>1.5440680443502757</v>
      </c>
      <c r="G240" s="198">
        <v>0.3</v>
      </c>
      <c r="H240" s="198">
        <v>0.3</v>
      </c>
      <c r="I240" s="197">
        <f>LOG(G240)</f>
        <v>-0.52287874528033762</v>
      </c>
      <c r="J240" s="197">
        <f t="shared" si="25"/>
        <v>-0.52287874528033762</v>
      </c>
      <c r="K240" s="199">
        <v>36.761068999999999</v>
      </c>
      <c r="L240" s="199">
        <f t="shared" si="26"/>
        <v>36.761068999999999</v>
      </c>
      <c r="M240" s="195" t="s">
        <v>3116</v>
      </c>
      <c r="N240" s="195" t="s">
        <v>3117</v>
      </c>
      <c r="O240" s="196">
        <v>36</v>
      </c>
      <c r="P240" s="198">
        <v>4.0999999999999996</v>
      </c>
      <c r="Q240" s="201">
        <v>0.28000000000000003</v>
      </c>
      <c r="R240" s="202">
        <f t="shared" si="27"/>
        <v>0.10720996964786837</v>
      </c>
      <c r="S240" s="202">
        <v>0.27</v>
      </c>
      <c r="T240" s="207" t="s">
        <v>3116</v>
      </c>
      <c r="U240" s="204"/>
      <c r="V240" s="195" t="s">
        <v>3776</v>
      </c>
      <c r="W240" s="141">
        <v>71</v>
      </c>
      <c r="X240" s="141" t="s">
        <v>3271</v>
      </c>
      <c r="Y240" s="142">
        <v>15</v>
      </c>
      <c r="Z240" s="142">
        <v>15</v>
      </c>
      <c r="AA240" s="142">
        <v>185</v>
      </c>
      <c r="AB240" s="142">
        <f>AVERAGE(47.54, 51.77, 60.76)</f>
        <v>53.356666666666662</v>
      </c>
      <c r="AC240" s="142">
        <f t="shared" si="29"/>
        <v>1.7271886902208746</v>
      </c>
      <c r="AD240" s="142">
        <v>185</v>
      </c>
      <c r="AE240" s="142">
        <f>AVERAGE(47.54, 51.77, 60.76)</f>
        <v>53.356666666666662</v>
      </c>
      <c r="AF240" s="142">
        <f>LOG(AE240)</f>
        <v>1.7271886902208746</v>
      </c>
      <c r="AG240" s="141" t="s">
        <v>3777</v>
      </c>
      <c r="AH240" s="142">
        <v>3</v>
      </c>
      <c r="AI240" s="142">
        <v>3</v>
      </c>
      <c r="AJ240" s="142"/>
      <c r="AK240" s="218"/>
      <c r="AL240" s="142" t="s">
        <v>3684</v>
      </c>
      <c r="AM240" s="142" t="s">
        <v>3684</v>
      </c>
      <c r="AN240" s="155"/>
    </row>
    <row r="241" spans="1:40" ht="15" customHeight="1">
      <c r="A241" s="195" t="s">
        <v>3778</v>
      </c>
      <c r="B241" s="195" t="s">
        <v>3779</v>
      </c>
      <c r="C241" s="195" t="s">
        <v>3780</v>
      </c>
      <c r="D241" s="195" t="s">
        <v>4180</v>
      </c>
      <c r="E241" s="196">
        <v>14</v>
      </c>
      <c r="F241" s="197">
        <f t="shared" si="24"/>
        <v>1.146128035678238</v>
      </c>
      <c r="G241" s="202">
        <v>0.08</v>
      </c>
      <c r="H241" s="202">
        <v>0.08</v>
      </c>
      <c r="I241" s="197">
        <f>LOG(G241)</f>
        <v>-1.0969100130080565</v>
      </c>
      <c r="J241" s="197">
        <f t="shared" si="25"/>
        <v>-1.0969100130080565</v>
      </c>
      <c r="K241" s="202">
        <v>23.57</v>
      </c>
      <c r="L241" s="199">
        <f t="shared" si="26"/>
        <v>23.57</v>
      </c>
      <c r="M241" s="195" t="s">
        <v>3116</v>
      </c>
      <c r="N241" s="195" t="s">
        <v>3117</v>
      </c>
      <c r="O241" s="198">
        <v>32.799999999999997</v>
      </c>
      <c r="P241" s="198">
        <v>4.9000000000000004</v>
      </c>
      <c r="Q241" s="201">
        <v>0.31</v>
      </c>
      <c r="R241" s="202">
        <f t="shared" si="27"/>
        <v>0.11727129565576427</v>
      </c>
      <c r="S241" s="202">
        <v>0.31</v>
      </c>
      <c r="T241" s="207" t="s">
        <v>3116</v>
      </c>
      <c r="U241" s="204"/>
      <c r="V241" s="195" t="s">
        <v>3781</v>
      </c>
      <c r="W241" s="141">
        <v>73</v>
      </c>
      <c r="X241" s="141" t="s">
        <v>3271</v>
      </c>
      <c r="Y241" s="142">
        <v>10</v>
      </c>
      <c r="Z241" s="142">
        <v>5</v>
      </c>
      <c r="AA241" s="142">
        <v>75</v>
      </c>
      <c r="AB241" s="142">
        <v>7.5</v>
      </c>
      <c r="AC241" s="142">
        <f t="shared" si="29"/>
        <v>0.87506126339170009</v>
      </c>
      <c r="AD241" s="142">
        <v>75</v>
      </c>
      <c r="AE241" s="142">
        <v>7.5</v>
      </c>
      <c r="AF241" s="142">
        <f>LOG(AE241)</f>
        <v>0.87506126339170009</v>
      </c>
      <c r="AG241" s="141" t="s">
        <v>3782</v>
      </c>
      <c r="AH241" s="142">
        <v>3</v>
      </c>
      <c r="AI241" s="142">
        <v>3</v>
      </c>
      <c r="AJ241" s="142"/>
      <c r="AK241" s="218"/>
      <c r="AL241" s="142" t="s">
        <v>3684</v>
      </c>
      <c r="AM241" s="142" t="s">
        <v>3684</v>
      </c>
      <c r="AN241" s="155"/>
    </row>
    <row r="242" spans="1:40" ht="15" customHeight="1">
      <c r="A242" s="195" t="s">
        <v>3783</v>
      </c>
      <c r="B242" s="195" t="s">
        <v>3784</v>
      </c>
      <c r="C242" s="195" t="s">
        <v>3785</v>
      </c>
      <c r="D242" s="195" t="s">
        <v>4180</v>
      </c>
      <c r="E242" s="196">
        <v>30</v>
      </c>
      <c r="F242" s="197">
        <f t="shared" si="24"/>
        <v>1.4771212547196624</v>
      </c>
      <c r="G242" s="198">
        <v>0.3</v>
      </c>
      <c r="H242" s="198">
        <v>0.3</v>
      </c>
      <c r="I242" s="197">
        <f>LOG(G242)</f>
        <v>-0.52287874528033762</v>
      </c>
      <c r="J242" s="197">
        <f t="shared" si="25"/>
        <v>-0.52287874528033762</v>
      </c>
      <c r="K242" s="202">
        <v>21.85</v>
      </c>
      <c r="L242" s="199">
        <f t="shared" si="26"/>
        <v>21.85</v>
      </c>
      <c r="M242" s="195" t="s">
        <v>3116</v>
      </c>
      <c r="N242" s="195" t="s">
        <v>3174</v>
      </c>
      <c r="O242" s="198">
        <v>42.8</v>
      </c>
      <c r="P242" s="198">
        <v>13.2</v>
      </c>
      <c r="Q242" s="201">
        <v>0.37</v>
      </c>
      <c r="R242" s="202">
        <f t="shared" si="27"/>
        <v>0.13672056715640679</v>
      </c>
      <c r="S242" s="202">
        <v>0.22</v>
      </c>
      <c r="T242" s="207" t="s">
        <v>3116</v>
      </c>
      <c r="U242" s="204"/>
      <c r="V242" s="195" t="s">
        <v>3786</v>
      </c>
      <c r="W242" s="141">
        <v>74</v>
      </c>
      <c r="X242" s="141" t="s">
        <v>352</v>
      </c>
      <c r="Y242" s="142">
        <v>6</v>
      </c>
      <c r="Z242" s="142">
        <v>6</v>
      </c>
      <c r="AA242" s="142">
        <v>126</v>
      </c>
      <c r="AB242" s="142">
        <v>23.01</v>
      </c>
      <c r="AC242" s="142">
        <f t="shared" si="29"/>
        <v>1.3619166186686433</v>
      </c>
      <c r="AD242" s="142">
        <v>126</v>
      </c>
      <c r="AE242" s="142">
        <v>23.01</v>
      </c>
      <c r="AF242" s="142">
        <f>LOG(AE242)</f>
        <v>1.3619166186686433</v>
      </c>
      <c r="AG242" s="141" t="s">
        <v>3787</v>
      </c>
      <c r="AH242" s="142">
        <v>6</v>
      </c>
      <c r="AI242" s="142">
        <v>6</v>
      </c>
      <c r="AJ242" s="142"/>
      <c r="AK242" s="218"/>
      <c r="AL242" s="142" t="s">
        <v>3684</v>
      </c>
      <c r="AM242" s="142" t="s">
        <v>3684</v>
      </c>
    </row>
    <row r="243" spans="1:40" ht="15" customHeight="1">
      <c r="A243" s="195" t="s">
        <v>3788</v>
      </c>
      <c r="B243" s="195" t="s">
        <v>3789</v>
      </c>
      <c r="C243" s="195" t="s">
        <v>3790</v>
      </c>
      <c r="D243" s="195" t="s">
        <v>4180</v>
      </c>
      <c r="E243" s="196">
        <v>30</v>
      </c>
      <c r="F243" s="197">
        <f t="shared" si="24"/>
        <v>1.4771212547196624</v>
      </c>
      <c r="G243" s="198">
        <v>0.3</v>
      </c>
      <c r="H243" s="198">
        <v>0.3</v>
      </c>
      <c r="I243" s="197">
        <f>LOG(G243)</f>
        <v>-0.52287874528033762</v>
      </c>
      <c r="J243" s="197">
        <f t="shared" si="25"/>
        <v>-0.52287874528033762</v>
      </c>
      <c r="K243" s="202">
        <v>22.57</v>
      </c>
      <c r="L243" s="199">
        <f t="shared" si="26"/>
        <v>22.57</v>
      </c>
      <c r="M243" s="195" t="s">
        <v>3116</v>
      </c>
      <c r="N243" s="195" t="s">
        <v>3174</v>
      </c>
      <c r="O243" s="198">
        <v>44.1</v>
      </c>
      <c r="P243" s="198">
        <v>12.4</v>
      </c>
      <c r="Q243" s="201">
        <v>0.17</v>
      </c>
      <c r="R243" s="202">
        <f t="shared" si="27"/>
        <v>6.8185861746161619E-2</v>
      </c>
      <c r="S243" s="202">
        <v>0.6</v>
      </c>
      <c r="T243" s="207" t="s">
        <v>3116</v>
      </c>
      <c r="U243" s="204"/>
      <c r="V243" s="195" t="s">
        <v>3791</v>
      </c>
      <c r="W243" s="141">
        <v>75</v>
      </c>
      <c r="X243" s="141" t="s">
        <v>3271</v>
      </c>
      <c r="Y243" s="142">
        <v>6</v>
      </c>
      <c r="Z243" s="142">
        <v>6</v>
      </c>
      <c r="AA243" s="142">
        <v>137</v>
      </c>
      <c r="AB243" s="142">
        <v>22.7</v>
      </c>
      <c r="AC243" s="142">
        <f t="shared" si="29"/>
        <v>1.3560258571931227</v>
      </c>
      <c r="AD243" s="142">
        <v>137</v>
      </c>
      <c r="AE243" s="142">
        <v>22.7</v>
      </c>
      <c r="AF243" s="142">
        <f>LOG(AE243)</f>
        <v>1.3560258571931227</v>
      </c>
      <c r="AG243" s="141" t="s">
        <v>3723</v>
      </c>
      <c r="AH243" s="142">
        <v>3</v>
      </c>
      <c r="AI243" s="142">
        <v>3</v>
      </c>
      <c r="AJ243" s="142"/>
      <c r="AK243" s="218"/>
      <c r="AL243" s="142" t="s">
        <v>3684</v>
      </c>
      <c r="AM243" s="142" t="s">
        <v>3684</v>
      </c>
    </row>
    <row r="244" spans="1:40" ht="15" customHeight="1">
      <c r="A244" s="195" t="s">
        <v>3792</v>
      </c>
      <c r="B244" s="195" t="s">
        <v>3793</v>
      </c>
      <c r="C244" s="195" t="s">
        <v>3794</v>
      </c>
      <c r="D244" s="195" t="s">
        <v>4182</v>
      </c>
      <c r="E244" s="196">
        <v>3</v>
      </c>
      <c r="F244" s="197">
        <f t="shared" si="24"/>
        <v>0.47712125471966244</v>
      </c>
      <c r="G244" s="196">
        <v>1</v>
      </c>
      <c r="H244" s="196">
        <v>1</v>
      </c>
      <c r="I244" s="197">
        <f>LOG(G244)</f>
        <v>0</v>
      </c>
      <c r="J244" s="197">
        <f t="shared" si="25"/>
        <v>0</v>
      </c>
      <c r="K244" s="202">
        <v>36.840000000000003</v>
      </c>
      <c r="L244" s="199">
        <f t="shared" si="26"/>
        <v>36.840000000000003</v>
      </c>
      <c r="M244" s="195" t="s">
        <v>3116</v>
      </c>
      <c r="N244" s="195" t="s">
        <v>3150</v>
      </c>
      <c r="O244" s="198">
        <v>44.9</v>
      </c>
      <c r="P244" s="195">
        <v>-6.4</v>
      </c>
      <c r="Q244" s="201">
        <v>0.22</v>
      </c>
      <c r="R244" s="202">
        <f t="shared" si="27"/>
        <v>8.6359830674748214E-2</v>
      </c>
      <c r="S244" s="202">
        <v>0.03</v>
      </c>
      <c r="T244" s="207" t="s">
        <v>3116</v>
      </c>
      <c r="U244" s="204"/>
      <c r="V244" s="195" t="s">
        <v>3503</v>
      </c>
      <c r="W244" s="141">
        <v>84</v>
      </c>
      <c r="X244" s="141" t="s">
        <v>352</v>
      </c>
      <c r="Y244" s="141">
        <v>20</v>
      </c>
      <c r="Z244" s="141">
        <v>20</v>
      </c>
      <c r="AA244" s="141"/>
      <c r="AB244" s="142">
        <f>3.46/1000</f>
        <v>3.46E-3</v>
      </c>
      <c r="AC244" s="142">
        <f t="shared" si="29"/>
        <v>-2.4609239012072233</v>
      </c>
      <c r="AD244" s="142"/>
      <c r="AE244" s="142">
        <f>3.46/1000</f>
        <v>3.46E-3</v>
      </c>
      <c r="AF244" s="142">
        <f>LOG(AE244)</f>
        <v>-2.4609239012072233</v>
      </c>
      <c r="AG244" s="141" t="s">
        <v>3504</v>
      </c>
      <c r="AH244" s="142">
        <v>3</v>
      </c>
      <c r="AI244" s="142">
        <v>3</v>
      </c>
      <c r="AJ244" s="142"/>
      <c r="AK244" s="218"/>
      <c r="AL244" s="142" t="s">
        <v>3684</v>
      </c>
      <c r="AM244" s="142" t="s">
        <v>3684</v>
      </c>
    </row>
    <row r="245" spans="1:40" ht="15" customHeight="1">
      <c r="A245" s="195" t="s">
        <v>3795</v>
      </c>
      <c r="B245" s="195" t="s">
        <v>3796</v>
      </c>
      <c r="C245" s="195" t="s">
        <v>3797</v>
      </c>
      <c r="D245" s="195" t="s">
        <v>4182</v>
      </c>
      <c r="E245" s="196">
        <v>7</v>
      </c>
      <c r="F245" s="197">
        <f t="shared" si="24"/>
        <v>0.84509804001425681</v>
      </c>
      <c r="G245" s="195" t="s">
        <v>3116</v>
      </c>
      <c r="H245" s="196">
        <v>1</v>
      </c>
      <c r="I245" s="197"/>
      <c r="J245" s="197">
        <f t="shared" si="25"/>
        <v>0</v>
      </c>
      <c r="K245" s="198">
        <v>18.100000000000001</v>
      </c>
      <c r="L245" s="199">
        <f t="shared" si="26"/>
        <v>18.100000000000001</v>
      </c>
      <c r="M245" s="195" t="s">
        <v>3116</v>
      </c>
      <c r="N245" s="195" t="s">
        <v>3150</v>
      </c>
      <c r="O245" s="198">
        <v>45.6</v>
      </c>
      <c r="P245" s="195" t="s">
        <v>3116</v>
      </c>
      <c r="Q245" s="206">
        <v>-0.03</v>
      </c>
      <c r="R245" s="202">
        <f t="shared" si="27"/>
        <v>-1.322826573375516E-2</v>
      </c>
      <c r="S245" s="195" t="s">
        <v>3116</v>
      </c>
      <c r="T245" s="207" t="s">
        <v>3116</v>
      </c>
      <c r="U245" s="204"/>
      <c r="V245" s="195" t="s">
        <v>3798</v>
      </c>
      <c r="W245" s="141">
        <v>91</v>
      </c>
      <c r="X245" s="141" t="s">
        <v>352</v>
      </c>
      <c r="Y245" s="141">
        <f>AVERAGE(20, 14, 18, 17)</f>
        <v>17.25</v>
      </c>
      <c r="Z245" s="141"/>
      <c r="AA245" s="141"/>
      <c r="AB245" s="141">
        <v>1</v>
      </c>
      <c r="AC245" s="142">
        <f t="shared" si="29"/>
        <v>0</v>
      </c>
      <c r="AD245" s="142"/>
      <c r="AE245" s="142"/>
      <c r="AF245" s="142"/>
      <c r="AG245" s="141" t="s">
        <v>3799</v>
      </c>
      <c r="AH245" s="142">
        <v>4</v>
      </c>
      <c r="AI245" s="142"/>
      <c r="AJ245" s="142"/>
      <c r="AK245" s="218"/>
      <c r="AL245" s="142" t="s">
        <v>3684</v>
      </c>
      <c r="AM245" s="142" t="s">
        <v>3684</v>
      </c>
    </row>
    <row r="246" spans="1:40" ht="15" customHeight="1">
      <c r="A246" s="195" t="s">
        <v>3800</v>
      </c>
      <c r="B246" s="195" t="s">
        <v>3801</v>
      </c>
      <c r="C246" s="195" t="s">
        <v>3802</v>
      </c>
      <c r="D246" s="195" t="s">
        <v>4182</v>
      </c>
      <c r="E246" s="196">
        <v>7</v>
      </c>
      <c r="F246" s="197">
        <f t="shared" si="24"/>
        <v>0.84509804001425681</v>
      </c>
      <c r="G246" s="195" t="s">
        <v>3116</v>
      </c>
      <c r="H246" s="196">
        <v>1</v>
      </c>
      <c r="I246" s="197"/>
      <c r="J246" s="197">
        <f t="shared" si="25"/>
        <v>0</v>
      </c>
      <c r="K246" s="195">
        <v>-14.33</v>
      </c>
      <c r="L246" s="199">
        <f t="shared" si="26"/>
        <v>14.33</v>
      </c>
      <c r="M246" s="195" t="s">
        <v>3116</v>
      </c>
      <c r="N246" s="195" t="s">
        <v>3150</v>
      </c>
      <c r="O246" s="198">
        <v>49.2</v>
      </c>
      <c r="P246" s="195" t="s">
        <v>3116</v>
      </c>
      <c r="Q246" s="201">
        <v>0.06</v>
      </c>
      <c r="R246" s="202">
        <f t="shared" si="27"/>
        <v>2.5305865264770262E-2</v>
      </c>
      <c r="S246" s="195" t="s">
        <v>3116</v>
      </c>
      <c r="T246" s="207" t="s">
        <v>3116</v>
      </c>
      <c r="U246" s="204"/>
      <c r="V246" s="195" t="s">
        <v>3798</v>
      </c>
      <c r="W246" s="141">
        <v>91</v>
      </c>
      <c r="X246" s="141" t="s">
        <v>352</v>
      </c>
      <c r="Y246" s="141">
        <f>AVERAGE(, 20, 20, 10, 19, 18, 18)</f>
        <v>15</v>
      </c>
      <c r="Z246" s="141"/>
      <c r="AA246" s="141"/>
      <c r="AB246" s="141">
        <v>1.18</v>
      </c>
      <c r="AC246" s="142">
        <f t="shared" si="29"/>
        <v>7.1882007306125359E-2</v>
      </c>
      <c r="AD246" s="142"/>
      <c r="AE246" s="142"/>
      <c r="AF246" s="142"/>
      <c r="AG246" s="141" t="s">
        <v>3799</v>
      </c>
      <c r="AH246" s="142">
        <v>6</v>
      </c>
      <c r="AI246" s="142"/>
      <c r="AJ246" s="142"/>
      <c r="AK246" s="218"/>
      <c r="AL246" s="142" t="s">
        <v>3684</v>
      </c>
      <c r="AM246" s="142" t="s">
        <v>3684</v>
      </c>
    </row>
    <row r="247" spans="1:40" ht="15" customHeight="1">
      <c r="A247" s="195" t="s">
        <v>3803</v>
      </c>
      <c r="B247" s="195" t="s">
        <v>3804</v>
      </c>
      <c r="C247" s="195" t="s">
        <v>3805</v>
      </c>
      <c r="D247" s="195" t="s">
        <v>4182</v>
      </c>
      <c r="E247" s="196">
        <v>7</v>
      </c>
      <c r="F247" s="197">
        <f t="shared" si="24"/>
        <v>0.84509804001425681</v>
      </c>
      <c r="G247" s="195" t="s">
        <v>3116</v>
      </c>
      <c r="H247" s="196">
        <v>1</v>
      </c>
      <c r="I247" s="197"/>
      <c r="J247" s="197">
        <f t="shared" si="25"/>
        <v>0</v>
      </c>
      <c r="K247" s="195">
        <v>-12.035</v>
      </c>
      <c r="L247" s="199">
        <f t="shared" si="26"/>
        <v>12.035</v>
      </c>
      <c r="M247" s="195" t="s">
        <v>3116</v>
      </c>
      <c r="N247" s="195" t="s">
        <v>3150</v>
      </c>
      <c r="O247" s="198">
        <v>47.3</v>
      </c>
      <c r="P247" s="195" t="s">
        <v>3116</v>
      </c>
      <c r="Q247" s="201">
        <v>0.02</v>
      </c>
      <c r="R247" s="202">
        <f t="shared" si="27"/>
        <v>8.6001717619175692E-3</v>
      </c>
      <c r="S247" s="195" t="s">
        <v>3116</v>
      </c>
      <c r="T247" s="207" t="s">
        <v>3116</v>
      </c>
      <c r="U247" s="204"/>
      <c r="V247" s="195" t="s">
        <v>3798</v>
      </c>
      <c r="W247" s="141">
        <v>91</v>
      </c>
      <c r="X247" s="141" t="s">
        <v>352</v>
      </c>
      <c r="Y247" s="141">
        <f>AVERAGE(19, 17, 20, 14)</f>
        <v>17.5</v>
      </c>
      <c r="Z247" s="141"/>
      <c r="AA247" s="141"/>
      <c r="AB247" s="141">
        <v>2</v>
      </c>
      <c r="AC247" s="142">
        <f t="shared" si="29"/>
        <v>0.3010299956639812</v>
      </c>
      <c r="AD247" s="142"/>
      <c r="AE247" s="142"/>
      <c r="AF247" s="142"/>
      <c r="AG247" s="141" t="s">
        <v>3806</v>
      </c>
      <c r="AH247" s="142">
        <v>4</v>
      </c>
      <c r="AI247" s="142"/>
      <c r="AJ247" s="142"/>
      <c r="AK247" s="218"/>
      <c r="AL247" s="142" t="s">
        <v>3684</v>
      </c>
      <c r="AM247" s="142" t="s">
        <v>3684</v>
      </c>
      <c r="AN247" s="155"/>
    </row>
    <row r="248" spans="1:40" ht="15" customHeight="1">
      <c r="A248" s="195" t="s">
        <v>3807</v>
      </c>
      <c r="B248" s="195" t="s">
        <v>3808</v>
      </c>
      <c r="C248" s="195" t="s">
        <v>3809</v>
      </c>
      <c r="D248" s="195" t="s">
        <v>4182</v>
      </c>
      <c r="E248" s="196">
        <v>7</v>
      </c>
      <c r="F248" s="197">
        <f t="shared" si="24"/>
        <v>0.84509804001425681</v>
      </c>
      <c r="G248" s="198">
        <v>0.5</v>
      </c>
      <c r="H248" s="198">
        <v>0.5</v>
      </c>
      <c r="I248" s="197">
        <f t="shared" ref="I248:I259" si="33">LOG(G248)</f>
        <v>-0.3010299956639812</v>
      </c>
      <c r="J248" s="197">
        <f t="shared" si="25"/>
        <v>-0.3010299956639812</v>
      </c>
      <c r="K248" s="195">
        <v>-54.28</v>
      </c>
      <c r="L248" s="199">
        <f t="shared" si="26"/>
        <v>54.28</v>
      </c>
      <c r="M248" s="195" t="s">
        <v>3116</v>
      </c>
      <c r="N248" s="195" t="s">
        <v>3150</v>
      </c>
      <c r="O248" s="196">
        <v>38</v>
      </c>
      <c r="P248" s="195">
        <v>-5.5</v>
      </c>
      <c r="Q248" s="201">
        <v>0.01</v>
      </c>
      <c r="R248" s="202">
        <f t="shared" si="27"/>
        <v>4.3213737826425782E-3</v>
      </c>
      <c r="S248" s="202">
        <v>0.16</v>
      </c>
      <c r="T248" s="207" t="s">
        <v>3116</v>
      </c>
      <c r="U248" s="204"/>
      <c r="V248" s="195" t="s">
        <v>3810</v>
      </c>
      <c r="W248" s="141">
        <v>92</v>
      </c>
      <c r="X248" s="141" t="s">
        <v>352</v>
      </c>
      <c r="Y248" s="141">
        <v>26</v>
      </c>
      <c r="Z248" s="141">
        <f>AVERAGE(30,30,26)</f>
        <v>28.666666666666668</v>
      </c>
      <c r="AA248" s="141"/>
      <c r="AB248" s="142">
        <f>AVERAGE(8.11, 8.27, 8.05, 7.82, 8.23)/1000</f>
        <v>8.0960000000000008E-3</v>
      </c>
      <c r="AC248" s="142">
        <f t="shared" si="29"/>
        <v>-2.0917295005042762</v>
      </c>
      <c r="AD248" s="142"/>
      <c r="AE248" s="142">
        <f>AVERAGE(8.11, 8.27, 8.05, 7.82, 8.23)/1000</f>
        <v>8.0960000000000008E-3</v>
      </c>
      <c r="AF248" s="142">
        <f t="shared" ref="AF248:AF259" si="34">LOG(AE248)</f>
        <v>-2.0917295005042762</v>
      </c>
      <c r="AG248" s="141" t="s">
        <v>3811</v>
      </c>
      <c r="AH248" s="142">
        <v>3</v>
      </c>
      <c r="AI248" s="142">
        <v>3</v>
      </c>
      <c r="AJ248" s="142"/>
      <c r="AK248" s="218"/>
      <c r="AL248" s="142" t="s">
        <v>3684</v>
      </c>
      <c r="AM248" s="142" t="s">
        <v>3684</v>
      </c>
      <c r="AN248" s="155"/>
    </row>
    <row r="249" spans="1:40" ht="15" customHeight="1">
      <c r="A249" s="195" t="s">
        <v>3812</v>
      </c>
      <c r="B249" s="195" t="s">
        <v>3813</v>
      </c>
      <c r="C249" s="195" t="s">
        <v>3814</v>
      </c>
      <c r="D249" s="195" t="s">
        <v>4182</v>
      </c>
      <c r="E249" s="196">
        <v>7</v>
      </c>
      <c r="F249" s="197">
        <f t="shared" si="24"/>
        <v>0.84509804001425681</v>
      </c>
      <c r="G249" s="202">
        <v>0.25</v>
      </c>
      <c r="H249" s="202">
        <v>0.25</v>
      </c>
      <c r="I249" s="197">
        <f t="shared" si="33"/>
        <v>-0.6020599913279624</v>
      </c>
      <c r="J249" s="197">
        <f t="shared" si="25"/>
        <v>-0.6020599913279624</v>
      </c>
      <c r="K249" s="195">
        <v>-26.4</v>
      </c>
      <c r="L249" s="199">
        <f t="shared" si="26"/>
        <v>26.4</v>
      </c>
      <c r="M249" s="195" t="s">
        <v>3116</v>
      </c>
      <c r="N249" s="195" t="s">
        <v>3150</v>
      </c>
      <c r="O249" s="198">
        <v>47.9</v>
      </c>
      <c r="P249" s="198">
        <v>6.4</v>
      </c>
      <c r="Q249" s="201">
        <v>0.04</v>
      </c>
      <c r="R249" s="202">
        <f t="shared" si="27"/>
        <v>1.703333929878037E-2</v>
      </c>
      <c r="S249" s="202">
        <v>0.11</v>
      </c>
      <c r="T249" s="207" t="s">
        <v>3116</v>
      </c>
      <c r="U249" s="204"/>
      <c r="V249" s="195" t="s">
        <v>3815</v>
      </c>
      <c r="W249" s="141">
        <v>93</v>
      </c>
      <c r="X249" s="141" t="s">
        <v>352</v>
      </c>
      <c r="Y249" s="141">
        <f>AVERAGE(24,30)</f>
        <v>27</v>
      </c>
      <c r="Z249" s="141">
        <f>AVERAGE(24,30)</f>
        <v>27</v>
      </c>
      <c r="AA249" s="141"/>
      <c r="AB249" s="142">
        <f>2/1000</f>
        <v>2E-3</v>
      </c>
      <c r="AC249" s="142">
        <f t="shared" si="29"/>
        <v>-2.6989700043360187</v>
      </c>
      <c r="AD249" s="142"/>
      <c r="AE249" s="142">
        <f>2/1000</f>
        <v>2E-3</v>
      </c>
      <c r="AF249" s="142">
        <f t="shared" si="34"/>
        <v>-2.6989700043360187</v>
      </c>
      <c r="AG249" s="141" t="s">
        <v>1632</v>
      </c>
      <c r="AH249" s="142">
        <v>3</v>
      </c>
      <c r="AI249" s="142">
        <v>3</v>
      </c>
      <c r="AJ249" s="142"/>
      <c r="AK249" s="218"/>
      <c r="AL249" s="142" t="s">
        <v>3684</v>
      </c>
      <c r="AM249" s="142" t="s">
        <v>3684</v>
      </c>
      <c r="AN249" s="155"/>
    </row>
    <row r="250" spans="1:40" ht="15" customHeight="1">
      <c r="A250" s="195" t="s">
        <v>3816</v>
      </c>
      <c r="B250" s="195" t="s">
        <v>3817</v>
      </c>
      <c r="C250" s="195" t="s">
        <v>3818</v>
      </c>
      <c r="D250" s="195" t="s">
        <v>4182</v>
      </c>
      <c r="E250" s="196">
        <v>7</v>
      </c>
      <c r="F250" s="197">
        <f t="shared" si="24"/>
        <v>0.84509804001425681</v>
      </c>
      <c r="G250" s="202">
        <v>0.25</v>
      </c>
      <c r="H250" s="202">
        <v>0.25</v>
      </c>
      <c r="I250" s="197">
        <f t="shared" si="33"/>
        <v>-0.6020599913279624</v>
      </c>
      <c r="J250" s="197">
        <f t="shared" si="25"/>
        <v>-0.6020599913279624</v>
      </c>
      <c r="K250" s="202">
        <v>53.73</v>
      </c>
      <c r="L250" s="199">
        <f t="shared" si="26"/>
        <v>53.73</v>
      </c>
      <c r="M250" s="195" t="s">
        <v>3116</v>
      </c>
      <c r="N250" s="195" t="s">
        <v>3150</v>
      </c>
      <c r="O250" s="198">
        <v>44.9</v>
      </c>
      <c r="P250" s="196">
        <v>3</v>
      </c>
      <c r="Q250" s="201">
        <v>0.1</v>
      </c>
      <c r="R250" s="202">
        <f t="shared" si="27"/>
        <v>4.1392685158225077E-2</v>
      </c>
      <c r="S250" s="202">
        <v>0.22</v>
      </c>
      <c r="T250" s="207" t="s">
        <v>3116</v>
      </c>
      <c r="U250" s="204"/>
      <c r="V250" s="195" t="s">
        <v>3815</v>
      </c>
      <c r="W250" s="141">
        <v>93</v>
      </c>
      <c r="X250" s="141" t="s">
        <v>352</v>
      </c>
      <c r="Y250" s="141">
        <v>9</v>
      </c>
      <c r="Z250" s="141">
        <v>9</v>
      </c>
      <c r="AA250" s="141"/>
      <c r="AB250" s="142">
        <v>5.9799999999999999E-2</v>
      </c>
      <c r="AC250" s="142">
        <f t="shared" si="29"/>
        <v>-1.2232988160115892</v>
      </c>
      <c r="AD250" s="142"/>
      <c r="AE250" s="142">
        <v>5.9799999999999999E-2</v>
      </c>
      <c r="AF250" s="142">
        <f t="shared" si="34"/>
        <v>-1.2232988160115892</v>
      </c>
      <c r="AG250" s="141" t="s">
        <v>1632</v>
      </c>
      <c r="AH250" s="142">
        <v>2</v>
      </c>
      <c r="AI250" s="142">
        <v>2</v>
      </c>
      <c r="AJ250" s="142"/>
      <c r="AK250" s="218"/>
      <c r="AL250" s="142" t="s">
        <v>3684</v>
      </c>
      <c r="AM250" s="142" t="s">
        <v>3684</v>
      </c>
      <c r="AN250" s="155"/>
    </row>
    <row r="251" spans="1:40" ht="15" customHeight="1">
      <c r="A251" s="195" t="s">
        <v>3819</v>
      </c>
      <c r="B251" s="195" t="s">
        <v>3820</v>
      </c>
      <c r="C251" s="195" t="s">
        <v>3821</v>
      </c>
      <c r="D251" s="195" t="s">
        <v>4182</v>
      </c>
      <c r="E251" s="196">
        <v>10</v>
      </c>
      <c r="F251" s="197">
        <f t="shared" si="24"/>
        <v>1</v>
      </c>
      <c r="G251" s="202">
        <v>0.25</v>
      </c>
      <c r="H251" s="202">
        <v>0.25</v>
      </c>
      <c r="I251" s="197">
        <f t="shared" si="33"/>
        <v>-0.6020599913279624</v>
      </c>
      <c r="J251" s="197">
        <f t="shared" si="25"/>
        <v>-0.6020599913279624</v>
      </c>
      <c r="K251" s="202">
        <v>34.549999999999997</v>
      </c>
      <c r="L251" s="199">
        <f t="shared" si="26"/>
        <v>34.549999999999997</v>
      </c>
      <c r="M251" s="195" t="s">
        <v>3116</v>
      </c>
      <c r="N251" s="195" t="s">
        <v>3150</v>
      </c>
      <c r="O251" s="196">
        <v>42</v>
      </c>
      <c r="P251" s="198">
        <v>6.4</v>
      </c>
      <c r="Q251" s="201">
        <v>0.15</v>
      </c>
      <c r="R251" s="202">
        <f t="shared" si="27"/>
        <v>6.069784035361165E-2</v>
      </c>
      <c r="S251" s="202">
        <v>0.23</v>
      </c>
      <c r="T251" s="207" t="s">
        <v>3116</v>
      </c>
      <c r="U251" s="204"/>
      <c r="V251" s="195" t="s">
        <v>3822</v>
      </c>
      <c r="W251" s="141">
        <v>94</v>
      </c>
      <c r="X251" s="141" t="s">
        <v>352</v>
      </c>
      <c r="Y251" s="141">
        <v>20</v>
      </c>
      <c r="Z251" s="141">
        <v>20</v>
      </c>
      <c r="AA251" s="141"/>
      <c r="AB251" s="142">
        <f>5.2/1000</f>
        <v>5.1999999999999998E-3</v>
      </c>
      <c r="AC251" s="142">
        <f t="shared" si="29"/>
        <v>-2.283996656365201</v>
      </c>
      <c r="AD251" s="142"/>
      <c r="AE251" s="142">
        <f>5.2/1000</f>
        <v>5.1999999999999998E-3</v>
      </c>
      <c r="AF251" s="142">
        <f t="shared" si="34"/>
        <v>-2.283996656365201</v>
      </c>
      <c r="AG251" s="141" t="s">
        <v>3823</v>
      </c>
      <c r="AH251" s="142">
        <v>3</v>
      </c>
      <c r="AI251" s="142">
        <v>3</v>
      </c>
      <c r="AJ251" s="142"/>
      <c r="AK251" s="218"/>
      <c r="AL251" s="142" t="s">
        <v>3684</v>
      </c>
      <c r="AM251" s="142" t="s">
        <v>3684</v>
      </c>
      <c r="AN251" s="155"/>
    </row>
    <row r="252" spans="1:40" ht="15" customHeight="1">
      <c r="A252" s="195" t="s">
        <v>3824</v>
      </c>
      <c r="B252" s="195" t="s">
        <v>3825</v>
      </c>
      <c r="C252" s="195" t="s">
        <v>3826</v>
      </c>
      <c r="D252" s="195" t="s">
        <v>4182</v>
      </c>
      <c r="E252" s="196">
        <v>18</v>
      </c>
      <c r="F252" s="197">
        <f t="shared" si="24"/>
        <v>1.255272505103306</v>
      </c>
      <c r="G252" s="198">
        <v>0.5</v>
      </c>
      <c r="H252" s="198">
        <v>0.5</v>
      </c>
      <c r="I252" s="197">
        <f t="shared" si="33"/>
        <v>-0.3010299956639812</v>
      </c>
      <c r="J252" s="197">
        <f t="shared" si="25"/>
        <v>-0.3010299956639812</v>
      </c>
      <c r="K252" s="205">
        <v>25.414999999999999</v>
      </c>
      <c r="L252" s="199">
        <f t="shared" si="26"/>
        <v>25.414999999999999</v>
      </c>
      <c r="M252" s="195" t="s">
        <v>3116</v>
      </c>
      <c r="N252" s="195" t="s">
        <v>3150</v>
      </c>
      <c r="O252" s="198">
        <v>37.299999999999997</v>
      </c>
      <c r="P252" s="198">
        <v>8.1</v>
      </c>
      <c r="Q252" s="201">
        <v>0.09</v>
      </c>
      <c r="R252" s="202">
        <f t="shared" si="27"/>
        <v>3.7426497940623665E-2</v>
      </c>
      <c r="S252" s="202">
        <v>0.56000000000000005</v>
      </c>
      <c r="T252" s="207" t="s">
        <v>3116</v>
      </c>
      <c r="U252" s="204"/>
      <c r="V252" s="195" t="s">
        <v>3827</v>
      </c>
      <c r="W252" s="141">
        <v>95</v>
      </c>
      <c r="X252" s="141" t="s">
        <v>352</v>
      </c>
      <c r="Y252" s="141">
        <v>20</v>
      </c>
      <c r="Z252" s="141">
        <v>20</v>
      </c>
      <c r="AA252" s="141"/>
      <c r="AB252" s="142">
        <f>20/1000</f>
        <v>0.02</v>
      </c>
      <c r="AC252" s="142">
        <f t="shared" si="29"/>
        <v>-1.6989700043360187</v>
      </c>
      <c r="AD252" s="142"/>
      <c r="AE252" s="142">
        <f>20/1000</f>
        <v>0.02</v>
      </c>
      <c r="AF252" s="142">
        <f t="shared" si="34"/>
        <v>-1.6989700043360187</v>
      </c>
      <c r="AG252" s="141" t="s">
        <v>3828</v>
      </c>
      <c r="AH252" s="142">
        <v>3</v>
      </c>
      <c r="AI252" s="142">
        <v>3</v>
      </c>
      <c r="AJ252" s="142"/>
      <c r="AK252" s="218"/>
      <c r="AL252" s="142" t="s">
        <v>3684</v>
      </c>
      <c r="AM252" s="142" t="s">
        <v>3684</v>
      </c>
    </row>
    <row r="253" spans="1:40" ht="15" customHeight="1">
      <c r="A253" s="195" t="s">
        <v>3829</v>
      </c>
      <c r="B253" s="195" t="s">
        <v>3830</v>
      </c>
      <c r="C253" s="195" t="s">
        <v>3831</v>
      </c>
      <c r="D253" s="195" t="s">
        <v>4182</v>
      </c>
      <c r="E253" s="196">
        <v>7</v>
      </c>
      <c r="F253" s="197">
        <f t="shared" si="24"/>
        <v>0.84509804001425681</v>
      </c>
      <c r="G253" s="196">
        <v>1</v>
      </c>
      <c r="H253" s="202">
        <v>0.43</v>
      </c>
      <c r="I253" s="197">
        <f t="shared" si="33"/>
        <v>0</v>
      </c>
      <c r="J253" s="197">
        <f t="shared" si="25"/>
        <v>-0.36653154442041347</v>
      </c>
      <c r="K253" s="195">
        <v>-25.34</v>
      </c>
      <c r="L253" s="199">
        <f t="shared" si="26"/>
        <v>25.34</v>
      </c>
      <c r="M253" s="195" t="s">
        <v>3116</v>
      </c>
      <c r="N253" s="195" t="s">
        <v>3150</v>
      </c>
      <c r="O253" s="198">
        <v>41.8</v>
      </c>
      <c r="P253" s="198">
        <v>1.1000000000000001</v>
      </c>
      <c r="Q253" s="201">
        <v>0.1</v>
      </c>
      <c r="R253" s="202">
        <f t="shared" si="27"/>
        <v>4.1392685158225077E-2</v>
      </c>
      <c r="S253" s="202">
        <v>0.15</v>
      </c>
      <c r="T253" s="207" t="s">
        <v>3116</v>
      </c>
      <c r="U253" s="204"/>
      <c r="V253" s="195" t="s">
        <v>3832</v>
      </c>
      <c r="W253" s="141">
        <v>96</v>
      </c>
      <c r="X253" s="141" t="s">
        <v>352</v>
      </c>
      <c r="Y253" s="141">
        <v>10</v>
      </c>
      <c r="Z253" s="141">
        <v>10</v>
      </c>
      <c r="AA253" s="141"/>
      <c r="AB253" s="142">
        <f>1.5/2000</f>
        <v>7.5000000000000002E-4</v>
      </c>
      <c r="AC253" s="142">
        <f t="shared" si="29"/>
        <v>-3.1249387366082999</v>
      </c>
      <c r="AD253" s="142"/>
      <c r="AE253" s="142">
        <f>1.5/2000</f>
        <v>7.5000000000000002E-4</v>
      </c>
      <c r="AF253" s="142">
        <f t="shared" si="34"/>
        <v>-3.1249387366082999</v>
      </c>
      <c r="AG253" s="141" t="s">
        <v>3833</v>
      </c>
      <c r="AH253" s="142">
        <v>8</v>
      </c>
      <c r="AI253" s="142">
        <v>8</v>
      </c>
      <c r="AJ253" s="142"/>
      <c r="AK253" s="218"/>
      <c r="AL253" s="142" t="s">
        <v>3684</v>
      </c>
      <c r="AM253" s="142" t="s">
        <v>3684</v>
      </c>
    </row>
    <row r="254" spans="1:40" ht="15" customHeight="1">
      <c r="A254" s="195" t="s">
        <v>3834</v>
      </c>
      <c r="B254" s="195" t="s">
        <v>3835</v>
      </c>
      <c r="C254" s="195" t="s">
        <v>3836</v>
      </c>
      <c r="D254" s="195" t="s">
        <v>4182</v>
      </c>
      <c r="E254" s="196">
        <v>6</v>
      </c>
      <c r="F254" s="197">
        <f t="shared" si="24"/>
        <v>0.77815125038364363</v>
      </c>
      <c r="G254" s="202">
        <v>0.25</v>
      </c>
      <c r="H254" s="202">
        <v>0.25</v>
      </c>
      <c r="I254" s="197">
        <f t="shared" si="33"/>
        <v>-0.6020599913279624</v>
      </c>
      <c r="J254" s="197">
        <f t="shared" si="25"/>
        <v>-0.6020599913279624</v>
      </c>
      <c r="K254" s="202">
        <v>52.62</v>
      </c>
      <c r="L254" s="199">
        <f t="shared" si="26"/>
        <v>52.62</v>
      </c>
      <c r="M254" s="195" t="s">
        <v>3116</v>
      </c>
      <c r="N254" s="195" t="s">
        <v>3150</v>
      </c>
      <c r="O254" s="198">
        <v>43.7</v>
      </c>
      <c r="P254" s="196">
        <v>0</v>
      </c>
      <c r="Q254" s="201">
        <v>0.17</v>
      </c>
      <c r="R254" s="202">
        <f t="shared" si="27"/>
        <v>6.8185861746161619E-2</v>
      </c>
      <c r="S254" s="202">
        <v>0.32</v>
      </c>
      <c r="T254" s="207" t="s">
        <v>3116</v>
      </c>
      <c r="U254" s="204"/>
      <c r="V254" s="195" t="s">
        <v>3837</v>
      </c>
      <c r="W254" s="141">
        <v>97</v>
      </c>
      <c r="X254" s="141" t="s">
        <v>352</v>
      </c>
      <c r="Y254" s="141">
        <v>20</v>
      </c>
      <c r="Z254" s="141">
        <v>20</v>
      </c>
      <c r="AA254" s="141"/>
      <c r="AB254" s="142">
        <f>45/1000</f>
        <v>4.4999999999999998E-2</v>
      </c>
      <c r="AC254" s="142">
        <f t="shared" si="29"/>
        <v>-1.3467874862246563</v>
      </c>
      <c r="AD254" s="142"/>
      <c r="AE254" s="142">
        <f>45/1000</f>
        <v>4.4999999999999998E-2</v>
      </c>
      <c r="AF254" s="142">
        <f t="shared" si="34"/>
        <v>-1.3467874862246563</v>
      </c>
      <c r="AG254" s="141" t="s">
        <v>3838</v>
      </c>
      <c r="AH254" s="142">
        <v>3</v>
      </c>
      <c r="AI254" s="142">
        <v>3</v>
      </c>
      <c r="AJ254" s="142"/>
      <c r="AK254" s="218"/>
      <c r="AL254" s="142" t="s">
        <v>3684</v>
      </c>
      <c r="AM254" s="142" t="s">
        <v>3684</v>
      </c>
    </row>
    <row r="255" spans="1:40" ht="15" customHeight="1">
      <c r="A255" s="195" t="s">
        <v>3839</v>
      </c>
      <c r="B255" s="195" t="s">
        <v>3840</v>
      </c>
      <c r="C255" s="195" t="s">
        <v>3841</v>
      </c>
      <c r="D255" s="195" t="s">
        <v>4184</v>
      </c>
      <c r="E255" s="196">
        <v>14</v>
      </c>
      <c r="F255" s="197">
        <f t="shared" si="24"/>
        <v>1.146128035678238</v>
      </c>
      <c r="G255" s="202">
        <v>0.75</v>
      </c>
      <c r="H255" s="196">
        <v>1</v>
      </c>
      <c r="I255" s="197">
        <f t="shared" si="33"/>
        <v>-0.12493873660829995</v>
      </c>
      <c r="J255" s="197">
        <f t="shared" si="25"/>
        <v>0</v>
      </c>
      <c r="K255" s="198">
        <v>30.3</v>
      </c>
      <c r="L255" s="199">
        <f t="shared" si="26"/>
        <v>30.3</v>
      </c>
      <c r="M255" s="195" t="s">
        <v>3116</v>
      </c>
      <c r="N255" s="195" t="s">
        <v>3150</v>
      </c>
      <c r="O255" s="198">
        <v>45.1</v>
      </c>
      <c r="P255" s="198">
        <v>11.1</v>
      </c>
      <c r="Q255" s="201">
        <v>0.16</v>
      </c>
      <c r="R255" s="202">
        <f t="shared" si="27"/>
        <v>6.445798922691845E-2</v>
      </c>
      <c r="S255" s="202">
        <v>0.27</v>
      </c>
      <c r="T255" s="207" t="s">
        <v>3116</v>
      </c>
      <c r="U255" s="204"/>
      <c r="V255" s="195" t="s">
        <v>3842</v>
      </c>
      <c r="W255" s="141">
        <v>110</v>
      </c>
      <c r="X255" s="141" t="s">
        <v>352</v>
      </c>
      <c r="Y255" s="141">
        <f>AVERAGE(21,16,14)</f>
        <v>17</v>
      </c>
      <c r="Z255" s="141">
        <f>AVERAGE(20,16,19)</f>
        <v>18.333333333333332</v>
      </c>
      <c r="AA255" s="141"/>
      <c r="AB255" s="142">
        <f>AVERAGE(4.2,2.8)</f>
        <v>3.5</v>
      </c>
      <c r="AC255" s="142">
        <f t="shared" si="29"/>
        <v>0.54406804435027567</v>
      </c>
      <c r="AD255" s="142"/>
      <c r="AE255" s="142">
        <f>AVERAGE(4.2,2.8)</f>
        <v>3.5</v>
      </c>
      <c r="AF255" s="142">
        <f t="shared" si="34"/>
        <v>0.54406804435027567</v>
      </c>
      <c r="AG255" s="141" t="s">
        <v>3843</v>
      </c>
      <c r="AH255" s="141">
        <v>3</v>
      </c>
      <c r="AI255" s="141">
        <v>3</v>
      </c>
      <c r="AJ255" s="142"/>
      <c r="AK255" s="218"/>
      <c r="AL255" s="142" t="s">
        <v>3684</v>
      </c>
      <c r="AM255" s="142" t="s">
        <v>3684</v>
      </c>
    </row>
    <row r="256" spans="1:40" ht="15" customHeight="1">
      <c r="A256" s="195" t="s">
        <v>3844</v>
      </c>
      <c r="B256" s="195" t="s">
        <v>3845</v>
      </c>
      <c r="C256" s="195" t="s">
        <v>3846</v>
      </c>
      <c r="D256" s="195" t="s">
        <v>4184</v>
      </c>
      <c r="E256" s="196">
        <v>14</v>
      </c>
      <c r="F256" s="197">
        <f t="shared" si="24"/>
        <v>1.146128035678238</v>
      </c>
      <c r="G256" s="202">
        <v>0.75</v>
      </c>
      <c r="H256" s="196">
        <v>1</v>
      </c>
      <c r="I256" s="197">
        <f t="shared" si="33"/>
        <v>-0.12493873660829995</v>
      </c>
      <c r="J256" s="197">
        <f t="shared" si="25"/>
        <v>0</v>
      </c>
      <c r="K256" s="198">
        <v>31.7</v>
      </c>
      <c r="L256" s="199">
        <f t="shared" si="26"/>
        <v>31.7</v>
      </c>
      <c r="M256" s="195" t="s">
        <v>3116</v>
      </c>
      <c r="N256" s="195" t="s">
        <v>3150</v>
      </c>
      <c r="O256" s="196">
        <v>48</v>
      </c>
      <c r="P256" s="198">
        <v>6.1</v>
      </c>
      <c r="Q256" s="201">
        <v>0.06</v>
      </c>
      <c r="R256" s="202">
        <f t="shared" si="27"/>
        <v>2.5305865264770262E-2</v>
      </c>
      <c r="S256" s="202">
        <v>0.25</v>
      </c>
      <c r="T256" s="207" t="s">
        <v>3116</v>
      </c>
      <c r="U256" s="204"/>
      <c r="V256" s="195" t="s">
        <v>3842</v>
      </c>
      <c r="W256" s="141">
        <v>110</v>
      </c>
      <c r="X256" s="141" t="s">
        <v>352</v>
      </c>
      <c r="Y256" s="141">
        <f>AVERAGE(14,15,15)</f>
        <v>14.666666666666666</v>
      </c>
      <c r="Z256" s="141">
        <f>AVERAGE(14,16,17)</f>
        <v>15.666666666666666</v>
      </c>
      <c r="AA256" s="141"/>
      <c r="AB256" s="142">
        <f>AVERAGE(60.5,37.8)</f>
        <v>49.15</v>
      </c>
      <c r="AC256" s="142">
        <f t="shared" si="29"/>
        <v>1.6915235221681544</v>
      </c>
      <c r="AD256" s="142"/>
      <c r="AE256" s="142">
        <f>AVERAGE(60.5,37.8)</f>
        <v>49.15</v>
      </c>
      <c r="AF256" s="142">
        <f t="shared" si="34"/>
        <v>1.6915235221681544</v>
      </c>
      <c r="AG256" s="141" t="s">
        <v>3843</v>
      </c>
      <c r="AH256" s="142">
        <v>3</v>
      </c>
      <c r="AI256" s="142">
        <v>3</v>
      </c>
      <c r="AJ256" s="142"/>
      <c r="AK256" s="218"/>
      <c r="AL256" s="142" t="s">
        <v>3684</v>
      </c>
      <c r="AM256" s="142" t="s">
        <v>3684</v>
      </c>
    </row>
    <row r="257" spans="1:54" ht="15" customHeight="1">
      <c r="A257" s="195" t="s">
        <v>3847</v>
      </c>
      <c r="B257" s="195" t="s">
        <v>3848</v>
      </c>
      <c r="C257" s="195" t="s">
        <v>3849</v>
      </c>
      <c r="D257" s="195" t="s">
        <v>4184</v>
      </c>
      <c r="E257" s="196">
        <v>14</v>
      </c>
      <c r="F257" s="197">
        <f t="shared" si="24"/>
        <v>1.146128035678238</v>
      </c>
      <c r="G257" s="202">
        <v>0.75</v>
      </c>
      <c r="H257" s="196">
        <v>1</v>
      </c>
      <c r="I257" s="197">
        <f t="shared" si="33"/>
        <v>-0.12493873660829995</v>
      </c>
      <c r="J257" s="197">
        <f t="shared" si="25"/>
        <v>0</v>
      </c>
      <c r="K257" s="198">
        <v>35.9</v>
      </c>
      <c r="L257" s="199">
        <f t="shared" si="26"/>
        <v>35.9</v>
      </c>
      <c r="M257" s="195" t="s">
        <v>3116</v>
      </c>
      <c r="N257" s="195" t="s">
        <v>3150</v>
      </c>
      <c r="O257" s="198">
        <v>44.5</v>
      </c>
      <c r="P257" s="198">
        <v>8.9</v>
      </c>
      <c r="Q257" s="206">
        <v>-0.01</v>
      </c>
      <c r="R257" s="202">
        <f t="shared" si="27"/>
        <v>-4.3648054024500883E-3</v>
      </c>
      <c r="S257" s="202">
        <v>0.3</v>
      </c>
      <c r="T257" s="207" t="s">
        <v>3116</v>
      </c>
      <c r="U257" s="204"/>
      <c r="V257" s="195" t="s">
        <v>3842</v>
      </c>
      <c r="W257" s="141">
        <v>110</v>
      </c>
      <c r="X257" s="141" t="s">
        <v>352</v>
      </c>
      <c r="Y257" s="141">
        <f>AVERAGE(15,15,15)</f>
        <v>15</v>
      </c>
      <c r="Z257" s="141">
        <f>AVERAGE(14,21,15)</f>
        <v>16.666666666666668</v>
      </c>
      <c r="AA257" s="141"/>
      <c r="AB257" s="142">
        <f>AVERAGE(17.3,6.8,2.5)</f>
        <v>8.8666666666666671</v>
      </c>
      <c r="AC257" s="142">
        <f t="shared" si="29"/>
        <v>0.94776038191140455</v>
      </c>
      <c r="AD257" s="142"/>
      <c r="AE257" s="142">
        <f>AVERAGE(17.3,6.8,2.5)</f>
        <v>8.8666666666666671</v>
      </c>
      <c r="AF257" s="142">
        <f t="shared" si="34"/>
        <v>0.94776038191140455</v>
      </c>
      <c r="AG257" s="141" t="s">
        <v>3843</v>
      </c>
      <c r="AH257" s="142">
        <v>3</v>
      </c>
      <c r="AI257" s="142">
        <v>3</v>
      </c>
      <c r="AJ257" s="142"/>
      <c r="AK257" s="218"/>
      <c r="AL257" s="142" t="s">
        <v>3684</v>
      </c>
      <c r="AM257" s="142" t="s">
        <v>3684</v>
      </c>
      <c r="AN257" s="130"/>
      <c r="AO257" s="130"/>
      <c r="AP257" s="130"/>
      <c r="AQ257" s="130"/>
      <c r="AR257" s="130"/>
    </row>
    <row r="258" spans="1:54" ht="15" customHeight="1">
      <c r="A258" s="195" t="s">
        <v>3850</v>
      </c>
      <c r="B258" s="195" t="s">
        <v>3851</v>
      </c>
      <c r="C258" s="195" t="s">
        <v>3852</v>
      </c>
      <c r="D258" s="195" t="s">
        <v>4184</v>
      </c>
      <c r="E258" s="196">
        <v>14</v>
      </c>
      <c r="F258" s="197">
        <f t="shared" si="24"/>
        <v>1.146128035678238</v>
      </c>
      <c r="G258" s="202">
        <v>0.75</v>
      </c>
      <c r="H258" s="196">
        <v>1</v>
      </c>
      <c r="I258" s="197">
        <f t="shared" si="33"/>
        <v>-0.12493873660829995</v>
      </c>
      <c r="J258" s="197">
        <f t="shared" si="25"/>
        <v>0</v>
      </c>
      <c r="K258" s="198">
        <v>30.6</v>
      </c>
      <c r="L258" s="199">
        <f t="shared" si="26"/>
        <v>30.6</v>
      </c>
      <c r="M258" s="195" t="s">
        <v>3116</v>
      </c>
      <c r="N258" s="195" t="s">
        <v>3150</v>
      </c>
      <c r="O258" s="196">
        <v>44</v>
      </c>
      <c r="P258" s="198">
        <v>4.2</v>
      </c>
      <c r="Q258" s="201">
        <v>0.2</v>
      </c>
      <c r="R258" s="202">
        <f t="shared" si="27"/>
        <v>7.9181246047624818E-2</v>
      </c>
      <c r="S258" s="202">
        <v>0.2</v>
      </c>
      <c r="T258" s="207" t="s">
        <v>3116</v>
      </c>
      <c r="U258" s="204"/>
      <c r="V258" s="195" t="s">
        <v>3842</v>
      </c>
      <c r="W258" s="141">
        <v>110</v>
      </c>
      <c r="X258" s="141" t="s">
        <v>352</v>
      </c>
      <c r="Y258" s="141">
        <f>AVERAGE(14,10,9)</f>
        <v>11</v>
      </c>
      <c r="Z258" s="141">
        <f>AVERAGE(14,10,7)</f>
        <v>10.333333333333334</v>
      </c>
      <c r="AA258" s="141"/>
      <c r="AB258" s="142">
        <f>AVERAGE(1.7,1)</f>
        <v>1.35</v>
      </c>
      <c r="AC258" s="142">
        <f t="shared" si="29"/>
        <v>0.13033376849500614</v>
      </c>
      <c r="AD258" s="142"/>
      <c r="AE258" s="142">
        <f>AVERAGE(1.7,1)</f>
        <v>1.35</v>
      </c>
      <c r="AF258" s="142">
        <f t="shared" si="34"/>
        <v>0.13033376849500614</v>
      </c>
      <c r="AG258" s="141" t="s">
        <v>3843</v>
      </c>
      <c r="AH258" s="142">
        <v>3</v>
      </c>
      <c r="AI258" s="142">
        <v>3</v>
      </c>
      <c r="AJ258" s="141"/>
      <c r="AK258" s="218"/>
      <c r="AL258" s="142" t="s">
        <v>3684</v>
      </c>
      <c r="AM258" s="142" t="s">
        <v>3684</v>
      </c>
      <c r="AN258" s="130"/>
      <c r="AO258" s="130"/>
      <c r="BB258" s="144"/>
    </row>
    <row r="259" spans="1:54" ht="15" customHeight="1">
      <c r="A259" s="195" t="s">
        <v>3853</v>
      </c>
      <c r="B259" s="195" t="s">
        <v>3854</v>
      </c>
      <c r="C259" s="195" t="s">
        <v>3855</v>
      </c>
      <c r="D259" s="195" t="s">
        <v>4184</v>
      </c>
      <c r="E259" s="196">
        <v>28</v>
      </c>
      <c r="F259" s="197">
        <f t="shared" si="24"/>
        <v>1.4471580313422192</v>
      </c>
      <c r="G259" s="198">
        <v>0.3</v>
      </c>
      <c r="H259" s="198">
        <v>0.3</v>
      </c>
      <c r="I259" s="197">
        <f t="shared" si="33"/>
        <v>-0.52287874528033762</v>
      </c>
      <c r="J259" s="197">
        <f t="shared" si="25"/>
        <v>-0.52287874528033762</v>
      </c>
      <c r="K259" s="202">
        <v>23.19</v>
      </c>
      <c r="L259" s="199">
        <f t="shared" si="26"/>
        <v>23.19</v>
      </c>
      <c r="M259" s="195" t="s">
        <v>3116</v>
      </c>
      <c r="N259" s="195" t="s">
        <v>3150</v>
      </c>
      <c r="O259" s="198">
        <v>41.8</v>
      </c>
      <c r="P259" s="198">
        <v>2.6</v>
      </c>
      <c r="Q259" s="201">
        <v>0.14000000000000001</v>
      </c>
      <c r="R259" s="202">
        <f t="shared" si="27"/>
        <v>5.6904851336472641E-2</v>
      </c>
      <c r="S259" s="202">
        <v>0.12</v>
      </c>
      <c r="T259" s="207" t="s">
        <v>3116</v>
      </c>
      <c r="U259" s="204"/>
      <c r="V259" s="195" t="s">
        <v>3856</v>
      </c>
      <c r="W259" s="141">
        <v>112</v>
      </c>
      <c r="X259" s="141" t="s">
        <v>3271</v>
      </c>
      <c r="Y259" s="141">
        <f>AVERAGE(22,22,28)</f>
        <v>24</v>
      </c>
      <c r="Z259" s="141">
        <f>AVERAGE(22,22,28)</f>
        <v>24</v>
      </c>
      <c r="AA259" s="141"/>
      <c r="AB259" s="142">
        <v>10</v>
      </c>
      <c r="AC259" s="142">
        <f t="shared" si="29"/>
        <v>1</v>
      </c>
      <c r="AD259" s="142"/>
      <c r="AE259" s="142">
        <v>10</v>
      </c>
      <c r="AF259" s="142">
        <f t="shared" si="34"/>
        <v>1</v>
      </c>
      <c r="AG259" s="148" t="s">
        <v>3857</v>
      </c>
      <c r="AH259" s="142">
        <v>3</v>
      </c>
      <c r="AI259" s="142">
        <v>3</v>
      </c>
      <c r="AJ259" s="142"/>
      <c r="AK259" s="218"/>
      <c r="AL259" s="142" t="s">
        <v>3684</v>
      </c>
      <c r="AM259" s="142" t="s">
        <v>3684</v>
      </c>
      <c r="AO259" s="153"/>
      <c r="AW259" s="144"/>
      <c r="BB259" s="144"/>
    </row>
    <row r="260" spans="1:54" ht="15" customHeight="1">
      <c r="A260" s="131"/>
      <c r="B260" s="131"/>
      <c r="C260" s="131"/>
      <c r="D260" s="131"/>
      <c r="E260" s="132"/>
      <c r="F260" s="133"/>
      <c r="G260" s="134"/>
      <c r="H260" s="134"/>
      <c r="I260" s="133"/>
      <c r="J260" s="133"/>
      <c r="K260" s="138"/>
      <c r="L260" s="135"/>
      <c r="M260" s="131"/>
      <c r="N260" s="131"/>
      <c r="O260" s="134"/>
      <c r="P260" s="134"/>
      <c r="Q260" s="137"/>
      <c r="R260" s="138"/>
      <c r="S260" s="138"/>
      <c r="T260" s="158"/>
      <c r="U260" s="140"/>
      <c r="V260" s="131"/>
      <c r="W260" s="121"/>
      <c r="X260" s="141"/>
      <c r="Y260" s="141"/>
      <c r="Z260" s="141"/>
      <c r="AA260" s="141"/>
      <c r="AB260" s="142"/>
      <c r="AC260" s="142"/>
      <c r="AD260" s="142"/>
      <c r="AE260" s="142"/>
      <c r="AF260" s="142"/>
      <c r="AG260" s="148"/>
      <c r="AH260" s="142"/>
      <c r="AI260" s="142"/>
      <c r="AJ260" s="142"/>
      <c r="AK260" s="142"/>
      <c r="AO260" s="153"/>
      <c r="AW260" s="144"/>
      <c r="BB260" s="144"/>
    </row>
    <row r="261" spans="1:54" ht="15" customHeight="1">
      <c r="A261" s="131"/>
      <c r="B261" s="131"/>
      <c r="C261" s="131"/>
      <c r="D261" s="131"/>
      <c r="E261" s="132"/>
      <c r="F261" s="133"/>
      <c r="G261" s="134"/>
      <c r="H261" s="134"/>
      <c r="I261" s="133"/>
      <c r="J261" s="133"/>
      <c r="K261" s="138"/>
      <c r="L261" s="135"/>
      <c r="M261" s="131"/>
      <c r="N261" s="131"/>
      <c r="O261" s="134"/>
      <c r="P261" s="134"/>
      <c r="Q261" s="137"/>
      <c r="R261" s="138"/>
      <c r="S261" s="138"/>
      <c r="T261" s="158"/>
      <c r="U261" s="140"/>
      <c r="V261" s="131"/>
      <c r="W261" s="121"/>
      <c r="X261" s="141"/>
      <c r="Y261" s="141"/>
      <c r="Z261" s="141"/>
      <c r="AA261" s="141"/>
      <c r="AB261" s="142"/>
      <c r="AC261" s="142"/>
      <c r="AD261" s="142"/>
      <c r="AE261" s="142"/>
      <c r="AF261" s="142"/>
      <c r="AG261" s="148"/>
      <c r="AH261" s="142"/>
      <c r="AI261" s="142"/>
      <c r="AJ261" s="142"/>
      <c r="AK261" s="142"/>
      <c r="AO261" s="153"/>
      <c r="AW261" s="144"/>
      <c r="BB261" s="144"/>
    </row>
    <row r="262" spans="1:54" ht="15" customHeight="1">
      <c r="A262" s="189" t="s">
        <v>4138</v>
      </c>
      <c r="B262" s="131"/>
      <c r="C262" s="131"/>
      <c r="D262" s="131"/>
      <c r="E262" s="132"/>
      <c r="F262" s="133"/>
      <c r="G262" s="134"/>
      <c r="H262" s="134"/>
      <c r="I262" s="133"/>
      <c r="J262" s="133"/>
      <c r="K262" s="138"/>
      <c r="L262" s="135"/>
      <c r="M262" s="131"/>
      <c r="N262" s="131"/>
      <c r="O262" s="134"/>
      <c r="P262" s="134"/>
      <c r="Q262" s="137"/>
      <c r="R262" s="138"/>
      <c r="S262" s="138"/>
      <c r="T262" s="158"/>
      <c r="U262" s="140"/>
      <c r="V262" s="131"/>
      <c r="W262" s="121"/>
      <c r="X262" s="141"/>
      <c r="Y262" s="141"/>
      <c r="Z262" s="141"/>
      <c r="AA262" s="141"/>
      <c r="AB262" s="142"/>
      <c r="AC262" s="142"/>
      <c r="AD262" s="142"/>
      <c r="AE262" s="142"/>
      <c r="AF262" s="142"/>
      <c r="AG262" s="148"/>
      <c r="AH262" s="142"/>
      <c r="AI262" s="142"/>
      <c r="AJ262" s="142"/>
      <c r="AK262" s="142"/>
      <c r="AO262" s="153"/>
      <c r="AW262" s="144"/>
      <c r="BB262" s="144"/>
    </row>
    <row r="263" spans="1:54" ht="15" customHeight="1">
      <c r="A263" s="131" t="s">
        <v>3597</v>
      </c>
      <c r="B263" s="131" t="s">
        <v>3598</v>
      </c>
      <c r="C263" s="131" t="s">
        <v>3599</v>
      </c>
      <c r="D263" s="131" t="s">
        <v>4183</v>
      </c>
      <c r="E263" s="132">
        <v>15</v>
      </c>
      <c r="F263" s="133">
        <f t="shared" ref="F263:F269" si="35">LOG(E263)</f>
        <v>1.1760912590556813</v>
      </c>
      <c r="G263" s="131" t="s">
        <v>3116</v>
      </c>
      <c r="H263" s="134">
        <v>0.2</v>
      </c>
      <c r="I263" s="133"/>
      <c r="J263" s="133">
        <f t="shared" ref="J263:J271" si="36">LOG(H263)</f>
        <v>-0.69897000433601875</v>
      </c>
      <c r="K263" s="135">
        <v>60.451813000000001</v>
      </c>
      <c r="L263" s="135">
        <f t="shared" ref="L263:L273" si="37">ABS(K263)</f>
        <v>60.451813000000001</v>
      </c>
      <c r="M263" s="136">
        <v>22.266629999999999</v>
      </c>
      <c r="N263" s="131" t="s">
        <v>3174</v>
      </c>
      <c r="O263" s="134">
        <v>34.9</v>
      </c>
      <c r="P263" s="131" t="s">
        <v>3116</v>
      </c>
      <c r="Q263" s="137">
        <v>0.57999999999999996</v>
      </c>
      <c r="R263" s="138">
        <f t="shared" ref="R263:R269" si="38">LOG(Q263+1)</f>
        <v>0.19865708695442263</v>
      </c>
      <c r="S263" s="131" t="s">
        <v>3116</v>
      </c>
      <c r="T263" s="139">
        <v>7.9569999999999999</v>
      </c>
      <c r="U263" s="140">
        <f t="shared" ref="U263:U269" si="39">LOG(T263)</f>
        <v>0.90074935806107947</v>
      </c>
      <c r="V263" s="131" t="s">
        <v>3600</v>
      </c>
      <c r="W263" s="121">
        <v>30</v>
      </c>
      <c r="X263" s="141" t="s">
        <v>352</v>
      </c>
      <c r="Y263" s="142">
        <v>22</v>
      </c>
      <c r="Z263" s="142"/>
      <c r="AA263" s="142">
        <f>AVERAGE(6,11)</f>
        <v>8.5</v>
      </c>
      <c r="AB263" s="142"/>
      <c r="AC263" s="142"/>
      <c r="AD263" s="142"/>
      <c r="AE263" s="142"/>
      <c r="AF263" s="142"/>
      <c r="AG263" s="141"/>
      <c r="AH263" s="142">
        <v>2</v>
      </c>
      <c r="AI263" s="142"/>
      <c r="AJ263" s="142"/>
      <c r="AK263" s="142"/>
      <c r="AL263" s="120" t="s">
        <v>3862</v>
      </c>
      <c r="AM263" s="120" t="s">
        <v>3862</v>
      </c>
      <c r="AW263" s="144"/>
      <c r="BB263" s="144"/>
    </row>
    <row r="264" spans="1:54" ht="15" customHeight="1">
      <c r="A264" s="131" t="s">
        <v>3606</v>
      </c>
      <c r="B264" s="131" t="s">
        <v>3607</v>
      </c>
      <c r="C264" s="131" t="s">
        <v>3608</v>
      </c>
      <c r="D264" s="131" t="s">
        <v>4182</v>
      </c>
      <c r="E264" s="132">
        <v>3</v>
      </c>
      <c r="F264" s="133">
        <f t="shared" si="35"/>
        <v>0.47712125471966244</v>
      </c>
      <c r="G264" s="131" t="s">
        <v>3116</v>
      </c>
      <c r="H264" s="134">
        <v>0.3</v>
      </c>
      <c r="I264" s="133"/>
      <c r="J264" s="133">
        <f t="shared" si="36"/>
        <v>-0.52287874528033762</v>
      </c>
      <c r="K264" s="135">
        <v>32.937621999999998</v>
      </c>
      <c r="L264" s="135">
        <f t="shared" si="37"/>
        <v>32.937621999999998</v>
      </c>
      <c r="M264" s="131">
        <v>-98.246992000000006</v>
      </c>
      <c r="N264" s="131" t="s">
        <v>3174</v>
      </c>
      <c r="O264" s="134">
        <v>38.299999999999997</v>
      </c>
      <c r="P264" s="131" t="s">
        <v>3116</v>
      </c>
      <c r="Q264" s="137">
        <v>0.49</v>
      </c>
      <c r="R264" s="138">
        <f t="shared" si="38"/>
        <v>0.17318626841227402</v>
      </c>
      <c r="S264" s="131" t="s">
        <v>3116</v>
      </c>
      <c r="T264" s="139">
        <v>8.0190000000000001</v>
      </c>
      <c r="U264" s="140">
        <f t="shared" si="39"/>
        <v>0.90412021347619964</v>
      </c>
      <c r="V264" s="131" t="s">
        <v>3609</v>
      </c>
      <c r="W264" s="121">
        <v>90</v>
      </c>
      <c r="X264" s="141" t="s">
        <v>380</v>
      </c>
      <c r="Y264" s="141">
        <f>AVERAGE(21, 22, 40)</f>
        <v>27.666666666666668</v>
      </c>
      <c r="Z264" s="141"/>
      <c r="AA264" s="141">
        <v>13</v>
      </c>
      <c r="AB264" s="142"/>
      <c r="AC264" s="142"/>
      <c r="AD264" s="142"/>
      <c r="AE264" s="142"/>
      <c r="AF264" s="142"/>
      <c r="AG264" s="141"/>
      <c r="AH264" s="142">
        <v>3</v>
      </c>
      <c r="AI264" s="142"/>
      <c r="AJ264" s="142"/>
      <c r="AK264" s="142"/>
      <c r="AL264" s="120" t="s">
        <v>3862</v>
      </c>
      <c r="AM264" s="120" t="s">
        <v>3862</v>
      </c>
    </row>
    <row r="265" spans="1:54" ht="15" customHeight="1">
      <c r="A265" s="131" t="s">
        <v>3357</v>
      </c>
      <c r="B265" s="131" t="s">
        <v>3358</v>
      </c>
      <c r="C265" s="131" t="s">
        <v>3157</v>
      </c>
      <c r="D265" s="131" t="s">
        <v>4183</v>
      </c>
      <c r="E265" s="132">
        <v>12</v>
      </c>
      <c r="F265" s="133">
        <f t="shared" si="35"/>
        <v>1.0791812460476249</v>
      </c>
      <c r="G265" s="131" t="s">
        <v>3116</v>
      </c>
      <c r="H265" s="134">
        <v>1.4</v>
      </c>
      <c r="I265" s="133"/>
      <c r="J265" s="133">
        <f t="shared" si="36"/>
        <v>0.14612803567823801</v>
      </c>
      <c r="K265" s="131">
        <v>-33.966667000000001</v>
      </c>
      <c r="L265" s="135">
        <f t="shared" si="37"/>
        <v>33.966667000000001</v>
      </c>
      <c r="M265" s="135">
        <v>18.416667</v>
      </c>
      <c r="N265" s="131" t="s">
        <v>3174</v>
      </c>
      <c r="O265" s="134">
        <v>35.299999999999997</v>
      </c>
      <c r="P265" s="131" t="s">
        <v>3116</v>
      </c>
      <c r="Q265" s="137">
        <v>0.17</v>
      </c>
      <c r="R265" s="138">
        <f t="shared" si="38"/>
        <v>6.8185861746161619E-2</v>
      </c>
      <c r="S265" s="131" t="s">
        <v>3116</v>
      </c>
      <c r="T265" s="139">
        <v>2.851</v>
      </c>
      <c r="U265" s="140">
        <f t="shared" si="39"/>
        <v>0.45499721730945997</v>
      </c>
      <c r="V265" s="131" t="s">
        <v>3359</v>
      </c>
      <c r="W265" s="121">
        <v>24</v>
      </c>
      <c r="X265" s="141" t="s">
        <v>352</v>
      </c>
      <c r="Y265" s="142">
        <v>10</v>
      </c>
      <c r="Z265" s="142"/>
      <c r="AA265" s="142"/>
      <c r="AB265" s="142"/>
      <c r="AC265" s="142"/>
      <c r="AD265" s="142"/>
      <c r="AE265" s="142"/>
      <c r="AF265" s="142"/>
      <c r="AG265" s="141"/>
      <c r="AH265" s="145">
        <v>2</v>
      </c>
      <c r="AI265" s="145"/>
      <c r="AJ265" s="142"/>
      <c r="AK265" s="142"/>
      <c r="AL265" s="120" t="s">
        <v>3862</v>
      </c>
      <c r="AM265" s="120" t="s">
        <v>3862</v>
      </c>
      <c r="AW265" s="144"/>
      <c r="BB265" s="144"/>
    </row>
    <row r="266" spans="1:54" ht="15" customHeight="1">
      <c r="A266" s="131" t="s">
        <v>3391</v>
      </c>
      <c r="B266" s="131" t="s">
        <v>3392</v>
      </c>
      <c r="C266" s="131" t="s">
        <v>3160</v>
      </c>
      <c r="D266" s="131" t="s">
        <v>4182</v>
      </c>
      <c r="E266" s="132">
        <v>7</v>
      </c>
      <c r="F266" s="133">
        <f t="shared" si="35"/>
        <v>0.84509804001425681</v>
      </c>
      <c r="G266" s="138">
        <v>0.25</v>
      </c>
      <c r="H266" s="138">
        <v>0.25</v>
      </c>
      <c r="I266" s="133">
        <f>LOG(G266)</f>
        <v>-0.6020599913279624</v>
      </c>
      <c r="J266" s="133">
        <f t="shared" si="36"/>
        <v>-0.6020599913279624</v>
      </c>
      <c r="K266" s="131">
        <v>-33.6</v>
      </c>
      <c r="L266" s="135">
        <f t="shared" si="37"/>
        <v>33.6</v>
      </c>
      <c r="M266" s="138">
        <v>18.579999999999998</v>
      </c>
      <c r="N266" s="131" t="s">
        <v>3150</v>
      </c>
      <c r="O266" s="134">
        <v>41.9</v>
      </c>
      <c r="P266" s="134">
        <v>0.1</v>
      </c>
      <c r="Q266" s="147">
        <v>-0.13</v>
      </c>
      <c r="R266" s="138">
        <f t="shared" si="38"/>
        <v>-6.0480747381381476E-2</v>
      </c>
      <c r="S266" s="138">
        <v>0.16</v>
      </c>
      <c r="T266" s="139">
        <v>3.25</v>
      </c>
      <c r="U266" s="140">
        <f t="shared" si="39"/>
        <v>0.51188336097887432</v>
      </c>
      <c r="V266" s="131" t="s">
        <v>3393</v>
      </c>
      <c r="W266" s="121">
        <v>76</v>
      </c>
      <c r="X266" s="142" t="s">
        <v>352</v>
      </c>
      <c r="Y266" s="142">
        <v>10</v>
      </c>
      <c r="Z266" s="142">
        <f>AVERAGE(10, 20, 20)</f>
        <v>16.666666666666668</v>
      </c>
      <c r="AA266" s="142">
        <v>3.4</v>
      </c>
      <c r="AB266" s="142"/>
      <c r="AC266" s="142"/>
      <c r="AD266" s="142"/>
      <c r="AE266" s="142"/>
      <c r="AF266" s="142"/>
      <c r="AG266" s="148"/>
      <c r="AH266" s="142">
        <v>2</v>
      </c>
      <c r="AI266" s="142">
        <v>3</v>
      </c>
      <c r="AJ266" s="142"/>
      <c r="AK266" s="142"/>
      <c r="AL266" s="120" t="s">
        <v>3862</v>
      </c>
      <c r="AM266" s="120" t="s">
        <v>3862</v>
      </c>
      <c r="AO266" s="151"/>
      <c r="BB266" s="144"/>
    </row>
    <row r="267" spans="1:54" ht="15" customHeight="1">
      <c r="A267" s="131" t="s">
        <v>3516</v>
      </c>
      <c r="B267" s="131" t="s">
        <v>3517</v>
      </c>
      <c r="C267" s="131" t="s">
        <v>3143</v>
      </c>
      <c r="D267" s="131" t="s">
        <v>4183</v>
      </c>
      <c r="E267" s="132">
        <v>14</v>
      </c>
      <c r="F267" s="133">
        <f t="shared" si="35"/>
        <v>1.146128035678238</v>
      </c>
      <c r="G267" s="131" t="s">
        <v>3116</v>
      </c>
      <c r="H267" s="134">
        <v>0.2</v>
      </c>
      <c r="I267" s="133"/>
      <c r="J267" s="133">
        <f t="shared" si="36"/>
        <v>-0.69897000433601875</v>
      </c>
      <c r="K267" s="136">
        <v>60.373469999999998</v>
      </c>
      <c r="L267" s="135">
        <f t="shared" si="37"/>
        <v>60.373469999999998</v>
      </c>
      <c r="M267" s="156">
        <v>22.0473</v>
      </c>
      <c r="N267" s="131" t="s">
        <v>3117</v>
      </c>
      <c r="O267" s="134">
        <v>27.5</v>
      </c>
      <c r="P267" s="131" t="s">
        <v>3116</v>
      </c>
      <c r="Q267" s="137">
        <v>0.11</v>
      </c>
      <c r="R267" s="138">
        <f t="shared" si="38"/>
        <v>4.5322978786657475E-2</v>
      </c>
      <c r="S267" s="131" t="s">
        <v>3116</v>
      </c>
      <c r="T267" s="139">
        <v>5.7561557859999999</v>
      </c>
      <c r="U267" s="140">
        <f t="shared" si="39"/>
        <v>0.76013253927509694</v>
      </c>
      <c r="V267" s="131" t="s">
        <v>3518</v>
      </c>
      <c r="W267" s="121">
        <v>23</v>
      </c>
      <c r="X267" s="141" t="s">
        <v>352</v>
      </c>
      <c r="Y267" s="142">
        <v>6</v>
      </c>
      <c r="Z267" s="142"/>
      <c r="AA267" s="142"/>
      <c r="AB267" s="142"/>
      <c r="AC267" s="142"/>
      <c r="AD267" s="142"/>
      <c r="AE267" s="142"/>
      <c r="AF267" s="142"/>
      <c r="AG267" s="141"/>
      <c r="AH267" s="145">
        <v>2</v>
      </c>
      <c r="AI267" s="145"/>
      <c r="AJ267" s="142"/>
      <c r="AK267" s="142"/>
      <c r="AL267" s="120" t="s">
        <v>3862</v>
      </c>
      <c r="AM267" s="120" t="s">
        <v>3862</v>
      </c>
      <c r="BB267" s="144"/>
    </row>
    <row r="268" spans="1:54" ht="15" customHeight="1">
      <c r="A268" s="131" t="s">
        <v>3394</v>
      </c>
      <c r="B268" s="131" t="s">
        <v>3395</v>
      </c>
      <c r="C268" s="131" t="s">
        <v>3396</v>
      </c>
      <c r="D268" s="131" t="s">
        <v>4183</v>
      </c>
      <c r="E268" s="132">
        <v>21</v>
      </c>
      <c r="F268" s="133">
        <f t="shared" si="35"/>
        <v>1.3222192947339193</v>
      </c>
      <c r="G268" s="131" t="s">
        <v>3116</v>
      </c>
      <c r="H268" s="134">
        <v>0.2</v>
      </c>
      <c r="I268" s="133"/>
      <c r="J268" s="133">
        <f t="shared" si="36"/>
        <v>-0.69897000433601875</v>
      </c>
      <c r="K268" s="135">
        <v>54.691744999999997</v>
      </c>
      <c r="L268" s="135">
        <f t="shared" si="37"/>
        <v>54.691744999999997</v>
      </c>
      <c r="M268" s="131">
        <v>-1.163</v>
      </c>
      <c r="N268" s="131" t="s">
        <v>3117</v>
      </c>
      <c r="O268" s="134">
        <v>30.6</v>
      </c>
      <c r="P268" s="131" t="s">
        <v>3116</v>
      </c>
      <c r="Q268" s="137">
        <v>0.49</v>
      </c>
      <c r="R268" s="138">
        <f t="shared" si="38"/>
        <v>0.17318626841227402</v>
      </c>
      <c r="S268" s="131" t="s">
        <v>3116</v>
      </c>
      <c r="T268" s="139">
        <v>3.277097022</v>
      </c>
      <c r="U268" s="140">
        <f t="shared" si="39"/>
        <v>0.51548929933033871</v>
      </c>
      <c r="V268" s="131" t="s">
        <v>3397</v>
      </c>
      <c r="W268" s="121">
        <v>17</v>
      </c>
      <c r="X268" s="141" t="s">
        <v>352</v>
      </c>
      <c r="Y268" s="141">
        <v>4</v>
      </c>
      <c r="Z268" s="141"/>
      <c r="AA268" s="141">
        <v>90</v>
      </c>
      <c r="AB268" s="142"/>
      <c r="AC268" s="142"/>
      <c r="AD268" s="142"/>
      <c r="AE268" s="142"/>
      <c r="AF268" s="142"/>
      <c r="AG268" s="141"/>
      <c r="AH268" s="145">
        <v>3</v>
      </c>
      <c r="AI268" s="145"/>
      <c r="AJ268" s="145"/>
      <c r="AK268" s="145"/>
      <c r="AL268" s="120" t="s">
        <v>3862</v>
      </c>
      <c r="AM268" s="120" t="s">
        <v>3862</v>
      </c>
      <c r="AN268" s="168"/>
      <c r="AW268" s="144"/>
      <c r="BB268" s="144"/>
    </row>
    <row r="269" spans="1:54" ht="15" customHeight="1">
      <c r="A269" s="131" t="s">
        <v>3411</v>
      </c>
      <c r="B269" s="131" t="s">
        <v>3412</v>
      </c>
      <c r="C269" s="131" t="s">
        <v>3153</v>
      </c>
      <c r="D269" s="131" t="s">
        <v>4181</v>
      </c>
      <c r="E269" s="132">
        <v>7</v>
      </c>
      <c r="F269" s="133">
        <f t="shared" si="35"/>
        <v>0.84509804001425681</v>
      </c>
      <c r="G269" s="131" t="s">
        <v>3116</v>
      </c>
      <c r="H269" s="138">
        <v>0.31</v>
      </c>
      <c r="I269" s="133"/>
      <c r="J269" s="133">
        <f t="shared" si="36"/>
        <v>-0.50863830616572736</v>
      </c>
      <c r="K269" s="135">
        <v>23.455556000000001</v>
      </c>
      <c r="L269" s="135">
        <f t="shared" si="37"/>
        <v>23.455556000000001</v>
      </c>
      <c r="M269" s="146">
        <v>120.605</v>
      </c>
      <c r="N269" s="131" t="s">
        <v>3174</v>
      </c>
      <c r="O269" s="134">
        <v>43.9</v>
      </c>
      <c r="P269" s="131" t="s">
        <v>3116</v>
      </c>
      <c r="Q269" s="137">
        <v>0.15</v>
      </c>
      <c r="R269" s="138">
        <f t="shared" si="38"/>
        <v>6.069784035361165E-2</v>
      </c>
      <c r="S269" s="131" t="s">
        <v>3116</v>
      </c>
      <c r="T269" s="139">
        <v>3.4990000000000001</v>
      </c>
      <c r="U269" s="140">
        <f t="shared" si="39"/>
        <v>0.54394394248290645</v>
      </c>
      <c r="V269" s="131" t="s">
        <v>3413</v>
      </c>
      <c r="W269" s="121">
        <v>8</v>
      </c>
      <c r="X269" s="141" t="s">
        <v>380</v>
      </c>
      <c r="Y269" s="141">
        <v>12</v>
      </c>
      <c r="Z269" s="142"/>
      <c r="AA269" s="152">
        <f>31/2</f>
        <v>15.5</v>
      </c>
      <c r="AB269" s="141"/>
      <c r="AC269" s="142"/>
      <c r="AD269" s="141"/>
      <c r="AE269" s="141"/>
      <c r="AF269" s="141"/>
      <c r="AG269" s="141"/>
      <c r="AH269" s="141">
        <v>3</v>
      </c>
      <c r="AI269" s="141"/>
      <c r="AJ269" s="142"/>
      <c r="AK269" s="142"/>
      <c r="AL269" s="159" t="s">
        <v>4139</v>
      </c>
      <c r="AM269" s="159" t="s">
        <v>4139</v>
      </c>
      <c r="AO269" s="153"/>
    </row>
    <row r="270" spans="1:54" ht="15" customHeight="1">
      <c r="A270" s="131" t="s">
        <v>3923</v>
      </c>
      <c r="B270" s="131" t="s">
        <v>3924</v>
      </c>
      <c r="C270" s="131" t="s">
        <v>3925</v>
      </c>
      <c r="D270" s="131" t="s">
        <v>4180</v>
      </c>
      <c r="E270" s="131" t="s">
        <v>3116</v>
      </c>
      <c r="F270" s="133"/>
      <c r="G270" s="131" t="s">
        <v>3116</v>
      </c>
      <c r="H270" s="138">
        <v>0.25</v>
      </c>
      <c r="I270" s="133"/>
      <c r="J270" s="133">
        <f t="shared" si="36"/>
        <v>-0.6020599913279624</v>
      </c>
      <c r="K270" s="138">
        <v>38.57</v>
      </c>
      <c r="L270" s="135">
        <f t="shared" si="37"/>
        <v>38.57</v>
      </c>
      <c r="M270" s="131" t="s">
        <v>3116</v>
      </c>
      <c r="N270" s="131" t="s">
        <v>3117</v>
      </c>
      <c r="O270" s="134">
        <v>34.6</v>
      </c>
      <c r="P270" s="131" t="s">
        <v>3116</v>
      </c>
      <c r="Q270" s="162">
        <v>0.27</v>
      </c>
      <c r="R270" s="138"/>
      <c r="S270" s="131" t="s">
        <v>3116</v>
      </c>
      <c r="T270" s="158" t="s">
        <v>3116</v>
      </c>
      <c r="U270" s="163"/>
      <c r="V270" s="131" t="s">
        <v>3926</v>
      </c>
      <c r="W270" s="121">
        <v>67</v>
      </c>
      <c r="X270" s="141" t="s">
        <v>352</v>
      </c>
      <c r="Y270" s="142">
        <v>10</v>
      </c>
      <c r="Z270" s="142"/>
      <c r="AA270" s="142">
        <f>AVERAGE(45.5,26.6)</f>
        <v>36.049999999999997</v>
      </c>
      <c r="AB270" s="142">
        <v>0.5326063427171841</v>
      </c>
      <c r="AC270" s="142">
        <f>LOG(AB270)</f>
        <v>-0.27359366592811174</v>
      </c>
      <c r="AD270" s="142"/>
      <c r="AE270" s="142"/>
      <c r="AF270" s="142"/>
      <c r="AG270" s="141" t="s">
        <v>3927</v>
      </c>
      <c r="AH270" s="142">
        <v>5</v>
      </c>
      <c r="AI270" s="142"/>
      <c r="AJ270" s="145"/>
      <c r="AK270" s="145"/>
      <c r="AL270" s="120" t="s">
        <v>3928</v>
      </c>
      <c r="AM270" s="120" t="s">
        <v>3928</v>
      </c>
      <c r="AN270" s="155"/>
    </row>
    <row r="271" spans="1:54" ht="15.95" customHeight="1">
      <c r="A271" s="131" t="s">
        <v>3530</v>
      </c>
      <c r="B271" s="131" t="s">
        <v>3929</v>
      </c>
      <c r="C271" s="131" t="s">
        <v>3930</v>
      </c>
      <c r="D271" s="131" t="s">
        <v>4180</v>
      </c>
      <c r="E271" s="131" t="s">
        <v>3116</v>
      </c>
      <c r="F271" s="133"/>
      <c r="G271" s="131" t="s">
        <v>3116</v>
      </c>
      <c r="H271" s="134">
        <v>0.4</v>
      </c>
      <c r="I271" s="133"/>
      <c r="J271" s="133">
        <f t="shared" si="36"/>
        <v>-0.3979400086720376</v>
      </c>
      <c r="K271" s="138">
        <v>48.23</v>
      </c>
      <c r="L271" s="135">
        <f t="shared" si="37"/>
        <v>48.23</v>
      </c>
      <c r="M271" s="131" t="s">
        <v>3116</v>
      </c>
      <c r="N271" s="131" t="s">
        <v>3117</v>
      </c>
      <c r="O271" s="134">
        <v>29.9</v>
      </c>
      <c r="P271" s="131" t="s">
        <v>3116</v>
      </c>
      <c r="Q271" s="162">
        <v>0.23</v>
      </c>
      <c r="R271" s="138"/>
      <c r="S271" s="131" t="s">
        <v>3116</v>
      </c>
      <c r="T271" s="158" t="s">
        <v>3116</v>
      </c>
      <c r="U271" s="163"/>
      <c r="V271" s="131" t="s">
        <v>3931</v>
      </c>
      <c r="W271" s="121">
        <v>72</v>
      </c>
      <c r="X271" s="141" t="s">
        <v>3271</v>
      </c>
      <c r="Y271" s="143">
        <f>AVERAGE(29, 90, 64)</f>
        <v>61</v>
      </c>
      <c r="Z271" s="142"/>
      <c r="AA271" s="142">
        <v>120</v>
      </c>
      <c r="AB271" s="142">
        <v>16.943729395938764</v>
      </c>
      <c r="AC271" s="142">
        <f>LOG(AB271)</f>
        <v>1.2290090068103274</v>
      </c>
      <c r="AD271" s="142"/>
      <c r="AE271" s="142"/>
      <c r="AF271" s="142"/>
      <c r="AG271" s="148" t="s">
        <v>3932</v>
      </c>
      <c r="AH271" s="142">
        <v>3</v>
      </c>
      <c r="AI271" s="142"/>
      <c r="AJ271" s="145"/>
      <c r="AK271" s="145"/>
      <c r="AL271" s="120" t="s">
        <v>3928</v>
      </c>
      <c r="AM271" s="120" t="s">
        <v>3928</v>
      </c>
      <c r="AN271" s="155"/>
    </row>
    <row r="272" spans="1:54" ht="15" customHeight="1">
      <c r="A272" s="131" t="s">
        <v>3885</v>
      </c>
      <c r="B272" s="131" t="s">
        <v>3886</v>
      </c>
      <c r="C272" s="131" t="s">
        <v>3887</v>
      </c>
      <c r="D272" s="131" t="s">
        <v>4184</v>
      </c>
      <c r="E272" s="132">
        <v>14</v>
      </c>
      <c r="F272" s="133">
        <f t="shared" ref="F272:F290" si="40">LOG(E272)</f>
        <v>1.146128035678238</v>
      </c>
      <c r="G272" s="131" t="s">
        <v>3116</v>
      </c>
      <c r="H272" s="131" t="s">
        <v>3116</v>
      </c>
      <c r="I272" s="133"/>
      <c r="J272" s="133"/>
      <c r="K272" s="138">
        <v>33.74</v>
      </c>
      <c r="L272" s="135">
        <f t="shared" si="37"/>
        <v>33.74</v>
      </c>
      <c r="M272" s="131" t="s">
        <v>3116</v>
      </c>
      <c r="N272" s="131" t="s">
        <v>3150</v>
      </c>
      <c r="O272" s="132">
        <v>41</v>
      </c>
      <c r="P272" s="132">
        <v>6</v>
      </c>
      <c r="Q272" s="137">
        <v>7.0000000000000007E-2</v>
      </c>
      <c r="R272" s="138">
        <f>LOG(Q272+1)</f>
        <v>2.9383777685209667E-2</v>
      </c>
      <c r="S272" s="138">
        <v>0.17</v>
      </c>
      <c r="T272" s="158" t="s">
        <v>3116</v>
      </c>
      <c r="U272" s="140"/>
      <c r="V272" s="131" t="s">
        <v>3888</v>
      </c>
      <c r="W272" s="121">
        <v>111</v>
      </c>
      <c r="X272" s="141" t="s">
        <v>352</v>
      </c>
      <c r="Y272" s="141">
        <v>10</v>
      </c>
      <c r="Z272" s="141">
        <v>10</v>
      </c>
      <c r="AA272" s="141"/>
      <c r="AB272" s="142">
        <f>AVERAGE(16,45)</f>
        <v>30.5</v>
      </c>
      <c r="AC272" s="142">
        <f>LOG(AB272)</f>
        <v>1.4842998393467859</v>
      </c>
      <c r="AD272" s="142"/>
      <c r="AE272" s="142">
        <f>AVERAGE(16,45)</f>
        <v>30.5</v>
      </c>
      <c r="AF272" s="142">
        <f t="shared" ref="AF272:AF281" si="41">LOG(AE272)</f>
        <v>1.4842998393467859</v>
      </c>
      <c r="AG272" s="141" t="s">
        <v>3889</v>
      </c>
      <c r="AH272" s="142">
        <v>2</v>
      </c>
      <c r="AI272" s="142">
        <v>2</v>
      </c>
      <c r="AJ272" s="141"/>
      <c r="AK272" s="141"/>
      <c r="AL272" s="160" t="s">
        <v>3890</v>
      </c>
      <c r="AM272" s="160" t="s">
        <v>3890</v>
      </c>
    </row>
    <row r="273" spans="1:54" ht="15" customHeight="1">
      <c r="A273" s="131" t="s">
        <v>3877</v>
      </c>
      <c r="B273" s="131" t="s">
        <v>3891</v>
      </c>
      <c r="C273" s="131" t="s">
        <v>3892</v>
      </c>
      <c r="D273" s="131" t="s">
        <v>4184</v>
      </c>
      <c r="E273" s="132">
        <v>14</v>
      </c>
      <c r="F273" s="133">
        <f t="shared" si="40"/>
        <v>1.146128035678238</v>
      </c>
      <c r="G273" s="131" t="s">
        <v>3116</v>
      </c>
      <c r="H273" s="131" t="s">
        <v>3116</v>
      </c>
      <c r="I273" s="133"/>
      <c r="J273" s="133"/>
      <c r="K273" s="138">
        <v>33.74</v>
      </c>
      <c r="L273" s="135">
        <f t="shared" si="37"/>
        <v>33.74</v>
      </c>
      <c r="M273" s="131" t="s">
        <v>3116</v>
      </c>
      <c r="N273" s="131" t="s">
        <v>3150</v>
      </c>
      <c r="O273" s="132">
        <v>42</v>
      </c>
      <c r="P273" s="134">
        <v>4.2</v>
      </c>
      <c r="Q273" s="137">
        <v>0.21</v>
      </c>
      <c r="R273" s="138">
        <f>LOG(Q273+1)</f>
        <v>8.2785370316450071E-2</v>
      </c>
      <c r="S273" s="138">
        <v>0.24</v>
      </c>
      <c r="T273" s="158" t="s">
        <v>3116</v>
      </c>
      <c r="U273" s="140"/>
      <c r="V273" s="131" t="s">
        <v>3888</v>
      </c>
      <c r="W273" s="121">
        <v>111</v>
      </c>
      <c r="X273" s="141" t="s">
        <v>352</v>
      </c>
      <c r="Y273" s="141">
        <v>10</v>
      </c>
      <c r="Z273" s="141">
        <v>10</v>
      </c>
      <c r="AA273" s="141"/>
      <c r="AB273" s="142">
        <f>AVERAGE(175,300)</f>
        <v>237.5</v>
      </c>
      <c r="AC273" s="142">
        <f>LOG(AB273)</f>
        <v>2.3756636139608855</v>
      </c>
      <c r="AD273" s="142"/>
      <c r="AE273" s="142">
        <f>AVERAGE(175,300)</f>
        <v>237.5</v>
      </c>
      <c r="AF273" s="142">
        <f t="shared" si="41"/>
        <v>2.3756636139608855</v>
      </c>
      <c r="AG273" s="141" t="s">
        <v>3889</v>
      </c>
      <c r="AH273" s="142">
        <v>2</v>
      </c>
      <c r="AI273" s="142">
        <v>2</v>
      </c>
      <c r="AJ273" s="142"/>
      <c r="AK273" s="142"/>
      <c r="AL273" s="160" t="s">
        <v>3890</v>
      </c>
      <c r="AM273" s="160" t="s">
        <v>3890</v>
      </c>
    </row>
    <row r="274" spans="1:54" ht="15" customHeight="1">
      <c r="A274" s="131" t="s">
        <v>3914</v>
      </c>
      <c r="B274" s="131" t="s">
        <v>3915</v>
      </c>
      <c r="C274" s="131" t="s">
        <v>3916</v>
      </c>
      <c r="D274" s="131" t="s">
        <v>4183</v>
      </c>
      <c r="E274" s="132">
        <v>21</v>
      </c>
      <c r="F274" s="133">
        <f t="shared" si="40"/>
        <v>1.3222192947339193</v>
      </c>
      <c r="G274" s="138">
        <v>0.02</v>
      </c>
      <c r="H274" s="131" t="s">
        <v>3116</v>
      </c>
      <c r="I274" s="133">
        <f>LOG(G274)</f>
        <v>-1.6989700043360187</v>
      </c>
      <c r="J274" s="133"/>
      <c r="K274" s="131" t="s">
        <v>3116</v>
      </c>
      <c r="L274" s="135"/>
      <c r="M274" s="131" t="s">
        <v>3116</v>
      </c>
      <c r="N274" s="131" t="s">
        <v>3117</v>
      </c>
      <c r="O274" s="131" t="s">
        <v>3116</v>
      </c>
      <c r="P274" s="134">
        <v>5.3</v>
      </c>
      <c r="Q274" s="129" t="s">
        <v>3116</v>
      </c>
      <c r="R274" s="131"/>
      <c r="S274" s="138">
        <v>0.42</v>
      </c>
      <c r="T274" s="158" t="s">
        <v>3116</v>
      </c>
      <c r="U274" s="163"/>
      <c r="V274" s="131" t="s">
        <v>3917</v>
      </c>
      <c r="W274" s="121">
        <v>34</v>
      </c>
      <c r="X274" s="141" t="s">
        <v>3712</v>
      </c>
      <c r="Y274" s="142"/>
      <c r="Z274" s="142">
        <v>20</v>
      </c>
      <c r="AA274" s="142"/>
      <c r="AB274" s="142"/>
      <c r="AC274" s="142"/>
      <c r="AD274" s="142">
        <f>AVERAGE(20.2,18.3,16.9,16.9)</f>
        <v>18.074999999999999</v>
      </c>
      <c r="AE274" s="142">
        <f>AVERAGE(3.2,3.2, 3.7, 5.6)</f>
        <v>3.9250000000000003</v>
      </c>
      <c r="AF274" s="141">
        <f t="shared" si="41"/>
        <v>0.5938396610812714</v>
      </c>
      <c r="AG274" s="141" t="s">
        <v>3918</v>
      </c>
      <c r="AH274" s="142"/>
      <c r="AI274" s="142">
        <v>4</v>
      </c>
      <c r="AJ274" s="142"/>
      <c r="AK274" s="142"/>
      <c r="AL274" s="160" t="s">
        <v>3896</v>
      </c>
      <c r="AM274" s="160" t="s">
        <v>3896</v>
      </c>
    </row>
    <row r="275" spans="1:54" ht="15" customHeight="1">
      <c r="A275" s="131" t="s">
        <v>3914</v>
      </c>
      <c r="B275" s="131" t="s">
        <v>3919</v>
      </c>
      <c r="C275" s="131" t="s">
        <v>3920</v>
      </c>
      <c r="D275" s="131" t="s">
        <v>4183</v>
      </c>
      <c r="E275" s="132">
        <v>30</v>
      </c>
      <c r="F275" s="133">
        <f t="shared" si="40"/>
        <v>1.4771212547196624</v>
      </c>
      <c r="G275" s="131" t="s">
        <v>3116</v>
      </c>
      <c r="H275" s="131" t="s">
        <v>3116</v>
      </c>
      <c r="I275" s="133"/>
      <c r="J275" s="133"/>
      <c r="K275" s="131" t="s">
        <v>3116</v>
      </c>
      <c r="L275" s="135"/>
      <c r="M275" s="131" t="s">
        <v>3116</v>
      </c>
      <c r="N275" s="131" t="s">
        <v>3117</v>
      </c>
      <c r="O275" s="131" t="s">
        <v>3116</v>
      </c>
      <c r="P275" s="134">
        <v>6.4</v>
      </c>
      <c r="Q275" s="129" t="s">
        <v>3116</v>
      </c>
      <c r="R275" s="131"/>
      <c r="S275" s="138">
        <v>0.27</v>
      </c>
      <c r="T275" s="158" t="s">
        <v>3116</v>
      </c>
      <c r="U275" s="163"/>
      <c r="V275" s="131" t="s">
        <v>3921</v>
      </c>
      <c r="W275" s="121">
        <v>35</v>
      </c>
      <c r="X275" s="141" t="s">
        <v>3271</v>
      </c>
      <c r="Y275" s="142"/>
      <c r="Z275" s="142">
        <v>15</v>
      </c>
      <c r="AA275" s="142"/>
      <c r="AB275" s="142"/>
      <c r="AC275" s="142"/>
      <c r="AD275" s="142">
        <v>62</v>
      </c>
      <c r="AE275" s="142">
        <v>1.6</v>
      </c>
      <c r="AF275" s="141">
        <f t="shared" si="41"/>
        <v>0.20411998265592479</v>
      </c>
      <c r="AG275" s="141" t="s">
        <v>3922</v>
      </c>
      <c r="AH275" s="142"/>
      <c r="AI275" s="142">
        <v>4</v>
      </c>
      <c r="AJ275" s="142"/>
      <c r="AK275" s="142"/>
      <c r="AL275" s="160" t="s">
        <v>3896</v>
      </c>
      <c r="AM275" s="160" t="s">
        <v>3896</v>
      </c>
    </row>
    <row r="276" spans="1:54" ht="15" customHeight="1">
      <c r="A276" s="131" t="s">
        <v>3906</v>
      </c>
      <c r="B276" s="131" t="s">
        <v>3911</v>
      </c>
      <c r="C276" s="131" t="s">
        <v>3912</v>
      </c>
      <c r="D276" s="131" t="s">
        <v>4184</v>
      </c>
      <c r="E276" s="132">
        <v>14</v>
      </c>
      <c r="F276" s="133">
        <f t="shared" si="40"/>
        <v>1.146128035678238</v>
      </c>
      <c r="G276" s="138">
        <v>0.75</v>
      </c>
      <c r="H276" s="138" t="s">
        <v>355</v>
      </c>
      <c r="I276" s="133">
        <f t="shared" ref="I276:I282" si="42">LOG(G276)</f>
        <v>-0.12493873660829995</v>
      </c>
      <c r="J276" s="133"/>
      <c r="K276" s="138">
        <v>23.84</v>
      </c>
      <c r="L276" s="135">
        <f t="shared" ref="L276:L290" si="43">ABS(K276)</f>
        <v>23.84</v>
      </c>
      <c r="M276" s="138">
        <v>120.99</v>
      </c>
      <c r="N276" s="131" t="s">
        <v>3150</v>
      </c>
      <c r="O276" s="134" t="s">
        <v>355</v>
      </c>
      <c r="P276" s="134">
        <v>2.1</v>
      </c>
      <c r="Q276" s="162" t="s">
        <v>355</v>
      </c>
      <c r="R276" s="138"/>
      <c r="S276" s="138">
        <v>0.13</v>
      </c>
      <c r="T276" s="139">
        <v>3.11</v>
      </c>
      <c r="U276" s="140">
        <f t="shared" ref="U276:U294" si="44">LOG(T276)</f>
        <v>0.4927603890268375</v>
      </c>
      <c r="V276" s="131" t="s">
        <v>3909</v>
      </c>
      <c r="W276" s="121">
        <v>102</v>
      </c>
      <c r="X276" s="141" t="s">
        <v>352</v>
      </c>
      <c r="Y276" s="142"/>
      <c r="Z276" s="141">
        <v>12</v>
      </c>
      <c r="AA276" s="141"/>
      <c r="AB276" s="142"/>
      <c r="AC276" s="142"/>
      <c r="AD276" s="142"/>
      <c r="AE276" s="142">
        <v>4.3</v>
      </c>
      <c r="AF276" s="142">
        <f t="shared" si="41"/>
        <v>0.63346845557958653</v>
      </c>
      <c r="AG276" s="141" t="s">
        <v>3910</v>
      </c>
      <c r="AH276" s="142"/>
      <c r="AI276" s="142">
        <v>3</v>
      </c>
      <c r="AJ276" s="142"/>
      <c r="AK276" s="142"/>
      <c r="AL276" s="160" t="s">
        <v>3896</v>
      </c>
      <c r="AM276" s="160" t="s">
        <v>3896</v>
      </c>
      <c r="AW276" s="144"/>
      <c r="AY276" s="130"/>
      <c r="BB276" s="144"/>
    </row>
    <row r="277" spans="1:54" ht="15" customHeight="1">
      <c r="A277" s="131" t="s">
        <v>3906</v>
      </c>
      <c r="B277" s="131" t="s">
        <v>3907</v>
      </c>
      <c r="C277" s="131" t="s">
        <v>3908</v>
      </c>
      <c r="D277" s="131" t="s">
        <v>4184</v>
      </c>
      <c r="E277" s="132">
        <v>14</v>
      </c>
      <c r="F277" s="133">
        <f t="shared" si="40"/>
        <v>1.146128035678238</v>
      </c>
      <c r="G277" s="138">
        <v>0.75</v>
      </c>
      <c r="H277" s="138" t="s">
        <v>355</v>
      </c>
      <c r="I277" s="133">
        <f t="shared" si="42"/>
        <v>-0.12493873660829995</v>
      </c>
      <c r="J277" s="133"/>
      <c r="K277" s="138">
        <v>25.09</v>
      </c>
      <c r="L277" s="135">
        <f t="shared" si="43"/>
        <v>25.09</v>
      </c>
      <c r="M277" s="138">
        <v>121.56</v>
      </c>
      <c r="N277" s="131" t="s">
        <v>3150</v>
      </c>
      <c r="O277" s="134" t="s">
        <v>355</v>
      </c>
      <c r="P277" s="134">
        <v>4.5</v>
      </c>
      <c r="Q277" s="162" t="s">
        <v>355</v>
      </c>
      <c r="R277" s="138"/>
      <c r="S277" s="138">
        <v>0.12</v>
      </c>
      <c r="T277" s="139">
        <v>4.7130000000000001</v>
      </c>
      <c r="U277" s="140">
        <f t="shared" si="44"/>
        <v>0.67329743975963574</v>
      </c>
      <c r="V277" s="131" t="s">
        <v>3909</v>
      </c>
      <c r="W277" s="121">
        <v>102</v>
      </c>
      <c r="X277" s="141" t="s">
        <v>352</v>
      </c>
      <c r="Y277" s="142"/>
      <c r="Z277" s="141">
        <v>12</v>
      </c>
      <c r="AA277" s="141"/>
      <c r="AB277" s="142"/>
      <c r="AC277" s="142"/>
      <c r="AD277" s="142"/>
      <c r="AE277" s="142">
        <v>2.7</v>
      </c>
      <c r="AF277" s="142">
        <f t="shared" si="41"/>
        <v>0.43136376415898736</v>
      </c>
      <c r="AG277" s="141" t="s">
        <v>3910</v>
      </c>
      <c r="AH277" s="142"/>
      <c r="AI277" s="142">
        <v>3</v>
      </c>
      <c r="AJ277" s="142"/>
      <c r="AK277" s="142"/>
      <c r="AL277" s="160" t="s">
        <v>3896</v>
      </c>
      <c r="AM277" s="160" t="s">
        <v>3896</v>
      </c>
      <c r="AW277" s="144"/>
      <c r="BB277" s="144"/>
    </row>
    <row r="278" spans="1:54" ht="15" customHeight="1">
      <c r="A278" s="131" t="s">
        <v>3906</v>
      </c>
      <c r="B278" s="131" t="s">
        <v>3482</v>
      </c>
      <c r="C278" s="131" t="s">
        <v>3913</v>
      </c>
      <c r="D278" s="131" t="s">
        <v>4184</v>
      </c>
      <c r="E278" s="132">
        <v>14</v>
      </c>
      <c r="F278" s="133">
        <f t="shared" si="40"/>
        <v>1.146128035678238</v>
      </c>
      <c r="G278" s="138">
        <v>0.75</v>
      </c>
      <c r="H278" s="138" t="s">
        <v>355</v>
      </c>
      <c r="I278" s="133">
        <f t="shared" si="42"/>
        <v>-0.12493873660829995</v>
      </c>
      <c r="J278" s="133"/>
      <c r="K278" s="138">
        <v>25.09</v>
      </c>
      <c r="L278" s="135">
        <f t="shared" si="43"/>
        <v>25.09</v>
      </c>
      <c r="M278" s="138">
        <v>121.56</v>
      </c>
      <c r="N278" s="131" t="s">
        <v>3150</v>
      </c>
      <c r="O278" s="134" t="s">
        <v>355</v>
      </c>
      <c r="P278" s="134">
        <v>5.2</v>
      </c>
      <c r="Q278" s="162" t="s">
        <v>355</v>
      </c>
      <c r="R278" s="138"/>
      <c r="S278" s="138">
        <v>0.05</v>
      </c>
      <c r="T278" s="139">
        <v>4.7130000000000001</v>
      </c>
      <c r="U278" s="140">
        <f t="shared" si="44"/>
        <v>0.67329743975963574</v>
      </c>
      <c r="V278" s="131" t="s">
        <v>3909</v>
      </c>
      <c r="W278" s="121">
        <v>102</v>
      </c>
      <c r="X278" s="141" t="s">
        <v>352</v>
      </c>
      <c r="Y278" s="142"/>
      <c r="Z278" s="141">
        <v>16</v>
      </c>
      <c r="AA278" s="141"/>
      <c r="AB278" s="142"/>
      <c r="AC278" s="142"/>
      <c r="AD278" s="142"/>
      <c r="AE278" s="142">
        <v>2.7</v>
      </c>
      <c r="AF278" s="142">
        <f t="shared" si="41"/>
        <v>0.43136376415898736</v>
      </c>
      <c r="AG278" s="141" t="s">
        <v>3910</v>
      </c>
      <c r="AH278" s="142"/>
      <c r="AI278" s="142">
        <v>3</v>
      </c>
      <c r="AJ278" s="142"/>
      <c r="AK278" s="142"/>
      <c r="AL278" s="160" t="s">
        <v>3896</v>
      </c>
      <c r="AM278" s="160" t="s">
        <v>3896</v>
      </c>
      <c r="AW278" s="144"/>
      <c r="BB278" s="144"/>
    </row>
    <row r="279" spans="1:54" ht="15" customHeight="1">
      <c r="A279" s="131" t="s">
        <v>3656</v>
      </c>
      <c r="B279" s="131" t="s">
        <v>1135</v>
      </c>
      <c r="C279" s="131" t="s">
        <v>3893</v>
      </c>
      <c r="D279" s="131" t="s">
        <v>4181</v>
      </c>
      <c r="E279" s="132">
        <v>5</v>
      </c>
      <c r="F279" s="133">
        <f t="shared" si="40"/>
        <v>0.69897000433601886</v>
      </c>
      <c r="G279" s="138">
        <v>0.65</v>
      </c>
      <c r="H279" s="131" t="s">
        <v>3116</v>
      </c>
      <c r="I279" s="133">
        <f t="shared" si="42"/>
        <v>-0.18708664335714442</v>
      </c>
      <c r="J279" s="133"/>
      <c r="K279" s="156">
        <v>35.096400000000003</v>
      </c>
      <c r="L279" s="135">
        <f t="shared" si="43"/>
        <v>35.096400000000003</v>
      </c>
      <c r="M279" s="131">
        <v>-83.719914000000003</v>
      </c>
      <c r="N279" s="131" t="s">
        <v>3150</v>
      </c>
      <c r="O279" s="131" t="s">
        <v>3116</v>
      </c>
      <c r="P279" s="131" t="s">
        <v>3894</v>
      </c>
      <c r="Q279" s="129" t="s">
        <v>3116</v>
      </c>
      <c r="R279" s="131"/>
      <c r="S279" s="138">
        <v>0.27</v>
      </c>
      <c r="T279" s="139">
        <v>6.9969999999999999</v>
      </c>
      <c r="U279" s="140">
        <f t="shared" si="44"/>
        <v>0.84491187391214062</v>
      </c>
      <c r="V279" s="131" t="s">
        <v>3895</v>
      </c>
      <c r="W279" s="121">
        <v>15</v>
      </c>
      <c r="X279" s="141" t="s">
        <v>352</v>
      </c>
      <c r="Y279" s="142"/>
      <c r="Z279" s="141">
        <v>6</v>
      </c>
      <c r="AA279" s="141">
        <f>AVERAGE(75,150)</f>
        <v>112.5</v>
      </c>
      <c r="AB279" s="141">
        <v>5</v>
      </c>
      <c r="AC279" s="142">
        <f t="shared" ref="AC279:AC290" si="45">LOG(AB279)</f>
        <v>0.69897000433601886</v>
      </c>
      <c r="AD279" s="141">
        <f>AVERAGE(75,150)</f>
        <v>112.5</v>
      </c>
      <c r="AE279" s="141">
        <v>5</v>
      </c>
      <c r="AF279" s="141">
        <f t="shared" si="41"/>
        <v>0.69897000433601886</v>
      </c>
      <c r="AG279" s="141" t="s">
        <v>3659</v>
      </c>
      <c r="AH279" s="141"/>
      <c r="AI279" s="141">
        <v>2</v>
      </c>
      <c r="AJ279" s="142"/>
      <c r="AK279" s="142"/>
      <c r="AL279" s="160" t="s">
        <v>3896</v>
      </c>
      <c r="AM279" s="160" t="s">
        <v>3896</v>
      </c>
      <c r="AO279" s="151"/>
      <c r="AW279" s="144"/>
      <c r="BB279" s="144"/>
    </row>
    <row r="280" spans="1:54" ht="15" customHeight="1">
      <c r="A280" s="131" t="s">
        <v>3656</v>
      </c>
      <c r="B280" s="131" t="s">
        <v>974</v>
      </c>
      <c r="C280" s="131" t="s">
        <v>3897</v>
      </c>
      <c r="D280" s="131" t="s">
        <v>4181</v>
      </c>
      <c r="E280" s="132">
        <v>5</v>
      </c>
      <c r="F280" s="133">
        <f t="shared" si="40"/>
        <v>0.69897000433601886</v>
      </c>
      <c r="G280" s="138">
        <v>0.65</v>
      </c>
      <c r="H280" s="131" t="s">
        <v>3116</v>
      </c>
      <c r="I280" s="133">
        <f t="shared" si="42"/>
        <v>-0.18708664335714442</v>
      </c>
      <c r="J280" s="133"/>
      <c r="K280" s="156">
        <v>35.096400000000003</v>
      </c>
      <c r="L280" s="135">
        <f t="shared" si="43"/>
        <v>35.096400000000003</v>
      </c>
      <c r="M280" s="131">
        <v>-83.719914000000003</v>
      </c>
      <c r="N280" s="131" t="s">
        <v>3150</v>
      </c>
      <c r="O280" s="131" t="s">
        <v>3116</v>
      </c>
      <c r="P280" s="131" t="s">
        <v>3898</v>
      </c>
      <c r="Q280" s="129" t="s">
        <v>3116</v>
      </c>
      <c r="R280" s="131"/>
      <c r="S280" s="138">
        <v>0.28000000000000003</v>
      </c>
      <c r="T280" s="139">
        <v>6.9969999999999999</v>
      </c>
      <c r="U280" s="140">
        <f t="shared" si="44"/>
        <v>0.84491187391214062</v>
      </c>
      <c r="V280" s="131" t="s">
        <v>3895</v>
      </c>
      <c r="W280" s="121">
        <v>15</v>
      </c>
      <c r="X280" s="141" t="s">
        <v>352</v>
      </c>
      <c r="Y280" s="142"/>
      <c r="Z280" s="141">
        <v>6</v>
      </c>
      <c r="AA280" s="141">
        <v>70</v>
      </c>
      <c r="AB280" s="142">
        <v>1</v>
      </c>
      <c r="AC280" s="142">
        <f t="shared" si="45"/>
        <v>0</v>
      </c>
      <c r="AD280" s="141">
        <f>AVERAGE(70,110)</f>
        <v>90</v>
      </c>
      <c r="AE280" s="142">
        <v>1</v>
      </c>
      <c r="AF280" s="141">
        <f t="shared" si="41"/>
        <v>0</v>
      </c>
      <c r="AG280" s="141" t="s">
        <v>3899</v>
      </c>
      <c r="AH280" s="145"/>
      <c r="AI280" s="145">
        <v>2</v>
      </c>
      <c r="AJ280" s="142"/>
      <c r="AK280" s="142"/>
      <c r="AL280" s="160" t="s">
        <v>3896</v>
      </c>
      <c r="AM280" s="160" t="s">
        <v>3896</v>
      </c>
      <c r="AO280" s="151"/>
      <c r="AW280" s="144"/>
      <c r="BB280" s="144"/>
    </row>
    <row r="281" spans="1:54" ht="15" customHeight="1">
      <c r="A281" s="131" t="s">
        <v>3656</v>
      </c>
      <c r="B281" s="131" t="s">
        <v>680</v>
      </c>
      <c r="C281" s="131" t="s">
        <v>3900</v>
      </c>
      <c r="D281" s="131" t="s">
        <v>4181</v>
      </c>
      <c r="E281" s="132">
        <v>5</v>
      </c>
      <c r="F281" s="133">
        <f t="shared" si="40"/>
        <v>0.69897000433601886</v>
      </c>
      <c r="G281" s="138">
        <v>0.65</v>
      </c>
      <c r="H281" s="131" t="s">
        <v>3116</v>
      </c>
      <c r="I281" s="133">
        <f t="shared" si="42"/>
        <v>-0.18708664335714442</v>
      </c>
      <c r="J281" s="133"/>
      <c r="K281" s="156">
        <v>35.096400000000003</v>
      </c>
      <c r="L281" s="135">
        <f t="shared" si="43"/>
        <v>35.096400000000003</v>
      </c>
      <c r="M281" s="131">
        <v>-83.719914000000003</v>
      </c>
      <c r="N281" s="131" t="s">
        <v>3150</v>
      </c>
      <c r="O281" s="131" t="s">
        <v>3116</v>
      </c>
      <c r="P281" s="131" t="s">
        <v>3901</v>
      </c>
      <c r="Q281" s="129" t="s">
        <v>3116</v>
      </c>
      <c r="R281" s="131"/>
      <c r="S281" s="138">
        <v>0.31</v>
      </c>
      <c r="T281" s="139">
        <v>6.9969999999999999</v>
      </c>
      <c r="U281" s="140">
        <f t="shared" si="44"/>
        <v>0.84491187391214062</v>
      </c>
      <c r="V281" s="131" t="s">
        <v>3895</v>
      </c>
      <c r="W281" s="121">
        <v>15</v>
      </c>
      <c r="X281" s="141" t="s">
        <v>352</v>
      </c>
      <c r="Y281" s="142"/>
      <c r="Z281" s="141">
        <v>6</v>
      </c>
      <c r="AA281" s="141">
        <f>AVERAGE(90,210)</f>
        <v>150</v>
      </c>
      <c r="AB281" s="142">
        <v>19.36</v>
      </c>
      <c r="AC281" s="142">
        <f t="shared" si="45"/>
        <v>1.2869053529723748</v>
      </c>
      <c r="AD281" s="141">
        <f>AVERAGE(90,210)</f>
        <v>150</v>
      </c>
      <c r="AE281" s="142">
        <v>19.36</v>
      </c>
      <c r="AF281" s="141">
        <f t="shared" si="41"/>
        <v>1.2869053529723748</v>
      </c>
      <c r="AG281" s="141" t="s">
        <v>3902</v>
      </c>
      <c r="AH281" s="145"/>
      <c r="AI281" s="145">
        <v>2</v>
      </c>
      <c r="AJ281" s="142"/>
      <c r="AK281" s="142"/>
      <c r="AL281" s="160" t="s">
        <v>3896</v>
      </c>
      <c r="AM281" s="160" t="s">
        <v>3896</v>
      </c>
      <c r="AO281" s="151"/>
    </row>
    <row r="282" spans="1:54" ht="15" customHeight="1">
      <c r="A282" s="131" t="s">
        <v>3903</v>
      </c>
      <c r="B282" s="131" t="s">
        <v>1169</v>
      </c>
      <c r="C282" s="131" t="s">
        <v>3904</v>
      </c>
      <c r="D282" s="131" t="s">
        <v>4181</v>
      </c>
      <c r="E282" s="132">
        <v>5</v>
      </c>
      <c r="F282" s="133">
        <f t="shared" si="40"/>
        <v>0.69897000433601886</v>
      </c>
      <c r="G282" s="138">
        <v>0.65</v>
      </c>
      <c r="H282" s="131" t="s">
        <v>3116</v>
      </c>
      <c r="I282" s="133">
        <f t="shared" si="42"/>
        <v>-0.18708664335714442</v>
      </c>
      <c r="J282" s="133"/>
      <c r="K282" s="156">
        <v>35.096400000000003</v>
      </c>
      <c r="L282" s="135">
        <f t="shared" si="43"/>
        <v>35.096400000000003</v>
      </c>
      <c r="M282" s="131">
        <v>-83.719914000000003</v>
      </c>
      <c r="N282" s="131" t="s">
        <v>3150</v>
      </c>
      <c r="O282" s="131" t="s">
        <v>3116</v>
      </c>
      <c r="P282" s="131" t="s">
        <v>3905</v>
      </c>
      <c r="Q282" s="129" t="s">
        <v>3116</v>
      </c>
      <c r="R282" s="131"/>
      <c r="S282" s="138">
        <v>0.19</v>
      </c>
      <c r="T282" s="139">
        <v>6.9969999999999999</v>
      </c>
      <c r="U282" s="140">
        <f t="shared" si="44"/>
        <v>0.84491187391214062</v>
      </c>
      <c r="V282" s="131" t="s">
        <v>3895</v>
      </c>
      <c r="W282" s="121">
        <v>15</v>
      </c>
      <c r="X282" s="141" t="s">
        <v>352</v>
      </c>
      <c r="Y282" s="142"/>
      <c r="Z282" s="141">
        <v>6</v>
      </c>
      <c r="AA282" s="141">
        <f>AVERAGE(85, 185)</f>
        <v>135</v>
      </c>
      <c r="AB282" s="142">
        <v>3</v>
      </c>
      <c r="AC282" s="142">
        <f t="shared" si="45"/>
        <v>0.47712125471966244</v>
      </c>
      <c r="AD282" s="141"/>
      <c r="AE282" s="142"/>
      <c r="AF282" s="142"/>
      <c r="AG282" s="141" t="s">
        <v>3659</v>
      </c>
      <c r="AH282" s="145"/>
      <c r="AI282" s="145">
        <v>2</v>
      </c>
      <c r="AJ282" s="141"/>
      <c r="AK282" s="141"/>
      <c r="AL282" s="160" t="s">
        <v>3896</v>
      </c>
      <c r="AM282" s="160" t="s">
        <v>3896</v>
      </c>
      <c r="AO282" s="151"/>
    </row>
    <row r="283" spans="1:54" ht="15" customHeight="1">
      <c r="A283" s="131" t="s">
        <v>3877</v>
      </c>
      <c r="B283" s="131" t="s">
        <v>3263</v>
      </c>
      <c r="C283" s="131" t="s">
        <v>3878</v>
      </c>
      <c r="D283" s="131" t="s">
        <v>4184</v>
      </c>
      <c r="E283" s="132">
        <v>13</v>
      </c>
      <c r="F283" s="133">
        <f t="shared" si="40"/>
        <v>1.1139433523068367</v>
      </c>
      <c r="G283" s="131" t="s">
        <v>3116</v>
      </c>
      <c r="H283" s="131" t="s">
        <v>3116</v>
      </c>
      <c r="I283" s="133"/>
      <c r="J283" s="133"/>
      <c r="K283" s="135">
        <v>40.802481</v>
      </c>
      <c r="L283" s="135">
        <f t="shared" si="43"/>
        <v>40.802481</v>
      </c>
      <c r="M283" s="131">
        <v>-105.591663</v>
      </c>
      <c r="N283" s="131" t="s">
        <v>3150</v>
      </c>
      <c r="O283" s="134">
        <v>44.3</v>
      </c>
      <c r="P283" s="131" t="s">
        <v>3116</v>
      </c>
      <c r="Q283" s="161">
        <f>(44.25-43.1)/7.5</f>
        <v>0.15333333333333315</v>
      </c>
      <c r="R283" s="138">
        <f t="shared" ref="R283:R290" si="46">LOG(Q283+1)</f>
        <v>6.1954844073114086E-2</v>
      </c>
      <c r="S283" s="131" t="s">
        <v>3116</v>
      </c>
      <c r="T283" s="139">
        <v>7.5679999999999996</v>
      </c>
      <c r="U283" s="140">
        <f t="shared" si="44"/>
        <v>0.87898112339373635</v>
      </c>
      <c r="V283" s="131" t="s">
        <v>3879</v>
      </c>
      <c r="W283" s="121">
        <v>103</v>
      </c>
      <c r="X283" s="141" t="s">
        <v>352</v>
      </c>
      <c r="Y283" s="142">
        <v>6</v>
      </c>
      <c r="Z283" s="142"/>
      <c r="AA283" s="142">
        <f>1000*0.6</f>
        <v>600</v>
      </c>
      <c r="AB283" s="142">
        <v>79.819230387164467</v>
      </c>
      <c r="AC283" s="142">
        <f t="shared" si="45"/>
        <v>1.9021075360235618</v>
      </c>
      <c r="AD283" s="142"/>
      <c r="AE283" s="142"/>
      <c r="AF283" s="142"/>
      <c r="AG283" s="141" t="s">
        <v>3378</v>
      </c>
      <c r="AH283" s="142">
        <v>3</v>
      </c>
      <c r="AI283" s="142"/>
      <c r="AJ283" s="145"/>
      <c r="AK283" s="145"/>
      <c r="AL283" s="160" t="s">
        <v>3871</v>
      </c>
      <c r="AM283" s="160" t="s">
        <v>3871</v>
      </c>
      <c r="AN283" s="155"/>
    </row>
    <row r="284" spans="1:54" ht="15" customHeight="1">
      <c r="A284" s="131" t="s">
        <v>3880</v>
      </c>
      <c r="B284" s="131" t="s">
        <v>3881</v>
      </c>
      <c r="C284" s="131" t="s">
        <v>3882</v>
      </c>
      <c r="D284" s="131" t="s">
        <v>4184</v>
      </c>
      <c r="E284" s="132">
        <v>14</v>
      </c>
      <c r="F284" s="133">
        <f t="shared" si="40"/>
        <v>1.146128035678238</v>
      </c>
      <c r="G284" s="131" t="s">
        <v>3116</v>
      </c>
      <c r="H284" s="131" t="s">
        <v>3116</v>
      </c>
      <c r="I284" s="133"/>
      <c r="J284" s="133"/>
      <c r="K284" s="135">
        <v>41.480378999999999</v>
      </c>
      <c r="L284" s="135">
        <f t="shared" si="43"/>
        <v>41.480378999999999</v>
      </c>
      <c r="M284" s="131">
        <v>-71.522559999999999</v>
      </c>
      <c r="N284" s="131" t="s">
        <v>3150</v>
      </c>
      <c r="O284" s="132">
        <v>41</v>
      </c>
      <c r="P284" s="131" t="s">
        <v>3116</v>
      </c>
      <c r="Q284" s="137">
        <v>7.0000000000000007E-2</v>
      </c>
      <c r="R284" s="138">
        <f t="shared" si="46"/>
        <v>2.9383777685209667E-2</v>
      </c>
      <c r="S284" s="131" t="s">
        <v>3116</v>
      </c>
      <c r="T284" s="139">
        <v>8.1760000000000002</v>
      </c>
      <c r="U284" s="140">
        <f t="shared" si="44"/>
        <v>0.9125408827906375</v>
      </c>
      <c r="V284" s="131" t="s">
        <v>3883</v>
      </c>
      <c r="W284" s="121">
        <v>109</v>
      </c>
      <c r="X284" s="141" t="s">
        <v>352</v>
      </c>
      <c r="Y284" s="141">
        <v>20</v>
      </c>
      <c r="Z284" s="141"/>
      <c r="AA284" s="141"/>
      <c r="AB284" s="142">
        <f>AVERAGE(164.3, 165.8, 174.5, 230.5, 362.6, 401.2)</f>
        <v>249.81666666666669</v>
      </c>
      <c r="AC284" s="142">
        <f t="shared" si="45"/>
        <v>2.397621409217892</v>
      </c>
      <c r="AD284" s="142"/>
      <c r="AE284" s="142"/>
      <c r="AF284" s="142"/>
      <c r="AG284" s="142" t="s">
        <v>3884</v>
      </c>
      <c r="AH284" s="142">
        <v>2</v>
      </c>
      <c r="AI284" s="142"/>
      <c r="AJ284" s="145"/>
      <c r="AK284" s="145"/>
      <c r="AL284" s="160" t="s">
        <v>3871</v>
      </c>
      <c r="AM284" s="160" t="s">
        <v>3871</v>
      </c>
    </row>
    <row r="285" spans="1:54" ht="15" customHeight="1">
      <c r="A285" s="131" t="s">
        <v>3867</v>
      </c>
      <c r="B285" s="131" t="s">
        <v>966</v>
      </c>
      <c r="C285" s="131" t="s">
        <v>3868</v>
      </c>
      <c r="D285" s="131" t="s">
        <v>4181</v>
      </c>
      <c r="E285" s="132">
        <v>14</v>
      </c>
      <c r="F285" s="133">
        <f t="shared" si="40"/>
        <v>1.146128035678238</v>
      </c>
      <c r="G285" s="131" t="s">
        <v>3116</v>
      </c>
      <c r="H285" s="131" t="s">
        <v>3116</v>
      </c>
      <c r="I285" s="133"/>
      <c r="J285" s="133"/>
      <c r="K285" s="135">
        <v>36.672006000000003</v>
      </c>
      <c r="L285" s="135">
        <f t="shared" si="43"/>
        <v>36.672006000000003</v>
      </c>
      <c r="M285" s="131">
        <v>-92.381361999999996</v>
      </c>
      <c r="N285" s="131" t="s">
        <v>3174</v>
      </c>
      <c r="O285" s="134">
        <v>36.6</v>
      </c>
      <c r="P285" s="131" t="s">
        <v>3116</v>
      </c>
      <c r="Q285" s="137">
        <v>0.2</v>
      </c>
      <c r="R285" s="138">
        <f t="shared" si="46"/>
        <v>7.9181246047624818E-2</v>
      </c>
      <c r="S285" s="131" t="s">
        <v>3116</v>
      </c>
      <c r="T285" s="139">
        <v>8.6150000000000002</v>
      </c>
      <c r="U285" s="140">
        <f t="shared" si="44"/>
        <v>0.93525528178404727</v>
      </c>
      <c r="V285" s="131" t="s">
        <v>3869</v>
      </c>
      <c r="W285" s="121">
        <v>11</v>
      </c>
      <c r="X285" s="141" t="s">
        <v>352</v>
      </c>
      <c r="Y285" s="141">
        <v>10</v>
      </c>
      <c r="Z285" s="141"/>
      <c r="AA285" s="145">
        <v>334</v>
      </c>
      <c r="AB285" s="141">
        <f>AVERAGE(29, 644)</f>
        <v>336.5</v>
      </c>
      <c r="AC285" s="142">
        <f t="shared" si="45"/>
        <v>2.5269850685599957</v>
      </c>
      <c r="AD285" s="141"/>
      <c r="AE285" s="141"/>
      <c r="AF285" s="141"/>
      <c r="AG285" s="141" t="s">
        <v>3870</v>
      </c>
      <c r="AH285" s="141">
        <v>3</v>
      </c>
      <c r="AI285" s="141"/>
      <c r="AJ285" s="145"/>
      <c r="AK285" s="145"/>
      <c r="AL285" s="160" t="s">
        <v>3871</v>
      </c>
      <c r="AM285" s="160" t="s">
        <v>3871</v>
      </c>
      <c r="AO285" s="151"/>
    </row>
    <row r="286" spans="1:54" ht="15" customHeight="1">
      <c r="A286" s="131" t="s">
        <v>3839</v>
      </c>
      <c r="B286" s="131" t="s">
        <v>3872</v>
      </c>
      <c r="C286" s="131" t="s">
        <v>3873</v>
      </c>
      <c r="D286" s="131" t="s">
        <v>4184</v>
      </c>
      <c r="E286" s="132">
        <v>7</v>
      </c>
      <c r="F286" s="133">
        <f t="shared" si="40"/>
        <v>0.84509804001425681</v>
      </c>
      <c r="G286" s="131" t="s">
        <v>3116</v>
      </c>
      <c r="H286" s="131" t="s">
        <v>3116</v>
      </c>
      <c r="I286" s="133"/>
      <c r="J286" s="133"/>
      <c r="K286" s="136">
        <v>25.730789999999999</v>
      </c>
      <c r="L286" s="135">
        <f t="shared" si="43"/>
        <v>25.730789999999999</v>
      </c>
      <c r="M286" s="131">
        <v>-80.237707999999998</v>
      </c>
      <c r="N286" s="131" t="s">
        <v>3150</v>
      </c>
      <c r="O286" s="134">
        <v>40.6</v>
      </c>
      <c r="P286" s="131" t="s">
        <v>3116</v>
      </c>
      <c r="Q286" s="137">
        <v>0.2</v>
      </c>
      <c r="R286" s="138">
        <f t="shared" si="46"/>
        <v>7.9181246047624818E-2</v>
      </c>
      <c r="S286" s="131" t="s">
        <v>3116</v>
      </c>
      <c r="T286" s="139">
        <v>3.0710000000000002</v>
      </c>
      <c r="U286" s="140">
        <f t="shared" si="44"/>
        <v>0.48727981644306895</v>
      </c>
      <c r="V286" s="131" t="s">
        <v>3874</v>
      </c>
      <c r="W286" s="121">
        <v>99</v>
      </c>
      <c r="X286" s="141" t="s">
        <v>352</v>
      </c>
      <c r="Y286" s="141">
        <v>6</v>
      </c>
      <c r="Z286" s="141"/>
      <c r="AA286" s="141">
        <v>49.65</v>
      </c>
      <c r="AB286" s="142">
        <v>3.1</v>
      </c>
      <c r="AC286" s="142">
        <f t="shared" si="45"/>
        <v>0.49136169383427269</v>
      </c>
      <c r="AD286" s="142"/>
      <c r="AE286" s="142"/>
      <c r="AF286" s="142"/>
      <c r="AG286" s="141" t="s">
        <v>3315</v>
      </c>
      <c r="AH286" s="142">
        <v>2</v>
      </c>
      <c r="AI286" s="142"/>
      <c r="AJ286" s="142"/>
      <c r="AK286" s="142"/>
      <c r="AL286" s="160" t="s">
        <v>3871</v>
      </c>
      <c r="AM286" s="160" t="s">
        <v>3871</v>
      </c>
      <c r="AN286" s="155"/>
      <c r="AU286" s="130"/>
      <c r="AW286" s="144"/>
      <c r="BB286" s="144"/>
    </row>
    <row r="287" spans="1:54" ht="15" customHeight="1">
      <c r="A287" s="131" t="s">
        <v>3839</v>
      </c>
      <c r="B287" s="131" t="s">
        <v>3875</v>
      </c>
      <c r="C287" s="131" t="s">
        <v>3876</v>
      </c>
      <c r="D287" s="131" t="s">
        <v>4184</v>
      </c>
      <c r="E287" s="132">
        <v>7</v>
      </c>
      <c r="F287" s="133">
        <f t="shared" si="40"/>
        <v>0.84509804001425681</v>
      </c>
      <c r="G287" s="131" t="s">
        <v>3116</v>
      </c>
      <c r="H287" s="131" t="s">
        <v>3116</v>
      </c>
      <c r="I287" s="133"/>
      <c r="J287" s="133"/>
      <c r="K287" s="136">
        <v>25.730789999999999</v>
      </c>
      <c r="L287" s="135">
        <f t="shared" si="43"/>
        <v>25.730789999999999</v>
      </c>
      <c r="M287" s="131">
        <v>-80.237707999999998</v>
      </c>
      <c r="N287" s="131" t="s">
        <v>3150</v>
      </c>
      <c r="O287" s="134">
        <v>41.9</v>
      </c>
      <c r="P287" s="131" t="s">
        <v>3116</v>
      </c>
      <c r="Q287" s="137">
        <v>0.14000000000000001</v>
      </c>
      <c r="R287" s="138">
        <f t="shared" si="46"/>
        <v>5.6904851336472641E-2</v>
      </c>
      <c r="S287" s="131" t="s">
        <v>3116</v>
      </c>
      <c r="T287" s="139">
        <v>3.0710000000000002</v>
      </c>
      <c r="U287" s="140">
        <f t="shared" si="44"/>
        <v>0.48727981644306895</v>
      </c>
      <c r="V287" s="131" t="s">
        <v>3874</v>
      </c>
      <c r="W287" s="121">
        <v>99</v>
      </c>
      <c r="X287" s="141" t="s">
        <v>352</v>
      </c>
      <c r="Y287" s="141">
        <v>11</v>
      </c>
      <c r="Z287" s="141"/>
      <c r="AA287" s="141">
        <v>54.13</v>
      </c>
      <c r="AB287" s="142">
        <v>5.0999999999999996</v>
      </c>
      <c r="AC287" s="142">
        <f t="shared" si="45"/>
        <v>0.70757017609793638</v>
      </c>
      <c r="AD287" s="142"/>
      <c r="AE287" s="142"/>
      <c r="AF287" s="142"/>
      <c r="AG287" s="141" t="s">
        <v>3315</v>
      </c>
      <c r="AH287" s="142">
        <v>2</v>
      </c>
      <c r="AI287" s="142"/>
      <c r="AJ287" s="142"/>
      <c r="AK287" s="142"/>
      <c r="AL287" s="160" t="s">
        <v>3871</v>
      </c>
      <c r="AM287" s="160" t="s">
        <v>3871</v>
      </c>
      <c r="AN287" s="155"/>
      <c r="AU287" s="130"/>
      <c r="AW287" s="144"/>
      <c r="BB287" s="144"/>
    </row>
    <row r="288" spans="1:54" ht="15" customHeight="1">
      <c r="A288" s="131" t="s">
        <v>3860</v>
      </c>
      <c r="B288" s="131" t="s">
        <v>1184</v>
      </c>
      <c r="C288" s="131" t="s">
        <v>3140</v>
      </c>
      <c r="D288" s="131" t="s">
        <v>4181</v>
      </c>
      <c r="E288" s="132">
        <v>70</v>
      </c>
      <c r="F288" s="133">
        <f t="shared" si="40"/>
        <v>1.8450980400142569</v>
      </c>
      <c r="G288" s="131" t="s">
        <v>3116</v>
      </c>
      <c r="H288" s="134">
        <v>0.5</v>
      </c>
      <c r="I288" s="133"/>
      <c r="J288" s="133">
        <f>LOG(H288)</f>
        <v>-0.3010299956639812</v>
      </c>
      <c r="K288" s="135">
        <v>46.891401999999999</v>
      </c>
      <c r="L288" s="135">
        <f t="shared" si="43"/>
        <v>46.891401999999999</v>
      </c>
      <c r="M288" s="135">
        <v>19.443249000000002</v>
      </c>
      <c r="N288" s="131" t="s">
        <v>3174</v>
      </c>
      <c r="O288" s="134">
        <v>37.9</v>
      </c>
      <c r="P288" s="131" t="s">
        <v>3116</v>
      </c>
      <c r="Q288" s="137">
        <v>0.11</v>
      </c>
      <c r="R288" s="138">
        <f t="shared" si="46"/>
        <v>4.5322978786657475E-2</v>
      </c>
      <c r="S288" s="131" t="s">
        <v>3116</v>
      </c>
      <c r="T288" s="139">
        <v>7.7709999999999999</v>
      </c>
      <c r="U288" s="140">
        <f t="shared" si="44"/>
        <v>0.89047690896017073</v>
      </c>
      <c r="V288" s="131" t="s">
        <v>3861</v>
      </c>
      <c r="W288" s="121">
        <v>16</v>
      </c>
      <c r="X288" s="141" t="s">
        <v>352</v>
      </c>
      <c r="Y288" s="141">
        <v>8</v>
      </c>
      <c r="Z288" s="141"/>
      <c r="AA288" s="141">
        <v>65</v>
      </c>
      <c r="AB288" s="141">
        <v>2.2999999999999998</v>
      </c>
      <c r="AC288" s="142">
        <f t="shared" si="45"/>
        <v>0.36172783601759284</v>
      </c>
      <c r="AD288" s="141"/>
      <c r="AE288" s="141"/>
      <c r="AF288" s="141"/>
      <c r="AG288" s="141"/>
      <c r="AH288" s="145">
        <v>2</v>
      </c>
      <c r="AI288" s="145"/>
      <c r="AJ288" s="141"/>
      <c r="AK288" s="141"/>
      <c r="AL288" s="159" t="s">
        <v>3862</v>
      </c>
      <c r="AM288" s="159" t="s">
        <v>3862</v>
      </c>
      <c r="AO288" s="151"/>
      <c r="AR288" s="130"/>
      <c r="AW288" s="144"/>
      <c r="BB288" s="144"/>
    </row>
    <row r="289" spans="1:54" ht="15.95" customHeight="1">
      <c r="A289" s="131" t="s">
        <v>3863</v>
      </c>
      <c r="B289" s="131" t="s">
        <v>3864</v>
      </c>
      <c r="C289" s="131" t="s">
        <v>3136</v>
      </c>
      <c r="D289" s="131" t="s">
        <v>4180</v>
      </c>
      <c r="E289" s="132">
        <v>20</v>
      </c>
      <c r="F289" s="133">
        <f t="shared" si="40"/>
        <v>1.3010299956639813</v>
      </c>
      <c r="G289" s="131" t="s">
        <v>3116</v>
      </c>
      <c r="H289" s="138">
        <v>0.45</v>
      </c>
      <c r="I289" s="133"/>
      <c r="J289" s="133">
        <f>LOG(H289)</f>
        <v>-0.34678748622465633</v>
      </c>
      <c r="K289" s="135">
        <v>43.281888000000002</v>
      </c>
      <c r="L289" s="135">
        <f t="shared" si="43"/>
        <v>43.281888000000002</v>
      </c>
      <c r="M289" s="131">
        <v>-110.019611</v>
      </c>
      <c r="N289" s="131" t="s">
        <v>3174</v>
      </c>
      <c r="O289" s="134">
        <v>34.6</v>
      </c>
      <c r="P289" s="131" t="s">
        <v>3116</v>
      </c>
      <c r="Q289" s="137">
        <v>0.03</v>
      </c>
      <c r="R289" s="138">
        <f t="shared" si="46"/>
        <v>1.2837224705172217E-2</v>
      </c>
      <c r="S289" s="131" t="s">
        <v>3116</v>
      </c>
      <c r="T289" s="139">
        <v>8.2370000000000001</v>
      </c>
      <c r="U289" s="140">
        <f t="shared" si="44"/>
        <v>0.91576906598368413</v>
      </c>
      <c r="V289" s="131" t="s">
        <v>3865</v>
      </c>
      <c r="W289" s="121">
        <v>46</v>
      </c>
      <c r="X289" s="141" t="s">
        <v>352</v>
      </c>
      <c r="Y289" s="142">
        <v>13</v>
      </c>
      <c r="Z289" s="142"/>
      <c r="AA289" s="142">
        <f>AVERAGE(52.6,43.1)</f>
        <v>47.85</v>
      </c>
      <c r="AB289" s="120">
        <v>1.5972968199599606</v>
      </c>
      <c r="AC289" s="142">
        <f t="shared" si="45"/>
        <v>0.20338562702940277</v>
      </c>
      <c r="AD289" s="142"/>
      <c r="AE289" s="142"/>
      <c r="AF289" s="142"/>
      <c r="AG289" s="141"/>
      <c r="AH289" s="142">
        <v>4</v>
      </c>
      <c r="AI289" s="142"/>
      <c r="AJ289" s="142"/>
      <c r="AK289" s="142"/>
      <c r="AL289" s="159" t="s">
        <v>3862</v>
      </c>
      <c r="AM289" s="159" t="s">
        <v>3862</v>
      </c>
      <c r="AN289" s="155"/>
      <c r="AW289" s="144"/>
      <c r="BB289" s="144"/>
    </row>
    <row r="290" spans="1:54" ht="15" customHeight="1">
      <c r="A290" s="131" t="s">
        <v>3866</v>
      </c>
      <c r="B290" s="131" t="s">
        <v>3864</v>
      </c>
      <c r="C290" s="131" t="s">
        <v>3136</v>
      </c>
      <c r="D290" s="131" t="s">
        <v>4180</v>
      </c>
      <c r="E290" s="132">
        <v>20</v>
      </c>
      <c r="F290" s="133">
        <f t="shared" si="40"/>
        <v>1.3010299956639813</v>
      </c>
      <c r="G290" s="131" t="s">
        <v>3116</v>
      </c>
      <c r="H290" s="138">
        <v>0.45</v>
      </c>
      <c r="I290" s="133"/>
      <c r="J290" s="133">
        <f>LOG(H290)</f>
        <v>-0.34678748622465633</v>
      </c>
      <c r="K290" s="135">
        <v>42.866110999999997</v>
      </c>
      <c r="L290" s="135">
        <f t="shared" si="43"/>
        <v>42.866110999999997</v>
      </c>
      <c r="M290" s="131">
        <v>-109.864722</v>
      </c>
      <c r="N290" s="131" t="s">
        <v>3174</v>
      </c>
      <c r="O290" s="134">
        <v>34.9</v>
      </c>
      <c r="P290" s="131" t="s">
        <v>3116</v>
      </c>
      <c r="Q290" s="137">
        <v>0.33</v>
      </c>
      <c r="R290" s="138">
        <f t="shared" si="46"/>
        <v>0.12385164096708581</v>
      </c>
      <c r="S290" s="131" t="s">
        <v>3116</v>
      </c>
      <c r="T290" s="139">
        <v>9.1639999999999997</v>
      </c>
      <c r="U290" s="140">
        <f t="shared" si="44"/>
        <v>0.96208508051735986</v>
      </c>
      <c r="V290" s="131" t="s">
        <v>3865</v>
      </c>
      <c r="W290" s="121">
        <v>46</v>
      </c>
      <c r="X290" s="141" t="s">
        <v>352</v>
      </c>
      <c r="Y290" s="142">
        <v>13</v>
      </c>
      <c r="Z290" s="142"/>
      <c r="AA290" s="142">
        <f>AVERAGE(51.1,48.9)</f>
        <v>50</v>
      </c>
      <c r="AB290" s="120">
        <v>1.8240283116420926</v>
      </c>
      <c r="AC290" s="142">
        <f t="shared" si="45"/>
        <v>0.2610315749433354</v>
      </c>
      <c r="AD290" s="142"/>
      <c r="AE290" s="142"/>
      <c r="AF290" s="142"/>
      <c r="AG290" s="141"/>
      <c r="AH290" s="142">
        <v>4</v>
      </c>
      <c r="AI290" s="142"/>
      <c r="AJ290" s="142"/>
      <c r="AK290" s="142"/>
      <c r="AL290" s="159" t="s">
        <v>3862</v>
      </c>
      <c r="AM290" s="159" t="s">
        <v>3862</v>
      </c>
      <c r="AN290" s="155"/>
      <c r="AW290" s="144"/>
      <c r="BB290" s="144"/>
    </row>
    <row r="291" spans="1:54" ht="15.95" customHeight="1">
      <c r="A291" s="131" t="s">
        <v>3243</v>
      </c>
      <c r="B291" s="131" t="s">
        <v>3244</v>
      </c>
      <c r="C291" s="131" t="s">
        <v>3121</v>
      </c>
      <c r="D291" s="131" t="s">
        <v>4182</v>
      </c>
      <c r="E291" s="132">
        <v>7</v>
      </c>
      <c r="F291" s="133">
        <f>LOG(E291)</f>
        <v>0.84509804001425681</v>
      </c>
      <c r="G291" s="138">
        <v>0.25</v>
      </c>
      <c r="H291" s="138">
        <v>0.25</v>
      </c>
      <c r="I291" s="133">
        <f t="shared" ref="I291:J294" si="47">LOG(G291)</f>
        <v>-0.6020599913279624</v>
      </c>
      <c r="J291" s="133">
        <f t="shared" si="47"/>
        <v>-0.6020599913279624</v>
      </c>
      <c r="K291" s="131">
        <v>-53.081809999999997</v>
      </c>
      <c r="L291" s="135">
        <f>ABS(K291)</f>
        <v>53.081809999999997</v>
      </c>
      <c r="M291" s="135">
        <v>73.504158000000004</v>
      </c>
      <c r="N291" s="131" t="s">
        <v>3150</v>
      </c>
      <c r="O291" s="134">
        <v>35.6</v>
      </c>
      <c r="P291" s="131">
        <v>-5.4</v>
      </c>
      <c r="Q291" s="147">
        <v>-0.28000000000000003</v>
      </c>
      <c r="R291" s="138">
        <f>LOG(Q291+1)</f>
        <v>-0.14266750356873156</v>
      </c>
      <c r="S291" s="131">
        <v>-0.19</v>
      </c>
      <c r="T291" s="139">
        <v>2.3140000000000001</v>
      </c>
      <c r="U291" s="140">
        <f t="shared" si="44"/>
        <v>0.36436335461573077</v>
      </c>
      <c r="V291" s="131" t="s">
        <v>3218</v>
      </c>
      <c r="W291" s="121">
        <v>77</v>
      </c>
      <c r="X291" s="142" t="s">
        <v>352</v>
      </c>
      <c r="Y291" s="142">
        <v>10</v>
      </c>
      <c r="Z291" s="142">
        <v>10</v>
      </c>
      <c r="AA291" s="142">
        <v>4.47</v>
      </c>
      <c r="AB291" s="142">
        <f>12.32/1000</f>
        <v>1.2320000000000001E-2</v>
      </c>
      <c r="AC291" s="142">
        <f>LOG(AB291)</f>
        <v>-1.9093892921715934</v>
      </c>
      <c r="AD291" s="142">
        <v>4.47</v>
      </c>
      <c r="AE291" s="142"/>
      <c r="AF291" s="142"/>
      <c r="AG291" s="141" t="s">
        <v>3219</v>
      </c>
      <c r="AH291" s="142">
        <v>2</v>
      </c>
      <c r="AI291" s="142">
        <v>2</v>
      </c>
      <c r="AJ291" s="145"/>
      <c r="AK291" s="145"/>
      <c r="AL291" s="120" t="s">
        <v>3858</v>
      </c>
      <c r="AM291" s="120" t="s">
        <v>3858</v>
      </c>
    </row>
    <row r="292" spans="1:54" ht="15" customHeight="1">
      <c r="A292" s="131" t="s">
        <v>3280</v>
      </c>
      <c r="B292" s="131" t="s">
        <v>3281</v>
      </c>
      <c r="C292" s="131" t="s">
        <v>3125</v>
      </c>
      <c r="D292" s="131" t="s">
        <v>4182</v>
      </c>
      <c r="E292" s="132">
        <v>7</v>
      </c>
      <c r="F292" s="133">
        <f>LOG(E292)</f>
        <v>0.84509804001425681</v>
      </c>
      <c r="G292" s="138">
        <v>0.25</v>
      </c>
      <c r="H292" s="138">
        <v>0.25</v>
      </c>
      <c r="I292" s="133">
        <f t="shared" si="47"/>
        <v>-0.6020599913279624</v>
      </c>
      <c r="J292" s="133">
        <f t="shared" si="47"/>
        <v>-0.6020599913279624</v>
      </c>
      <c r="K292" s="131">
        <v>-53.081809999999997</v>
      </c>
      <c r="L292" s="135">
        <f>ABS(K292)</f>
        <v>53.081809999999997</v>
      </c>
      <c r="M292" s="135">
        <v>73.504158000000004</v>
      </c>
      <c r="N292" s="131" t="s">
        <v>3150</v>
      </c>
      <c r="O292" s="134">
        <v>39.9</v>
      </c>
      <c r="P292" s="131">
        <v>-5.5</v>
      </c>
      <c r="Q292" s="147">
        <v>-0.35</v>
      </c>
      <c r="R292" s="138">
        <f>LOG(Q292+1)</f>
        <v>-0.18708664335714442</v>
      </c>
      <c r="S292" s="131">
        <v>-0.03</v>
      </c>
      <c r="T292" s="139">
        <v>2.3140000000000001</v>
      </c>
      <c r="U292" s="140">
        <f t="shared" si="44"/>
        <v>0.36436335461573077</v>
      </c>
      <c r="V292" s="131" t="s">
        <v>3218</v>
      </c>
      <c r="W292" s="121">
        <v>77</v>
      </c>
      <c r="X292" s="142" t="s">
        <v>352</v>
      </c>
      <c r="Y292" s="142">
        <v>10</v>
      </c>
      <c r="Z292" s="142">
        <v>10</v>
      </c>
      <c r="AA292" s="142">
        <v>9.9</v>
      </c>
      <c r="AB292" s="142">
        <f>18.09/1000</f>
        <v>1.8089999999999998E-2</v>
      </c>
      <c r="AC292" s="142">
        <f>LOG(AB292)</f>
        <v>-1.7425614331401862</v>
      </c>
      <c r="AD292" s="142">
        <v>9.9</v>
      </c>
      <c r="AE292" s="142"/>
      <c r="AF292" s="142"/>
      <c r="AG292" s="141"/>
      <c r="AH292" s="142">
        <v>2</v>
      </c>
      <c r="AI292" s="142">
        <v>2</v>
      </c>
      <c r="AJ292" s="142"/>
      <c r="AK292" s="142"/>
      <c r="AL292" s="120" t="s">
        <v>3858</v>
      </c>
      <c r="AM292" s="120" t="s">
        <v>3858</v>
      </c>
    </row>
    <row r="293" spans="1:54" ht="15" customHeight="1">
      <c r="A293" s="131" t="s">
        <v>4140</v>
      </c>
      <c r="B293" s="131" t="s">
        <v>3859</v>
      </c>
      <c r="C293" s="131" t="s">
        <v>3120</v>
      </c>
      <c r="D293" s="131" t="s">
        <v>4182</v>
      </c>
      <c r="E293" s="132">
        <v>7</v>
      </c>
      <c r="F293" s="133">
        <f>LOG(E293)</f>
        <v>0.84509804001425681</v>
      </c>
      <c r="G293" s="138">
        <v>0.25</v>
      </c>
      <c r="H293" s="138">
        <v>0.25</v>
      </c>
      <c r="I293" s="133">
        <f t="shared" si="47"/>
        <v>-0.6020599913279624</v>
      </c>
      <c r="J293" s="133">
        <f t="shared" si="47"/>
        <v>-0.6020599913279624</v>
      </c>
      <c r="K293" s="131">
        <v>-53.081809999999997</v>
      </c>
      <c r="L293" s="135">
        <f>ABS(K293)</f>
        <v>53.081809999999997</v>
      </c>
      <c r="M293" s="135">
        <v>73.504158000000004</v>
      </c>
      <c r="N293" s="131" t="s">
        <v>3150</v>
      </c>
      <c r="O293" s="134">
        <v>37.5</v>
      </c>
      <c r="P293" s="131">
        <v>-6</v>
      </c>
      <c r="Q293" s="147">
        <v>-0.45</v>
      </c>
      <c r="R293" s="138">
        <f>LOG(Q293+1)</f>
        <v>-0.25963731050575611</v>
      </c>
      <c r="S293" s="138">
        <v>0.17</v>
      </c>
      <c r="T293" s="139">
        <v>2.3140000000000001</v>
      </c>
      <c r="U293" s="140">
        <f t="shared" si="44"/>
        <v>0.36436335461573077</v>
      </c>
      <c r="V293" s="131" t="s">
        <v>3218</v>
      </c>
      <c r="W293" s="121">
        <v>77</v>
      </c>
      <c r="X293" s="142" t="s">
        <v>352</v>
      </c>
      <c r="Y293" s="142">
        <v>10</v>
      </c>
      <c r="Z293" s="142">
        <v>10</v>
      </c>
      <c r="AA293" s="142">
        <v>4.3499999999999996</v>
      </c>
      <c r="AB293" s="142">
        <f>4.54/1000</f>
        <v>4.5399999999999998E-3</v>
      </c>
      <c r="AC293" s="142">
        <f>LOG(AB293)</f>
        <v>-2.3429441471428962</v>
      </c>
      <c r="AD293" s="142">
        <v>4.3499999999999996</v>
      </c>
      <c r="AE293" s="142"/>
      <c r="AF293" s="142"/>
      <c r="AG293" s="141" t="s">
        <v>3219</v>
      </c>
      <c r="AH293" s="142">
        <v>2</v>
      </c>
      <c r="AI293" s="142">
        <v>2</v>
      </c>
      <c r="AJ293" s="142"/>
      <c r="AK293" s="142"/>
      <c r="AL293" s="120" t="s">
        <v>3858</v>
      </c>
      <c r="AM293" s="120" t="s">
        <v>3858</v>
      </c>
    </row>
    <row r="294" spans="1:54" ht="15.95" customHeight="1">
      <c r="A294" s="131" t="s">
        <v>3215</v>
      </c>
      <c r="B294" s="131" t="s">
        <v>3279</v>
      </c>
      <c r="C294" s="131" t="s">
        <v>3132</v>
      </c>
      <c r="D294" s="131" t="s">
        <v>4182</v>
      </c>
      <c r="E294" s="132">
        <v>7</v>
      </c>
      <c r="F294" s="133">
        <f>LOG(E294)</f>
        <v>0.84509804001425681</v>
      </c>
      <c r="G294" s="138">
        <v>0.25</v>
      </c>
      <c r="H294" s="138">
        <v>0.25</v>
      </c>
      <c r="I294" s="133">
        <f t="shared" si="47"/>
        <v>-0.6020599913279624</v>
      </c>
      <c r="J294" s="133">
        <f t="shared" si="47"/>
        <v>-0.6020599913279624</v>
      </c>
      <c r="K294" s="131">
        <v>-53.081809999999997</v>
      </c>
      <c r="L294" s="135">
        <f>ABS(K294)</f>
        <v>53.081809999999997</v>
      </c>
      <c r="M294" s="135">
        <v>73.504158000000004</v>
      </c>
      <c r="N294" s="131" t="s">
        <v>3150</v>
      </c>
      <c r="O294" s="134">
        <v>36.5</v>
      </c>
      <c r="P294" s="131">
        <v>-5.0999999999999996</v>
      </c>
      <c r="Q294" s="147">
        <v>-0.24</v>
      </c>
      <c r="R294" s="138">
        <f>LOG(Q294+1)</f>
        <v>-0.11918640771920865</v>
      </c>
      <c r="S294" s="138">
        <v>0.01</v>
      </c>
      <c r="T294" s="139">
        <v>2.3140000000000001</v>
      </c>
      <c r="U294" s="140">
        <f t="shared" si="44"/>
        <v>0.36436335461573077</v>
      </c>
      <c r="V294" s="131" t="s">
        <v>3218</v>
      </c>
      <c r="W294" s="121">
        <v>77</v>
      </c>
      <c r="X294" s="142" t="s">
        <v>352</v>
      </c>
      <c r="Y294" s="142">
        <v>10</v>
      </c>
      <c r="Z294" s="142">
        <v>10</v>
      </c>
      <c r="AA294" s="142">
        <v>4</v>
      </c>
      <c r="AB294" s="142">
        <f>4.54/1000</f>
        <v>4.5399999999999998E-3</v>
      </c>
      <c r="AC294" s="142">
        <f>LOG(AB294)</f>
        <v>-2.3429441471428962</v>
      </c>
      <c r="AD294" s="142">
        <v>4</v>
      </c>
      <c r="AE294" s="142"/>
      <c r="AF294" s="142"/>
      <c r="AG294" s="141" t="s">
        <v>3219</v>
      </c>
      <c r="AH294" s="142">
        <v>2</v>
      </c>
      <c r="AI294" s="142">
        <v>2</v>
      </c>
      <c r="AJ294" s="142"/>
      <c r="AK294" s="142"/>
      <c r="AL294" s="120" t="s">
        <v>3858</v>
      </c>
      <c r="AM294" s="120" t="s">
        <v>3858</v>
      </c>
    </row>
    <row r="295" spans="1:54" ht="15.95" customHeight="1">
      <c r="A295" s="131"/>
      <c r="B295" s="131"/>
      <c r="C295" s="131"/>
      <c r="D295" s="131"/>
      <c r="E295" s="132"/>
      <c r="F295" s="133"/>
      <c r="G295" s="134"/>
      <c r="H295" s="134"/>
      <c r="I295" s="133"/>
      <c r="J295" s="133"/>
      <c r="K295" s="138"/>
      <c r="L295" s="138"/>
      <c r="M295" s="131"/>
      <c r="N295" s="131"/>
      <c r="O295" s="134"/>
      <c r="P295" s="134"/>
      <c r="Q295" s="162"/>
      <c r="R295" s="138"/>
      <c r="S295" s="138"/>
      <c r="T295" s="158"/>
      <c r="U295" s="163"/>
      <c r="V295" s="131"/>
      <c r="W295" s="131"/>
      <c r="X295" s="131"/>
      <c r="Y295" s="164"/>
      <c r="Z295" s="164"/>
      <c r="AA295" s="164"/>
      <c r="AJ295" s="142"/>
      <c r="AK295" s="142"/>
    </row>
    <row r="296" spans="1:54" ht="17.100000000000001" customHeight="1">
      <c r="A296" s="153" t="s">
        <v>3933</v>
      </c>
      <c r="B296" s="151"/>
      <c r="C296" s="151"/>
      <c r="D296" s="151"/>
      <c r="E296" s="151"/>
      <c r="F296" s="165"/>
      <c r="G296" s="151"/>
      <c r="H296" s="151"/>
      <c r="I296" s="165"/>
      <c r="J296" s="165"/>
      <c r="K296" s="151"/>
      <c r="L296" s="151"/>
      <c r="M296" s="151"/>
      <c r="N296" s="151"/>
      <c r="O296" s="151"/>
      <c r="P296" s="151"/>
      <c r="R296" s="151"/>
      <c r="S296" s="151"/>
      <c r="T296" s="166"/>
      <c r="U296" s="167"/>
      <c r="V296" s="151"/>
      <c r="W296" s="151"/>
      <c r="X296" s="151"/>
      <c r="AJ296" s="142"/>
      <c r="AK296" s="142"/>
    </row>
    <row r="297" spans="1:54" ht="17.100000000000001" customHeight="1">
      <c r="A297" s="151" t="s">
        <v>3934</v>
      </c>
      <c r="B297" s="151"/>
      <c r="C297" s="151"/>
      <c r="D297" s="151"/>
      <c r="E297" s="151"/>
      <c r="F297" s="165"/>
      <c r="G297" s="151"/>
      <c r="H297" s="151"/>
      <c r="I297" s="165"/>
      <c r="J297" s="165"/>
      <c r="K297" s="151"/>
      <c r="L297" s="151"/>
      <c r="M297" s="151"/>
      <c r="N297" s="151"/>
      <c r="O297" s="151"/>
      <c r="P297" s="151"/>
      <c r="R297" s="151"/>
      <c r="S297" s="151"/>
      <c r="T297" s="166"/>
      <c r="U297" s="167"/>
      <c r="V297" s="151"/>
      <c r="W297" s="151"/>
      <c r="X297" s="151"/>
      <c r="AJ297" s="142"/>
      <c r="AK297" s="142"/>
    </row>
    <row r="298" spans="1:54" ht="17.100000000000001" customHeight="1">
      <c r="A298" s="153" t="s">
        <v>3935</v>
      </c>
      <c r="B298" s="151"/>
      <c r="C298" s="151"/>
      <c r="D298" s="151"/>
      <c r="E298" s="151"/>
      <c r="F298" s="165"/>
      <c r="G298" s="151"/>
      <c r="H298" s="151"/>
      <c r="I298" s="165"/>
      <c r="J298" s="165"/>
      <c r="K298" s="151"/>
      <c r="L298" s="151"/>
      <c r="M298" s="151"/>
      <c r="N298" s="151"/>
      <c r="O298" s="151"/>
      <c r="P298" s="151"/>
      <c r="R298" s="151"/>
      <c r="S298" s="151"/>
      <c r="T298" s="166"/>
      <c r="U298" s="167"/>
      <c r="V298" s="151"/>
      <c r="W298" s="151"/>
      <c r="X298" s="151"/>
    </row>
    <row r="299" spans="1:54" ht="17.100000000000001" customHeight="1">
      <c r="A299" s="153" t="s">
        <v>3936</v>
      </c>
      <c r="B299" s="151"/>
      <c r="C299" s="151"/>
      <c r="D299" s="151"/>
      <c r="E299" s="151"/>
      <c r="F299" s="165"/>
      <c r="G299" s="151"/>
      <c r="H299" s="151"/>
      <c r="I299" s="165"/>
      <c r="J299" s="165"/>
      <c r="K299" s="151"/>
      <c r="L299" s="151"/>
      <c r="M299" s="151"/>
      <c r="N299" s="151"/>
      <c r="O299" s="151"/>
      <c r="P299" s="151"/>
      <c r="R299" s="151"/>
      <c r="S299" s="151"/>
      <c r="T299" s="166"/>
      <c r="U299" s="167"/>
      <c r="V299" s="151"/>
      <c r="W299" s="151"/>
      <c r="X299" s="151"/>
    </row>
    <row r="300" spans="1:54" ht="17.100000000000001" customHeight="1">
      <c r="A300" s="151" t="s">
        <v>3937</v>
      </c>
      <c r="B300" s="151"/>
      <c r="C300" s="151"/>
      <c r="D300" s="151"/>
      <c r="E300" s="151"/>
      <c r="F300" s="165"/>
      <c r="G300" s="151"/>
      <c r="H300" s="151"/>
      <c r="I300" s="165"/>
      <c r="J300" s="165"/>
      <c r="K300" s="151"/>
      <c r="L300" s="151"/>
      <c r="M300" s="151"/>
      <c r="N300" s="151"/>
      <c r="O300" s="151"/>
      <c r="P300" s="151"/>
      <c r="R300" s="151"/>
      <c r="S300" s="151"/>
      <c r="T300" s="166"/>
      <c r="U300" s="167"/>
      <c r="V300" s="151"/>
      <c r="W300" s="151"/>
      <c r="X300" s="151"/>
    </row>
    <row r="301" spans="1:54" ht="17.100000000000001" customHeight="1">
      <c r="A301" s="153" t="s">
        <v>3938</v>
      </c>
      <c r="B301" s="151"/>
      <c r="C301" s="151"/>
      <c r="D301" s="151"/>
      <c r="E301" s="151"/>
      <c r="F301" s="165"/>
      <c r="G301" s="151"/>
      <c r="H301" s="151"/>
      <c r="I301" s="165"/>
      <c r="J301" s="165"/>
      <c r="K301" s="151"/>
      <c r="L301" s="151"/>
      <c r="M301" s="151"/>
      <c r="N301" s="151"/>
      <c r="O301" s="151"/>
      <c r="P301" s="151"/>
      <c r="R301" s="151"/>
      <c r="S301" s="151"/>
      <c r="T301" s="166"/>
      <c r="U301" s="167"/>
      <c r="V301" s="151"/>
      <c r="W301" s="151"/>
      <c r="X301" s="151"/>
    </row>
    <row r="302" spans="1:54" ht="17.100000000000001" customHeight="1">
      <c r="A302" s="153" t="s">
        <v>3939</v>
      </c>
      <c r="B302" s="151"/>
      <c r="C302" s="151"/>
      <c r="D302" s="151"/>
      <c r="E302" s="151"/>
      <c r="F302" s="165"/>
      <c r="G302" s="151"/>
      <c r="H302" s="151"/>
      <c r="I302" s="165"/>
      <c r="J302" s="165"/>
      <c r="K302" s="151"/>
      <c r="L302" s="151"/>
      <c r="M302" s="151"/>
      <c r="N302" s="151"/>
      <c r="O302" s="151"/>
      <c r="P302" s="151"/>
      <c r="R302" s="151"/>
      <c r="S302" s="151"/>
      <c r="T302" s="166"/>
      <c r="U302" s="167"/>
      <c r="V302" s="151"/>
      <c r="W302" s="151"/>
      <c r="X302" s="151"/>
    </row>
    <row r="303" spans="1:54" ht="17.100000000000001" customHeight="1">
      <c r="A303" s="151" t="s">
        <v>3940</v>
      </c>
      <c r="B303" s="151"/>
      <c r="C303" s="151"/>
      <c r="D303" s="151"/>
      <c r="E303" s="151"/>
      <c r="F303" s="165"/>
      <c r="G303" s="151"/>
      <c r="H303" s="151"/>
      <c r="I303" s="165"/>
      <c r="J303" s="165"/>
      <c r="K303" s="151"/>
      <c r="L303" s="151"/>
      <c r="M303" s="151"/>
      <c r="N303" s="151"/>
      <c r="O303" s="151"/>
      <c r="P303" s="151"/>
      <c r="R303" s="151"/>
      <c r="S303" s="151"/>
      <c r="T303" s="166"/>
      <c r="U303" s="167"/>
      <c r="V303" s="151"/>
      <c r="W303" s="151"/>
      <c r="X303" s="151"/>
    </row>
    <row r="304" spans="1:54" ht="17.100000000000001" customHeight="1">
      <c r="A304" s="153" t="s">
        <v>3941</v>
      </c>
      <c r="B304" s="151"/>
      <c r="C304" s="151"/>
      <c r="D304" s="151"/>
      <c r="E304" s="151"/>
      <c r="F304" s="165"/>
      <c r="G304" s="151"/>
      <c r="H304" s="151"/>
      <c r="I304" s="165"/>
      <c r="J304" s="165"/>
      <c r="K304" s="151"/>
      <c r="L304" s="151"/>
      <c r="M304" s="151"/>
      <c r="N304" s="151"/>
      <c r="O304" s="151"/>
      <c r="P304" s="151"/>
      <c r="R304" s="151"/>
      <c r="S304" s="151"/>
      <c r="T304" s="166"/>
      <c r="U304" s="167"/>
      <c r="V304" s="151"/>
      <c r="W304" s="151"/>
      <c r="X304" s="151"/>
    </row>
    <row r="305" spans="1:39" ht="17.100000000000001" customHeight="1">
      <c r="A305" s="153" t="s">
        <v>3942</v>
      </c>
      <c r="B305" s="151"/>
      <c r="C305" s="151"/>
      <c r="D305" s="151"/>
      <c r="E305" s="151"/>
      <c r="F305" s="165"/>
      <c r="G305" s="151"/>
      <c r="H305" s="151"/>
      <c r="I305" s="165"/>
      <c r="J305" s="165"/>
      <c r="K305" s="151"/>
      <c r="L305" s="151"/>
      <c r="M305" s="151"/>
      <c r="N305" s="151"/>
      <c r="O305" s="151"/>
      <c r="P305" s="151"/>
      <c r="R305" s="151"/>
      <c r="S305" s="151"/>
      <c r="T305" s="166"/>
      <c r="U305" s="167"/>
      <c r="V305" s="151"/>
      <c r="W305" s="151"/>
      <c r="X305" s="151"/>
    </row>
    <row r="306" spans="1:39" ht="17.100000000000001" customHeight="1">
      <c r="A306" s="151" t="s">
        <v>3943</v>
      </c>
      <c r="B306" s="151"/>
      <c r="C306" s="151"/>
      <c r="D306" s="151"/>
      <c r="E306" s="151"/>
      <c r="F306" s="165"/>
      <c r="G306" s="151"/>
      <c r="H306" s="151"/>
      <c r="I306" s="165"/>
      <c r="J306" s="165"/>
      <c r="K306" s="151"/>
      <c r="L306" s="151"/>
      <c r="M306" s="151"/>
      <c r="N306" s="151"/>
      <c r="O306" s="151"/>
      <c r="P306" s="151"/>
      <c r="R306" s="151"/>
      <c r="S306" s="151"/>
      <c r="T306" s="166"/>
      <c r="U306" s="167"/>
      <c r="V306" s="151"/>
      <c r="W306" s="151"/>
      <c r="X306" s="151"/>
      <c r="Y306" s="115"/>
      <c r="Z306" s="115"/>
      <c r="AA306" s="115"/>
      <c r="AB306" s="115"/>
      <c r="AC306" s="115"/>
      <c r="AD306" s="115"/>
      <c r="AE306" s="115"/>
      <c r="AF306" s="115"/>
      <c r="AG306" s="115"/>
      <c r="AH306" s="115"/>
      <c r="AI306" s="115"/>
      <c r="AL306" s="115"/>
      <c r="AM306" s="115"/>
    </row>
    <row r="307" spans="1:39" ht="17.100000000000001" customHeight="1">
      <c r="A307" s="151" t="s">
        <v>3944</v>
      </c>
      <c r="B307" s="151"/>
      <c r="C307" s="151"/>
      <c r="D307" s="151"/>
      <c r="E307" s="151"/>
      <c r="F307" s="165"/>
      <c r="G307" s="151"/>
      <c r="H307" s="151"/>
      <c r="I307" s="165"/>
      <c r="J307" s="165"/>
      <c r="K307" s="151"/>
      <c r="L307" s="151"/>
      <c r="M307" s="151"/>
      <c r="N307" s="151"/>
      <c r="O307" s="151"/>
      <c r="P307" s="151"/>
      <c r="R307" s="151"/>
      <c r="S307" s="151"/>
      <c r="T307" s="166"/>
      <c r="U307" s="167"/>
      <c r="V307" s="151"/>
      <c r="W307" s="151"/>
      <c r="X307" s="151"/>
      <c r="Y307" s="115"/>
      <c r="Z307" s="115"/>
      <c r="AA307" s="115"/>
      <c r="AB307" s="115"/>
      <c r="AC307" s="115"/>
      <c r="AD307" s="115"/>
      <c r="AE307" s="115"/>
      <c r="AF307" s="115"/>
      <c r="AG307" s="115"/>
      <c r="AH307" s="115"/>
      <c r="AI307" s="115"/>
      <c r="AL307" s="115"/>
      <c r="AM307" s="115"/>
    </row>
    <row r="308" spans="1:39" ht="17.100000000000001" customHeight="1">
      <c r="A308" s="151" t="s">
        <v>3945</v>
      </c>
      <c r="B308" s="151"/>
      <c r="C308" s="151"/>
      <c r="D308" s="151"/>
      <c r="E308" s="151"/>
      <c r="F308" s="165"/>
      <c r="G308" s="151"/>
      <c r="H308" s="151"/>
      <c r="I308" s="165"/>
      <c r="J308" s="165"/>
      <c r="K308" s="151"/>
      <c r="L308" s="151"/>
      <c r="M308" s="151"/>
      <c r="N308" s="151"/>
      <c r="O308" s="151"/>
      <c r="P308" s="151"/>
      <c r="R308" s="151"/>
      <c r="S308" s="151"/>
      <c r="T308" s="166"/>
      <c r="U308" s="167"/>
      <c r="V308" s="151"/>
      <c r="W308" s="151"/>
      <c r="X308" s="151"/>
      <c r="Y308" s="115"/>
      <c r="Z308" s="115"/>
      <c r="AA308" s="115"/>
      <c r="AB308" s="115"/>
      <c r="AC308" s="115"/>
      <c r="AD308" s="115"/>
      <c r="AE308" s="115"/>
      <c r="AF308" s="115"/>
      <c r="AG308" s="115"/>
      <c r="AH308" s="115"/>
      <c r="AI308" s="115"/>
      <c r="AL308" s="115"/>
      <c r="AM308" s="115"/>
    </row>
    <row r="309" spans="1:39" ht="17.100000000000001" customHeight="1">
      <c r="A309" s="151" t="s">
        <v>3946</v>
      </c>
      <c r="B309" s="151"/>
      <c r="C309" s="151"/>
      <c r="D309" s="151"/>
      <c r="E309" s="151"/>
      <c r="F309" s="165"/>
      <c r="G309" s="151"/>
      <c r="H309" s="151"/>
      <c r="I309" s="165"/>
      <c r="J309" s="165"/>
      <c r="K309" s="151"/>
      <c r="L309" s="151"/>
      <c r="M309" s="151"/>
      <c r="N309" s="151"/>
      <c r="O309" s="151"/>
      <c r="P309" s="151"/>
      <c r="R309" s="151"/>
      <c r="S309" s="151"/>
      <c r="T309" s="166"/>
      <c r="U309" s="167"/>
      <c r="V309" s="151"/>
      <c r="W309" s="151"/>
      <c r="X309" s="151"/>
      <c r="Y309" s="115"/>
      <c r="Z309" s="115"/>
      <c r="AA309" s="115"/>
      <c r="AB309" s="115"/>
      <c r="AC309" s="115"/>
      <c r="AD309" s="115"/>
      <c r="AE309" s="115"/>
      <c r="AF309" s="115"/>
      <c r="AG309" s="115"/>
      <c r="AH309" s="115"/>
      <c r="AI309" s="115"/>
      <c r="AJ309" s="115"/>
      <c r="AK309" s="115"/>
      <c r="AL309" s="115"/>
      <c r="AM309" s="115"/>
    </row>
    <row r="310" spans="1:39" ht="17.100000000000001" customHeight="1">
      <c r="A310" s="151" t="s">
        <v>3947</v>
      </c>
      <c r="B310" s="151"/>
      <c r="C310" s="151"/>
      <c r="D310" s="151"/>
      <c r="E310" s="151"/>
      <c r="F310" s="165"/>
      <c r="G310" s="151"/>
      <c r="H310" s="151"/>
      <c r="I310" s="165"/>
      <c r="J310" s="165"/>
      <c r="K310" s="151"/>
      <c r="L310" s="151"/>
      <c r="M310" s="151"/>
      <c r="N310" s="151"/>
      <c r="O310" s="151"/>
      <c r="P310" s="151"/>
      <c r="R310" s="151"/>
      <c r="S310" s="151"/>
      <c r="T310" s="166"/>
      <c r="U310" s="167"/>
      <c r="V310" s="151"/>
      <c r="W310" s="151"/>
      <c r="X310" s="151"/>
      <c r="Y310" s="115"/>
      <c r="Z310" s="115"/>
      <c r="AA310" s="115"/>
      <c r="AB310" s="115"/>
      <c r="AC310" s="115"/>
      <c r="AD310" s="115"/>
      <c r="AE310" s="115"/>
      <c r="AF310" s="115"/>
      <c r="AG310" s="115"/>
      <c r="AH310" s="115"/>
      <c r="AI310" s="115"/>
      <c r="AJ310" s="115"/>
      <c r="AK310" s="115"/>
      <c r="AL310" s="115"/>
      <c r="AM310" s="115"/>
    </row>
    <row r="311" spans="1:39" ht="17.100000000000001" customHeight="1">
      <c r="A311" s="151" t="s">
        <v>3948</v>
      </c>
      <c r="B311" s="151"/>
      <c r="C311" s="151"/>
      <c r="D311" s="151"/>
      <c r="E311" s="151"/>
      <c r="F311" s="165"/>
      <c r="G311" s="151"/>
      <c r="H311" s="151"/>
      <c r="I311" s="165"/>
      <c r="J311" s="165"/>
      <c r="K311" s="151"/>
      <c r="L311" s="151"/>
      <c r="M311" s="151"/>
      <c r="N311" s="151"/>
      <c r="O311" s="151"/>
      <c r="P311" s="151"/>
      <c r="R311" s="151"/>
      <c r="S311" s="151"/>
      <c r="T311" s="166"/>
      <c r="U311" s="167"/>
      <c r="V311" s="151"/>
      <c r="W311" s="151"/>
      <c r="X311" s="151"/>
      <c r="Y311" s="115"/>
      <c r="Z311" s="115"/>
      <c r="AA311" s="115"/>
      <c r="AB311" s="115"/>
      <c r="AC311" s="115"/>
      <c r="AD311" s="115"/>
      <c r="AE311" s="115"/>
      <c r="AF311" s="115"/>
      <c r="AG311" s="115"/>
      <c r="AH311" s="115"/>
      <c r="AI311" s="115"/>
      <c r="AJ311" s="115"/>
      <c r="AK311" s="115"/>
      <c r="AL311" s="115"/>
      <c r="AM311" s="115"/>
    </row>
    <row r="312" spans="1:39" ht="17.100000000000001" customHeight="1">
      <c r="A312" s="151" t="s">
        <v>3949</v>
      </c>
      <c r="B312" s="151"/>
      <c r="C312" s="151"/>
      <c r="D312" s="151"/>
      <c r="E312" s="151"/>
      <c r="F312" s="165"/>
      <c r="G312" s="151"/>
      <c r="H312" s="151"/>
      <c r="I312" s="165"/>
      <c r="J312" s="165"/>
      <c r="K312" s="151"/>
      <c r="L312" s="151"/>
      <c r="M312" s="151"/>
      <c r="N312" s="151"/>
      <c r="O312" s="151"/>
      <c r="P312" s="151"/>
      <c r="R312" s="151"/>
      <c r="S312" s="151"/>
      <c r="T312" s="166"/>
      <c r="U312" s="167"/>
      <c r="V312" s="151"/>
      <c r="W312" s="151"/>
      <c r="X312" s="151"/>
      <c r="Y312" s="115"/>
      <c r="Z312" s="115"/>
      <c r="AA312" s="115"/>
      <c r="AB312" s="115"/>
      <c r="AC312" s="115"/>
      <c r="AD312" s="115"/>
      <c r="AE312" s="115"/>
      <c r="AF312" s="115"/>
      <c r="AG312" s="115"/>
      <c r="AH312" s="115"/>
      <c r="AI312" s="115"/>
      <c r="AJ312" s="115"/>
      <c r="AK312" s="115"/>
      <c r="AL312" s="115"/>
      <c r="AM312" s="115"/>
    </row>
    <row r="313" spans="1:39" ht="17.100000000000001" customHeight="1">
      <c r="A313" s="151" t="s">
        <v>3950</v>
      </c>
      <c r="B313" s="151"/>
      <c r="C313" s="151"/>
      <c r="D313" s="151"/>
      <c r="E313" s="151"/>
      <c r="F313" s="165"/>
      <c r="G313" s="151"/>
      <c r="H313" s="151"/>
      <c r="I313" s="165"/>
      <c r="J313" s="165"/>
      <c r="K313" s="151"/>
      <c r="L313" s="151"/>
      <c r="M313" s="151"/>
      <c r="N313" s="151"/>
      <c r="O313" s="151"/>
      <c r="P313" s="151"/>
      <c r="R313" s="151"/>
      <c r="S313" s="151"/>
      <c r="T313" s="166"/>
      <c r="U313" s="167"/>
      <c r="V313" s="151"/>
      <c r="W313" s="151"/>
      <c r="X313" s="151"/>
      <c r="Y313" s="115"/>
      <c r="Z313" s="115"/>
      <c r="AA313" s="115"/>
      <c r="AB313" s="115"/>
      <c r="AC313" s="115"/>
      <c r="AD313" s="115"/>
      <c r="AE313" s="115"/>
      <c r="AF313" s="115"/>
      <c r="AG313" s="115"/>
      <c r="AH313" s="115"/>
      <c r="AI313" s="115"/>
      <c r="AJ313" s="115"/>
      <c r="AK313" s="115"/>
      <c r="AL313" s="115"/>
      <c r="AM313" s="115"/>
    </row>
    <row r="314" spans="1:39" ht="17.100000000000001" customHeight="1">
      <c r="A314" s="151" t="s">
        <v>3951</v>
      </c>
      <c r="B314" s="151"/>
      <c r="C314" s="151"/>
      <c r="D314" s="151"/>
      <c r="E314" s="151"/>
      <c r="F314" s="165"/>
      <c r="G314" s="151"/>
      <c r="H314" s="151"/>
      <c r="I314" s="165"/>
      <c r="J314" s="165"/>
      <c r="K314" s="151"/>
      <c r="L314" s="151"/>
      <c r="M314" s="151"/>
      <c r="N314" s="151"/>
      <c r="O314" s="151"/>
      <c r="P314" s="151"/>
      <c r="R314" s="151"/>
      <c r="S314" s="151"/>
      <c r="T314" s="166"/>
      <c r="U314" s="167"/>
      <c r="V314" s="151"/>
      <c r="W314" s="151"/>
      <c r="X314" s="151"/>
      <c r="Y314" s="115"/>
      <c r="Z314" s="115"/>
      <c r="AA314" s="115"/>
      <c r="AB314" s="115"/>
      <c r="AC314" s="115"/>
      <c r="AD314" s="115"/>
      <c r="AE314" s="115"/>
      <c r="AF314" s="115"/>
      <c r="AG314" s="115"/>
      <c r="AH314" s="115"/>
      <c r="AI314" s="115"/>
      <c r="AJ314" s="115"/>
      <c r="AK314" s="115"/>
      <c r="AL314" s="115"/>
      <c r="AM314" s="115"/>
    </row>
    <row r="315" spans="1:39" ht="17.100000000000001" customHeight="1">
      <c r="A315" s="153" t="s">
        <v>3952</v>
      </c>
      <c r="B315" s="151"/>
      <c r="C315" s="151"/>
      <c r="D315" s="151"/>
      <c r="E315" s="151"/>
      <c r="F315" s="165"/>
      <c r="G315" s="151"/>
      <c r="H315" s="151"/>
      <c r="I315" s="165"/>
      <c r="J315" s="165"/>
      <c r="K315" s="151"/>
      <c r="L315" s="151"/>
      <c r="M315" s="151"/>
      <c r="N315" s="151"/>
      <c r="O315" s="151"/>
      <c r="P315" s="151"/>
      <c r="R315" s="151"/>
      <c r="S315" s="151"/>
      <c r="T315" s="166"/>
      <c r="U315" s="167"/>
      <c r="V315" s="151"/>
      <c r="W315" s="151"/>
      <c r="X315" s="151"/>
      <c r="Y315" s="115"/>
      <c r="Z315" s="115"/>
      <c r="AA315" s="115"/>
      <c r="AB315" s="115"/>
      <c r="AC315" s="115"/>
      <c r="AD315" s="115"/>
      <c r="AE315" s="115"/>
      <c r="AF315" s="115"/>
      <c r="AG315" s="115"/>
      <c r="AH315" s="115"/>
      <c r="AI315" s="115"/>
      <c r="AJ315" s="115"/>
      <c r="AK315" s="115"/>
      <c r="AL315" s="115"/>
      <c r="AM315" s="115"/>
    </row>
    <row r="316" spans="1:39" ht="17.100000000000001" customHeight="1">
      <c r="A316" s="151" t="s">
        <v>3953</v>
      </c>
      <c r="B316" s="151"/>
      <c r="C316" s="151"/>
      <c r="D316" s="151"/>
      <c r="E316" s="151"/>
      <c r="F316" s="165"/>
      <c r="G316" s="151"/>
      <c r="H316" s="151"/>
      <c r="I316" s="165"/>
      <c r="J316" s="165"/>
      <c r="K316" s="151"/>
      <c r="L316" s="151"/>
      <c r="M316" s="151"/>
      <c r="N316" s="151"/>
      <c r="O316" s="151"/>
      <c r="P316" s="151"/>
      <c r="R316" s="151"/>
      <c r="S316" s="151"/>
      <c r="T316" s="166"/>
      <c r="U316" s="167"/>
      <c r="V316" s="151"/>
      <c r="W316" s="151"/>
      <c r="X316" s="151"/>
      <c r="Y316" s="115"/>
      <c r="Z316" s="115"/>
      <c r="AA316" s="115"/>
      <c r="AB316" s="115"/>
      <c r="AC316" s="115"/>
      <c r="AD316" s="115"/>
      <c r="AE316" s="115"/>
      <c r="AF316" s="115"/>
      <c r="AG316" s="115"/>
      <c r="AH316" s="115"/>
      <c r="AI316" s="115"/>
      <c r="AJ316" s="115"/>
      <c r="AK316" s="115"/>
      <c r="AL316" s="115"/>
      <c r="AM316" s="115"/>
    </row>
    <row r="317" spans="1:39" ht="17.100000000000001" customHeight="1">
      <c r="A317" s="153" t="s">
        <v>3954</v>
      </c>
      <c r="B317" s="151"/>
      <c r="C317" s="151"/>
      <c r="D317" s="151"/>
      <c r="E317" s="151"/>
      <c r="F317" s="165"/>
      <c r="G317" s="151"/>
      <c r="H317" s="151"/>
      <c r="I317" s="165"/>
      <c r="J317" s="165"/>
      <c r="K317" s="151"/>
      <c r="L317" s="151"/>
      <c r="M317" s="151"/>
      <c r="N317" s="151"/>
      <c r="O317" s="151"/>
      <c r="P317" s="151"/>
      <c r="R317" s="151"/>
      <c r="S317" s="151"/>
      <c r="T317" s="166"/>
      <c r="U317" s="167"/>
      <c r="V317" s="151"/>
      <c r="W317" s="151"/>
      <c r="X317" s="151"/>
      <c r="Y317" s="115"/>
      <c r="Z317" s="115"/>
      <c r="AA317" s="115"/>
      <c r="AB317" s="115"/>
      <c r="AC317" s="115"/>
      <c r="AD317" s="115"/>
      <c r="AE317" s="115"/>
      <c r="AF317" s="115"/>
      <c r="AG317" s="115"/>
      <c r="AH317" s="115"/>
      <c r="AI317" s="115"/>
      <c r="AJ317" s="115"/>
      <c r="AK317" s="115"/>
      <c r="AL317" s="115"/>
      <c r="AM317" s="115"/>
    </row>
    <row r="318" spans="1:39" ht="17.100000000000001" customHeight="1">
      <c r="A318" s="153" t="s">
        <v>3955</v>
      </c>
      <c r="B318" s="151"/>
      <c r="C318" s="151"/>
      <c r="D318" s="151"/>
      <c r="E318" s="151"/>
      <c r="F318" s="165"/>
      <c r="G318" s="151"/>
      <c r="H318" s="151"/>
      <c r="I318" s="165"/>
      <c r="J318" s="165"/>
      <c r="K318" s="151"/>
      <c r="L318" s="151"/>
      <c r="M318" s="151"/>
      <c r="N318" s="151"/>
      <c r="O318" s="151"/>
      <c r="P318" s="151"/>
      <c r="R318" s="151"/>
      <c r="S318" s="151"/>
      <c r="T318" s="166"/>
      <c r="U318" s="167"/>
      <c r="V318" s="151"/>
      <c r="W318" s="151"/>
      <c r="X318" s="151"/>
      <c r="Y318" s="115"/>
      <c r="Z318" s="115"/>
      <c r="AA318" s="115"/>
      <c r="AB318" s="115"/>
      <c r="AC318" s="115"/>
      <c r="AD318" s="115"/>
      <c r="AE318" s="115"/>
      <c r="AF318" s="115"/>
      <c r="AG318" s="115"/>
      <c r="AH318" s="115"/>
      <c r="AI318" s="115"/>
      <c r="AJ318" s="115"/>
      <c r="AK318" s="115"/>
      <c r="AL318" s="115"/>
      <c r="AM318" s="115"/>
    </row>
    <row r="319" spans="1:39" ht="17.100000000000001" customHeight="1">
      <c r="A319" s="151" t="s">
        <v>3956</v>
      </c>
      <c r="B319" s="151"/>
      <c r="C319" s="151"/>
      <c r="D319" s="151"/>
      <c r="E319" s="151"/>
      <c r="F319" s="165"/>
      <c r="G319" s="151"/>
      <c r="H319" s="151"/>
      <c r="I319" s="165"/>
      <c r="J319" s="165"/>
      <c r="K319" s="151"/>
      <c r="L319" s="151"/>
      <c r="M319" s="151"/>
      <c r="N319" s="151"/>
      <c r="O319" s="151"/>
      <c r="P319" s="151"/>
      <c r="R319" s="151"/>
      <c r="S319" s="151"/>
      <c r="T319" s="166"/>
      <c r="U319" s="167"/>
      <c r="V319" s="151"/>
      <c r="W319" s="151"/>
      <c r="X319" s="151"/>
      <c r="Y319" s="115"/>
      <c r="Z319" s="115"/>
      <c r="AA319" s="115"/>
      <c r="AB319" s="115"/>
      <c r="AC319" s="115"/>
      <c r="AD319" s="115"/>
      <c r="AE319" s="115"/>
      <c r="AF319" s="115"/>
      <c r="AG319" s="115"/>
      <c r="AH319" s="115"/>
      <c r="AI319" s="115"/>
      <c r="AJ319" s="115"/>
      <c r="AK319" s="115"/>
      <c r="AL319" s="115"/>
      <c r="AM319" s="115"/>
    </row>
    <row r="320" spans="1:39" ht="17.100000000000001" customHeight="1">
      <c r="A320" s="153" t="s">
        <v>3957</v>
      </c>
      <c r="B320" s="151"/>
      <c r="C320" s="151"/>
      <c r="D320" s="151"/>
      <c r="E320" s="151"/>
      <c r="F320" s="165"/>
      <c r="G320" s="151"/>
      <c r="H320" s="151"/>
      <c r="I320" s="165"/>
      <c r="J320" s="165"/>
      <c r="K320" s="151"/>
      <c r="L320" s="151"/>
      <c r="M320" s="151"/>
      <c r="N320" s="151"/>
      <c r="O320" s="151"/>
      <c r="P320" s="151"/>
      <c r="R320" s="151"/>
      <c r="S320" s="151"/>
      <c r="T320" s="166"/>
      <c r="U320" s="167"/>
      <c r="V320" s="151"/>
      <c r="W320" s="151"/>
      <c r="X320" s="151"/>
      <c r="Y320" s="115"/>
      <c r="Z320" s="115"/>
      <c r="AA320" s="115"/>
      <c r="AB320" s="115"/>
      <c r="AC320" s="115"/>
      <c r="AD320" s="115"/>
      <c r="AE320" s="115"/>
      <c r="AF320" s="115"/>
      <c r="AG320" s="115"/>
      <c r="AH320" s="115"/>
      <c r="AI320" s="115"/>
      <c r="AJ320" s="115"/>
      <c r="AK320" s="115"/>
      <c r="AL320" s="115"/>
      <c r="AM320" s="115"/>
    </row>
    <row r="321" spans="1:39" ht="17.100000000000001" customHeight="1">
      <c r="A321" s="153" t="s">
        <v>3958</v>
      </c>
      <c r="B321" s="151"/>
      <c r="C321" s="151"/>
      <c r="D321" s="151"/>
      <c r="E321" s="151"/>
      <c r="F321" s="165"/>
      <c r="G321" s="151"/>
      <c r="H321" s="151"/>
      <c r="I321" s="165"/>
      <c r="J321" s="165"/>
      <c r="K321" s="151"/>
      <c r="L321" s="151"/>
      <c r="M321" s="151"/>
      <c r="N321" s="151"/>
      <c r="O321" s="151"/>
      <c r="P321" s="151"/>
      <c r="R321" s="151"/>
      <c r="S321" s="151"/>
      <c r="T321" s="166"/>
      <c r="U321" s="167"/>
      <c r="V321" s="151"/>
      <c r="W321" s="151"/>
      <c r="X321" s="151"/>
      <c r="Y321" s="115"/>
      <c r="Z321" s="115"/>
      <c r="AA321" s="115"/>
      <c r="AB321" s="115"/>
      <c r="AC321" s="115"/>
      <c r="AD321" s="115"/>
      <c r="AE321" s="115"/>
      <c r="AF321" s="115"/>
      <c r="AG321" s="115"/>
      <c r="AH321" s="115"/>
      <c r="AI321" s="115"/>
      <c r="AJ321" s="115"/>
      <c r="AK321" s="115"/>
      <c r="AL321" s="115"/>
      <c r="AM321" s="115"/>
    </row>
    <row r="322" spans="1:39" ht="17.100000000000001" customHeight="1">
      <c r="A322" s="153" t="s">
        <v>3959</v>
      </c>
      <c r="B322" s="151"/>
      <c r="C322" s="151"/>
      <c r="D322" s="151"/>
      <c r="E322" s="151"/>
      <c r="F322" s="165"/>
      <c r="G322" s="151"/>
      <c r="H322" s="151"/>
      <c r="I322" s="165"/>
      <c r="J322" s="165"/>
      <c r="K322" s="151"/>
      <c r="L322" s="151"/>
      <c r="M322" s="151"/>
      <c r="N322" s="151"/>
      <c r="O322" s="151"/>
      <c r="P322" s="151"/>
      <c r="R322" s="151"/>
      <c r="S322" s="151"/>
      <c r="T322" s="166"/>
      <c r="U322" s="167"/>
      <c r="V322" s="151"/>
      <c r="W322" s="151"/>
      <c r="X322" s="151"/>
      <c r="Y322" s="115"/>
      <c r="Z322" s="115"/>
      <c r="AA322" s="115"/>
      <c r="AB322" s="115"/>
      <c r="AC322" s="115"/>
      <c r="AD322" s="115"/>
      <c r="AE322" s="115"/>
      <c r="AF322" s="115"/>
      <c r="AG322" s="115"/>
      <c r="AH322" s="115"/>
      <c r="AI322" s="115"/>
      <c r="AJ322" s="115"/>
      <c r="AK322" s="115"/>
      <c r="AL322" s="115"/>
      <c r="AM322" s="115"/>
    </row>
    <row r="323" spans="1:39" ht="17.100000000000001" customHeight="1">
      <c r="A323" s="151" t="s">
        <v>3960</v>
      </c>
      <c r="B323" s="151"/>
      <c r="C323" s="151"/>
      <c r="D323" s="151"/>
      <c r="E323" s="151"/>
      <c r="F323" s="165"/>
      <c r="G323" s="151"/>
      <c r="H323" s="151"/>
      <c r="I323" s="165"/>
      <c r="J323" s="165"/>
      <c r="K323" s="151"/>
      <c r="L323" s="151"/>
      <c r="M323" s="151"/>
      <c r="N323" s="151"/>
      <c r="O323" s="151"/>
      <c r="P323" s="151"/>
      <c r="R323" s="151"/>
      <c r="S323" s="151"/>
      <c r="T323" s="166"/>
      <c r="U323" s="167"/>
      <c r="V323" s="151"/>
      <c r="W323" s="151"/>
      <c r="X323" s="151"/>
      <c r="Y323" s="115"/>
      <c r="Z323" s="115"/>
      <c r="AA323" s="115"/>
      <c r="AB323" s="115"/>
      <c r="AC323" s="115"/>
      <c r="AD323" s="115"/>
      <c r="AE323" s="115"/>
      <c r="AF323" s="115"/>
      <c r="AG323" s="115"/>
      <c r="AH323" s="115"/>
      <c r="AI323" s="115"/>
      <c r="AJ323" s="115"/>
      <c r="AK323" s="115"/>
      <c r="AL323" s="115"/>
      <c r="AM323" s="115"/>
    </row>
    <row r="324" spans="1:39" ht="17.100000000000001" customHeight="1">
      <c r="A324" s="153" t="s">
        <v>3961</v>
      </c>
      <c r="B324" s="151"/>
      <c r="C324" s="151"/>
      <c r="D324" s="151"/>
      <c r="E324" s="151"/>
      <c r="F324" s="165"/>
      <c r="G324" s="151"/>
      <c r="H324" s="151"/>
      <c r="I324" s="165"/>
      <c r="J324" s="165"/>
      <c r="K324" s="151"/>
      <c r="L324" s="151"/>
      <c r="M324" s="151"/>
      <c r="N324" s="151"/>
      <c r="O324" s="151"/>
      <c r="P324" s="151"/>
      <c r="R324" s="151"/>
      <c r="S324" s="151"/>
      <c r="T324" s="166"/>
      <c r="U324" s="167"/>
      <c r="V324" s="151"/>
      <c r="W324" s="151"/>
      <c r="X324" s="151"/>
      <c r="Y324" s="115"/>
      <c r="Z324" s="115"/>
      <c r="AA324" s="115"/>
      <c r="AB324" s="115"/>
      <c r="AC324" s="115"/>
      <c r="AD324" s="115"/>
      <c r="AE324" s="115"/>
      <c r="AF324" s="115"/>
      <c r="AG324" s="115"/>
      <c r="AH324" s="115"/>
      <c r="AI324" s="115"/>
      <c r="AJ324" s="115"/>
      <c r="AK324" s="115"/>
      <c r="AL324" s="115"/>
      <c r="AM324" s="115"/>
    </row>
    <row r="325" spans="1:39" ht="17.100000000000001" customHeight="1">
      <c r="A325" s="153" t="s">
        <v>3962</v>
      </c>
      <c r="B325" s="151"/>
      <c r="C325" s="151"/>
      <c r="D325" s="151"/>
      <c r="E325" s="151"/>
      <c r="F325" s="165"/>
      <c r="G325" s="151"/>
      <c r="H325" s="151"/>
      <c r="I325" s="165"/>
      <c r="J325" s="165"/>
      <c r="K325" s="151"/>
      <c r="L325" s="151"/>
      <c r="M325" s="151"/>
      <c r="N325" s="151"/>
      <c r="O325" s="151"/>
      <c r="P325" s="151"/>
      <c r="R325" s="151"/>
      <c r="S325" s="151"/>
      <c r="T325" s="166"/>
      <c r="U325" s="167"/>
      <c r="V325" s="151"/>
      <c r="W325" s="151"/>
      <c r="X325" s="151"/>
      <c r="Y325" s="115"/>
      <c r="Z325" s="115"/>
      <c r="AA325" s="115"/>
      <c r="AB325" s="115"/>
      <c r="AC325" s="115"/>
      <c r="AD325" s="115"/>
      <c r="AE325" s="115"/>
      <c r="AF325" s="115"/>
      <c r="AG325" s="115"/>
      <c r="AH325" s="115"/>
      <c r="AI325" s="115"/>
      <c r="AJ325" s="115"/>
      <c r="AK325" s="115"/>
      <c r="AL325" s="115"/>
      <c r="AM325" s="115"/>
    </row>
    <row r="326" spans="1:39" ht="17.100000000000001" customHeight="1">
      <c r="A326" s="153" t="s">
        <v>3963</v>
      </c>
      <c r="B326" s="151"/>
      <c r="C326" s="151"/>
      <c r="D326" s="151"/>
      <c r="E326" s="151"/>
      <c r="F326" s="165"/>
      <c r="G326" s="151"/>
      <c r="H326" s="151"/>
      <c r="I326" s="165"/>
      <c r="J326" s="165"/>
      <c r="K326" s="151"/>
      <c r="L326" s="151"/>
      <c r="M326" s="151"/>
      <c r="N326" s="151"/>
      <c r="O326" s="151"/>
      <c r="P326" s="151"/>
      <c r="R326" s="151"/>
      <c r="S326" s="151"/>
      <c r="T326" s="166"/>
      <c r="U326" s="167"/>
      <c r="V326" s="151"/>
      <c r="W326" s="151"/>
      <c r="X326" s="151"/>
      <c r="Y326" s="115"/>
      <c r="Z326" s="115"/>
      <c r="AA326" s="115"/>
      <c r="AB326" s="115"/>
      <c r="AC326" s="115"/>
      <c r="AD326" s="115"/>
      <c r="AE326" s="115"/>
      <c r="AF326" s="115"/>
      <c r="AG326" s="115"/>
      <c r="AH326" s="115"/>
      <c r="AI326" s="115"/>
      <c r="AJ326" s="115"/>
      <c r="AK326" s="115"/>
      <c r="AL326" s="115"/>
      <c r="AM326" s="115"/>
    </row>
    <row r="327" spans="1:39" ht="17.100000000000001" customHeight="1">
      <c r="A327" s="153" t="s">
        <v>3964</v>
      </c>
      <c r="B327" s="151"/>
      <c r="C327" s="151"/>
      <c r="D327" s="151"/>
      <c r="E327" s="151"/>
      <c r="F327" s="165"/>
      <c r="G327" s="151"/>
      <c r="H327" s="151"/>
      <c r="I327" s="165"/>
      <c r="J327" s="165"/>
      <c r="K327" s="151"/>
      <c r="L327" s="151"/>
      <c r="M327" s="151"/>
      <c r="N327" s="151"/>
      <c r="O327" s="151"/>
      <c r="P327" s="151"/>
      <c r="R327" s="151"/>
      <c r="S327" s="151"/>
      <c r="T327" s="166"/>
      <c r="U327" s="167"/>
      <c r="V327" s="151"/>
      <c r="W327" s="151"/>
      <c r="X327" s="151"/>
      <c r="Y327" s="115"/>
      <c r="Z327" s="115"/>
      <c r="AA327" s="115"/>
      <c r="AB327" s="115"/>
      <c r="AC327" s="115"/>
      <c r="AD327" s="115"/>
      <c r="AE327" s="115"/>
      <c r="AF327" s="115"/>
      <c r="AG327" s="115"/>
      <c r="AH327" s="115"/>
      <c r="AI327" s="115"/>
      <c r="AJ327" s="115"/>
      <c r="AK327" s="115"/>
      <c r="AL327" s="115"/>
      <c r="AM327" s="115"/>
    </row>
    <row r="328" spans="1:39" ht="17.100000000000001" customHeight="1">
      <c r="A328" s="153" t="s">
        <v>3965</v>
      </c>
      <c r="B328" s="151"/>
      <c r="C328" s="151"/>
      <c r="D328" s="151"/>
      <c r="E328" s="151"/>
      <c r="F328" s="165"/>
      <c r="G328" s="151"/>
      <c r="H328" s="151"/>
      <c r="I328" s="165"/>
      <c r="J328" s="165"/>
      <c r="K328" s="151"/>
      <c r="L328" s="151"/>
      <c r="M328" s="151"/>
      <c r="N328" s="151"/>
      <c r="O328" s="151"/>
      <c r="P328" s="151"/>
      <c r="R328" s="151"/>
      <c r="S328" s="151"/>
      <c r="T328" s="166"/>
      <c r="U328" s="167"/>
      <c r="V328" s="151"/>
      <c r="W328" s="151"/>
      <c r="X328" s="151"/>
      <c r="Y328" s="115"/>
      <c r="Z328" s="115"/>
      <c r="AA328" s="115"/>
      <c r="AB328" s="115"/>
      <c r="AC328" s="115"/>
      <c r="AD328" s="115"/>
      <c r="AE328" s="115"/>
      <c r="AF328" s="115"/>
      <c r="AG328" s="115"/>
      <c r="AH328" s="115"/>
      <c r="AI328" s="115"/>
      <c r="AJ328" s="115"/>
      <c r="AK328" s="115"/>
      <c r="AL328" s="115"/>
      <c r="AM328" s="115"/>
    </row>
    <row r="329" spans="1:39" ht="17.100000000000001" customHeight="1">
      <c r="A329" s="151" t="s">
        <v>3966</v>
      </c>
      <c r="B329" s="151"/>
      <c r="C329" s="151"/>
      <c r="D329" s="151"/>
      <c r="E329" s="151"/>
      <c r="F329" s="165"/>
      <c r="G329" s="151"/>
      <c r="H329" s="151"/>
      <c r="I329" s="165"/>
      <c r="J329" s="165"/>
      <c r="K329" s="151"/>
      <c r="L329" s="151"/>
      <c r="M329" s="151"/>
      <c r="N329" s="151"/>
      <c r="O329" s="151"/>
      <c r="P329" s="151"/>
      <c r="R329" s="151"/>
      <c r="S329" s="151"/>
      <c r="T329" s="166"/>
      <c r="U329" s="167"/>
      <c r="V329" s="151"/>
      <c r="W329" s="151"/>
      <c r="X329" s="151"/>
      <c r="Y329" s="115"/>
      <c r="Z329" s="115"/>
      <c r="AA329" s="115"/>
      <c r="AB329" s="115"/>
      <c r="AC329" s="115"/>
      <c r="AD329" s="115"/>
      <c r="AE329" s="115"/>
      <c r="AF329" s="115"/>
      <c r="AG329" s="115"/>
      <c r="AH329" s="115"/>
      <c r="AI329" s="115"/>
      <c r="AJ329" s="115"/>
      <c r="AK329" s="115"/>
      <c r="AL329" s="115"/>
      <c r="AM329" s="115"/>
    </row>
    <row r="330" spans="1:39" ht="17.100000000000001" customHeight="1">
      <c r="A330" s="151" t="s">
        <v>3967</v>
      </c>
      <c r="B330" s="151"/>
      <c r="C330" s="151"/>
      <c r="D330" s="151"/>
      <c r="E330" s="151"/>
      <c r="F330" s="165"/>
      <c r="G330" s="151"/>
      <c r="H330" s="151"/>
      <c r="I330" s="165"/>
      <c r="J330" s="165"/>
      <c r="K330" s="151"/>
      <c r="L330" s="151"/>
      <c r="M330" s="151"/>
      <c r="N330" s="151"/>
      <c r="O330" s="151"/>
      <c r="P330" s="151"/>
      <c r="R330" s="151"/>
      <c r="S330" s="151"/>
      <c r="T330" s="166"/>
      <c r="U330" s="167"/>
      <c r="V330" s="151"/>
      <c r="W330" s="151"/>
      <c r="X330" s="151"/>
      <c r="Y330" s="115"/>
      <c r="Z330" s="115"/>
      <c r="AA330" s="115"/>
      <c r="AB330" s="115"/>
      <c r="AC330" s="115"/>
      <c r="AD330" s="115"/>
      <c r="AE330" s="115"/>
      <c r="AF330" s="115"/>
      <c r="AG330" s="115"/>
      <c r="AH330" s="115"/>
      <c r="AI330" s="115"/>
      <c r="AJ330" s="115"/>
      <c r="AK330" s="115"/>
      <c r="AL330" s="115"/>
      <c r="AM330" s="115"/>
    </row>
    <row r="331" spans="1:39" ht="17.100000000000001" customHeight="1">
      <c r="A331" s="153" t="s">
        <v>3968</v>
      </c>
      <c r="B331" s="151"/>
      <c r="C331" s="151"/>
      <c r="D331" s="151"/>
      <c r="E331" s="151"/>
      <c r="F331" s="165"/>
      <c r="G331" s="151"/>
      <c r="H331" s="151"/>
      <c r="I331" s="165"/>
      <c r="J331" s="165"/>
      <c r="K331" s="151"/>
      <c r="L331" s="151"/>
      <c r="M331" s="151"/>
      <c r="N331" s="151"/>
      <c r="O331" s="151"/>
      <c r="P331" s="151"/>
      <c r="R331" s="151"/>
      <c r="S331" s="151"/>
      <c r="T331" s="166"/>
      <c r="U331" s="167"/>
      <c r="V331" s="151"/>
      <c r="W331" s="151"/>
      <c r="X331" s="151"/>
      <c r="Y331" s="115"/>
      <c r="Z331" s="115"/>
      <c r="AA331" s="115"/>
      <c r="AB331" s="115"/>
      <c r="AC331" s="115"/>
      <c r="AD331" s="115"/>
      <c r="AE331" s="115"/>
      <c r="AF331" s="115"/>
      <c r="AG331" s="115"/>
      <c r="AH331" s="115"/>
      <c r="AI331" s="115"/>
      <c r="AJ331" s="115"/>
      <c r="AK331" s="115"/>
      <c r="AL331" s="115"/>
      <c r="AM331" s="115"/>
    </row>
    <row r="332" spans="1:39" ht="17.100000000000001" customHeight="1">
      <c r="A332" s="153" t="s">
        <v>3969</v>
      </c>
      <c r="B332" s="151"/>
      <c r="C332" s="151"/>
      <c r="D332" s="151"/>
      <c r="E332" s="151"/>
      <c r="F332" s="165"/>
      <c r="G332" s="151"/>
      <c r="H332" s="151"/>
      <c r="I332" s="165"/>
      <c r="J332" s="165"/>
      <c r="K332" s="151"/>
      <c r="L332" s="151"/>
      <c r="M332" s="151"/>
      <c r="N332" s="151"/>
      <c r="O332" s="151"/>
      <c r="P332" s="151"/>
      <c r="R332" s="151"/>
      <c r="S332" s="151"/>
      <c r="T332" s="166"/>
      <c r="U332" s="167"/>
      <c r="V332" s="151"/>
      <c r="W332" s="151"/>
      <c r="X332" s="151"/>
      <c r="Y332" s="115"/>
      <c r="Z332" s="115"/>
      <c r="AA332" s="115"/>
      <c r="AB332" s="115"/>
      <c r="AC332" s="115"/>
      <c r="AD332" s="115"/>
      <c r="AE332" s="115"/>
      <c r="AF332" s="115"/>
      <c r="AG332" s="115"/>
      <c r="AH332" s="115"/>
      <c r="AI332" s="115"/>
      <c r="AJ332" s="115"/>
      <c r="AK332" s="115"/>
      <c r="AL332" s="115"/>
      <c r="AM332" s="115"/>
    </row>
    <row r="333" spans="1:39" ht="17.100000000000001" customHeight="1">
      <c r="A333" s="153" t="s">
        <v>3970</v>
      </c>
      <c r="B333" s="151"/>
      <c r="C333" s="151"/>
      <c r="D333" s="151"/>
      <c r="E333" s="151"/>
      <c r="F333" s="165"/>
      <c r="G333" s="151"/>
      <c r="H333" s="151"/>
      <c r="I333" s="165"/>
      <c r="J333" s="165"/>
      <c r="K333" s="151"/>
      <c r="L333" s="151"/>
      <c r="M333" s="151"/>
      <c r="N333" s="151"/>
      <c r="O333" s="151"/>
      <c r="P333" s="151"/>
      <c r="R333" s="151"/>
      <c r="S333" s="151"/>
      <c r="T333" s="166"/>
      <c r="U333" s="167"/>
      <c r="V333" s="151"/>
      <c r="W333" s="151"/>
      <c r="X333" s="151"/>
      <c r="Y333" s="115"/>
      <c r="Z333" s="115"/>
      <c r="AA333" s="115"/>
      <c r="AB333" s="115"/>
      <c r="AC333" s="115"/>
      <c r="AD333" s="115"/>
      <c r="AE333" s="115"/>
      <c r="AF333" s="115"/>
      <c r="AG333" s="115"/>
      <c r="AH333" s="115"/>
      <c r="AI333" s="115"/>
      <c r="AJ333" s="115"/>
      <c r="AK333" s="115"/>
      <c r="AL333" s="115"/>
      <c r="AM333" s="115"/>
    </row>
    <row r="334" spans="1:39" ht="17.100000000000001" customHeight="1">
      <c r="A334" s="153" t="s">
        <v>3971</v>
      </c>
      <c r="B334" s="151"/>
      <c r="C334" s="151"/>
      <c r="D334" s="151"/>
      <c r="E334" s="151"/>
      <c r="F334" s="165"/>
      <c r="G334" s="151"/>
      <c r="H334" s="151"/>
      <c r="I334" s="165"/>
      <c r="J334" s="165"/>
      <c r="K334" s="151"/>
      <c r="L334" s="151"/>
      <c r="M334" s="151"/>
      <c r="N334" s="151"/>
      <c r="O334" s="151"/>
      <c r="P334" s="151"/>
      <c r="R334" s="151"/>
      <c r="S334" s="151"/>
      <c r="T334" s="166"/>
      <c r="U334" s="167"/>
      <c r="V334" s="151"/>
      <c r="W334" s="151"/>
      <c r="X334" s="151"/>
      <c r="Y334" s="115"/>
      <c r="Z334" s="115"/>
      <c r="AA334" s="115"/>
      <c r="AB334" s="115"/>
      <c r="AC334" s="115"/>
      <c r="AD334" s="115"/>
      <c r="AE334" s="115"/>
      <c r="AF334" s="115"/>
      <c r="AG334" s="115"/>
      <c r="AH334" s="115"/>
      <c r="AI334" s="115"/>
      <c r="AJ334" s="115"/>
      <c r="AK334" s="115"/>
      <c r="AL334" s="115"/>
      <c r="AM334" s="115"/>
    </row>
    <row r="335" spans="1:39" ht="17.100000000000001" customHeight="1">
      <c r="A335" s="153" t="s">
        <v>3972</v>
      </c>
      <c r="B335" s="151"/>
      <c r="C335" s="151"/>
      <c r="D335" s="151"/>
      <c r="E335" s="151"/>
      <c r="F335" s="165"/>
      <c r="G335" s="151"/>
      <c r="H335" s="151"/>
      <c r="I335" s="165"/>
      <c r="J335" s="165"/>
      <c r="K335" s="151"/>
      <c r="L335" s="151"/>
      <c r="M335" s="151"/>
      <c r="N335" s="151"/>
      <c r="O335" s="151"/>
      <c r="P335" s="151"/>
      <c r="R335" s="151"/>
      <c r="S335" s="151"/>
      <c r="T335" s="166"/>
      <c r="U335" s="167"/>
      <c r="V335" s="151"/>
      <c r="W335" s="151"/>
      <c r="X335" s="151"/>
      <c r="Y335" s="115"/>
      <c r="Z335" s="115"/>
      <c r="AA335" s="115"/>
      <c r="AB335" s="115"/>
      <c r="AC335" s="115"/>
      <c r="AD335" s="115"/>
      <c r="AE335" s="115"/>
      <c r="AF335" s="115"/>
      <c r="AG335" s="115"/>
      <c r="AH335" s="115"/>
      <c r="AI335" s="115"/>
      <c r="AJ335" s="115"/>
      <c r="AK335" s="115"/>
      <c r="AL335" s="115"/>
      <c r="AM335" s="115"/>
    </row>
    <row r="336" spans="1:39" ht="17.100000000000001" customHeight="1">
      <c r="A336" s="151" t="s">
        <v>3973</v>
      </c>
      <c r="B336" s="151"/>
      <c r="C336" s="151"/>
      <c r="D336" s="151"/>
      <c r="E336" s="151"/>
      <c r="F336" s="165"/>
      <c r="G336" s="151"/>
      <c r="H336" s="151"/>
      <c r="I336" s="165"/>
      <c r="J336" s="165"/>
      <c r="K336" s="151"/>
      <c r="L336" s="151"/>
      <c r="M336" s="151"/>
      <c r="N336" s="151"/>
      <c r="O336" s="151"/>
      <c r="P336" s="151"/>
      <c r="R336" s="151"/>
      <c r="S336" s="151"/>
      <c r="T336" s="166"/>
      <c r="U336" s="167"/>
      <c r="V336" s="151"/>
      <c r="W336" s="151"/>
      <c r="X336" s="151"/>
      <c r="Y336" s="115"/>
      <c r="Z336" s="115"/>
      <c r="AA336" s="115"/>
      <c r="AB336" s="115"/>
      <c r="AC336" s="115"/>
      <c r="AD336" s="115"/>
      <c r="AE336" s="115"/>
      <c r="AF336" s="115"/>
      <c r="AG336" s="115"/>
      <c r="AH336" s="115"/>
      <c r="AI336" s="115"/>
      <c r="AJ336" s="115"/>
      <c r="AK336" s="115"/>
      <c r="AL336" s="115"/>
      <c r="AM336" s="115"/>
    </row>
    <row r="337" spans="1:39" ht="17.100000000000001" customHeight="1">
      <c r="A337" s="153" t="s">
        <v>3974</v>
      </c>
      <c r="B337" s="151"/>
      <c r="C337" s="151"/>
      <c r="D337" s="151"/>
      <c r="E337" s="151"/>
      <c r="F337" s="165"/>
      <c r="G337" s="151"/>
      <c r="H337" s="151"/>
      <c r="I337" s="165"/>
      <c r="J337" s="165"/>
      <c r="K337" s="151"/>
      <c r="L337" s="151"/>
      <c r="M337" s="151"/>
      <c r="N337" s="151"/>
      <c r="O337" s="151"/>
      <c r="P337" s="151"/>
      <c r="R337" s="151"/>
      <c r="S337" s="151"/>
      <c r="T337" s="166"/>
      <c r="U337" s="167"/>
      <c r="V337" s="151"/>
      <c r="W337" s="151"/>
      <c r="X337" s="151"/>
      <c r="Y337" s="115"/>
      <c r="Z337" s="115"/>
      <c r="AA337" s="115"/>
      <c r="AB337" s="115"/>
      <c r="AC337" s="115"/>
      <c r="AD337" s="115"/>
      <c r="AE337" s="115"/>
      <c r="AF337" s="115"/>
      <c r="AG337" s="115"/>
      <c r="AH337" s="115"/>
      <c r="AI337" s="115"/>
      <c r="AJ337" s="115"/>
      <c r="AK337" s="115"/>
      <c r="AL337" s="115"/>
      <c r="AM337" s="115"/>
    </row>
    <row r="338" spans="1:39" ht="17.100000000000001" customHeight="1">
      <c r="A338" s="151" t="s">
        <v>3975</v>
      </c>
      <c r="B338" s="151"/>
      <c r="C338" s="151"/>
      <c r="D338" s="151"/>
      <c r="E338" s="151"/>
      <c r="F338" s="165"/>
      <c r="G338" s="151"/>
      <c r="H338" s="151"/>
      <c r="I338" s="165"/>
      <c r="J338" s="165"/>
      <c r="K338" s="151"/>
      <c r="L338" s="151"/>
      <c r="M338" s="151"/>
      <c r="N338" s="151"/>
      <c r="O338" s="151"/>
      <c r="P338" s="151"/>
      <c r="R338" s="151"/>
      <c r="S338" s="151"/>
      <c r="T338" s="166"/>
      <c r="U338" s="167"/>
      <c r="V338" s="151"/>
      <c r="W338" s="151"/>
      <c r="X338" s="151"/>
      <c r="Y338" s="115"/>
      <c r="Z338" s="115"/>
      <c r="AA338" s="115"/>
      <c r="AB338" s="115"/>
      <c r="AC338" s="115"/>
      <c r="AD338" s="115"/>
      <c r="AE338" s="115"/>
      <c r="AF338" s="115"/>
      <c r="AG338" s="115"/>
      <c r="AH338" s="115"/>
      <c r="AI338" s="115"/>
      <c r="AJ338" s="115"/>
      <c r="AK338" s="115"/>
      <c r="AL338" s="115"/>
      <c r="AM338" s="115"/>
    </row>
    <row r="339" spans="1:39" ht="17.100000000000001" customHeight="1">
      <c r="A339" s="153" t="s">
        <v>3976</v>
      </c>
      <c r="B339" s="151"/>
      <c r="C339" s="151"/>
      <c r="D339" s="151"/>
      <c r="E339" s="151"/>
      <c r="F339" s="165"/>
      <c r="G339" s="151"/>
      <c r="H339" s="151"/>
      <c r="I339" s="165"/>
      <c r="J339" s="165"/>
      <c r="K339" s="151"/>
      <c r="L339" s="151"/>
      <c r="M339" s="151"/>
      <c r="N339" s="151"/>
      <c r="O339" s="151"/>
      <c r="P339" s="151"/>
      <c r="R339" s="151"/>
      <c r="S339" s="151"/>
      <c r="T339" s="166"/>
      <c r="U339" s="167"/>
      <c r="V339" s="151"/>
      <c r="W339" s="151"/>
      <c r="X339" s="151"/>
      <c r="Y339" s="115"/>
      <c r="Z339" s="115"/>
      <c r="AA339" s="115"/>
      <c r="AB339" s="115"/>
      <c r="AC339" s="115"/>
      <c r="AD339" s="115"/>
      <c r="AE339" s="115"/>
      <c r="AF339" s="115"/>
      <c r="AG339" s="115"/>
      <c r="AH339" s="115"/>
      <c r="AI339" s="115"/>
      <c r="AJ339" s="115"/>
      <c r="AK339" s="115"/>
      <c r="AL339" s="115"/>
      <c r="AM339" s="115"/>
    </row>
    <row r="340" spans="1:39" ht="17.100000000000001" customHeight="1">
      <c r="A340" s="153" t="s">
        <v>3977</v>
      </c>
      <c r="B340" s="151"/>
      <c r="C340" s="151"/>
      <c r="D340" s="151"/>
      <c r="E340" s="151"/>
      <c r="F340" s="165"/>
      <c r="G340" s="151"/>
      <c r="H340" s="151"/>
      <c r="I340" s="165"/>
      <c r="J340" s="165"/>
      <c r="K340" s="151"/>
      <c r="L340" s="151"/>
      <c r="M340" s="151"/>
      <c r="N340" s="151"/>
      <c r="O340" s="151"/>
      <c r="P340" s="151"/>
      <c r="R340" s="151"/>
      <c r="S340" s="151"/>
      <c r="T340" s="166"/>
      <c r="U340" s="167"/>
      <c r="V340" s="151"/>
      <c r="W340" s="151"/>
      <c r="X340" s="151"/>
      <c r="Y340" s="115"/>
      <c r="Z340" s="115"/>
      <c r="AA340" s="115"/>
      <c r="AB340" s="115"/>
      <c r="AC340" s="115"/>
      <c r="AD340" s="115"/>
      <c r="AE340" s="115"/>
      <c r="AF340" s="115"/>
      <c r="AG340" s="115"/>
      <c r="AH340" s="115"/>
      <c r="AI340" s="115"/>
      <c r="AJ340" s="115"/>
      <c r="AK340" s="115"/>
      <c r="AL340" s="115"/>
      <c r="AM340" s="115"/>
    </row>
    <row r="341" spans="1:39" ht="17.100000000000001" customHeight="1">
      <c r="A341" s="153" t="s">
        <v>3978</v>
      </c>
      <c r="B341" s="151"/>
      <c r="C341" s="151"/>
      <c r="D341" s="151"/>
      <c r="E341" s="151"/>
      <c r="F341" s="165"/>
      <c r="G341" s="151"/>
      <c r="H341" s="151"/>
      <c r="I341" s="165"/>
      <c r="J341" s="165"/>
      <c r="K341" s="151"/>
      <c r="L341" s="151"/>
      <c r="M341" s="151"/>
      <c r="N341" s="151"/>
      <c r="O341" s="151"/>
      <c r="P341" s="151"/>
      <c r="R341" s="151"/>
      <c r="S341" s="151"/>
      <c r="T341" s="166"/>
      <c r="U341" s="167"/>
      <c r="V341" s="151"/>
      <c r="W341" s="151"/>
      <c r="X341" s="151"/>
      <c r="Y341" s="115"/>
      <c r="Z341" s="115"/>
      <c r="AA341" s="115"/>
      <c r="AB341" s="115"/>
      <c r="AC341" s="115"/>
      <c r="AD341" s="115"/>
      <c r="AE341" s="115"/>
      <c r="AF341" s="115"/>
      <c r="AG341" s="115"/>
      <c r="AH341" s="115"/>
      <c r="AI341" s="115"/>
      <c r="AJ341" s="115"/>
      <c r="AK341" s="115"/>
      <c r="AL341" s="115"/>
      <c r="AM341" s="115"/>
    </row>
    <row r="342" spans="1:39" ht="17.100000000000001" customHeight="1">
      <c r="A342" s="153" t="s">
        <v>3979</v>
      </c>
      <c r="B342" s="151"/>
      <c r="C342" s="151"/>
      <c r="D342" s="151"/>
      <c r="E342" s="151"/>
      <c r="F342" s="165"/>
      <c r="G342" s="151"/>
      <c r="H342" s="151"/>
      <c r="I342" s="165"/>
      <c r="J342" s="165"/>
      <c r="K342" s="151"/>
      <c r="L342" s="151"/>
      <c r="M342" s="151"/>
      <c r="N342" s="151"/>
      <c r="O342" s="151"/>
      <c r="P342" s="151"/>
      <c r="R342" s="151"/>
      <c r="S342" s="151"/>
      <c r="T342" s="166"/>
      <c r="U342" s="167"/>
      <c r="V342" s="151"/>
      <c r="W342" s="151"/>
      <c r="X342" s="151"/>
      <c r="Y342" s="115"/>
      <c r="Z342" s="115"/>
      <c r="AA342" s="115"/>
      <c r="AB342" s="115"/>
      <c r="AC342" s="115"/>
      <c r="AD342" s="115"/>
      <c r="AE342" s="115"/>
      <c r="AF342" s="115"/>
      <c r="AG342" s="115"/>
      <c r="AH342" s="115"/>
      <c r="AI342" s="115"/>
      <c r="AJ342" s="115"/>
      <c r="AK342" s="115"/>
      <c r="AL342" s="115"/>
      <c r="AM342" s="115"/>
    </row>
    <row r="343" spans="1:39" ht="17.100000000000001" customHeight="1">
      <c r="A343" s="151" t="s">
        <v>3980</v>
      </c>
      <c r="B343" s="151"/>
      <c r="C343" s="151"/>
      <c r="D343" s="151"/>
      <c r="E343" s="151"/>
      <c r="F343" s="165"/>
      <c r="G343" s="151"/>
      <c r="H343" s="151"/>
      <c r="I343" s="165"/>
      <c r="J343" s="165"/>
      <c r="K343" s="151"/>
      <c r="L343" s="151"/>
      <c r="M343" s="151"/>
      <c r="N343" s="151"/>
      <c r="O343" s="151"/>
      <c r="P343" s="151"/>
      <c r="R343" s="151"/>
      <c r="S343" s="151"/>
      <c r="T343" s="166"/>
      <c r="U343" s="167"/>
      <c r="V343" s="151"/>
      <c r="W343" s="151"/>
      <c r="X343" s="151"/>
      <c r="Y343" s="115"/>
      <c r="Z343" s="115"/>
      <c r="AA343" s="115"/>
      <c r="AB343" s="115"/>
      <c r="AC343" s="115"/>
      <c r="AD343" s="115"/>
      <c r="AE343" s="115"/>
      <c r="AF343" s="115"/>
      <c r="AG343" s="115"/>
      <c r="AH343" s="115"/>
      <c r="AI343" s="115"/>
      <c r="AJ343" s="115"/>
      <c r="AK343" s="115"/>
      <c r="AL343" s="115"/>
      <c r="AM343" s="115"/>
    </row>
    <row r="344" spans="1:39" ht="17.100000000000001" customHeight="1">
      <c r="A344" s="153" t="s">
        <v>3981</v>
      </c>
      <c r="B344" s="151"/>
      <c r="C344" s="151"/>
      <c r="D344" s="151"/>
      <c r="E344" s="151"/>
      <c r="F344" s="165"/>
      <c r="G344" s="151"/>
      <c r="H344" s="151"/>
      <c r="I344" s="165"/>
      <c r="J344" s="165"/>
      <c r="K344" s="151"/>
      <c r="L344" s="151"/>
      <c r="M344" s="151"/>
      <c r="N344" s="151"/>
      <c r="O344" s="151"/>
      <c r="P344" s="151"/>
      <c r="R344" s="151"/>
      <c r="S344" s="151"/>
      <c r="T344" s="166"/>
      <c r="U344" s="167"/>
      <c r="V344" s="151"/>
      <c r="W344" s="151"/>
      <c r="X344" s="151"/>
      <c r="Y344" s="115"/>
      <c r="Z344" s="115"/>
      <c r="AA344" s="115"/>
      <c r="AB344" s="115"/>
      <c r="AC344" s="115"/>
      <c r="AD344" s="115"/>
      <c r="AE344" s="115"/>
      <c r="AF344" s="115"/>
      <c r="AG344" s="115"/>
      <c r="AH344" s="115"/>
      <c r="AI344" s="115"/>
      <c r="AJ344" s="115"/>
      <c r="AK344" s="115"/>
      <c r="AL344" s="115"/>
      <c r="AM344" s="115"/>
    </row>
    <row r="345" spans="1:39" ht="17.100000000000001" customHeight="1">
      <c r="A345" s="151" t="s">
        <v>3982</v>
      </c>
      <c r="B345" s="151"/>
      <c r="C345" s="151"/>
      <c r="D345" s="151"/>
      <c r="E345" s="151"/>
      <c r="F345" s="165"/>
      <c r="G345" s="151"/>
      <c r="H345" s="151"/>
      <c r="I345" s="165"/>
      <c r="J345" s="165"/>
      <c r="K345" s="151"/>
      <c r="L345" s="151"/>
      <c r="M345" s="151"/>
      <c r="N345" s="151"/>
      <c r="O345" s="151"/>
      <c r="P345" s="151"/>
      <c r="R345" s="151"/>
      <c r="S345" s="151"/>
      <c r="T345" s="166"/>
      <c r="U345" s="167"/>
      <c r="V345" s="151"/>
      <c r="W345" s="151"/>
      <c r="X345" s="151"/>
      <c r="Y345" s="115"/>
      <c r="Z345" s="115"/>
      <c r="AA345" s="115"/>
      <c r="AB345" s="115"/>
      <c r="AC345" s="115"/>
      <c r="AD345" s="115"/>
      <c r="AE345" s="115"/>
      <c r="AF345" s="115"/>
      <c r="AG345" s="115"/>
      <c r="AH345" s="115"/>
      <c r="AI345" s="115"/>
      <c r="AJ345" s="115"/>
      <c r="AK345" s="115"/>
      <c r="AL345" s="115"/>
      <c r="AM345" s="115"/>
    </row>
    <row r="346" spans="1:39" ht="17.100000000000001" customHeight="1">
      <c r="A346" s="153" t="s">
        <v>3983</v>
      </c>
      <c r="B346" s="151"/>
      <c r="C346" s="151"/>
      <c r="D346" s="151"/>
      <c r="E346" s="151"/>
      <c r="F346" s="165"/>
      <c r="G346" s="151"/>
      <c r="H346" s="151"/>
      <c r="I346" s="165"/>
      <c r="J346" s="165"/>
      <c r="K346" s="151"/>
      <c r="L346" s="151"/>
      <c r="M346" s="151"/>
      <c r="N346" s="151"/>
      <c r="O346" s="151"/>
      <c r="P346" s="151"/>
      <c r="R346" s="151"/>
      <c r="S346" s="151"/>
      <c r="T346" s="166"/>
      <c r="U346" s="167"/>
      <c r="V346" s="151"/>
      <c r="W346" s="151"/>
      <c r="X346" s="151"/>
      <c r="Y346" s="115"/>
      <c r="Z346" s="115"/>
      <c r="AA346" s="115"/>
      <c r="AB346" s="115"/>
      <c r="AC346" s="115"/>
      <c r="AD346" s="115"/>
      <c r="AE346" s="115"/>
      <c r="AF346" s="115"/>
      <c r="AG346" s="115"/>
      <c r="AH346" s="115"/>
      <c r="AI346" s="115"/>
      <c r="AJ346" s="115"/>
      <c r="AK346" s="115"/>
      <c r="AL346" s="115"/>
      <c r="AM346" s="115"/>
    </row>
    <row r="347" spans="1:39" ht="17.100000000000001" customHeight="1">
      <c r="A347" s="153" t="s">
        <v>3984</v>
      </c>
      <c r="B347" s="151"/>
      <c r="C347" s="151"/>
      <c r="D347" s="151"/>
      <c r="E347" s="151"/>
      <c r="F347" s="165"/>
      <c r="G347" s="151"/>
      <c r="H347" s="151"/>
      <c r="I347" s="165"/>
      <c r="J347" s="165"/>
      <c r="K347" s="151"/>
      <c r="L347" s="151"/>
      <c r="M347" s="151"/>
      <c r="N347" s="151"/>
      <c r="O347" s="151"/>
      <c r="P347" s="151"/>
      <c r="R347" s="151"/>
      <c r="S347" s="151"/>
      <c r="T347" s="166"/>
      <c r="U347" s="167"/>
      <c r="V347" s="151"/>
      <c r="W347" s="151"/>
      <c r="X347" s="151"/>
      <c r="Y347" s="115"/>
      <c r="Z347" s="115"/>
      <c r="AA347" s="115"/>
      <c r="AB347" s="115"/>
      <c r="AC347" s="115"/>
      <c r="AD347" s="115"/>
      <c r="AE347" s="115"/>
      <c r="AF347" s="115"/>
      <c r="AG347" s="115"/>
      <c r="AH347" s="115"/>
      <c r="AI347" s="115"/>
      <c r="AJ347" s="115"/>
      <c r="AK347" s="115"/>
      <c r="AL347" s="115"/>
      <c r="AM347" s="115"/>
    </row>
    <row r="348" spans="1:39" ht="17.100000000000001" customHeight="1">
      <c r="A348" s="151" t="s">
        <v>3985</v>
      </c>
      <c r="B348" s="151"/>
      <c r="C348" s="151"/>
      <c r="D348" s="151"/>
      <c r="E348" s="151"/>
      <c r="F348" s="165"/>
      <c r="G348" s="151"/>
      <c r="H348" s="151"/>
      <c r="I348" s="165"/>
      <c r="J348" s="165"/>
      <c r="K348" s="151"/>
      <c r="L348" s="151"/>
      <c r="M348" s="151"/>
      <c r="N348" s="151"/>
      <c r="O348" s="151"/>
      <c r="P348" s="151"/>
      <c r="R348" s="151"/>
      <c r="S348" s="151"/>
      <c r="T348" s="166"/>
      <c r="U348" s="167"/>
      <c r="V348" s="151"/>
      <c r="W348" s="151"/>
      <c r="X348" s="151"/>
      <c r="Y348" s="115"/>
      <c r="Z348" s="115"/>
      <c r="AA348" s="115"/>
      <c r="AB348" s="115"/>
      <c r="AC348" s="115"/>
      <c r="AD348" s="115"/>
      <c r="AE348" s="115"/>
      <c r="AF348" s="115"/>
      <c r="AG348" s="115"/>
      <c r="AH348" s="115"/>
      <c r="AI348" s="115"/>
      <c r="AJ348" s="115"/>
      <c r="AK348" s="115"/>
      <c r="AL348" s="115"/>
      <c r="AM348" s="115"/>
    </row>
    <row r="349" spans="1:39" ht="17.100000000000001" customHeight="1">
      <c r="A349" s="151" t="s">
        <v>3986</v>
      </c>
      <c r="B349" s="151"/>
      <c r="C349" s="151"/>
      <c r="D349" s="151"/>
      <c r="E349" s="151"/>
      <c r="F349" s="165"/>
      <c r="G349" s="151"/>
      <c r="H349" s="151"/>
      <c r="I349" s="165"/>
      <c r="J349" s="165"/>
      <c r="K349" s="151"/>
      <c r="L349" s="151"/>
      <c r="M349" s="151"/>
      <c r="N349" s="151"/>
      <c r="O349" s="151"/>
      <c r="P349" s="151"/>
      <c r="R349" s="151"/>
      <c r="S349" s="151"/>
      <c r="T349" s="166"/>
      <c r="U349" s="167"/>
      <c r="V349" s="151"/>
      <c r="W349" s="151"/>
      <c r="X349" s="151"/>
      <c r="Y349" s="115"/>
      <c r="Z349" s="115"/>
      <c r="AA349" s="115"/>
      <c r="AB349" s="115"/>
      <c r="AC349" s="115"/>
      <c r="AD349" s="115"/>
      <c r="AE349" s="115"/>
      <c r="AF349" s="115"/>
      <c r="AG349" s="115"/>
      <c r="AH349" s="115"/>
      <c r="AI349" s="115"/>
      <c r="AJ349" s="115"/>
      <c r="AK349" s="115"/>
      <c r="AL349" s="115"/>
      <c r="AM349" s="115"/>
    </row>
    <row r="350" spans="1:39" ht="17.100000000000001" customHeight="1">
      <c r="A350" s="151" t="s">
        <v>3987</v>
      </c>
      <c r="B350" s="151"/>
      <c r="C350" s="151"/>
      <c r="D350" s="151"/>
      <c r="E350" s="151"/>
      <c r="F350" s="165"/>
      <c r="G350" s="151"/>
      <c r="H350" s="151"/>
      <c r="I350" s="165"/>
      <c r="J350" s="165"/>
      <c r="K350" s="151"/>
      <c r="L350" s="151"/>
      <c r="M350" s="151"/>
      <c r="N350" s="151"/>
      <c r="O350" s="151"/>
      <c r="P350" s="151"/>
      <c r="R350" s="151"/>
      <c r="S350" s="151"/>
      <c r="T350" s="166"/>
      <c r="U350" s="167"/>
      <c r="V350" s="151"/>
      <c r="W350" s="151"/>
      <c r="X350" s="151"/>
      <c r="Y350" s="115"/>
      <c r="Z350" s="115"/>
      <c r="AA350" s="115"/>
      <c r="AB350" s="115"/>
      <c r="AC350" s="115"/>
      <c r="AD350" s="115"/>
      <c r="AE350" s="115"/>
      <c r="AF350" s="115"/>
      <c r="AG350" s="115"/>
      <c r="AH350" s="115"/>
      <c r="AI350" s="115"/>
      <c r="AJ350" s="115"/>
      <c r="AK350" s="115"/>
      <c r="AL350" s="115"/>
      <c r="AM350" s="115"/>
    </row>
    <row r="351" spans="1:39" ht="17.100000000000001" customHeight="1">
      <c r="A351" s="151" t="s">
        <v>3988</v>
      </c>
      <c r="B351" s="151"/>
      <c r="C351" s="151"/>
      <c r="D351" s="151"/>
      <c r="E351" s="151"/>
      <c r="F351" s="165"/>
      <c r="G351" s="151"/>
      <c r="H351" s="151"/>
      <c r="I351" s="165"/>
      <c r="J351" s="165"/>
      <c r="K351" s="151"/>
      <c r="L351" s="151"/>
      <c r="M351" s="151"/>
      <c r="N351" s="151"/>
      <c r="O351" s="151"/>
      <c r="P351" s="151"/>
      <c r="R351" s="151"/>
      <c r="S351" s="151"/>
      <c r="T351" s="166"/>
      <c r="U351" s="167"/>
      <c r="V351" s="151"/>
      <c r="W351" s="151"/>
      <c r="X351" s="151"/>
      <c r="Y351" s="115"/>
      <c r="Z351" s="115"/>
      <c r="AA351" s="115"/>
      <c r="AB351" s="115"/>
      <c r="AC351" s="115"/>
      <c r="AD351" s="115"/>
      <c r="AE351" s="115"/>
      <c r="AF351" s="115"/>
      <c r="AG351" s="115"/>
      <c r="AH351" s="115"/>
      <c r="AI351" s="115"/>
      <c r="AJ351" s="115"/>
      <c r="AK351" s="115"/>
      <c r="AL351" s="115"/>
      <c r="AM351" s="115"/>
    </row>
    <row r="352" spans="1:39" ht="17.100000000000001" customHeight="1">
      <c r="A352" s="151" t="s">
        <v>3989</v>
      </c>
      <c r="B352" s="151"/>
      <c r="C352" s="151"/>
      <c r="D352" s="151"/>
      <c r="E352" s="151"/>
      <c r="F352" s="165"/>
      <c r="G352" s="151"/>
      <c r="H352" s="151"/>
      <c r="I352" s="165"/>
      <c r="J352" s="165"/>
      <c r="K352" s="151"/>
      <c r="L352" s="151"/>
      <c r="M352" s="151"/>
      <c r="N352" s="151"/>
      <c r="O352" s="151"/>
      <c r="P352" s="151"/>
      <c r="R352" s="151"/>
      <c r="S352" s="151"/>
      <c r="T352" s="166"/>
      <c r="U352" s="167"/>
      <c r="V352" s="151"/>
      <c r="W352" s="151"/>
      <c r="X352" s="151"/>
      <c r="Y352" s="115"/>
      <c r="Z352" s="115"/>
      <c r="AA352" s="115"/>
      <c r="AB352" s="115"/>
      <c r="AC352" s="115"/>
      <c r="AD352" s="115"/>
      <c r="AE352" s="115"/>
      <c r="AF352" s="115"/>
      <c r="AG352" s="115"/>
      <c r="AH352" s="115"/>
      <c r="AI352" s="115"/>
      <c r="AJ352" s="115"/>
      <c r="AK352" s="115"/>
      <c r="AL352" s="115"/>
      <c r="AM352" s="115"/>
    </row>
    <row r="353" spans="1:39" ht="17.100000000000001" customHeight="1">
      <c r="A353" s="151" t="s">
        <v>3990</v>
      </c>
      <c r="B353" s="151"/>
      <c r="C353" s="151"/>
      <c r="D353" s="151"/>
      <c r="E353" s="151"/>
      <c r="F353" s="165"/>
      <c r="G353" s="151"/>
      <c r="H353" s="151"/>
      <c r="I353" s="165"/>
      <c r="J353" s="165"/>
      <c r="K353" s="151"/>
      <c r="L353" s="151"/>
      <c r="M353" s="151"/>
      <c r="N353" s="151"/>
      <c r="O353" s="151"/>
      <c r="P353" s="151"/>
      <c r="R353" s="151"/>
      <c r="S353" s="151"/>
      <c r="T353" s="166"/>
      <c r="U353" s="167"/>
      <c r="V353" s="151"/>
      <c r="W353" s="151"/>
      <c r="X353" s="151"/>
      <c r="Y353" s="115"/>
      <c r="Z353" s="115"/>
      <c r="AA353" s="115"/>
      <c r="AB353" s="115"/>
      <c r="AC353" s="115"/>
      <c r="AD353" s="115"/>
      <c r="AE353" s="115"/>
      <c r="AF353" s="115"/>
      <c r="AG353" s="115"/>
      <c r="AH353" s="115"/>
      <c r="AI353" s="115"/>
      <c r="AJ353" s="115"/>
      <c r="AK353" s="115"/>
      <c r="AL353" s="115"/>
      <c r="AM353" s="115"/>
    </row>
    <row r="354" spans="1:39" ht="17.100000000000001" customHeight="1">
      <c r="A354" s="151" t="s">
        <v>3991</v>
      </c>
      <c r="B354" s="151"/>
      <c r="C354" s="151"/>
      <c r="D354" s="151"/>
      <c r="E354" s="151"/>
      <c r="F354" s="165"/>
      <c r="G354" s="151"/>
      <c r="H354" s="151"/>
      <c r="I354" s="165"/>
      <c r="J354" s="165"/>
      <c r="K354" s="151"/>
      <c r="L354" s="151"/>
      <c r="M354" s="151"/>
      <c r="N354" s="151"/>
      <c r="O354" s="151"/>
      <c r="P354" s="151"/>
      <c r="R354" s="151"/>
      <c r="S354" s="151"/>
      <c r="T354" s="166"/>
      <c r="U354" s="167"/>
      <c r="V354" s="151"/>
      <c r="W354" s="151"/>
      <c r="X354" s="151"/>
      <c r="Y354" s="115"/>
      <c r="Z354" s="115"/>
      <c r="AA354" s="115"/>
      <c r="AB354" s="115"/>
      <c r="AC354" s="115"/>
      <c r="AD354" s="115"/>
      <c r="AE354" s="115"/>
      <c r="AF354" s="115"/>
      <c r="AG354" s="115"/>
      <c r="AH354" s="115"/>
      <c r="AI354" s="115"/>
      <c r="AJ354" s="115"/>
      <c r="AK354" s="115"/>
      <c r="AL354" s="115"/>
      <c r="AM354" s="115"/>
    </row>
    <row r="355" spans="1:39" ht="17.100000000000001" customHeight="1">
      <c r="A355" s="153" t="s">
        <v>3992</v>
      </c>
      <c r="B355" s="151"/>
      <c r="C355" s="151"/>
      <c r="D355" s="151"/>
      <c r="E355" s="151"/>
      <c r="F355" s="165"/>
      <c r="G355" s="151"/>
      <c r="H355" s="151"/>
      <c r="I355" s="165"/>
      <c r="J355" s="165"/>
      <c r="K355" s="151"/>
      <c r="L355" s="151"/>
      <c r="M355" s="151"/>
      <c r="N355" s="151"/>
      <c r="O355" s="151"/>
      <c r="P355" s="151"/>
      <c r="R355" s="151"/>
      <c r="S355" s="151"/>
      <c r="T355" s="166"/>
      <c r="U355" s="167"/>
      <c r="V355" s="151"/>
      <c r="W355" s="151"/>
      <c r="X355" s="151"/>
      <c r="Y355" s="115"/>
      <c r="Z355" s="115"/>
      <c r="AA355" s="115"/>
      <c r="AB355" s="115"/>
      <c r="AC355" s="115"/>
      <c r="AD355" s="115"/>
      <c r="AE355" s="115"/>
      <c r="AF355" s="115"/>
      <c r="AG355" s="115"/>
      <c r="AH355" s="115"/>
      <c r="AI355" s="115"/>
      <c r="AJ355" s="115"/>
      <c r="AK355" s="115"/>
      <c r="AL355" s="115"/>
      <c r="AM355" s="115"/>
    </row>
    <row r="356" spans="1:39" ht="17.100000000000001" customHeight="1">
      <c r="A356" s="151" t="s">
        <v>3993</v>
      </c>
      <c r="B356" s="151"/>
      <c r="C356" s="151"/>
      <c r="D356" s="151"/>
      <c r="E356" s="151"/>
      <c r="F356" s="165"/>
      <c r="G356" s="151"/>
      <c r="H356" s="151"/>
      <c r="I356" s="165"/>
      <c r="J356" s="165"/>
      <c r="K356" s="151"/>
      <c r="L356" s="151"/>
      <c r="M356" s="151"/>
      <c r="N356" s="151"/>
      <c r="O356" s="151"/>
      <c r="P356" s="151"/>
      <c r="R356" s="151"/>
      <c r="S356" s="151"/>
      <c r="T356" s="166"/>
      <c r="U356" s="167"/>
      <c r="V356" s="151"/>
      <c r="W356" s="151"/>
      <c r="X356" s="151"/>
      <c r="Y356" s="115"/>
      <c r="Z356" s="115"/>
      <c r="AA356" s="115"/>
      <c r="AB356" s="115"/>
      <c r="AC356" s="115"/>
      <c r="AD356" s="115"/>
      <c r="AE356" s="115"/>
      <c r="AF356" s="115"/>
      <c r="AG356" s="115"/>
      <c r="AH356" s="115"/>
      <c r="AI356" s="115"/>
      <c r="AJ356" s="115"/>
      <c r="AK356" s="115"/>
      <c r="AL356" s="115"/>
      <c r="AM356" s="115"/>
    </row>
    <row r="357" spans="1:39" ht="17.100000000000001" customHeight="1">
      <c r="A357" s="151" t="s">
        <v>3994</v>
      </c>
      <c r="B357" s="151"/>
      <c r="C357" s="151"/>
      <c r="D357" s="151"/>
      <c r="E357" s="151"/>
      <c r="F357" s="165"/>
      <c r="G357" s="151"/>
      <c r="H357" s="151"/>
      <c r="I357" s="165"/>
      <c r="J357" s="165"/>
      <c r="K357" s="151"/>
      <c r="L357" s="151"/>
      <c r="M357" s="151"/>
      <c r="N357" s="151"/>
      <c r="O357" s="151"/>
      <c r="P357" s="151"/>
      <c r="R357" s="151"/>
      <c r="S357" s="151"/>
      <c r="T357" s="166"/>
      <c r="U357" s="167"/>
      <c r="V357" s="151"/>
      <c r="W357" s="151"/>
      <c r="X357" s="151"/>
      <c r="Y357" s="115"/>
      <c r="Z357" s="115"/>
      <c r="AA357" s="115"/>
      <c r="AB357" s="115"/>
      <c r="AC357" s="115"/>
      <c r="AD357" s="115"/>
      <c r="AE357" s="115"/>
      <c r="AF357" s="115"/>
      <c r="AG357" s="115"/>
      <c r="AH357" s="115"/>
      <c r="AI357" s="115"/>
      <c r="AJ357" s="115"/>
      <c r="AK357" s="115"/>
      <c r="AL357" s="115"/>
      <c r="AM357" s="115"/>
    </row>
    <row r="358" spans="1:39" ht="17.100000000000001" customHeight="1">
      <c r="A358" s="151" t="s">
        <v>3995</v>
      </c>
      <c r="B358" s="151"/>
      <c r="C358" s="151"/>
      <c r="D358" s="151"/>
      <c r="E358" s="151"/>
      <c r="F358" s="165"/>
      <c r="G358" s="151"/>
      <c r="H358" s="151"/>
      <c r="I358" s="165"/>
      <c r="J358" s="165"/>
      <c r="K358" s="151"/>
      <c r="L358" s="151"/>
      <c r="M358" s="151"/>
      <c r="N358" s="151"/>
      <c r="O358" s="151"/>
      <c r="P358" s="151"/>
      <c r="R358" s="151"/>
      <c r="S358" s="151"/>
      <c r="T358" s="166"/>
      <c r="U358" s="167"/>
      <c r="V358" s="151"/>
      <c r="W358" s="151"/>
      <c r="X358" s="151"/>
      <c r="Y358" s="115"/>
      <c r="Z358" s="115"/>
      <c r="AA358" s="115"/>
      <c r="AB358" s="115"/>
      <c r="AC358" s="115"/>
      <c r="AD358" s="115"/>
      <c r="AE358" s="115"/>
      <c r="AF358" s="115"/>
      <c r="AG358" s="115"/>
      <c r="AH358" s="115"/>
      <c r="AI358" s="115"/>
      <c r="AJ358" s="115"/>
      <c r="AK358" s="115"/>
      <c r="AL358" s="115"/>
      <c r="AM358" s="115"/>
    </row>
    <row r="359" spans="1:39" ht="17.100000000000001" customHeight="1">
      <c r="A359" s="151" t="s">
        <v>3996</v>
      </c>
      <c r="B359" s="151"/>
      <c r="C359" s="151"/>
      <c r="D359" s="151"/>
      <c r="E359" s="151"/>
      <c r="F359" s="165"/>
      <c r="G359" s="151"/>
      <c r="H359" s="151"/>
      <c r="I359" s="165"/>
      <c r="J359" s="165"/>
      <c r="K359" s="151"/>
      <c r="L359" s="151"/>
      <c r="M359" s="151"/>
      <c r="N359" s="151"/>
      <c r="O359" s="151"/>
      <c r="P359" s="151"/>
      <c r="R359" s="151"/>
      <c r="S359" s="151"/>
      <c r="T359" s="166"/>
      <c r="U359" s="167"/>
      <c r="V359" s="151"/>
      <c r="W359" s="151"/>
      <c r="X359" s="151"/>
      <c r="Y359" s="115"/>
      <c r="Z359" s="115"/>
      <c r="AA359" s="115"/>
      <c r="AB359" s="115"/>
      <c r="AC359" s="115"/>
      <c r="AD359" s="115"/>
      <c r="AE359" s="115"/>
      <c r="AF359" s="115"/>
      <c r="AG359" s="115"/>
      <c r="AH359" s="115"/>
      <c r="AI359" s="115"/>
      <c r="AJ359" s="115"/>
      <c r="AK359" s="115"/>
      <c r="AL359" s="115"/>
      <c r="AM359" s="115"/>
    </row>
    <row r="360" spans="1:39" ht="17.100000000000001" customHeight="1">
      <c r="A360" s="153" t="s">
        <v>3997</v>
      </c>
      <c r="B360" s="151"/>
      <c r="C360" s="151"/>
      <c r="D360" s="151"/>
      <c r="E360" s="151"/>
      <c r="F360" s="165"/>
      <c r="G360" s="151"/>
      <c r="H360" s="151"/>
      <c r="I360" s="165"/>
      <c r="J360" s="165"/>
      <c r="K360" s="151"/>
      <c r="L360" s="151"/>
      <c r="M360" s="151"/>
      <c r="N360" s="151"/>
      <c r="O360" s="151"/>
      <c r="P360" s="151"/>
      <c r="R360" s="151"/>
      <c r="S360" s="151"/>
      <c r="T360" s="166"/>
      <c r="U360" s="167"/>
      <c r="V360" s="151"/>
      <c r="W360" s="151"/>
      <c r="X360" s="151"/>
      <c r="Y360" s="115"/>
      <c r="Z360" s="115"/>
      <c r="AA360" s="115"/>
      <c r="AB360" s="115"/>
      <c r="AC360" s="115"/>
      <c r="AD360" s="115"/>
      <c r="AE360" s="115"/>
      <c r="AF360" s="115"/>
      <c r="AG360" s="115"/>
      <c r="AH360" s="115"/>
      <c r="AI360" s="115"/>
      <c r="AJ360" s="115"/>
      <c r="AK360" s="115"/>
      <c r="AL360" s="115"/>
      <c r="AM360" s="115"/>
    </row>
    <row r="361" spans="1:39" ht="17.100000000000001" customHeight="1">
      <c r="A361" s="153" t="s">
        <v>3998</v>
      </c>
      <c r="B361" s="151"/>
      <c r="C361" s="151"/>
      <c r="D361" s="151"/>
      <c r="E361" s="151"/>
      <c r="F361" s="165"/>
      <c r="G361" s="151"/>
      <c r="H361" s="151"/>
      <c r="I361" s="165"/>
      <c r="J361" s="165"/>
      <c r="K361" s="151"/>
      <c r="L361" s="151"/>
      <c r="M361" s="151"/>
      <c r="N361" s="151"/>
      <c r="O361" s="151"/>
      <c r="P361" s="151"/>
      <c r="R361" s="151"/>
      <c r="S361" s="151"/>
      <c r="T361" s="166"/>
      <c r="U361" s="167"/>
      <c r="V361" s="151"/>
      <c r="W361" s="151"/>
      <c r="X361" s="151"/>
      <c r="Y361" s="115"/>
      <c r="Z361" s="115"/>
      <c r="AA361" s="115"/>
      <c r="AB361" s="115"/>
      <c r="AC361" s="115"/>
      <c r="AD361" s="115"/>
      <c r="AE361" s="115"/>
      <c r="AF361" s="115"/>
      <c r="AG361" s="115"/>
      <c r="AH361" s="115"/>
      <c r="AI361" s="115"/>
      <c r="AJ361" s="115"/>
      <c r="AK361" s="115"/>
      <c r="AL361" s="115"/>
      <c r="AM361" s="115"/>
    </row>
    <row r="362" spans="1:39" ht="17.100000000000001" customHeight="1">
      <c r="A362" s="151" t="s">
        <v>3999</v>
      </c>
      <c r="B362" s="151"/>
      <c r="C362" s="151"/>
      <c r="D362" s="151"/>
      <c r="E362" s="151"/>
      <c r="F362" s="165"/>
      <c r="G362" s="151"/>
      <c r="H362" s="151"/>
      <c r="I362" s="165"/>
      <c r="J362" s="165"/>
      <c r="K362" s="151"/>
      <c r="L362" s="151"/>
      <c r="M362" s="151"/>
      <c r="N362" s="151"/>
      <c r="O362" s="151"/>
      <c r="P362" s="151"/>
      <c r="R362" s="151"/>
      <c r="S362" s="151"/>
      <c r="T362" s="166"/>
      <c r="U362" s="167"/>
      <c r="V362" s="151"/>
      <c r="W362" s="151"/>
      <c r="X362" s="151"/>
      <c r="Y362" s="115"/>
      <c r="Z362" s="115"/>
      <c r="AA362" s="115"/>
      <c r="AB362" s="115"/>
      <c r="AC362" s="115"/>
      <c r="AD362" s="115"/>
      <c r="AE362" s="115"/>
      <c r="AF362" s="115"/>
      <c r="AG362" s="115"/>
      <c r="AH362" s="115"/>
      <c r="AI362" s="115"/>
      <c r="AJ362" s="115"/>
      <c r="AK362" s="115"/>
      <c r="AL362" s="115"/>
      <c r="AM362" s="115"/>
    </row>
    <row r="363" spans="1:39" ht="17.100000000000001" customHeight="1">
      <c r="A363" s="151" t="s">
        <v>4000</v>
      </c>
      <c r="B363" s="151"/>
      <c r="C363" s="151"/>
      <c r="D363" s="151"/>
      <c r="E363" s="151"/>
      <c r="F363" s="165"/>
      <c r="G363" s="151"/>
      <c r="H363" s="151"/>
      <c r="I363" s="165"/>
      <c r="J363" s="165"/>
      <c r="K363" s="151"/>
      <c r="L363" s="151"/>
      <c r="M363" s="151"/>
      <c r="N363" s="151"/>
      <c r="O363" s="151"/>
      <c r="P363" s="151"/>
      <c r="R363" s="151"/>
      <c r="S363" s="151"/>
      <c r="T363" s="166"/>
      <c r="U363" s="167"/>
      <c r="V363" s="151"/>
      <c r="W363" s="151"/>
      <c r="X363" s="151"/>
      <c r="Y363" s="115"/>
      <c r="Z363" s="115"/>
      <c r="AA363" s="115"/>
      <c r="AB363" s="115"/>
      <c r="AC363" s="115"/>
      <c r="AD363" s="115"/>
      <c r="AE363" s="115"/>
      <c r="AF363" s="115"/>
      <c r="AG363" s="115"/>
      <c r="AH363" s="115"/>
      <c r="AI363" s="115"/>
      <c r="AJ363" s="115"/>
      <c r="AK363" s="115"/>
      <c r="AL363" s="115"/>
      <c r="AM363" s="115"/>
    </row>
    <row r="364" spans="1:39" ht="17.100000000000001" customHeight="1">
      <c r="A364" s="151" t="s">
        <v>4001</v>
      </c>
      <c r="B364" s="151"/>
      <c r="C364" s="151"/>
      <c r="D364" s="151"/>
      <c r="E364" s="151"/>
      <c r="F364" s="165"/>
      <c r="G364" s="151"/>
      <c r="H364" s="151"/>
      <c r="I364" s="165"/>
      <c r="J364" s="165"/>
      <c r="K364" s="151"/>
      <c r="L364" s="151"/>
      <c r="M364" s="151"/>
      <c r="N364" s="151"/>
      <c r="O364" s="151"/>
      <c r="P364" s="151"/>
      <c r="R364" s="151"/>
      <c r="S364" s="151"/>
      <c r="T364" s="166"/>
      <c r="U364" s="167"/>
      <c r="V364" s="151"/>
      <c r="W364" s="151"/>
      <c r="X364" s="151"/>
      <c r="Y364" s="115"/>
      <c r="Z364" s="115"/>
      <c r="AA364" s="115"/>
      <c r="AB364" s="115"/>
      <c r="AC364" s="115"/>
      <c r="AD364" s="115"/>
      <c r="AE364" s="115"/>
      <c r="AF364" s="115"/>
      <c r="AG364" s="115"/>
      <c r="AH364" s="115"/>
      <c r="AI364" s="115"/>
      <c r="AJ364" s="115"/>
      <c r="AK364" s="115"/>
      <c r="AL364" s="115"/>
      <c r="AM364" s="115"/>
    </row>
    <row r="365" spans="1:39" ht="17.100000000000001" customHeight="1">
      <c r="A365" s="151" t="s">
        <v>4002</v>
      </c>
      <c r="B365" s="151"/>
      <c r="C365" s="151"/>
      <c r="D365" s="151"/>
      <c r="E365" s="151"/>
      <c r="F365" s="165"/>
      <c r="G365" s="151"/>
      <c r="H365" s="151"/>
      <c r="I365" s="165"/>
      <c r="J365" s="165"/>
      <c r="K365" s="151"/>
      <c r="L365" s="151"/>
      <c r="M365" s="151"/>
      <c r="N365" s="151"/>
      <c r="O365" s="151"/>
      <c r="P365" s="151"/>
      <c r="R365" s="151"/>
      <c r="S365" s="151"/>
      <c r="T365" s="166"/>
      <c r="U365" s="167"/>
      <c r="V365" s="151"/>
      <c r="W365" s="151"/>
      <c r="X365" s="151"/>
      <c r="Y365" s="115"/>
      <c r="Z365" s="115"/>
      <c r="AA365" s="115"/>
      <c r="AB365" s="115"/>
      <c r="AC365" s="115"/>
      <c r="AD365" s="115"/>
      <c r="AE365" s="115"/>
      <c r="AF365" s="115"/>
      <c r="AG365" s="115"/>
      <c r="AH365" s="115"/>
      <c r="AI365" s="115"/>
      <c r="AJ365" s="115"/>
      <c r="AK365" s="115"/>
      <c r="AL365" s="115"/>
      <c r="AM365" s="115"/>
    </row>
    <row r="366" spans="1:39" ht="17.100000000000001" customHeight="1">
      <c r="A366" s="151" t="s">
        <v>4003</v>
      </c>
      <c r="B366" s="151"/>
      <c r="C366" s="151"/>
      <c r="D366" s="151"/>
      <c r="E366" s="151"/>
      <c r="F366" s="165"/>
      <c r="G366" s="151"/>
      <c r="H366" s="151"/>
      <c r="I366" s="165"/>
      <c r="J366" s="165"/>
      <c r="K366" s="151"/>
      <c r="L366" s="151"/>
      <c r="M366" s="151"/>
      <c r="N366" s="151"/>
      <c r="O366" s="151"/>
      <c r="P366" s="151"/>
      <c r="R366" s="151"/>
      <c r="S366" s="151"/>
      <c r="T366" s="166"/>
      <c r="U366" s="167"/>
      <c r="V366" s="151"/>
      <c r="W366" s="151"/>
      <c r="X366" s="151"/>
      <c r="Y366" s="115"/>
      <c r="Z366" s="115"/>
      <c r="AA366" s="115"/>
      <c r="AB366" s="115"/>
      <c r="AC366" s="115"/>
      <c r="AD366" s="115"/>
      <c r="AE366" s="115"/>
      <c r="AF366" s="115"/>
      <c r="AG366" s="115"/>
      <c r="AH366" s="115"/>
      <c r="AI366" s="115"/>
      <c r="AJ366" s="115"/>
      <c r="AK366" s="115"/>
      <c r="AL366" s="115"/>
      <c r="AM366" s="115"/>
    </row>
    <row r="367" spans="1:39" ht="17.100000000000001" customHeight="1">
      <c r="A367" s="151" t="s">
        <v>4004</v>
      </c>
      <c r="B367" s="151"/>
      <c r="C367" s="151"/>
      <c r="D367" s="151"/>
      <c r="E367" s="151"/>
      <c r="F367" s="165"/>
      <c r="G367" s="151"/>
      <c r="H367" s="151"/>
      <c r="I367" s="165"/>
      <c r="J367" s="165"/>
      <c r="K367" s="151"/>
      <c r="L367" s="151"/>
      <c r="M367" s="151"/>
      <c r="N367" s="151"/>
      <c r="O367" s="151"/>
      <c r="P367" s="151"/>
      <c r="R367" s="151"/>
      <c r="S367" s="151"/>
      <c r="T367" s="166"/>
      <c r="U367" s="167"/>
      <c r="V367" s="151"/>
      <c r="W367" s="151"/>
      <c r="X367" s="151"/>
      <c r="Y367" s="115"/>
      <c r="Z367" s="115"/>
      <c r="AA367" s="115"/>
      <c r="AB367" s="115"/>
      <c r="AC367" s="115"/>
      <c r="AD367" s="115"/>
      <c r="AE367" s="115"/>
      <c r="AF367" s="115"/>
      <c r="AG367" s="115"/>
      <c r="AH367" s="115"/>
      <c r="AI367" s="115"/>
      <c r="AJ367" s="115"/>
      <c r="AK367" s="115"/>
      <c r="AL367" s="115"/>
      <c r="AM367" s="115"/>
    </row>
    <row r="368" spans="1:39" ht="17.100000000000001" customHeight="1">
      <c r="A368" s="151" t="s">
        <v>4005</v>
      </c>
      <c r="B368" s="151"/>
      <c r="C368" s="151"/>
      <c r="D368" s="151"/>
      <c r="E368" s="151"/>
      <c r="F368" s="165"/>
      <c r="G368" s="151"/>
      <c r="H368" s="151"/>
      <c r="I368" s="165"/>
      <c r="J368" s="165"/>
      <c r="K368" s="151"/>
      <c r="L368" s="151"/>
      <c r="M368" s="151"/>
      <c r="N368" s="151"/>
      <c r="O368" s="151"/>
      <c r="P368" s="151"/>
      <c r="R368" s="151"/>
      <c r="S368" s="151"/>
      <c r="T368" s="166"/>
      <c r="U368" s="167"/>
      <c r="V368" s="151"/>
      <c r="W368" s="151"/>
      <c r="X368" s="151"/>
      <c r="Y368" s="115"/>
      <c r="Z368" s="115"/>
      <c r="AA368" s="115"/>
      <c r="AB368" s="115"/>
      <c r="AC368" s="115"/>
      <c r="AD368" s="115"/>
      <c r="AE368" s="115"/>
      <c r="AF368" s="115"/>
      <c r="AG368" s="115"/>
      <c r="AH368" s="115"/>
      <c r="AI368" s="115"/>
      <c r="AJ368" s="115"/>
      <c r="AK368" s="115"/>
      <c r="AL368" s="115"/>
      <c r="AM368" s="115"/>
    </row>
    <row r="369" spans="1:39" ht="17.100000000000001" customHeight="1">
      <c r="A369" s="151" t="s">
        <v>4006</v>
      </c>
      <c r="B369" s="151"/>
      <c r="C369" s="151"/>
      <c r="D369" s="151"/>
      <c r="E369" s="151"/>
      <c r="F369" s="165"/>
      <c r="G369" s="151"/>
      <c r="H369" s="151"/>
      <c r="I369" s="165"/>
      <c r="J369" s="165"/>
      <c r="K369" s="151"/>
      <c r="L369" s="151"/>
      <c r="M369" s="151"/>
      <c r="N369" s="151"/>
      <c r="O369" s="151"/>
      <c r="P369" s="151"/>
      <c r="R369" s="151"/>
      <c r="S369" s="151"/>
      <c r="T369" s="166"/>
      <c r="U369" s="167"/>
      <c r="V369" s="151"/>
      <c r="W369" s="151"/>
      <c r="X369" s="151"/>
      <c r="Y369" s="115"/>
      <c r="Z369" s="115"/>
      <c r="AA369" s="115"/>
      <c r="AB369" s="115"/>
      <c r="AC369" s="115"/>
      <c r="AD369" s="115"/>
      <c r="AE369" s="115"/>
      <c r="AF369" s="115"/>
      <c r="AG369" s="115"/>
      <c r="AH369" s="115"/>
      <c r="AI369" s="115"/>
      <c r="AJ369" s="115"/>
      <c r="AK369" s="115"/>
      <c r="AL369" s="115"/>
      <c r="AM369" s="115"/>
    </row>
    <row r="370" spans="1:39" ht="17.100000000000001" customHeight="1">
      <c r="A370" s="153" t="s">
        <v>4007</v>
      </c>
      <c r="B370" s="151"/>
      <c r="C370" s="151"/>
      <c r="D370" s="151"/>
      <c r="E370" s="151"/>
      <c r="F370" s="165"/>
      <c r="G370" s="151"/>
      <c r="H370" s="151"/>
      <c r="I370" s="165"/>
      <c r="J370" s="165"/>
      <c r="K370" s="151"/>
      <c r="L370" s="151"/>
      <c r="M370" s="151"/>
      <c r="N370" s="151"/>
      <c r="O370" s="151"/>
      <c r="P370" s="151"/>
      <c r="R370" s="151"/>
      <c r="S370" s="151"/>
      <c r="T370" s="166"/>
      <c r="U370" s="167"/>
      <c r="V370" s="151"/>
      <c r="W370" s="151"/>
      <c r="X370" s="151"/>
      <c r="Y370" s="115"/>
      <c r="Z370" s="115"/>
      <c r="AA370" s="115"/>
      <c r="AB370" s="115"/>
      <c r="AC370" s="115"/>
      <c r="AD370" s="115"/>
      <c r="AE370" s="115"/>
      <c r="AF370" s="115"/>
      <c r="AG370" s="115"/>
      <c r="AH370" s="115"/>
      <c r="AI370" s="115"/>
      <c r="AJ370" s="115"/>
      <c r="AK370" s="115"/>
      <c r="AL370" s="115"/>
      <c r="AM370" s="115"/>
    </row>
    <row r="371" spans="1:39" ht="17.100000000000001" customHeight="1">
      <c r="A371" s="151" t="s">
        <v>4008</v>
      </c>
      <c r="B371" s="151"/>
      <c r="C371" s="151"/>
      <c r="D371" s="151"/>
      <c r="E371" s="151"/>
      <c r="F371" s="165"/>
      <c r="G371" s="151"/>
      <c r="H371" s="151"/>
      <c r="I371" s="165"/>
      <c r="J371" s="165"/>
      <c r="K371" s="151"/>
      <c r="L371" s="151"/>
      <c r="M371" s="151"/>
      <c r="N371" s="151"/>
      <c r="O371" s="151"/>
      <c r="P371" s="151"/>
      <c r="R371" s="151"/>
      <c r="S371" s="151"/>
      <c r="T371" s="166"/>
      <c r="U371" s="167"/>
      <c r="V371" s="151"/>
      <c r="W371" s="151"/>
      <c r="X371" s="151"/>
      <c r="Y371" s="115"/>
      <c r="Z371" s="115"/>
      <c r="AA371" s="115"/>
      <c r="AB371" s="115"/>
      <c r="AC371" s="115"/>
      <c r="AD371" s="115"/>
      <c r="AE371" s="115"/>
      <c r="AF371" s="115"/>
      <c r="AG371" s="115"/>
      <c r="AH371" s="115"/>
      <c r="AI371" s="115"/>
      <c r="AJ371" s="115"/>
      <c r="AK371" s="115"/>
      <c r="AL371" s="115"/>
      <c r="AM371" s="115"/>
    </row>
    <row r="372" spans="1:39" ht="17.100000000000001" customHeight="1">
      <c r="A372" s="151" t="s">
        <v>4009</v>
      </c>
      <c r="B372" s="151"/>
      <c r="C372" s="151"/>
      <c r="D372" s="151"/>
      <c r="E372" s="151"/>
      <c r="F372" s="165"/>
      <c r="G372" s="151"/>
      <c r="H372" s="151"/>
      <c r="I372" s="165"/>
      <c r="J372" s="165"/>
      <c r="K372" s="151"/>
      <c r="L372" s="151"/>
      <c r="M372" s="151"/>
      <c r="N372" s="151"/>
      <c r="O372" s="151"/>
      <c r="P372" s="151"/>
      <c r="R372" s="151"/>
      <c r="S372" s="151"/>
      <c r="T372" s="166"/>
      <c r="U372" s="167"/>
      <c r="V372" s="151"/>
      <c r="W372" s="151"/>
      <c r="X372" s="151"/>
      <c r="Y372" s="115"/>
      <c r="Z372" s="115"/>
      <c r="AA372" s="115"/>
      <c r="AB372" s="115"/>
      <c r="AC372" s="115"/>
      <c r="AD372" s="115"/>
      <c r="AE372" s="115"/>
      <c r="AF372" s="115"/>
      <c r="AG372" s="115"/>
      <c r="AH372" s="115"/>
      <c r="AI372" s="115"/>
      <c r="AJ372" s="115"/>
      <c r="AK372" s="115"/>
      <c r="AL372" s="115"/>
      <c r="AM372" s="115"/>
    </row>
    <row r="373" spans="1:39" ht="17.100000000000001" customHeight="1">
      <c r="A373" s="151" t="s">
        <v>4010</v>
      </c>
      <c r="B373" s="151"/>
      <c r="C373" s="151"/>
      <c r="D373" s="151"/>
      <c r="E373" s="151"/>
      <c r="F373" s="165"/>
      <c r="G373" s="151"/>
      <c r="H373" s="151"/>
      <c r="I373" s="165"/>
      <c r="J373" s="165"/>
      <c r="K373" s="151"/>
      <c r="L373" s="151"/>
      <c r="M373" s="151"/>
      <c r="N373" s="151"/>
      <c r="O373" s="151"/>
      <c r="P373" s="151"/>
      <c r="R373" s="151"/>
      <c r="S373" s="151"/>
      <c r="T373" s="166"/>
      <c r="U373" s="167"/>
      <c r="V373" s="151"/>
      <c r="W373" s="151"/>
      <c r="X373" s="151"/>
      <c r="Y373" s="115"/>
      <c r="Z373" s="115"/>
      <c r="AA373" s="115"/>
      <c r="AB373" s="115"/>
      <c r="AC373" s="115"/>
      <c r="AD373" s="115"/>
      <c r="AE373" s="115"/>
      <c r="AF373" s="115"/>
      <c r="AG373" s="115"/>
      <c r="AH373" s="115"/>
      <c r="AI373" s="115"/>
      <c r="AJ373" s="115"/>
      <c r="AK373" s="115"/>
      <c r="AL373" s="115"/>
      <c r="AM373" s="115"/>
    </row>
    <row r="374" spans="1:39" ht="17.100000000000001" customHeight="1">
      <c r="A374" s="151" t="s">
        <v>4011</v>
      </c>
      <c r="B374" s="151"/>
      <c r="C374" s="151"/>
      <c r="D374" s="151"/>
      <c r="E374" s="151"/>
      <c r="F374" s="165"/>
      <c r="G374" s="151"/>
      <c r="H374" s="151"/>
      <c r="I374" s="165"/>
      <c r="J374" s="165"/>
      <c r="K374" s="151"/>
      <c r="L374" s="151"/>
      <c r="M374" s="151"/>
      <c r="N374" s="151"/>
      <c r="O374" s="151"/>
      <c r="P374" s="151"/>
      <c r="R374" s="151"/>
      <c r="S374" s="151"/>
      <c r="T374" s="166"/>
      <c r="U374" s="167"/>
      <c r="V374" s="151"/>
      <c r="W374" s="151"/>
      <c r="X374" s="151"/>
      <c r="Y374" s="115"/>
      <c r="Z374" s="115"/>
      <c r="AA374" s="115"/>
      <c r="AB374" s="115"/>
      <c r="AC374" s="115"/>
      <c r="AD374" s="115"/>
      <c r="AE374" s="115"/>
      <c r="AF374" s="115"/>
      <c r="AG374" s="115"/>
      <c r="AH374" s="115"/>
      <c r="AI374" s="115"/>
      <c r="AJ374" s="115"/>
      <c r="AK374" s="115"/>
      <c r="AL374" s="115"/>
      <c r="AM374" s="115"/>
    </row>
    <row r="375" spans="1:39" ht="17.100000000000001" customHeight="1">
      <c r="A375" s="151" t="s">
        <v>4012</v>
      </c>
      <c r="B375" s="151"/>
      <c r="C375" s="151"/>
      <c r="D375" s="151"/>
      <c r="E375" s="151"/>
      <c r="F375" s="165"/>
      <c r="G375" s="151"/>
      <c r="H375" s="151"/>
      <c r="I375" s="165"/>
      <c r="J375" s="165"/>
      <c r="K375" s="151"/>
      <c r="L375" s="151"/>
      <c r="M375" s="151"/>
      <c r="N375" s="151"/>
      <c r="O375" s="151"/>
      <c r="P375" s="151"/>
      <c r="R375" s="151"/>
      <c r="S375" s="151"/>
      <c r="T375" s="166"/>
      <c r="U375" s="167"/>
      <c r="V375" s="151"/>
      <c r="W375" s="151"/>
      <c r="X375" s="151"/>
      <c r="Y375" s="115"/>
      <c r="Z375" s="115"/>
      <c r="AA375" s="115"/>
      <c r="AB375" s="115"/>
      <c r="AC375" s="115"/>
      <c r="AD375" s="115"/>
      <c r="AE375" s="115"/>
      <c r="AF375" s="115"/>
      <c r="AG375" s="115"/>
      <c r="AH375" s="115"/>
      <c r="AI375" s="115"/>
      <c r="AJ375" s="115"/>
      <c r="AK375" s="115"/>
      <c r="AL375" s="115"/>
      <c r="AM375" s="115"/>
    </row>
    <row r="376" spans="1:39" ht="17.100000000000001" customHeight="1">
      <c r="A376" s="151" t="s">
        <v>4013</v>
      </c>
      <c r="B376" s="151"/>
      <c r="C376" s="151"/>
      <c r="D376" s="151"/>
      <c r="E376" s="151"/>
      <c r="F376" s="165"/>
      <c r="G376" s="151"/>
      <c r="H376" s="151"/>
      <c r="I376" s="165"/>
      <c r="J376" s="165"/>
      <c r="K376" s="151"/>
      <c r="L376" s="151"/>
      <c r="M376" s="151"/>
      <c r="N376" s="151"/>
      <c r="O376" s="151"/>
      <c r="P376" s="151"/>
      <c r="R376" s="151"/>
      <c r="S376" s="151"/>
      <c r="T376" s="166"/>
      <c r="U376" s="167"/>
      <c r="V376" s="151"/>
      <c r="W376" s="151"/>
      <c r="X376" s="151"/>
      <c r="Y376" s="115"/>
      <c r="Z376" s="115"/>
      <c r="AA376" s="115"/>
      <c r="AB376" s="115"/>
      <c r="AC376" s="115"/>
      <c r="AD376" s="115"/>
      <c r="AE376" s="115"/>
      <c r="AF376" s="115"/>
      <c r="AG376" s="115"/>
      <c r="AH376" s="115"/>
      <c r="AI376" s="115"/>
      <c r="AJ376" s="115"/>
      <c r="AK376" s="115"/>
      <c r="AL376" s="115"/>
      <c r="AM376" s="115"/>
    </row>
    <row r="377" spans="1:39" ht="17.100000000000001" customHeight="1">
      <c r="A377" s="151" t="s">
        <v>4014</v>
      </c>
      <c r="B377" s="151"/>
      <c r="C377" s="151"/>
      <c r="D377" s="151"/>
      <c r="E377" s="151"/>
      <c r="F377" s="165"/>
      <c r="G377" s="151"/>
      <c r="H377" s="151"/>
      <c r="I377" s="165"/>
      <c r="J377" s="165"/>
      <c r="K377" s="151"/>
      <c r="L377" s="151"/>
      <c r="M377" s="151"/>
      <c r="N377" s="151"/>
      <c r="O377" s="151"/>
      <c r="P377" s="151"/>
      <c r="R377" s="151"/>
      <c r="S377" s="151"/>
      <c r="T377" s="166"/>
      <c r="U377" s="167"/>
      <c r="V377" s="151"/>
      <c r="W377" s="151"/>
      <c r="X377" s="151"/>
      <c r="Y377" s="115"/>
      <c r="Z377" s="115"/>
      <c r="AA377" s="115"/>
      <c r="AB377" s="115"/>
      <c r="AC377" s="115"/>
      <c r="AD377" s="115"/>
      <c r="AE377" s="115"/>
      <c r="AF377" s="115"/>
      <c r="AG377" s="115"/>
      <c r="AH377" s="115"/>
      <c r="AI377" s="115"/>
      <c r="AJ377" s="115"/>
      <c r="AK377" s="115"/>
      <c r="AL377" s="115"/>
      <c r="AM377" s="115"/>
    </row>
    <row r="378" spans="1:39" ht="17.100000000000001" customHeight="1">
      <c r="A378" s="151" t="s">
        <v>4015</v>
      </c>
      <c r="B378" s="151"/>
      <c r="C378" s="151"/>
      <c r="D378" s="151"/>
      <c r="E378" s="151"/>
      <c r="F378" s="165"/>
      <c r="G378" s="151"/>
      <c r="H378" s="151"/>
      <c r="I378" s="165"/>
      <c r="J378" s="165"/>
      <c r="K378" s="151"/>
      <c r="L378" s="151"/>
      <c r="M378" s="151"/>
      <c r="N378" s="151"/>
      <c r="O378" s="151"/>
      <c r="P378" s="151"/>
      <c r="R378" s="151"/>
      <c r="S378" s="151"/>
      <c r="T378" s="166"/>
      <c r="U378" s="167"/>
      <c r="V378" s="151"/>
      <c r="W378" s="151"/>
      <c r="X378" s="151"/>
      <c r="Y378" s="115"/>
      <c r="Z378" s="115"/>
      <c r="AA378" s="115"/>
      <c r="AB378" s="115"/>
      <c r="AC378" s="115"/>
      <c r="AD378" s="115"/>
      <c r="AE378" s="115"/>
      <c r="AF378" s="115"/>
      <c r="AG378" s="115"/>
      <c r="AH378" s="115"/>
      <c r="AI378" s="115"/>
      <c r="AJ378" s="115"/>
      <c r="AK378" s="115"/>
      <c r="AL378" s="115"/>
      <c r="AM378" s="115"/>
    </row>
    <row r="379" spans="1:39" ht="17.100000000000001" customHeight="1">
      <c r="A379" s="151" t="s">
        <v>4016</v>
      </c>
      <c r="B379" s="151"/>
      <c r="C379" s="151"/>
      <c r="D379" s="151"/>
      <c r="E379" s="151"/>
      <c r="F379" s="165"/>
      <c r="G379" s="151"/>
      <c r="H379" s="151"/>
      <c r="I379" s="165"/>
      <c r="J379" s="165"/>
      <c r="K379" s="151"/>
      <c r="L379" s="151"/>
      <c r="M379" s="151"/>
      <c r="N379" s="151"/>
      <c r="O379" s="151"/>
      <c r="P379" s="151"/>
      <c r="R379" s="151"/>
      <c r="S379" s="151"/>
      <c r="T379" s="166"/>
      <c r="U379" s="167"/>
      <c r="V379" s="151"/>
      <c r="W379" s="151"/>
      <c r="X379" s="151"/>
      <c r="Y379" s="115"/>
      <c r="Z379" s="115"/>
      <c r="AA379" s="115"/>
      <c r="AB379" s="115"/>
      <c r="AC379" s="115"/>
      <c r="AD379" s="115"/>
      <c r="AE379" s="115"/>
      <c r="AF379" s="115"/>
      <c r="AG379" s="115"/>
      <c r="AH379" s="115"/>
      <c r="AI379" s="115"/>
      <c r="AJ379" s="115"/>
      <c r="AK379" s="115"/>
      <c r="AL379" s="115"/>
      <c r="AM379" s="115"/>
    </row>
    <row r="380" spans="1:39" ht="17.100000000000001" customHeight="1">
      <c r="A380" s="151" t="s">
        <v>4017</v>
      </c>
      <c r="B380" s="151"/>
      <c r="C380" s="151"/>
      <c r="D380" s="151"/>
      <c r="E380" s="151"/>
      <c r="F380" s="165"/>
      <c r="G380" s="151"/>
      <c r="H380" s="151"/>
      <c r="I380" s="165"/>
      <c r="J380" s="165"/>
      <c r="K380" s="151"/>
      <c r="L380" s="151"/>
      <c r="M380" s="151"/>
      <c r="N380" s="151"/>
      <c r="O380" s="151"/>
      <c r="P380" s="151"/>
      <c r="R380" s="151"/>
      <c r="S380" s="151"/>
      <c r="T380" s="166"/>
      <c r="U380" s="167"/>
      <c r="V380" s="151"/>
      <c r="W380" s="151"/>
      <c r="X380" s="151"/>
      <c r="Y380" s="115"/>
      <c r="Z380" s="115"/>
      <c r="AA380" s="115"/>
      <c r="AB380" s="115"/>
      <c r="AC380" s="115"/>
      <c r="AD380" s="115"/>
      <c r="AE380" s="115"/>
      <c r="AF380" s="115"/>
      <c r="AG380" s="115"/>
      <c r="AH380" s="115"/>
      <c r="AI380" s="115"/>
      <c r="AJ380" s="115"/>
      <c r="AK380" s="115"/>
      <c r="AL380" s="115"/>
      <c r="AM380" s="115"/>
    </row>
    <row r="381" spans="1:39" ht="17.100000000000001" customHeight="1">
      <c r="A381" s="151" t="s">
        <v>4018</v>
      </c>
      <c r="B381" s="151"/>
      <c r="C381" s="151"/>
      <c r="D381" s="151"/>
      <c r="E381" s="151"/>
      <c r="F381" s="165"/>
      <c r="G381" s="151"/>
      <c r="H381" s="151"/>
      <c r="I381" s="165"/>
      <c r="J381" s="165"/>
      <c r="K381" s="151"/>
      <c r="L381" s="151"/>
      <c r="M381" s="151"/>
      <c r="N381" s="151"/>
      <c r="O381" s="151"/>
      <c r="P381" s="151"/>
      <c r="R381" s="151"/>
      <c r="S381" s="151"/>
      <c r="T381" s="166"/>
      <c r="U381" s="167"/>
      <c r="V381" s="151"/>
      <c r="W381" s="151"/>
      <c r="X381" s="151"/>
      <c r="Y381" s="115"/>
      <c r="Z381" s="115"/>
      <c r="AA381" s="115"/>
      <c r="AB381" s="115"/>
      <c r="AC381" s="115"/>
      <c r="AD381" s="115"/>
      <c r="AE381" s="115"/>
      <c r="AF381" s="115"/>
      <c r="AG381" s="115"/>
      <c r="AH381" s="115"/>
      <c r="AI381" s="115"/>
      <c r="AJ381" s="115"/>
      <c r="AK381" s="115"/>
      <c r="AL381" s="115"/>
      <c r="AM381" s="115"/>
    </row>
    <row r="382" spans="1:39" ht="17.100000000000001" customHeight="1">
      <c r="A382" s="151" t="s">
        <v>4019</v>
      </c>
      <c r="B382" s="151"/>
      <c r="C382" s="151"/>
      <c r="D382" s="151"/>
      <c r="E382" s="151"/>
      <c r="F382" s="165"/>
      <c r="G382" s="151"/>
      <c r="H382" s="151"/>
      <c r="I382" s="165"/>
      <c r="J382" s="165"/>
      <c r="K382" s="151"/>
      <c r="L382" s="151"/>
      <c r="M382" s="151"/>
      <c r="N382" s="151"/>
      <c r="O382" s="151"/>
      <c r="P382" s="151"/>
      <c r="R382" s="151"/>
      <c r="S382" s="151"/>
      <c r="T382" s="166"/>
      <c r="U382" s="167"/>
      <c r="V382" s="151"/>
      <c r="W382" s="151"/>
      <c r="X382" s="151"/>
      <c r="Y382" s="115"/>
      <c r="Z382" s="115"/>
      <c r="AA382" s="115"/>
      <c r="AB382" s="115"/>
      <c r="AC382" s="115"/>
      <c r="AD382" s="115"/>
      <c r="AE382" s="115"/>
      <c r="AF382" s="115"/>
      <c r="AG382" s="115"/>
      <c r="AH382" s="115"/>
      <c r="AI382" s="115"/>
      <c r="AJ382" s="115"/>
      <c r="AK382" s="115"/>
      <c r="AL382" s="115"/>
      <c r="AM382" s="115"/>
    </row>
    <row r="383" spans="1:39" ht="17.100000000000001" customHeight="1">
      <c r="A383" s="151" t="s">
        <v>4020</v>
      </c>
      <c r="B383" s="151"/>
      <c r="C383" s="151"/>
      <c r="D383" s="151"/>
      <c r="E383" s="151"/>
      <c r="F383" s="165"/>
      <c r="G383" s="151"/>
      <c r="H383" s="151"/>
      <c r="I383" s="165"/>
      <c r="J383" s="165"/>
      <c r="K383" s="151"/>
      <c r="L383" s="151"/>
      <c r="M383" s="151"/>
      <c r="N383" s="151"/>
      <c r="O383" s="151"/>
      <c r="P383" s="151"/>
      <c r="R383" s="151"/>
      <c r="S383" s="151"/>
      <c r="T383" s="166"/>
      <c r="U383" s="167"/>
      <c r="V383" s="151"/>
      <c r="W383" s="151"/>
      <c r="X383" s="151"/>
      <c r="Y383" s="115"/>
      <c r="Z383" s="115"/>
      <c r="AA383" s="115"/>
      <c r="AB383" s="115"/>
      <c r="AC383" s="115"/>
      <c r="AD383" s="115"/>
      <c r="AE383" s="115"/>
      <c r="AF383" s="115"/>
      <c r="AG383" s="115"/>
      <c r="AH383" s="115"/>
      <c r="AI383" s="115"/>
      <c r="AJ383" s="115"/>
      <c r="AK383" s="115"/>
      <c r="AL383" s="115"/>
      <c r="AM383" s="115"/>
    </row>
    <row r="384" spans="1:39" ht="17.100000000000001" customHeight="1">
      <c r="A384" s="151" t="s">
        <v>4021</v>
      </c>
      <c r="B384" s="151"/>
      <c r="C384" s="151"/>
      <c r="D384" s="151"/>
      <c r="E384" s="151"/>
      <c r="F384" s="165"/>
      <c r="G384" s="151"/>
      <c r="H384" s="151"/>
      <c r="I384" s="165"/>
      <c r="J384" s="165"/>
      <c r="K384" s="151"/>
      <c r="L384" s="151"/>
      <c r="M384" s="151"/>
      <c r="N384" s="151"/>
      <c r="O384" s="151"/>
      <c r="P384" s="151"/>
      <c r="R384" s="151"/>
      <c r="S384" s="151"/>
      <c r="T384" s="166"/>
      <c r="U384" s="167"/>
      <c r="V384" s="151"/>
      <c r="W384" s="151"/>
      <c r="X384" s="151"/>
      <c r="Y384" s="115"/>
      <c r="Z384" s="115"/>
      <c r="AA384" s="115"/>
      <c r="AB384" s="115"/>
      <c r="AC384" s="115"/>
      <c r="AD384" s="115"/>
      <c r="AE384" s="115"/>
      <c r="AF384" s="115"/>
      <c r="AG384" s="115"/>
      <c r="AH384" s="115"/>
      <c r="AI384" s="115"/>
      <c r="AJ384" s="115"/>
      <c r="AK384" s="115"/>
      <c r="AL384" s="115"/>
      <c r="AM384" s="115"/>
    </row>
    <row r="385" spans="1:39" ht="17.100000000000001" customHeight="1">
      <c r="A385" s="151" t="s">
        <v>4022</v>
      </c>
      <c r="B385" s="151"/>
      <c r="C385" s="151"/>
      <c r="D385" s="151"/>
      <c r="E385" s="151"/>
      <c r="F385" s="165"/>
      <c r="G385" s="151"/>
      <c r="H385" s="151"/>
      <c r="I385" s="165"/>
      <c r="J385" s="165"/>
      <c r="K385" s="151"/>
      <c r="L385" s="151"/>
      <c r="M385" s="151"/>
      <c r="N385" s="151"/>
      <c r="O385" s="151"/>
      <c r="P385" s="151"/>
      <c r="R385" s="151"/>
      <c r="S385" s="151"/>
      <c r="T385" s="166"/>
      <c r="U385" s="167"/>
      <c r="V385" s="151"/>
      <c r="W385" s="151"/>
      <c r="X385" s="151"/>
      <c r="Y385" s="115"/>
      <c r="Z385" s="115"/>
      <c r="AA385" s="115"/>
      <c r="AB385" s="115"/>
      <c r="AC385" s="115"/>
      <c r="AD385" s="115"/>
      <c r="AE385" s="115"/>
      <c r="AF385" s="115"/>
      <c r="AG385" s="115"/>
      <c r="AH385" s="115"/>
      <c r="AI385" s="115"/>
      <c r="AJ385" s="115"/>
      <c r="AK385" s="115"/>
      <c r="AL385" s="115"/>
      <c r="AM385" s="115"/>
    </row>
    <row r="386" spans="1:39" ht="17.100000000000001" customHeight="1">
      <c r="A386" s="151" t="s">
        <v>4023</v>
      </c>
      <c r="B386" s="151"/>
      <c r="C386" s="151"/>
      <c r="D386" s="151"/>
      <c r="E386" s="151"/>
      <c r="F386" s="165"/>
      <c r="G386" s="151"/>
      <c r="H386" s="151"/>
      <c r="I386" s="165"/>
      <c r="J386" s="165"/>
      <c r="K386" s="151"/>
      <c r="L386" s="151"/>
      <c r="M386" s="151"/>
      <c r="N386" s="151"/>
      <c r="O386" s="151"/>
      <c r="P386" s="151"/>
      <c r="R386" s="151"/>
      <c r="S386" s="151"/>
      <c r="T386" s="166"/>
      <c r="U386" s="167"/>
      <c r="V386" s="151"/>
      <c r="W386" s="151"/>
      <c r="X386" s="151"/>
      <c r="Y386" s="115"/>
      <c r="Z386" s="115"/>
      <c r="AA386" s="115"/>
      <c r="AB386" s="115"/>
      <c r="AC386" s="115"/>
      <c r="AD386" s="115"/>
      <c r="AE386" s="115"/>
      <c r="AF386" s="115"/>
      <c r="AG386" s="115"/>
      <c r="AH386" s="115"/>
      <c r="AI386" s="115"/>
      <c r="AJ386" s="115"/>
      <c r="AK386" s="115"/>
      <c r="AL386" s="115"/>
      <c r="AM386" s="115"/>
    </row>
    <row r="387" spans="1:39" ht="17.100000000000001" customHeight="1">
      <c r="A387" s="151" t="s">
        <v>4024</v>
      </c>
      <c r="B387" s="151"/>
      <c r="C387" s="151"/>
      <c r="D387" s="151"/>
      <c r="E387" s="151"/>
      <c r="F387" s="165"/>
      <c r="G387" s="151"/>
      <c r="H387" s="151"/>
      <c r="I387" s="165"/>
      <c r="J387" s="165"/>
      <c r="K387" s="151"/>
      <c r="L387" s="151"/>
      <c r="M387" s="151"/>
      <c r="N387" s="151"/>
      <c r="O387" s="151"/>
      <c r="P387" s="151"/>
      <c r="R387" s="151"/>
      <c r="S387" s="151"/>
      <c r="T387" s="166"/>
      <c r="U387" s="167"/>
      <c r="V387" s="151"/>
      <c r="W387" s="151"/>
      <c r="X387" s="151"/>
      <c r="Y387" s="115"/>
      <c r="Z387" s="115"/>
      <c r="AA387" s="115"/>
      <c r="AB387" s="115"/>
      <c r="AC387" s="115"/>
      <c r="AD387" s="115"/>
      <c r="AE387" s="115"/>
      <c r="AF387" s="115"/>
      <c r="AG387" s="115"/>
      <c r="AH387" s="115"/>
      <c r="AI387" s="115"/>
      <c r="AJ387" s="115"/>
      <c r="AK387" s="115"/>
      <c r="AL387" s="115"/>
      <c r="AM387" s="115"/>
    </row>
    <row r="388" spans="1:39" ht="17.100000000000001" customHeight="1">
      <c r="A388" s="151" t="s">
        <v>4025</v>
      </c>
      <c r="B388" s="151"/>
      <c r="C388" s="151"/>
      <c r="D388" s="151"/>
      <c r="E388" s="151"/>
      <c r="F388" s="165"/>
      <c r="G388" s="151"/>
      <c r="H388" s="151"/>
      <c r="I388" s="165"/>
      <c r="J388" s="165"/>
      <c r="K388" s="151"/>
      <c r="L388" s="151"/>
      <c r="M388" s="151"/>
      <c r="N388" s="151"/>
      <c r="O388" s="151"/>
      <c r="P388" s="151"/>
      <c r="R388" s="151"/>
      <c r="S388" s="151"/>
      <c r="T388" s="166"/>
      <c r="U388" s="167"/>
      <c r="V388" s="151"/>
      <c r="W388" s="151"/>
      <c r="X388" s="151"/>
      <c r="Y388" s="115"/>
      <c r="Z388" s="115"/>
      <c r="AA388" s="115"/>
      <c r="AB388" s="115"/>
      <c r="AC388" s="115"/>
      <c r="AD388" s="115"/>
      <c r="AE388" s="115"/>
      <c r="AF388" s="115"/>
      <c r="AG388" s="115"/>
      <c r="AH388" s="115"/>
      <c r="AI388" s="115"/>
      <c r="AJ388" s="115"/>
      <c r="AK388" s="115"/>
      <c r="AL388" s="115"/>
      <c r="AM388" s="115"/>
    </row>
    <row r="389" spans="1:39" ht="17.100000000000001" customHeight="1">
      <c r="A389" s="151" t="s">
        <v>4026</v>
      </c>
      <c r="B389" s="151"/>
      <c r="C389" s="151"/>
      <c r="D389" s="151"/>
      <c r="E389" s="151"/>
      <c r="F389" s="165"/>
      <c r="G389" s="151"/>
      <c r="H389" s="151"/>
      <c r="I389" s="165"/>
      <c r="J389" s="165"/>
      <c r="K389" s="151"/>
      <c r="L389" s="151"/>
      <c r="M389" s="151"/>
      <c r="N389" s="151"/>
      <c r="O389" s="151"/>
      <c r="P389" s="151"/>
      <c r="R389" s="151"/>
      <c r="S389" s="151"/>
      <c r="T389" s="166"/>
      <c r="U389" s="167"/>
      <c r="V389" s="151"/>
      <c r="W389" s="151"/>
      <c r="X389" s="151"/>
      <c r="Y389" s="115"/>
      <c r="Z389" s="115"/>
      <c r="AA389" s="115"/>
      <c r="AB389" s="115"/>
      <c r="AC389" s="115"/>
      <c r="AD389" s="115"/>
      <c r="AE389" s="115"/>
      <c r="AF389" s="115"/>
      <c r="AG389" s="115"/>
      <c r="AH389" s="115"/>
      <c r="AI389" s="115"/>
      <c r="AJ389" s="115"/>
      <c r="AK389" s="115"/>
      <c r="AL389" s="115"/>
      <c r="AM389" s="115"/>
    </row>
    <row r="390" spans="1:39" ht="17.100000000000001" customHeight="1">
      <c r="A390" s="153" t="s">
        <v>4027</v>
      </c>
      <c r="B390" s="151"/>
      <c r="C390" s="151"/>
      <c r="D390" s="151"/>
      <c r="E390" s="151"/>
      <c r="F390" s="165"/>
      <c r="G390" s="151"/>
      <c r="H390" s="151"/>
      <c r="I390" s="165"/>
      <c r="J390" s="165"/>
      <c r="K390" s="151"/>
      <c r="L390" s="151"/>
      <c r="M390" s="151"/>
      <c r="N390" s="151"/>
      <c r="O390" s="151"/>
      <c r="P390" s="151"/>
      <c r="R390" s="151"/>
      <c r="S390" s="151"/>
      <c r="T390" s="166"/>
      <c r="U390" s="167"/>
      <c r="V390" s="151"/>
      <c r="W390" s="151"/>
      <c r="X390" s="151"/>
      <c r="Y390" s="115"/>
      <c r="Z390" s="115"/>
      <c r="AA390" s="115"/>
      <c r="AB390" s="115"/>
      <c r="AC390" s="115"/>
      <c r="AD390" s="115"/>
      <c r="AE390" s="115"/>
      <c r="AF390" s="115"/>
      <c r="AG390" s="115"/>
      <c r="AH390" s="115"/>
      <c r="AI390" s="115"/>
      <c r="AJ390" s="115"/>
      <c r="AK390" s="115"/>
      <c r="AL390" s="115"/>
      <c r="AM390" s="115"/>
    </row>
    <row r="391" spans="1:39" ht="17.100000000000001" customHeight="1">
      <c r="A391" s="151" t="s">
        <v>4028</v>
      </c>
      <c r="B391" s="151"/>
      <c r="C391" s="151"/>
      <c r="D391" s="151"/>
      <c r="E391" s="151"/>
      <c r="F391" s="165"/>
      <c r="G391" s="151"/>
      <c r="H391" s="151"/>
      <c r="I391" s="165"/>
      <c r="J391" s="165"/>
      <c r="K391" s="151"/>
      <c r="L391" s="151"/>
      <c r="M391" s="151"/>
      <c r="N391" s="151"/>
      <c r="O391" s="151"/>
      <c r="P391" s="151"/>
      <c r="R391" s="151"/>
      <c r="S391" s="151"/>
      <c r="T391" s="166"/>
      <c r="U391" s="167"/>
      <c r="V391" s="151"/>
      <c r="W391" s="151"/>
      <c r="X391" s="151"/>
      <c r="Y391" s="115"/>
      <c r="Z391" s="115"/>
      <c r="AA391" s="115"/>
      <c r="AB391" s="115"/>
      <c r="AC391" s="115"/>
      <c r="AD391" s="115"/>
      <c r="AE391" s="115"/>
      <c r="AF391" s="115"/>
      <c r="AG391" s="115"/>
      <c r="AH391" s="115"/>
      <c r="AI391" s="115"/>
      <c r="AJ391" s="115"/>
      <c r="AK391" s="115"/>
      <c r="AL391" s="115"/>
      <c r="AM391" s="115"/>
    </row>
    <row r="392" spans="1:39" ht="17.100000000000001" customHeight="1">
      <c r="A392" s="151" t="s">
        <v>4029</v>
      </c>
      <c r="B392" s="151"/>
      <c r="C392" s="151"/>
      <c r="D392" s="151"/>
      <c r="E392" s="151"/>
      <c r="F392" s="165"/>
      <c r="G392" s="151"/>
      <c r="H392" s="151"/>
      <c r="I392" s="165"/>
      <c r="J392" s="165"/>
      <c r="K392" s="151"/>
      <c r="L392" s="151"/>
      <c r="M392" s="151"/>
      <c r="N392" s="151"/>
      <c r="O392" s="151"/>
      <c r="P392" s="151"/>
      <c r="R392" s="151"/>
      <c r="S392" s="151"/>
      <c r="T392" s="166"/>
      <c r="U392" s="167"/>
      <c r="V392" s="151"/>
      <c r="W392" s="151"/>
      <c r="X392" s="151"/>
      <c r="Y392" s="115"/>
      <c r="Z392" s="115"/>
      <c r="AA392" s="115"/>
      <c r="AB392" s="115"/>
      <c r="AC392" s="115"/>
      <c r="AD392" s="115"/>
      <c r="AE392" s="115"/>
      <c r="AF392" s="115"/>
      <c r="AG392" s="115"/>
      <c r="AH392" s="115"/>
      <c r="AI392" s="115"/>
      <c r="AJ392" s="115"/>
      <c r="AK392" s="115"/>
      <c r="AL392" s="115"/>
      <c r="AM392" s="115"/>
    </row>
    <row r="393" spans="1:39" ht="17.100000000000001" customHeight="1">
      <c r="A393" s="153" t="s">
        <v>4030</v>
      </c>
      <c r="B393" s="151"/>
      <c r="C393" s="151"/>
      <c r="D393" s="151"/>
      <c r="E393" s="151"/>
      <c r="F393" s="165"/>
      <c r="G393" s="151"/>
      <c r="H393" s="151"/>
      <c r="I393" s="165"/>
      <c r="J393" s="165"/>
      <c r="K393" s="151"/>
      <c r="L393" s="151"/>
      <c r="M393" s="151"/>
      <c r="N393" s="151"/>
      <c r="O393" s="151"/>
      <c r="P393" s="151"/>
      <c r="R393" s="151"/>
      <c r="S393" s="151"/>
      <c r="T393" s="166"/>
      <c r="U393" s="167"/>
      <c r="V393" s="151"/>
      <c r="W393" s="151"/>
      <c r="X393" s="151"/>
      <c r="Y393" s="115"/>
      <c r="Z393" s="115"/>
      <c r="AA393" s="115"/>
      <c r="AB393" s="115"/>
      <c r="AC393" s="115"/>
      <c r="AD393" s="115"/>
      <c r="AE393" s="115"/>
      <c r="AF393" s="115"/>
      <c r="AG393" s="115"/>
      <c r="AH393" s="115"/>
      <c r="AI393" s="115"/>
      <c r="AJ393" s="115"/>
      <c r="AK393" s="115"/>
      <c r="AL393" s="115"/>
      <c r="AM393" s="115"/>
    </row>
    <row r="394" spans="1:39" ht="17.100000000000001" customHeight="1">
      <c r="A394" s="151" t="s">
        <v>4031</v>
      </c>
      <c r="B394" s="151"/>
      <c r="C394" s="151"/>
      <c r="D394" s="151"/>
      <c r="E394" s="151"/>
      <c r="F394" s="165"/>
      <c r="G394" s="151"/>
      <c r="H394" s="151"/>
      <c r="I394" s="165"/>
      <c r="J394" s="165"/>
      <c r="K394" s="151"/>
      <c r="L394" s="151"/>
      <c r="M394" s="151"/>
      <c r="N394" s="151"/>
      <c r="O394" s="151"/>
      <c r="P394" s="151"/>
      <c r="R394" s="151"/>
      <c r="S394" s="151"/>
      <c r="T394" s="166"/>
      <c r="U394" s="167"/>
      <c r="V394" s="151"/>
      <c r="W394" s="151"/>
      <c r="X394" s="151"/>
      <c r="Y394" s="115"/>
      <c r="Z394" s="115"/>
      <c r="AA394" s="115"/>
      <c r="AB394" s="115"/>
      <c r="AC394" s="115"/>
      <c r="AD394" s="115"/>
      <c r="AE394" s="115"/>
      <c r="AF394" s="115"/>
      <c r="AG394" s="115"/>
      <c r="AH394" s="115"/>
      <c r="AI394" s="115"/>
      <c r="AJ394" s="115"/>
      <c r="AK394" s="115"/>
      <c r="AL394" s="115"/>
      <c r="AM394" s="115"/>
    </row>
    <row r="395" spans="1:39" ht="20.100000000000001" customHeight="1">
      <c r="A395" s="151" t="s">
        <v>4032</v>
      </c>
      <c r="B395" s="151"/>
      <c r="C395" s="151"/>
      <c r="D395" s="151"/>
      <c r="E395" s="151"/>
      <c r="F395" s="165"/>
      <c r="G395" s="151"/>
      <c r="H395" s="151"/>
      <c r="I395" s="165"/>
      <c r="J395" s="165"/>
      <c r="K395" s="151"/>
      <c r="L395" s="151"/>
      <c r="M395" s="151"/>
      <c r="N395" s="151"/>
      <c r="O395" s="151"/>
      <c r="P395" s="151"/>
      <c r="R395" s="151"/>
      <c r="S395" s="151"/>
      <c r="T395" s="166"/>
      <c r="U395" s="167"/>
      <c r="V395" s="151"/>
      <c r="W395" s="151"/>
      <c r="X395" s="151"/>
      <c r="Y395" s="115"/>
      <c r="Z395" s="115"/>
      <c r="AA395" s="115"/>
      <c r="AB395" s="115"/>
      <c r="AC395" s="115"/>
      <c r="AD395" s="115"/>
      <c r="AE395" s="115"/>
      <c r="AF395" s="115"/>
      <c r="AG395" s="115"/>
      <c r="AH395" s="115"/>
      <c r="AI395" s="115"/>
      <c r="AJ395" s="115"/>
      <c r="AK395" s="115"/>
      <c r="AL395" s="115"/>
      <c r="AM395" s="115"/>
    </row>
    <row r="396" spans="1:39" ht="20.100000000000001" customHeight="1">
      <c r="A396" s="151" t="s">
        <v>4033</v>
      </c>
      <c r="B396" s="151"/>
      <c r="C396" s="151"/>
      <c r="D396" s="151"/>
      <c r="E396" s="151"/>
      <c r="F396" s="165"/>
      <c r="G396" s="151"/>
      <c r="H396" s="151"/>
      <c r="I396" s="165"/>
      <c r="J396" s="165"/>
      <c r="K396" s="151"/>
      <c r="L396" s="151"/>
      <c r="M396" s="151"/>
      <c r="N396" s="151"/>
      <c r="O396" s="151"/>
      <c r="P396" s="151"/>
      <c r="R396" s="151"/>
      <c r="S396" s="151"/>
      <c r="T396" s="166"/>
      <c r="U396" s="167"/>
      <c r="V396" s="151"/>
      <c r="W396" s="151"/>
      <c r="X396" s="151"/>
      <c r="Y396" s="115"/>
      <c r="Z396" s="115"/>
      <c r="AA396" s="115"/>
      <c r="AB396" s="115"/>
      <c r="AC396" s="115"/>
      <c r="AD396" s="115"/>
      <c r="AE396" s="115"/>
      <c r="AF396" s="115"/>
      <c r="AG396" s="115"/>
      <c r="AH396" s="115"/>
      <c r="AI396" s="115"/>
      <c r="AJ396" s="115"/>
      <c r="AK396" s="115"/>
      <c r="AL396" s="115"/>
      <c r="AM396" s="115"/>
    </row>
    <row r="397" spans="1:39" ht="20.100000000000001" customHeight="1">
      <c r="A397" s="151" t="s">
        <v>4034</v>
      </c>
      <c r="B397" s="151"/>
      <c r="C397" s="151"/>
      <c r="D397" s="151"/>
      <c r="E397" s="151"/>
      <c r="F397" s="165"/>
      <c r="G397" s="151"/>
      <c r="H397" s="151"/>
      <c r="I397" s="165"/>
      <c r="J397" s="165"/>
      <c r="K397" s="151"/>
      <c r="L397" s="151"/>
      <c r="M397" s="151"/>
      <c r="N397" s="151"/>
      <c r="O397" s="151"/>
      <c r="P397" s="151"/>
      <c r="R397" s="151"/>
      <c r="S397" s="151"/>
      <c r="T397" s="166"/>
      <c r="U397" s="167"/>
      <c r="V397" s="151"/>
      <c r="W397" s="151"/>
      <c r="X397" s="151"/>
      <c r="Y397" s="115"/>
      <c r="Z397" s="115"/>
      <c r="AA397" s="115"/>
      <c r="AB397" s="115"/>
      <c r="AC397" s="115"/>
      <c r="AD397" s="115"/>
      <c r="AE397" s="115"/>
      <c r="AF397" s="115"/>
      <c r="AG397" s="115"/>
      <c r="AH397" s="115"/>
      <c r="AI397" s="115"/>
      <c r="AJ397" s="115"/>
      <c r="AK397" s="115"/>
      <c r="AL397" s="115"/>
      <c r="AM397" s="115"/>
    </row>
    <row r="398" spans="1:39" ht="20.100000000000001" customHeight="1">
      <c r="A398" s="151" t="s">
        <v>4035</v>
      </c>
      <c r="B398" s="151"/>
      <c r="C398" s="151"/>
      <c r="D398" s="151"/>
      <c r="E398" s="151"/>
      <c r="F398" s="165"/>
      <c r="G398" s="151"/>
      <c r="H398" s="151"/>
      <c r="I398" s="165"/>
      <c r="J398" s="165"/>
      <c r="K398" s="151"/>
      <c r="L398" s="151"/>
      <c r="M398" s="151"/>
      <c r="N398" s="151"/>
      <c r="O398" s="151"/>
      <c r="P398" s="151"/>
      <c r="R398" s="151"/>
      <c r="S398" s="151"/>
      <c r="T398" s="166"/>
      <c r="U398" s="167"/>
      <c r="V398" s="151"/>
      <c r="W398" s="151"/>
      <c r="X398" s="151"/>
      <c r="Y398" s="115"/>
      <c r="Z398" s="115"/>
      <c r="AA398" s="115"/>
      <c r="AB398" s="115"/>
      <c r="AC398" s="115"/>
      <c r="AD398" s="115"/>
      <c r="AE398" s="115"/>
      <c r="AF398" s="115"/>
      <c r="AG398" s="115"/>
      <c r="AH398" s="115"/>
      <c r="AI398" s="115"/>
      <c r="AJ398" s="115"/>
      <c r="AK398" s="115"/>
      <c r="AL398" s="115"/>
      <c r="AM398" s="115"/>
    </row>
    <row r="399" spans="1:39" ht="20.100000000000001" customHeight="1">
      <c r="A399" s="153" t="s">
        <v>4036</v>
      </c>
      <c r="B399" s="151"/>
      <c r="C399" s="151"/>
      <c r="D399" s="151"/>
      <c r="E399" s="151"/>
      <c r="F399" s="165"/>
      <c r="G399" s="151"/>
      <c r="H399" s="151"/>
      <c r="I399" s="165"/>
      <c r="J399" s="165"/>
      <c r="K399" s="151"/>
      <c r="L399" s="151"/>
      <c r="M399" s="151"/>
      <c r="N399" s="151"/>
      <c r="O399" s="151"/>
      <c r="P399" s="151"/>
      <c r="R399" s="151"/>
      <c r="S399" s="151"/>
      <c r="T399" s="166"/>
      <c r="U399" s="167"/>
      <c r="V399" s="151"/>
      <c r="W399" s="151"/>
      <c r="X399" s="151"/>
      <c r="Y399" s="115"/>
      <c r="Z399" s="115"/>
      <c r="AA399" s="115"/>
      <c r="AB399" s="115"/>
      <c r="AC399" s="115"/>
      <c r="AD399" s="115"/>
      <c r="AE399" s="115"/>
      <c r="AF399" s="115"/>
      <c r="AG399" s="115"/>
      <c r="AH399" s="115"/>
      <c r="AI399" s="115"/>
      <c r="AJ399" s="115"/>
      <c r="AK399" s="115"/>
      <c r="AL399" s="115"/>
      <c r="AM399" s="115"/>
    </row>
    <row r="400" spans="1:39" ht="20.100000000000001" customHeight="1">
      <c r="A400" s="153" t="s">
        <v>4037</v>
      </c>
      <c r="B400" s="151"/>
      <c r="C400" s="151"/>
      <c r="D400" s="151"/>
      <c r="E400" s="151"/>
      <c r="F400" s="165"/>
      <c r="G400" s="151"/>
      <c r="H400" s="151"/>
      <c r="I400" s="165"/>
      <c r="J400" s="165"/>
      <c r="K400" s="151"/>
      <c r="L400" s="151"/>
      <c r="M400" s="151"/>
      <c r="N400" s="151"/>
      <c r="O400" s="151"/>
      <c r="P400" s="151"/>
      <c r="R400" s="151"/>
      <c r="S400" s="151"/>
      <c r="T400" s="166"/>
      <c r="U400" s="167"/>
      <c r="V400" s="151"/>
      <c r="W400" s="151"/>
      <c r="X400" s="151"/>
      <c r="Y400" s="115"/>
      <c r="Z400" s="115"/>
      <c r="AA400" s="115"/>
      <c r="AB400" s="115"/>
      <c r="AC400" s="115"/>
      <c r="AD400" s="115"/>
      <c r="AE400" s="115"/>
      <c r="AF400" s="115"/>
      <c r="AG400" s="115"/>
      <c r="AH400" s="115"/>
      <c r="AI400" s="115"/>
      <c r="AJ400" s="115"/>
      <c r="AK400" s="115"/>
      <c r="AL400" s="115"/>
      <c r="AM400" s="115"/>
    </row>
    <row r="401" spans="1:39" ht="20.100000000000001" customHeight="1">
      <c r="A401" s="153" t="s">
        <v>4038</v>
      </c>
      <c r="B401" s="151"/>
      <c r="C401" s="151"/>
      <c r="D401" s="151"/>
      <c r="E401" s="151"/>
      <c r="F401" s="165"/>
      <c r="G401" s="151"/>
      <c r="H401" s="151"/>
      <c r="I401" s="165"/>
      <c r="J401" s="165"/>
      <c r="K401" s="151"/>
      <c r="L401" s="151"/>
      <c r="M401" s="151"/>
      <c r="N401" s="151"/>
      <c r="O401" s="151"/>
      <c r="P401" s="151"/>
      <c r="R401" s="151"/>
      <c r="S401" s="151"/>
      <c r="T401" s="166"/>
      <c r="U401" s="167"/>
      <c r="V401" s="151"/>
      <c r="W401" s="151"/>
      <c r="X401" s="151"/>
      <c r="Y401" s="115"/>
      <c r="Z401" s="115"/>
      <c r="AA401" s="115"/>
      <c r="AB401" s="115"/>
      <c r="AC401" s="115"/>
      <c r="AD401" s="115"/>
      <c r="AE401" s="115"/>
      <c r="AF401" s="115"/>
      <c r="AG401" s="115"/>
      <c r="AH401" s="115"/>
      <c r="AI401" s="115"/>
      <c r="AJ401" s="115"/>
      <c r="AK401" s="115"/>
      <c r="AL401" s="115"/>
      <c r="AM401" s="115"/>
    </row>
    <row r="402" spans="1:39" ht="20.100000000000001" customHeight="1">
      <c r="A402" s="153" t="s">
        <v>4039</v>
      </c>
      <c r="B402" s="151"/>
      <c r="C402" s="151"/>
      <c r="D402" s="151"/>
      <c r="E402" s="151"/>
      <c r="F402" s="165"/>
      <c r="G402" s="151"/>
      <c r="H402" s="151"/>
      <c r="I402" s="165"/>
      <c r="J402" s="165"/>
      <c r="K402" s="151"/>
      <c r="L402" s="151"/>
      <c r="M402" s="151"/>
      <c r="N402" s="151"/>
      <c r="O402" s="151"/>
      <c r="P402" s="151"/>
      <c r="R402" s="151"/>
      <c r="S402" s="151"/>
      <c r="T402" s="166"/>
      <c r="U402" s="167"/>
      <c r="V402" s="151"/>
      <c r="W402" s="151"/>
      <c r="X402" s="151"/>
      <c r="Y402" s="115"/>
      <c r="Z402" s="115"/>
      <c r="AA402" s="115"/>
      <c r="AB402" s="115"/>
      <c r="AC402" s="115"/>
      <c r="AD402" s="115"/>
      <c r="AE402" s="115"/>
      <c r="AF402" s="115"/>
      <c r="AG402" s="115"/>
      <c r="AH402" s="115"/>
      <c r="AI402" s="115"/>
      <c r="AJ402" s="115"/>
      <c r="AK402" s="115"/>
      <c r="AL402" s="115"/>
      <c r="AM402" s="115"/>
    </row>
    <row r="403" spans="1:39" ht="20.100000000000001" customHeight="1">
      <c r="A403" s="153" t="s">
        <v>4040</v>
      </c>
      <c r="B403" s="151"/>
      <c r="C403" s="151"/>
      <c r="D403" s="151"/>
      <c r="E403" s="151"/>
      <c r="F403" s="165"/>
      <c r="G403" s="151"/>
      <c r="H403" s="151"/>
      <c r="I403" s="165"/>
      <c r="J403" s="165"/>
      <c r="K403" s="151"/>
      <c r="L403" s="151"/>
      <c r="M403" s="151"/>
      <c r="N403" s="151"/>
      <c r="O403" s="151"/>
      <c r="P403" s="151"/>
      <c r="R403" s="151"/>
      <c r="S403" s="151"/>
      <c r="T403" s="166"/>
      <c r="U403" s="167"/>
      <c r="V403" s="151"/>
      <c r="W403" s="151"/>
      <c r="X403" s="151"/>
      <c r="Y403" s="115"/>
      <c r="Z403" s="115"/>
      <c r="AA403" s="115"/>
      <c r="AB403" s="115"/>
      <c r="AC403" s="115"/>
      <c r="AD403" s="115"/>
      <c r="AE403" s="115"/>
      <c r="AF403" s="115"/>
      <c r="AG403" s="115"/>
      <c r="AH403" s="115"/>
      <c r="AI403" s="115"/>
      <c r="AJ403" s="115"/>
      <c r="AK403" s="115"/>
      <c r="AL403" s="115"/>
      <c r="AM403" s="115"/>
    </row>
    <row r="404" spans="1:39" ht="20.100000000000001" customHeight="1">
      <c r="A404" s="153" t="s">
        <v>4041</v>
      </c>
      <c r="B404" s="151"/>
      <c r="C404" s="151"/>
      <c r="D404" s="151"/>
      <c r="E404" s="151"/>
      <c r="F404" s="165"/>
      <c r="G404" s="151"/>
      <c r="H404" s="151"/>
      <c r="I404" s="165"/>
      <c r="J404" s="165"/>
      <c r="K404" s="151"/>
      <c r="L404" s="151"/>
      <c r="M404" s="151"/>
      <c r="N404" s="151"/>
      <c r="O404" s="151"/>
      <c r="P404" s="151"/>
      <c r="R404" s="151"/>
      <c r="S404" s="151"/>
      <c r="T404" s="166"/>
      <c r="U404" s="167"/>
      <c r="V404" s="151"/>
      <c r="W404" s="151"/>
      <c r="X404" s="151"/>
      <c r="Y404" s="115"/>
      <c r="Z404" s="115"/>
      <c r="AA404" s="115"/>
      <c r="AB404" s="115"/>
      <c r="AC404" s="115"/>
      <c r="AD404" s="115"/>
      <c r="AE404" s="115"/>
      <c r="AF404" s="115"/>
      <c r="AG404" s="115"/>
      <c r="AH404" s="115"/>
      <c r="AI404" s="115"/>
      <c r="AJ404" s="115"/>
      <c r="AK404" s="115"/>
      <c r="AL404" s="115"/>
      <c r="AM404" s="115"/>
    </row>
    <row r="405" spans="1:39" ht="20.100000000000001" customHeight="1">
      <c r="A405" s="153" t="s">
        <v>4042</v>
      </c>
      <c r="B405" s="151"/>
      <c r="C405" s="151"/>
      <c r="D405" s="151"/>
      <c r="E405" s="151"/>
      <c r="F405" s="165"/>
      <c r="G405" s="151"/>
      <c r="H405" s="151"/>
      <c r="I405" s="165"/>
      <c r="J405" s="165"/>
      <c r="K405" s="151"/>
      <c r="L405" s="151"/>
      <c r="M405" s="151"/>
      <c r="N405" s="151"/>
      <c r="O405" s="151"/>
      <c r="P405" s="151"/>
      <c r="R405" s="151"/>
      <c r="S405" s="151"/>
      <c r="T405" s="166"/>
      <c r="U405" s="167"/>
      <c r="V405" s="151"/>
      <c r="W405" s="151"/>
      <c r="X405" s="151"/>
      <c r="Y405" s="115"/>
      <c r="Z405" s="115"/>
      <c r="AA405" s="115"/>
      <c r="AB405" s="115"/>
      <c r="AC405" s="115"/>
      <c r="AD405" s="115"/>
      <c r="AE405" s="115"/>
      <c r="AF405" s="115"/>
      <c r="AG405" s="115"/>
      <c r="AH405" s="115"/>
      <c r="AI405" s="115"/>
      <c r="AJ405" s="115"/>
      <c r="AK405" s="115"/>
      <c r="AL405" s="115"/>
      <c r="AM405" s="115"/>
    </row>
    <row r="406" spans="1:39" ht="20.100000000000001" customHeight="1">
      <c r="A406" s="153" t="s">
        <v>4043</v>
      </c>
      <c r="B406" s="151"/>
      <c r="C406" s="151"/>
      <c r="D406" s="151"/>
      <c r="E406" s="151"/>
      <c r="F406" s="165"/>
      <c r="G406" s="151"/>
      <c r="H406" s="151"/>
      <c r="I406" s="165"/>
      <c r="J406" s="165"/>
      <c r="K406" s="151"/>
      <c r="L406" s="151"/>
      <c r="M406" s="151"/>
      <c r="N406" s="151"/>
      <c r="O406" s="151"/>
      <c r="P406" s="151"/>
      <c r="R406" s="151"/>
      <c r="S406" s="151"/>
      <c r="T406" s="166"/>
      <c r="U406" s="167"/>
      <c r="V406" s="151"/>
      <c r="W406" s="151"/>
      <c r="X406" s="151"/>
      <c r="Y406" s="115"/>
      <c r="Z406" s="115"/>
      <c r="AA406" s="115"/>
      <c r="AB406" s="115"/>
      <c r="AC406" s="115"/>
      <c r="AD406" s="115"/>
      <c r="AE406" s="115"/>
      <c r="AF406" s="115"/>
      <c r="AG406" s="115"/>
      <c r="AH406" s="115"/>
      <c r="AI406" s="115"/>
      <c r="AJ406" s="115"/>
      <c r="AK406" s="115"/>
      <c r="AL406" s="115"/>
      <c r="AM406" s="115"/>
    </row>
    <row r="407" spans="1:39" ht="20.100000000000001" customHeight="1">
      <c r="A407" s="153" t="s">
        <v>4044</v>
      </c>
      <c r="B407" s="151"/>
      <c r="C407" s="151"/>
      <c r="D407" s="151"/>
      <c r="E407" s="151"/>
      <c r="F407" s="165"/>
      <c r="G407" s="151"/>
      <c r="H407" s="151"/>
      <c r="I407" s="165"/>
      <c r="J407" s="165"/>
      <c r="K407" s="151"/>
      <c r="L407" s="151"/>
      <c r="M407" s="151"/>
      <c r="N407" s="151"/>
      <c r="O407" s="151"/>
      <c r="P407" s="151"/>
      <c r="R407" s="151"/>
      <c r="S407" s="151"/>
      <c r="T407" s="166"/>
      <c r="U407" s="167"/>
      <c r="V407" s="151"/>
      <c r="W407" s="151"/>
      <c r="X407" s="151"/>
      <c r="Y407" s="115"/>
      <c r="Z407" s="115"/>
      <c r="AA407" s="115"/>
      <c r="AB407" s="115"/>
      <c r="AC407" s="115"/>
      <c r="AD407" s="115"/>
      <c r="AE407" s="115"/>
      <c r="AF407" s="115"/>
      <c r="AG407" s="115"/>
      <c r="AH407" s="115"/>
      <c r="AI407" s="115"/>
      <c r="AJ407" s="115"/>
      <c r="AK407" s="115"/>
      <c r="AL407" s="115"/>
      <c r="AM407" s="115"/>
    </row>
    <row r="408" spans="1:39" ht="17.100000000000001" customHeight="1">
      <c r="A408" s="153" t="s">
        <v>4045</v>
      </c>
      <c r="B408" s="151"/>
      <c r="C408" s="151"/>
      <c r="D408" s="151"/>
      <c r="E408" s="151"/>
      <c r="F408" s="165"/>
      <c r="G408" s="151"/>
      <c r="H408" s="151"/>
      <c r="I408" s="165"/>
      <c r="J408" s="165"/>
      <c r="K408" s="151"/>
      <c r="L408" s="151"/>
      <c r="M408" s="151"/>
      <c r="N408" s="151"/>
      <c r="O408" s="151"/>
      <c r="P408" s="151"/>
      <c r="R408" s="151"/>
      <c r="S408" s="151"/>
      <c r="T408" s="166"/>
      <c r="U408" s="167"/>
      <c r="V408" s="151"/>
      <c r="W408" s="151"/>
      <c r="X408" s="151"/>
      <c r="Y408" s="115"/>
      <c r="Z408" s="115"/>
      <c r="AA408" s="115"/>
      <c r="AB408" s="115"/>
      <c r="AC408" s="115"/>
      <c r="AD408" s="115"/>
      <c r="AE408" s="115"/>
      <c r="AF408" s="115"/>
      <c r="AG408" s="115"/>
      <c r="AH408" s="115"/>
      <c r="AI408" s="115"/>
      <c r="AJ408" s="115"/>
      <c r="AK408" s="115"/>
      <c r="AL408" s="115"/>
      <c r="AM408" s="115"/>
    </row>
    <row r="409" spans="1:39" ht="17.100000000000001" customHeight="1">
      <c r="A409" s="151" t="s">
        <v>4046</v>
      </c>
      <c r="B409" s="151"/>
      <c r="C409" s="151"/>
      <c r="D409" s="151"/>
      <c r="E409" s="151"/>
      <c r="F409" s="165"/>
      <c r="G409" s="151"/>
      <c r="H409" s="151"/>
      <c r="I409" s="165"/>
      <c r="J409" s="165"/>
      <c r="K409" s="151"/>
      <c r="L409" s="151"/>
      <c r="M409" s="151"/>
      <c r="N409" s="151"/>
      <c r="O409" s="151"/>
      <c r="P409" s="151"/>
      <c r="R409" s="151"/>
      <c r="S409" s="151"/>
      <c r="T409" s="166"/>
      <c r="U409" s="167"/>
      <c r="V409" s="151"/>
      <c r="W409" s="151"/>
      <c r="X409" s="151"/>
      <c r="Y409" s="115"/>
      <c r="Z409" s="115"/>
      <c r="AA409" s="115"/>
      <c r="AB409" s="115"/>
      <c r="AC409" s="115"/>
      <c r="AD409" s="115"/>
      <c r="AE409" s="115"/>
      <c r="AF409" s="115"/>
      <c r="AG409" s="115"/>
      <c r="AH409" s="115"/>
      <c r="AI409" s="115"/>
      <c r="AJ409" s="115"/>
      <c r="AK409" s="115"/>
      <c r="AL409" s="115"/>
      <c r="AM409" s="115"/>
    </row>
    <row r="410" spans="1:39" ht="17.100000000000001" customHeight="1">
      <c r="A410" s="151" t="s">
        <v>4047</v>
      </c>
      <c r="B410" s="151"/>
      <c r="C410" s="151"/>
      <c r="D410" s="151"/>
      <c r="E410" s="151"/>
      <c r="F410" s="165"/>
      <c r="G410" s="151"/>
      <c r="H410" s="151"/>
      <c r="I410" s="165"/>
      <c r="J410" s="165"/>
      <c r="K410" s="151"/>
      <c r="L410" s="151"/>
      <c r="M410" s="151"/>
      <c r="N410" s="151"/>
      <c r="O410" s="151"/>
      <c r="P410" s="151"/>
      <c r="R410" s="151"/>
      <c r="S410" s="151"/>
      <c r="T410" s="166"/>
      <c r="U410" s="167"/>
      <c r="V410" s="151"/>
      <c r="W410" s="151"/>
      <c r="X410" s="151"/>
      <c r="Y410" s="115"/>
      <c r="Z410" s="115"/>
      <c r="AA410" s="115"/>
      <c r="AB410" s="115"/>
      <c r="AC410" s="115"/>
      <c r="AD410" s="115"/>
      <c r="AE410" s="115"/>
      <c r="AF410" s="115"/>
      <c r="AG410" s="115"/>
      <c r="AH410" s="115"/>
      <c r="AI410" s="115"/>
      <c r="AJ410" s="115"/>
      <c r="AK410" s="115"/>
      <c r="AL410" s="115"/>
      <c r="AM410" s="115"/>
    </row>
    <row r="411" spans="1:39" ht="17.100000000000001" customHeight="1">
      <c r="A411" s="153" t="s">
        <v>4048</v>
      </c>
      <c r="B411" s="151"/>
      <c r="C411" s="151"/>
      <c r="D411" s="151"/>
      <c r="E411" s="151"/>
      <c r="F411" s="165"/>
      <c r="G411" s="151"/>
      <c r="H411" s="151"/>
      <c r="I411" s="165"/>
      <c r="J411" s="165"/>
      <c r="K411" s="151"/>
      <c r="L411" s="151"/>
      <c r="M411" s="151"/>
      <c r="N411" s="151"/>
      <c r="O411" s="151"/>
      <c r="P411" s="151"/>
      <c r="R411" s="151"/>
      <c r="S411" s="151"/>
      <c r="T411" s="166"/>
      <c r="U411" s="167"/>
      <c r="V411" s="151"/>
      <c r="W411" s="151"/>
      <c r="X411" s="151"/>
      <c r="Y411" s="115"/>
      <c r="Z411" s="115"/>
      <c r="AA411" s="115"/>
      <c r="AB411" s="115"/>
      <c r="AC411" s="115"/>
      <c r="AD411" s="115"/>
      <c r="AE411" s="115"/>
      <c r="AF411" s="115"/>
      <c r="AG411" s="115"/>
      <c r="AH411" s="115"/>
      <c r="AI411" s="115"/>
      <c r="AJ411" s="115"/>
      <c r="AK411" s="115"/>
      <c r="AL411" s="115"/>
      <c r="AM411" s="115"/>
    </row>
    <row r="412" spans="1:39" ht="17.100000000000001" customHeight="1">
      <c r="A412" s="153" t="s">
        <v>4049</v>
      </c>
      <c r="B412" s="151"/>
      <c r="C412" s="151"/>
      <c r="D412" s="151"/>
      <c r="E412" s="151"/>
      <c r="F412" s="165"/>
      <c r="G412" s="151"/>
      <c r="H412" s="151"/>
      <c r="I412" s="165"/>
      <c r="J412" s="165"/>
      <c r="K412" s="151"/>
      <c r="L412" s="151"/>
      <c r="M412" s="151"/>
      <c r="N412" s="151"/>
      <c r="O412" s="151"/>
      <c r="P412" s="151"/>
      <c r="R412" s="151"/>
      <c r="S412" s="151"/>
      <c r="T412" s="166"/>
      <c r="U412" s="167"/>
      <c r="V412" s="151"/>
      <c r="W412" s="151"/>
      <c r="X412" s="151"/>
      <c r="Y412" s="115"/>
      <c r="Z412" s="115"/>
      <c r="AA412" s="115"/>
      <c r="AB412" s="115"/>
      <c r="AC412" s="115"/>
      <c r="AD412" s="115"/>
      <c r="AE412" s="115"/>
      <c r="AF412" s="115"/>
      <c r="AG412" s="115"/>
      <c r="AH412" s="115"/>
      <c r="AI412" s="115"/>
      <c r="AJ412" s="115"/>
      <c r="AK412" s="115"/>
      <c r="AL412" s="115"/>
      <c r="AM412" s="115"/>
    </row>
    <row r="413" spans="1:39" ht="17.100000000000001" customHeight="1">
      <c r="A413" s="153" t="s">
        <v>4050</v>
      </c>
      <c r="B413" s="151"/>
      <c r="C413" s="151"/>
      <c r="D413" s="151"/>
      <c r="E413" s="151"/>
      <c r="F413" s="165"/>
      <c r="G413" s="151"/>
      <c r="H413" s="151"/>
      <c r="I413" s="165"/>
      <c r="J413" s="165"/>
      <c r="K413" s="151"/>
      <c r="L413" s="151"/>
      <c r="M413" s="151"/>
      <c r="N413" s="151"/>
      <c r="O413" s="151"/>
      <c r="P413" s="151"/>
      <c r="R413" s="151"/>
      <c r="S413" s="151"/>
      <c r="T413" s="166"/>
      <c r="U413" s="167"/>
      <c r="V413" s="151"/>
      <c r="W413" s="151"/>
      <c r="X413" s="151"/>
      <c r="Y413" s="115"/>
      <c r="Z413" s="115"/>
      <c r="AA413" s="115"/>
      <c r="AB413" s="115"/>
      <c r="AC413" s="115"/>
      <c r="AD413" s="115"/>
      <c r="AE413" s="115"/>
      <c r="AF413" s="115"/>
      <c r="AG413" s="115"/>
      <c r="AH413" s="115"/>
      <c r="AI413" s="115"/>
      <c r="AJ413" s="115"/>
      <c r="AK413" s="115"/>
      <c r="AL413" s="115"/>
      <c r="AM413" s="115"/>
    </row>
    <row r="414" spans="1:39" ht="17.100000000000001" customHeight="1">
      <c r="A414" s="153" t="s">
        <v>4051</v>
      </c>
      <c r="B414" s="151"/>
      <c r="C414" s="151"/>
      <c r="D414" s="151"/>
      <c r="E414" s="151"/>
      <c r="F414" s="165"/>
      <c r="G414" s="151"/>
      <c r="H414" s="151"/>
      <c r="I414" s="165"/>
      <c r="J414" s="165"/>
      <c r="K414" s="151"/>
      <c r="L414" s="151"/>
      <c r="M414" s="151"/>
      <c r="N414" s="151"/>
      <c r="O414" s="151"/>
      <c r="P414" s="151"/>
      <c r="R414" s="151"/>
      <c r="S414" s="151"/>
      <c r="T414" s="166"/>
      <c r="U414" s="167"/>
      <c r="V414" s="151"/>
      <c r="W414" s="151"/>
      <c r="X414" s="151"/>
      <c r="Y414" s="115"/>
      <c r="Z414" s="115"/>
      <c r="AA414" s="115"/>
      <c r="AB414" s="115"/>
      <c r="AC414" s="115"/>
      <c r="AD414" s="115"/>
      <c r="AE414" s="115"/>
      <c r="AF414" s="115"/>
      <c r="AG414" s="115"/>
      <c r="AH414" s="115"/>
      <c r="AI414" s="115"/>
      <c r="AJ414" s="115"/>
      <c r="AK414" s="115"/>
      <c r="AL414" s="115"/>
      <c r="AM414" s="115"/>
    </row>
    <row r="415" spans="1:39" ht="17.100000000000001" customHeight="1">
      <c r="A415" s="153" t="s">
        <v>4052</v>
      </c>
      <c r="B415" s="151"/>
      <c r="C415" s="151"/>
      <c r="D415" s="151"/>
      <c r="E415" s="151"/>
      <c r="F415" s="165"/>
      <c r="G415" s="151"/>
      <c r="H415" s="151"/>
      <c r="I415" s="165"/>
      <c r="J415" s="165"/>
      <c r="K415" s="151"/>
      <c r="L415" s="151"/>
      <c r="M415" s="151"/>
      <c r="N415" s="151"/>
      <c r="O415" s="151"/>
      <c r="P415" s="151"/>
      <c r="R415" s="151"/>
      <c r="S415" s="151"/>
      <c r="T415" s="166"/>
      <c r="U415" s="167"/>
      <c r="V415" s="151"/>
      <c r="W415" s="151"/>
      <c r="X415" s="151"/>
      <c r="Y415" s="115"/>
      <c r="Z415" s="115"/>
      <c r="AA415" s="115"/>
      <c r="AB415" s="115"/>
      <c r="AC415" s="115"/>
      <c r="AD415" s="115"/>
      <c r="AE415" s="115"/>
      <c r="AF415" s="115"/>
      <c r="AG415" s="115"/>
      <c r="AH415" s="115"/>
      <c r="AI415" s="115"/>
      <c r="AJ415" s="115"/>
      <c r="AK415" s="115"/>
      <c r="AL415" s="115"/>
      <c r="AM415" s="115"/>
    </row>
    <row r="416" spans="1:39" ht="17.100000000000001" customHeight="1">
      <c r="A416" s="153" t="s">
        <v>4053</v>
      </c>
      <c r="B416" s="151"/>
      <c r="C416" s="151"/>
      <c r="D416" s="151"/>
      <c r="E416" s="151"/>
      <c r="F416" s="165"/>
      <c r="G416" s="151"/>
      <c r="H416" s="151"/>
      <c r="I416" s="165"/>
      <c r="J416" s="165"/>
      <c r="K416" s="151"/>
      <c r="L416" s="151"/>
      <c r="M416" s="151"/>
      <c r="N416" s="151"/>
      <c r="O416" s="151"/>
      <c r="P416" s="151"/>
      <c r="R416" s="151"/>
      <c r="S416" s="151"/>
      <c r="T416" s="166"/>
      <c r="U416" s="167"/>
      <c r="V416" s="151"/>
      <c r="W416" s="151"/>
      <c r="X416" s="151"/>
      <c r="Y416" s="115"/>
      <c r="Z416" s="115"/>
      <c r="AA416" s="115"/>
      <c r="AB416" s="115"/>
      <c r="AC416" s="115"/>
      <c r="AD416" s="115"/>
      <c r="AE416" s="115"/>
      <c r="AF416" s="115"/>
      <c r="AG416" s="115"/>
      <c r="AH416" s="115"/>
      <c r="AI416" s="115"/>
      <c r="AJ416" s="115"/>
      <c r="AK416" s="115"/>
      <c r="AL416" s="115"/>
      <c r="AM416" s="115"/>
    </row>
    <row r="417" spans="1:39" ht="17.100000000000001" customHeight="1">
      <c r="A417" s="153" t="s">
        <v>4054</v>
      </c>
      <c r="B417" s="151"/>
      <c r="C417" s="151"/>
      <c r="D417" s="151"/>
      <c r="E417" s="151"/>
      <c r="F417" s="165"/>
      <c r="G417" s="151"/>
      <c r="H417" s="151"/>
      <c r="I417" s="165"/>
      <c r="J417" s="165"/>
      <c r="K417" s="151"/>
      <c r="L417" s="151"/>
      <c r="M417" s="151"/>
      <c r="N417" s="151"/>
      <c r="O417" s="151"/>
      <c r="P417" s="151"/>
      <c r="R417" s="151"/>
      <c r="S417" s="151"/>
      <c r="T417" s="166"/>
      <c r="U417" s="167"/>
      <c r="V417" s="151"/>
      <c r="W417" s="151"/>
      <c r="X417" s="151"/>
      <c r="Y417" s="115"/>
      <c r="Z417" s="115"/>
      <c r="AA417" s="115"/>
      <c r="AB417" s="115"/>
      <c r="AC417" s="115"/>
      <c r="AD417" s="115"/>
      <c r="AE417" s="115"/>
      <c r="AF417" s="115"/>
      <c r="AG417" s="115"/>
      <c r="AH417" s="115"/>
      <c r="AI417" s="115"/>
      <c r="AJ417" s="115"/>
      <c r="AK417" s="115"/>
      <c r="AL417" s="115"/>
      <c r="AM417" s="115"/>
    </row>
    <row r="418" spans="1:39" ht="17.100000000000001" customHeight="1">
      <c r="A418" s="151" t="s">
        <v>4055</v>
      </c>
      <c r="B418" s="151"/>
      <c r="C418" s="151"/>
      <c r="D418" s="151"/>
      <c r="E418" s="151"/>
      <c r="F418" s="165"/>
      <c r="G418" s="151"/>
      <c r="H418" s="151"/>
      <c r="I418" s="165"/>
      <c r="J418" s="165"/>
      <c r="K418" s="151"/>
      <c r="L418" s="151"/>
      <c r="M418" s="151"/>
      <c r="N418" s="151"/>
      <c r="O418" s="151"/>
      <c r="P418" s="151"/>
      <c r="R418" s="151"/>
      <c r="S418" s="151"/>
      <c r="T418" s="166"/>
      <c r="U418" s="167"/>
      <c r="V418" s="151"/>
      <c r="W418" s="151"/>
      <c r="X418" s="151"/>
      <c r="Y418" s="115"/>
      <c r="Z418" s="115"/>
      <c r="AA418" s="115"/>
      <c r="AB418" s="115"/>
      <c r="AC418" s="115"/>
      <c r="AD418" s="115"/>
      <c r="AE418" s="115"/>
      <c r="AF418" s="115"/>
      <c r="AG418" s="115"/>
      <c r="AH418" s="115"/>
      <c r="AI418" s="115"/>
      <c r="AJ418" s="115"/>
      <c r="AK418" s="115"/>
      <c r="AL418" s="115"/>
      <c r="AM418" s="115"/>
    </row>
    <row r="419" spans="1:39" ht="17.100000000000001" customHeight="1">
      <c r="A419" s="153" t="s">
        <v>4056</v>
      </c>
      <c r="B419" s="151"/>
      <c r="C419" s="151"/>
      <c r="D419" s="151"/>
      <c r="E419" s="151"/>
      <c r="F419" s="165"/>
      <c r="G419" s="151"/>
      <c r="H419" s="151"/>
      <c r="I419" s="165"/>
      <c r="J419" s="165"/>
      <c r="K419" s="151"/>
      <c r="L419" s="151"/>
      <c r="M419" s="151"/>
      <c r="N419" s="151"/>
      <c r="O419" s="151"/>
      <c r="P419" s="151"/>
      <c r="R419" s="151"/>
      <c r="S419" s="151"/>
      <c r="T419" s="166"/>
      <c r="U419" s="167"/>
      <c r="V419" s="151"/>
      <c r="W419" s="151"/>
      <c r="X419" s="151"/>
      <c r="Y419" s="115"/>
      <c r="Z419" s="115"/>
      <c r="AA419" s="115"/>
      <c r="AB419" s="115"/>
      <c r="AC419" s="115"/>
      <c r="AD419" s="115"/>
      <c r="AE419" s="115"/>
      <c r="AF419" s="115"/>
      <c r="AG419" s="115"/>
      <c r="AH419" s="115"/>
      <c r="AI419" s="115"/>
      <c r="AJ419" s="115"/>
      <c r="AK419" s="115"/>
      <c r="AL419" s="115"/>
      <c r="AM419" s="115"/>
    </row>
    <row r="420" spans="1:39" ht="17.100000000000001" customHeight="1">
      <c r="A420" s="153" t="s">
        <v>4057</v>
      </c>
      <c r="B420" s="151"/>
      <c r="C420" s="151"/>
      <c r="D420" s="151"/>
      <c r="E420" s="151"/>
      <c r="F420" s="165"/>
      <c r="G420" s="151"/>
      <c r="H420" s="151"/>
      <c r="I420" s="165"/>
      <c r="J420" s="165"/>
      <c r="K420" s="151"/>
      <c r="L420" s="151"/>
      <c r="M420" s="151"/>
      <c r="N420" s="151"/>
      <c r="O420" s="151"/>
      <c r="P420" s="151"/>
      <c r="R420" s="151"/>
      <c r="S420" s="151"/>
      <c r="T420" s="166"/>
      <c r="U420" s="167"/>
      <c r="V420" s="151"/>
      <c r="W420" s="151"/>
      <c r="X420" s="151"/>
      <c r="Y420" s="115"/>
      <c r="Z420" s="115"/>
      <c r="AA420" s="115"/>
      <c r="AB420" s="115"/>
      <c r="AC420" s="115"/>
      <c r="AD420" s="115"/>
      <c r="AE420" s="115"/>
      <c r="AF420" s="115"/>
      <c r="AG420" s="115"/>
      <c r="AH420" s="115"/>
      <c r="AI420" s="115"/>
      <c r="AJ420" s="115"/>
      <c r="AK420" s="115"/>
      <c r="AL420" s="115"/>
      <c r="AM420" s="115"/>
    </row>
    <row r="421" spans="1:39" ht="17.100000000000001" customHeight="1">
      <c r="A421" s="153" t="s">
        <v>4058</v>
      </c>
      <c r="B421" s="151"/>
      <c r="C421" s="151"/>
      <c r="D421" s="151"/>
      <c r="E421" s="151"/>
      <c r="F421" s="165"/>
      <c r="G421" s="151"/>
      <c r="H421" s="151"/>
      <c r="I421" s="165"/>
      <c r="J421" s="165"/>
      <c r="K421" s="151"/>
      <c r="L421" s="151"/>
      <c r="M421" s="151"/>
      <c r="N421" s="151"/>
      <c r="O421" s="151"/>
      <c r="P421" s="151"/>
      <c r="R421" s="151"/>
      <c r="S421" s="151"/>
      <c r="T421" s="166"/>
      <c r="U421" s="167"/>
      <c r="V421" s="151"/>
      <c r="W421" s="151"/>
      <c r="X421" s="151"/>
      <c r="Y421" s="115"/>
      <c r="Z421" s="115"/>
      <c r="AA421" s="115"/>
      <c r="AB421" s="115"/>
      <c r="AC421" s="115"/>
      <c r="AD421" s="115"/>
      <c r="AE421" s="115"/>
      <c r="AF421" s="115"/>
      <c r="AG421" s="115"/>
      <c r="AH421" s="115"/>
      <c r="AI421" s="115"/>
      <c r="AJ421" s="115"/>
      <c r="AK421" s="115"/>
      <c r="AL421" s="115"/>
      <c r="AM421" s="115"/>
    </row>
    <row r="422" spans="1:39" ht="17.100000000000001" customHeight="1">
      <c r="A422" s="153" t="s">
        <v>4059</v>
      </c>
      <c r="B422" s="151"/>
      <c r="C422" s="151"/>
      <c r="D422" s="151"/>
      <c r="E422" s="151"/>
      <c r="F422" s="165"/>
      <c r="G422" s="151"/>
      <c r="H422" s="151"/>
      <c r="I422" s="165"/>
      <c r="J422" s="165"/>
      <c r="K422" s="151"/>
      <c r="L422" s="151"/>
      <c r="M422" s="151"/>
      <c r="N422" s="151"/>
      <c r="O422" s="151"/>
      <c r="P422" s="151"/>
      <c r="R422" s="151"/>
      <c r="S422" s="151"/>
      <c r="T422" s="166"/>
      <c r="U422" s="167"/>
      <c r="V422" s="151"/>
      <c r="W422" s="151"/>
      <c r="X422" s="151"/>
      <c r="Y422" s="115"/>
      <c r="Z422" s="115"/>
      <c r="AA422" s="115"/>
      <c r="AB422" s="115"/>
      <c r="AC422" s="115"/>
      <c r="AD422" s="115"/>
      <c r="AE422" s="115"/>
      <c r="AF422" s="115"/>
      <c r="AG422" s="115"/>
      <c r="AH422" s="115"/>
      <c r="AI422" s="115"/>
      <c r="AJ422" s="115"/>
      <c r="AK422" s="115"/>
      <c r="AL422" s="115"/>
      <c r="AM422" s="115"/>
    </row>
    <row r="423" spans="1:39" ht="17.100000000000001" customHeight="1">
      <c r="A423" s="153" t="s">
        <v>4060</v>
      </c>
      <c r="B423" s="151"/>
      <c r="C423" s="151"/>
      <c r="D423" s="151"/>
      <c r="E423" s="151"/>
      <c r="F423" s="165"/>
      <c r="G423" s="151"/>
      <c r="H423" s="151"/>
      <c r="I423" s="165"/>
      <c r="J423" s="165"/>
      <c r="K423" s="151"/>
      <c r="L423" s="151"/>
      <c r="M423" s="151"/>
      <c r="N423" s="151"/>
      <c r="O423" s="151"/>
      <c r="P423" s="151"/>
      <c r="R423" s="151"/>
      <c r="S423" s="151"/>
      <c r="T423" s="166"/>
      <c r="U423" s="167"/>
      <c r="V423" s="151"/>
      <c r="W423" s="151"/>
      <c r="X423" s="151"/>
      <c r="Y423" s="115"/>
      <c r="Z423" s="115"/>
      <c r="AA423" s="115"/>
      <c r="AB423" s="115"/>
      <c r="AC423" s="115"/>
      <c r="AD423" s="115"/>
      <c r="AE423" s="115"/>
      <c r="AF423" s="115"/>
      <c r="AG423" s="115"/>
      <c r="AH423" s="115"/>
      <c r="AI423" s="115"/>
      <c r="AJ423" s="115"/>
      <c r="AK423" s="115"/>
      <c r="AL423" s="115"/>
      <c r="AM423" s="115"/>
    </row>
    <row r="424" spans="1:39" ht="17.100000000000001" customHeight="1">
      <c r="A424" s="153" t="s">
        <v>4061</v>
      </c>
      <c r="B424" s="151"/>
      <c r="C424" s="151"/>
      <c r="D424" s="151"/>
      <c r="E424" s="151"/>
      <c r="F424" s="165"/>
      <c r="G424" s="151"/>
      <c r="H424" s="151"/>
      <c r="I424" s="165"/>
      <c r="J424" s="165"/>
      <c r="K424" s="151"/>
      <c r="L424" s="151"/>
      <c r="M424" s="151"/>
      <c r="N424" s="151"/>
      <c r="O424" s="151"/>
      <c r="P424" s="151"/>
      <c r="R424" s="151"/>
      <c r="S424" s="151"/>
      <c r="T424" s="166"/>
      <c r="U424" s="167"/>
      <c r="V424" s="151"/>
      <c r="W424" s="151"/>
      <c r="X424" s="151"/>
      <c r="Y424" s="115"/>
      <c r="Z424" s="115"/>
      <c r="AA424" s="115"/>
      <c r="AB424" s="115"/>
      <c r="AC424" s="115"/>
      <c r="AD424" s="115"/>
      <c r="AE424" s="115"/>
      <c r="AF424" s="115"/>
      <c r="AG424" s="115"/>
      <c r="AH424" s="115"/>
      <c r="AI424" s="115"/>
      <c r="AJ424" s="115"/>
      <c r="AK424" s="115"/>
      <c r="AL424" s="115"/>
      <c r="AM424" s="115"/>
    </row>
    <row r="425" spans="1:39" ht="17.100000000000001" customHeight="1">
      <c r="A425" s="151" t="s">
        <v>4062</v>
      </c>
      <c r="B425" s="151"/>
      <c r="C425" s="151"/>
      <c r="D425" s="151"/>
      <c r="E425" s="151"/>
      <c r="F425" s="165"/>
      <c r="G425" s="151"/>
      <c r="H425" s="151"/>
      <c r="I425" s="165"/>
      <c r="J425" s="165"/>
      <c r="K425" s="151"/>
      <c r="L425" s="151"/>
      <c r="M425" s="151"/>
      <c r="N425" s="151"/>
      <c r="O425" s="151"/>
      <c r="P425" s="151"/>
      <c r="R425" s="151"/>
      <c r="S425" s="151"/>
      <c r="T425" s="166"/>
      <c r="U425" s="167"/>
      <c r="V425" s="151"/>
      <c r="W425" s="151"/>
      <c r="X425" s="151"/>
      <c r="Y425" s="115"/>
      <c r="Z425" s="115"/>
      <c r="AA425" s="115"/>
      <c r="AB425" s="115"/>
      <c r="AC425" s="115"/>
      <c r="AD425" s="115"/>
      <c r="AE425" s="115"/>
      <c r="AF425" s="115"/>
      <c r="AG425" s="115"/>
      <c r="AH425" s="115"/>
      <c r="AI425" s="115"/>
      <c r="AJ425" s="115"/>
      <c r="AK425" s="115"/>
      <c r="AL425" s="115"/>
      <c r="AM425" s="115"/>
    </row>
    <row r="426" spans="1:39" ht="17.100000000000001" customHeight="1">
      <c r="A426" s="153" t="s">
        <v>4063</v>
      </c>
      <c r="B426" s="151"/>
      <c r="C426" s="151"/>
      <c r="D426" s="151"/>
      <c r="E426" s="151"/>
      <c r="F426" s="165"/>
      <c r="G426" s="151"/>
      <c r="H426" s="151"/>
      <c r="I426" s="165"/>
      <c r="J426" s="165"/>
      <c r="K426" s="151"/>
      <c r="L426" s="151"/>
      <c r="M426" s="151"/>
      <c r="N426" s="151"/>
      <c r="O426" s="151"/>
      <c r="P426" s="151"/>
      <c r="R426" s="151"/>
      <c r="S426" s="151"/>
      <c r="T426" s="166"/>
      <c r="U426" s="167"/>
      <c r="V426" s="151"/>
      <c r="W426" s="151"/>
      <c r="X426" s="151"/>
      <c r="Y426" s="115"/>
      <c r="Z426" s="115"/>
      <c r="AA426" s="115"/>
      <c r="AB426" s="115"/>
      <c r="AC426" s="115"/>
      <c r="AD426" s="115"/>
      <c r="AE426" s="115"/>
      <c r="AF426" s="115"/>
      <c r="AG426" s="115"/>
      <c r="AH426" s="115"/>
      <c r="AI426" s="115"/>
      <c r="AJ426" s="115"/>
      <c r="AK426" s="115"/>
      <c r="AL426" s="115"/>
      <c r="AM426" s="115"/>
    </row>
    <row r="427" spans="1:39" ht="17.100000000000001" customHeight="1">
      <c r="A427" s="153" t="s">
        <v>4064</v>
      </c>
      <c r="B427" s="151"/>
      <c r="C427" s="151"/>
      <c r="D427" s="151"/>
      <c r="E427" s="151"/>
      <c r="F427" s="165"/>
      <c r="G427" s="151"/>
      <c r="H427" s="151"/>
      <c r="I427" s="165"/>
      <c r="J427" s="165"/>
      <c r="K427" s="151"/>
      <c r="L427" s="151"/>
      <c r="M427" s="151"/>
      <c r="N427" s="151"/>
      <c r="O427" s="151"/>
      <c r="P427" s="151"/>
      <c r="R427" s="151"/>
      <c r="S427" s="151"/>
      <c r="T427" s="166"/>
      <c r="U427" s="167"/>
      <c r="V427" s="151"/>
      <c r="W427" s="151"/>
      <c r="X427" s="151"/>
      <c r="Y427" s="115"/>
      <c r="Z427" s="115"/>
      <c r="AA427" s="115"/>
      <c r="AB427" s="115"/>
      <c r="AC427" s="115"/>
      <c r="AD427" s="115"/>
      <c r="AE427" s="115"/>
      <c r="AF427" s="115"/>
      <c r="AG427" s="115"/>
      <c r="AH427" s="115"/>
      <c r="AI427" s="115"/>
      <c r="AJ427" s="115"/>
      <c r="AK427" s="115"/>
      <c r="AL427" s="115"/>
      <c r="AM427" s="115"/>
    </row>
    <row r="428" spans="1:39" ht="17.100000000000001" customHeight="1">
      <c r="A428" s="153" t="s">
        <v>4065</v>
      </c>
      <c r="B428" s="151"/>
      <c r="C428" s="151"/>
      <c r="D428" s="151"/>
      <c r="E428" s="151"/>
      <c r="F428" s="165"/>
      <c r="G428" s="151"/>
      <c r="H428" s="151"/>
      <c r="I428" s="165"/>
      <c r="J428" s="165"/>
      <c r="K428" s="151"/>
      <c r="L428" s="151"/>
      <c r="M428" s="151"/>
      <c r="N428" s="151"/>
      <c r="O428" s="151"/>
      <c r="P428" s="151"/>
      <c r="R428" s="151"/>
      <c r="S428" s="151"/>
      <c r="T428" s="166"/>
      <c r="U428" s="167"/>
      <c r="V428" s="151"/>
      <c r="W428" s="151"/>
      <c r="X428" s="151"/>
      <c r="Y428" s="115"/>
      <c r="Z428" s="115"/>
      <c r="AA428" s="115"/>
      <c r="AB428" s="115"/>
      <c r="AC428" s="115"/>
      <c r="AD428" s="115"/>
      <c r="AE428" s="115"/>
      <c r="AF428" s="115"/>
      <c r="AG428" s="115"/>
      <c r="AH428" s="115"/>
      <c r="AI428" s="115"/>
      <c r="AJ428" s="115"/>
      <c r="AK428" s="115"/>
      <c r="AL428" s="115"/>
      <c r="AM428" s="115"/>
    </row>
    <row r="429" spans="1:39" ht="17.100000000000001" customHeight="1">
      <c r="A429" s="153" t="s">
        <v>4066</v>
      </c>
      <c r="B429" s="151"/>
      <c r="C429" s="151"/>
      <c r="D429" s="151"/>
      <c r="E429" s="151"/>
      <c r="F429" s="165"/>
      <c r="G429" s="151"/>
      <c r="H429" s="151"/>
      <c r="I429" s="165"/>
      <c r="J429" s="165"/>
      <c r="K429" s="151"/>
      <c r="L429" s="151"/>
      <c r="M429" s="151"/>
      <c r="N429" s="151"/>
      <c r="O429" s="151"/>
      <c r="P429" s="151"/>
      <c r="R429" s="151"/>
      <c r="S429" s="151"/>
      <c r="T429" s="166"/>
      <c r="U429" s="167"/>
      <c r="V429" s="151"/>
      <c r="W429" s="151"/>
      <c r="X429" s="151"/>
      <c r="Y429" s="115"/>
      <c r="Z429" s="115"/>
      <c r="AA429" s="115"/>
      <c r="AB429" s="115"/>
      <c r="AC429" s="115"/>
      <c r="AD429" s="115"/>
      <c r="AE429" s="115"/>
      <c r="AF429" s="115"/>
      <c r="AG429" s="115"/>
      <c r="AH429" s="115"/>
      <c r="AI429" s="115"/>
      <c r="AJ429" s="115"/>
      <c r="AK429" s="115"/>
      <c r="AL429" s="115"/>
      <c r="AM429" s="115"/>
    </row>
    <row r="430" spans="1:39" ht="17.100000000000001" customHeight="1">
      <c r="A430" s="151" t="s">
        <v>4067</v>
      </c>
      <c r="B430" s="151"/>
      <c r="C430" s="151"/>
      <c r="D430" s="151"/>
      <c r="E430" s="151"/>
      <c r="F430" s="165"/>
      <c r="G430" s="151"/>
      <c r="H430" s="151"/>
      <c r="I430" s="165"/>
      <c r="J430" s="165"/>
      <c r="K430" s="151"/>
      <c r="L430" s="151"/>
      <c r="M430" s="151"/>
      <c r="N430" s="151"/>
      <c r="O430" s="151"/>
      <c r="P430" s="151"/>
      <c r="R430" s="151"/>
      <c r="S430" s="151"/>
      <c r="T430" s="166"/>
      <c r="U430" s="167"/>
      <c r="V430" s="151"/>
      <c r="W430" s="151"/>
      <c r="X430" s="151"/>
      <c r="Y430" s="115"/>
      <c r="Z430" s="115"/>
      <c r="AA430" s="115"/>
      <c r="AB430" s="115"/>
      <c r="AC430" s="115"/>
      <c r="AD430" s="115"/>
      <c r="AE430" s="115"/>
      <c r="AF430" s="115"/>
      <c r="AG430" s="115"/>
      <c r="AH430" s="115"/>
      <c r="AI430" s="115"/>
      <c r="AJ430" s="115"/>
      <c r="AK430" s="115"/>
      <c r="AL430" s="115"/>
      <c r="AM430" s="115"/>
    </row>
    <row r="431" spans="1:39" ht="17.100000000000001" customHeight="1">
      <c r="A431" s="153" t="s">
        <v>4068</v>
      </c>
      <c r="B431" s="151"/>
      <c r="C431" s="151"/>
      <c r="D431" s="151"/>
      <c r="E431" s="151"/>
      <c r="F431" s="165"/>
      <c r="G431" s="151"/>
      <c r="H431" s="151"/>
      <c r="I431" s="165"/>
      <c r="J431" s="165"/>
      <c r="K431" s="151"/>
      <c r="L431" s="151"/>
      <c r="M431" s="151"/>
      <c r="N431" s="151"/>
      <c r="O431" s="151"/>
      <c r="P431" s="151"/>
      <c r="R431" s="151"/>
      <c r="S431" s="151"/>
      <c r="T431" s="166"/>
      <c r="U431" s="167"/>
      <c r="V431" s="151"/>
      <c r="W431" s="151"/>
      <c r="X431" s="151"/>
      <c r="Y431" s="115"/>
      <c r="Z431" s="115"/>
      <c r="AA431" s="115"/>
      <c r="AB431" s="115"/>
      <c r="AC431" s="115"/>
      <c r="AD431" s="115"/>
      <c r="AE431" s="115"/>
      <c r="AF431" s="115"/>
      <c r="AG431" s="115"/>
      <c r="AH431" s="115"/>
      <c r="AI431" s="115"/>
      <c r="AJ431" s="115"/>
      <c r="AK431" s="115"/>
      <c r="AL431" s="115"/>
      <c r="AM431" s="115"/>
    </row>
    <row r="432" spans="1:39" ht="17.100000000000001" customHeight="1">
      <c r="A432" s="151" t="s">
        <v>4069</v>
      </c>
      <c r="B432" s="151"/>
      <c r="C432" s="151"/>
      <c r="D432" s="151"/>
      <c r="E432" s="151"/>
      <c r="F432" s="165"/>
      <c r="G432" s="151"/>
      <c r="H432" s="151"/>
      <c r="I432" s="165"/>
      <c r="J432" s="165"/>
      <c r="K432" s="151"/>
      <c r="L432" s="151"/>
      <c r="M432" s="151"/>
      <c r="N432" s="151"/>
      <c r="O432" s="151"/>
      <c r="P432" s="151"/>
      <c r="R432" s="151"/>
      <c r="S432" s="151"/>
      <c r="T432" s="166"/>
      <c r="U432" s="167"/>
      <c r="V432" s="151"/>
      <c r="W432" s="151"/>
      <c r="X432" s="151"/>
      <c r="Y432" s="115"/>
      <c r="Z432" s="115"/>
      <c r="AA432" s="115"/>
      <c r="AB432" s="115"/>
      <c r="AC432" s="115"/>
      <c r="AD432" s="115"/>
      <c r="AE432" s="115"/>
      <c r="AF432" s="115"/>
      <c r="AG432" s="115"/>
      <c r="AH432" s="115"/>
      <c r="AI432" s="115"/>
      <c r="AJ432" s="115"/>
      <c r="AK432" s="115"/>
      <c r="AL432" s="115"/>
      <c r="AM432" s="115"/>
    </row>
    <row r="433" spans="1:39" ht="17.100000000000001" customHeight="1">
      <c r="A433" s="153" t="s">
        <v>4070</v>
      </c>
      <c r="B433" s="151"/>
      <c r="C433" s="151"/>
      <c r="D433" s="151"/>
      <c r="E433" s="151"/>
      <c r="F433" s="165"/>
      <c r="G433" s="151"/>
      <c r="H433" s="151"/>
      <c r="I433" s="165"/>
      <c r="J433" s="165"/>
      <c r="K433" s="151"/>
      <c r="L433" s="151"/>
      <c r="M433" s="151"/>
      <c r="N433" s="151"/>
      <c r="O433" s="151"/>
      <c r="P433" s="151"/>
      <c r="R433" s="151"/>
      <c r="S433" s="151"/>
      <c r="T433" s="166"/>
      <c r="U433" s="167"/>
      <c r="V433" s="151"/>
      <c r="W433" s="151"/>
      <c r="X433" s="151"/>
      <c r="Y433" s="115"/>
      <c r="Z433" s="115"/>
      <c r="AA433" s="115"/>
      <c r="AB433" s="115"/>
      <c r="AC433" s="115"/>
      <c r="AD433" s="115"/>
      <c r="AE433" s="115"/>
      <c r="AF433" s="115"/>
      <c r="AG433" s="115"/>
      <c r="AH433" s="115"/>
      <c r="AI433" s="115"/>
      <c r="AJ433" s="115"/>
      <c r="AK433" s="115"/>
      <c r="AL433" s="115"/>
      <c r="AM433" s="115"/>
    </row>
    <row r="434" spans="1:39" ht="17.100000000000001" customHeight="1">
      <c r="A434" s="153" t="s">
        <v>4071</v>
      </c>
      <c r="B434" s="151"/>
      <c r="C434" s="151"/>
      <c r="D434" s="151"/>
      <c r="E434" s="151"/>
      <c r="F434" s="165"/>
      <c r="G434" s="151"/>
      <c r="H434" s="151"/>
      <c r="I434" s="165"/>
      <c r="J434" s="165"/>
      <c r="K434" s="151"/>
      <c r="L434" s="151"/>
      <c r="M434" s="151"/>
      <c r="N434" s="151"/>
      <c r="O434" s="151"/>
      <c r="P434" s="151"/>
      <c r="R434" s="151"/>
      <c r="S434" s="151"/>
      <c r="T434" s="166"/>
      <c r="U434" s="167"/>
      <c r="V434" s="151"/>
      <c r="W434" s="151"/>
      <c r="X434" s="151"/>
      <c r="Y434" s="115"/>
      <c r="Z434" s="115"/>
      <c r="AA434" s="115"/>
      <c r="AB434" s="115"/>
      <c r="AC434" s="115"/>
      <c r="AD434" s="115"/>
      <c r="AE434" s="115"/>
      <c r="AF434" s="115"/>
      <c r="AG434" s="115"/>
      <c r="AH434" s="115"/>
      <c r="AI434" s="115"/>
      <c r="AJ434" s="115"/>
      <c r="AK434" s="115"/>
      <c r="AL434" s="115"/>
      <c r="AM434" s="115"/>
    </row>
    <row r="435" spans="1:39" ht="17.100000000000001" customHeight="1">
      <c r="A435" s="151" t="s">
        <v>4072</v>
      </c>
      <c r="B435" s="151"/>
      <c r="C435" s="151"/>
      <c r="D435" s="151"/>
      <c r="E435" s="151"/>
      <c r="F435" s="165"/>
      <c r="G435" s="151"/>
      <c r="H435" s="151"/>
      <c r="I435" s="165"/>
      <c r="J435" s="165"/>
      <c r="K435" s="151"/>
      <c r="L435" s="151"/>
      <c r="M435" s="151"/>
      <c r="N435" s="151"/>
      <c r="O435" s="151"/>
      <c r="P435" s="151"/>
      <c r="R435" s="151"/>
      <c r="S435" s="151"/>
      <c r="T435" s="166"/>
      <c r="U435" s="167"/>
      <c r="V435" s="151"/>
      <c r="W435" s="151"/>
      <c r="X435" s="151"/>
      <c r="Y435" s="115"/>
      <c r="Z435" s="115"/>
      <c r="AA435" s="115"/>
      <c r="AB435" s="115"/>
      <c r="AC435" s="115"/>
      <c r="AD435" s="115"/>
      <c r="AE435" s="115"/>
      <c r="AF435" s="115"/>
      <c r="AG435" s="115"/>
      <c r="AH435" s="115"/>
      <c r="AI435" s="115"/>
      <c r="AJ435" s="115"/>
      <c r="AK435" s="115"/>
      <c r="AL435" s="115"/>
      <c r="AM435" s="115"/>
    </row>
    <row r="436" spans="1:39" ht="17.100000000000001" customHeight="1">
      <c r="A436" s="153" t="s">
        <v>4073</v>
      </c>
      <c r="B436" s="151"/>
      <c r="C436" s="151"/>
      <c r="D436" s="151"/>
      <c r="E436" s="151"/>
      <c r="F436" s="165"/>
      <c r="G436" s="151"/>
      <c r="H436" s="151"/>
      <c r="I436" s="165"/>
      <c r="J436" s="165"/>
      <c r="K436" s="151"/>
      <c r="L436" s="151"/>
      <c r="M436" s="151"/>
      <c r="N436" s="151"/>
      <c r="O436" s="151"/>
      <c r="P436" s="151"/>
      <c r="R436" s="151"/>
      <c r="S436" s="151"/>
      <c r="T436" s="166"/>
      <c r="U436" s="167"/>
      <c r="V436" s="151"/>
      <c r="W436" s="151"/>
      <c r="X436" s="151"/>
      <c r="Y436" s="115"/>
      <c r="Z436" s="115"/>
      <c r="AA436" s="115"/>
      <c r="AB436" s="115"/>
      <c r="AC436" s="115"/>
      <c r="AD436" s="115"/>
      <c r="AE436" s="115"/>
      <c r="AF436" s="115"/>
      <c r="AG436" s="115"/>
      <c r="AH436" s="115"/>
      <c r="AI436" s="115"/>
      <c r="AJ436" s="115"/>
      <c r="AK436" s="115"/>
      <c r="AL436" s="115"/>
      <c r="AM436" s="115"/>
    </row>
    <row r="437" spans="1:39" ht="17.100000000000001" customHeight="1">
      <c r="A437" s="151" t="s">
        <v>4074</v>
      </c>
      <c r="B437" s="151"/>
      <c r="C437" s="151"/>
      <c r="D437" s="151"/>
      <c r="E437" s="151"/>
      <c r="F437" s="165"/>
      <c r="G437" s="151"/>
      <c r="H437" s="151"/>
      <c r="I437" s="165"/>
      <c r="J437" s="165"/>
      <c r="K437" s="151"/>
      <c r="L437" s="151"/>
      <c r="M437" s="151"/>
      <c r="N437" s="151"/>
      <c r="O437" s="151"/>
      <c r="P437" s="151"/>
      <c r="R437" s="151"/>
      <c r="S437" s="151"/>
      <c r="T437" s="166"/>
      <c r="U437" s="167"/>
      <c r="V437" s="151"/>
      <c r="W437" s="151"/>
      <c r="X437" s="151"/>
      <c r="Y437" s="115"/>
      <c r="Z437" s="115"/>
      <c r="AA437" s="115"/>
      <c r="AB437" s="115"/>
      <c r="AC437" s="115"/>
      <c r="AD437" s="115"/>
      <c r="AE437" s="115"/>
      <c r="AF437" s="115"/>
      <c r="AG437" s="115"/>
      <c r="AH437" s="115"/>
      <c r="AI437" s="115"/>
      <c r="AJ437" s="115"/>
      <c r="AK437" s="115"/>
      <c r="AL437" s="115"/>
      <c r="AM437" s="115"/>
    </row>
    <row r="438" spans="1:39" ht="17.100000000000001" customHeight="1">
      <c r="A438" s="153" t="s">
        <v>4075</v>
      </c>
      <c r="B438" s="151"/>
      <c r="C438" s="151"/>
      <c r="D438" s="151"/>
      <c r="E438" s="151"/>
      <c r="F438" s="165"/>
      <c r="G438" s="151"/>
      <c r="H438" s="151"/>
      <c r="I438" s="165"/>
      <c r="J438" s="165"/>
      <c r="K438" s="151"/>
      <c r="L438" s="151"/>
      <c r="M438" s="151"/>
      <c r="N438" s="151"/>
      <c r="O438" s="151"/>
      <c r="P438" s="151"/>
      <c r="R438" s="151"/>
      <c r="S438" s="151"/>
      <c r="T438" s="166"/>
      <c r="U438" s="167"/>
      <c r="V438" s="151"/>
      <c r="W438" s="151"/>
      <c r="X438" s="151"/>
      <c r="Y438" s="115"/>
      <c r="Z438" s="115"/>
      <c r="AA438" s="115"/>
      <c r="AB438" s="115"/>
      <c r="AC438" s="115"/>
      <c r="AD438" s="115"/>
      <c r="AE438" s="115"/>
      <c r="AF438" s="115"/>
      <c r="AG438" s="115"/>
      <c r="AH438" s="115"/>
      <c r="AI438" s="115"/>
      <c r="AJ438" s="115"/>
      <c r="AK438" s="115"/>
      <c r="AL438" s="115"/>
      <c r="AM438" s="115"/>
    </row>
    <row r="439" spans="1:39" ht="17.100000000000001" customHeight="1">
      <c r="A439" s="151" t="s">
        <v>4076</v>
      </c>
      <c r="B439" s="151"/>
      <c r="C439" s="151"/>
      <c r="D439" s="151"/>
      <c r="E439" s="151"/>
      <c r="F439" s="165"/>
      <c r="G439" s="151"/>
      <c r="H439" s="151"/>
      <c r="I439" s="165"/>
      <c r="J439" s="165"/>
      <c r="K439" s="151"/>
      <c r="L439" s="151"/>
      <c r="M439" s="151"/>
      <c r="N439" s="151"/>
      <c r="O439" s="151"/>
      <c r="P439" s="151"/>
      <c r="R439" s="151"/>
      <c r="S439" s="151"/>
      <c r="T439" s="166"/>
      <c r="U439" s="167"/>
      <c r="V439" s="151"/>
      <c r="W439" s="151"/>
      <c r="X439" s="151"/>
      <c r="Y439" s="115"/>
      <c r="Z439" s="115"/>
      <c r="AA439" s="115"/>
      <c r="AB439" s="115"/>
      <c r="AC439" s="115"/>
      <c r="AD439" s="115"/>
      <c r="AE439" s="115"/>
      <c r="AF439" s="115"/>
      <c r="AG439" s="115"/>
      <c r="AH439" s="115"/>
      <c r="AI439" s="115"/>
      <c r="AJ439" s="115"/>
      <c r="AK439" s="115"/>
      <c r="AL439" s="115"/>
      <c r="AM439" s="115"/>
    </row>
    <row r="440" spans="1:39" ht="17.100000000000001" customHeight="1">
      <c r="A440" s="153" t="s">
        <v>4077</v>
      </c>
      <c r="B440" s="151"/>
      <c r="C440" s="151"/>
      <c r="D440" s="151"/>
      <c r="E440" s="151"/>
      <c r="F440" s="165"/>
      <c r="G440" s="151"/>
      <c r="H440" s="151"/>
      <c r="I440" s="165"/>
      <c r="J440" s="165"/>
      <c r="K440" s="151"/>
      <c r="L440" s="151"/>
      <c r="M440" s="151"/>
      <c r="N440" s="151"/>
      <c r="O440" s="151"/>
      <c r="P440" s="151"/>
      <c r="R440" s="151"/>
      <c r="S440" s="151"/>
      <c r="T440" s="166"/>
      <c r="U440" s="167"/>
      <c r="V440" s="151"/>
      <c r="W440" s="151"/>
      <c r="X440" s="151"/>
      <c r="Y440" s="115"/>
      <c r="Z440" s="115"/>
      <c r="AA440" s="115"/>
      <c r="AB440" s="115"/>
      <c r="AC440" s="115"/>
      <c r="AD440" s="115"/>
      <c r="AE440" s="115"/>
      <c r="AF440" s="115"/>
      <c r="AG440" s="115"/>
      <c r="AH440" s="115"/>
      <c r="AI440" s="115"/>
      <c r="AJ440" s="115"/>
      <c r="AK440" s="115"/>
      <c r="AL440" s="115"/>
      <c r="AM440" s="115"/>
    </row>
    <row r="441" spans="1:39" ht="17.100000000000001" customHeight="1">
      <c r="A441" s="153" t="s">
        <v>4078</v>
      </c>
      <c r="B441" s="151"/>
      <c r="C441" s="151"/>
      <c r="D441" s="151"/>
      <c r="E441" s="151"/>
      <c r="F441" s="165"/>
      <c r="G441" s="151"/>
      <c r="H441" s="151"/>
      <c r="I441" s="165"/>
      <c r="J441" s="165"/>
      <c r="K441" s="151"/>
      <c r="L441" s="151"/>
      <c r="M441" s="151"/>
      <c r="N441" s="151"/>
      <c r="O441" s="151"/>
      <c r="P441" s="151"/>
      <c r="R441" s="151"/>
      <c r="S441" s="151"/>
      <c r="T441" s="166"/>
      <c r="U441" s="167"/>
      <c r="V441" s="151"/>
      <c r="W441" s="151"/>
      <c r="X441" s="151"/>
      <c r="Y441" s="115"/>
      <c r="Z441" s="115"/>
      <c r="AA441" s="115"/>
      <c r="AB441" s="115"/>
      <c r="AC441" s="115"/>
      <c r="AD441" s="115"/>
      <c r="AE441" s="115"/>
      <c r="AF441" s="115"/>
      <c r="AG441" s="115"/>
      <c r="AH441" s="115"/>
      <c r="AI441" s="115"/>
      <c r="AJ441" s="115"/>
      <c r="AK441" s="115"/>
      <c r="AL441" s="115"/>
      <c r="AM441" s="115"/>
    </row>
    <row r="442" spans="1:39" ht="17.100000000000001" customHeight="1">
      <c r="A442" s="151" t="s">
        <v>4079</v>
      </c>
      <c r="B442" s="151"/>
      <c r="C442" s="151"/>
      <c r="D442" s="151"/>
      <c r="E442" s="151"/>
      <c r="F442" s="165"/>
      <c r="G442" s="151"/>
      <c r="H442" s="151"/>
      <c r="I442" s="165"/>
      <c r="J442" s="165"/>
      <c r="K442" s="151"/>
      <c r="L442" s="151"/>
      <c r="M442" s="151"/>
      <c r="N442" s="151"/>
      <c r="O442" s="151"/>
      <c r="P442" s="151"/>
      <c r="R442" s="151"/>
      <c r="S442" s="151"/>
      <c r="T442" s="166"/>
      <c r="U442" s="167"/>
      <c r="V442" s="151"/>
      <c r="W442" s="151"/>
      <c r="X442" s="151"/>
      <c r="Y442" s="115"/>
      <c r="Z442" s="115"/>
      <c r="AA442" s="115"/>
      <c r="AB442" s="115"/>
      <c r="AC442" s="115"/>
      <c r="AD442" s="115"/>
      <c r="AE442" s="115"/>
      <c r="AF442" s="115"/>
      <c r="AG442" s="115"/>
      <c r="AH442" s="115"/>
      <c r="AI442" s="115"/>
      <c r="AJ442" s="115"/>
      <c r="AK442" s="115"/>
      <c r="AL442" s="115"/>
      <c r="AM442" s="115"/>
    </row>
    <row r="443" spans="1:39" ht="17.100000000000001" customHeight="1">
      <c r="A443" s="153" t="s">
        <v>4080</v>
      </c>
      <c r="B443" s="151"/>
      <c r="C443" s="151"/>
      <c r="D443" s="151"/>
      <c r="E443" s="151"/>
      <c r="F443" s="165"/>
      <c r="G443" s="151"/>
      <c r="H443" s="151"/>
      <c r="I443" s="165"/>
      <c r="J443" s="165"/>
      <c r="K443" s="151"/>
      <c r="L443" s="151"/>
      <c r="M443" s="151"/>
      <c r="N443" s="151"/>
      <c r="O443" s="151"/>
      <c r="P443" s="151"/>
      <c r="R443" s="151"/>
      <c r="S443" s="151"/>
      <c r="T443" s="166"/>
      <c r="U443" s="167"/>
      <c r="V443" s="151"/>
      <c r="W443" s="151"/>
      <c r="X443" s="151"/>
      <c r="Y443" s="115"/>
      <c r="Z443" s="115"/>
      <c r="AA443" s="115"/>
      <c r="AB443" s="115"/>
      <c r="AC443" s="115"/>
      <c r="AD443" s="115"/>
      <c r="AE443" s="115"/>
      <c r="AF443" s="115"/>
      <c r="AG443" s="115"/>
      <c r="AH443" s="115"/>
      <c r="AI443" s="115"/>
      <c r="AJ443" s="115"/>
      <c r="AK443" s="115"/>
      <c r="AL443" s="115"/>
      <c r="AM443" s="115"/>
    </row>
    <row r="444" spans="1:39">
      <c r="AJ444" s="115"/>
      <c r="AK444" s="115"/>
    </row>
    <row r="445" spans="1:39">
      <c r="AJ445" s="115"/>
      <c r="AK445" s="115"/>
    </row>
    <row r="446" spans="1:39">
      <c r="AJ446" s="115"/>
      <c r="AK446" s="115"/>
    </row>
  </sheetData>
  <hyperlinks>
    <hyperlink ref="AG259" r:id="rId1"/>
    <hyperlink ref="AG52" r:id="rId2" location="page_scan_tab_contents; Fishbase"/>
    <hyperlink ref="AG51" r:id="rId3" display="http://onlinelibrary.wiley.com/doi/10.1111/j.1939-165X.2011.00365.x/full;  Fishbase"/>
    <hyperlink ref="AG197" r:id="rId4" location="page_scan_tab_contents, , fishbase"/>
    <hyperlink ref="AG171" r:id="rId5" location="page_scan_tab_contents, , fishbase"/>
    <hyperlink ref="AG271" r:id="rId6" location=".V13ydLsrJdh, fishbase"/>
  </hyperlinks>
  <pageMargins left="0.7" right="0.7" top="0.75" bottom="0.75" header="0.3" footer="0.3"/>
  <pageSetup orientation="portrait" r:id="rId7"/>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topLeftCell="A10" workbookViewId="0">
      <selection activeCell="I25" sqref="I25:J25"/>
    </sheetView>
  </sheetViews>
  <sheetFormatPr defaultRowHeight="15"/>
  <cols>
    <col min="1" max="1" width="18.28515625" style="106" bestFit="1" customWidth="1"/>
  </cols>
  <sheetData>
    <row r="1" spans="1:2">
      <c r="A1" s="170" t="s">
        <v>1312</v>
      </c>
      <c r="B1" s="1" t="s">
        <v>1313</v>
      </c>
    </row>
    <row r="2" spans="1:2">
      <c r="A2" s="171" t="s">
        <v>4081</v>
      </c>
      <c r="B2" s="73" t="s">
        <v>1316</v>
      </c>
    </row>
    <row r="3" spans="1:2">
      <c r="A3" s="171" t="s">
        <v>4082</v>
      </c>
      <c r="B3" s="73" t="s">
        <v>1317</v>
      </c>
    </row>
    <row r="4" spans="1:2">
      <c r="A4" s="171" t="s">
        <v>3083</v>
      </c>
      <c r="B4" s="73" t="s">
        <v>3039</v>
      </c>
    </row>
    <row r="5" spans="1:2">
      <c r="A5" s="171" t="s">
        <v>4083</v>
      </c>
      <c r="B5" s="73" t="s">
        <v>4094</v>
      </c>
    </row>
    <row r="6" spans="1:2">
      <c r="A6" s="172" t="s">
        <v>4084</v>
      </c>
      <c r="B6" s="73" t="s">
        <v>4095</v>
      </c>
    </row>
    <row r="7" spans="1:2">
      <c r="A7" s="173" t="s">
        <v>3085</v>
      </c>
      <c r="B7" s="73" t="s">
        <v>4096</v>
      </c>
    </row>
    <row r="8" spans="1:2">
      <c r="A8" s="172" t="s">
        <v>4085</v>
      </c>
      <c r="B8" s="73" t="s">
        <v>4098</v>
      </c>
    </row>
    <row r="9" spans="1:2">
      <c r="A9" s="172" t="s">
        <v>4086</v>
      </c>
      <c r="B9" s="73" t="s">
        <v>4097</v>
      </c>
    </row>
    <row r="10" spans="1:2">
      <c r="A10" s="173" t="s">
        <v>3088</v>
      </c>
      <c r="B10" s="73" t="s">
        <v>4099</v>
      </c>
    </row>
    <row r="11" spans="1:2">
      <c r="A11" s="173" t="s">
        <v>3089</v>
      </c>
      <c r="B11" s="73" t="s">
        <v>4100</v>
      </c>
    </row>
    <row r="12" spans="1:2">
      <c r="A12" s="171" t="s">
        <v>3090</v>
      </c>
      <c r="B12" s="73" t="s">
        <v>1</v>
      </c>
    </row>
    <row r="13" spans="1:2">
      <c r="A13" s="171" t="s">
        <v>3091</v>
      </c>
      <c r="B13" s="73" t="s">
        <v>1395</v>
      </c>
    </row>
    <row r="14" spans="1:2">
      <c r="A14" s="171" t="s">
        <v>4087</v>
      </c>
      <c r="B14" s="73" t="s">
        <v>331</v>
      </c>
    </row>
    <row r="15" spans="1:2">
      <c r="A15" s="171" t="s">
        <v>4088</v>
      </c>
      <c r="B15" s="73" t="s">
        <v>4101</v>
      </c>
    </row>
    <row r="16" spans="1:2">
      <c r="A16" s="172" t="s">
        <v>4089</v>
      </c>
      <c r="B16" s="73" t="s">
        <v>4103</v>
      </c>
    </row>
    <row r="17" spans="1:2">
      <c r="A17" s="172" t="s">
        <v>4090</v>
      </c>
      <c r="B17" s="73" t="s">
        <v>4102</v>
      </c>
    </row>
    <row r="18" spans="1:2">
      <c r="A18" s="172" t="s">
        <v>4091</v>
      </c>
      <c r="B18" s="73" t="s">
        <v>4104</v>
      </c>
    </row>
    <row r="19" spans="1:2">
      <c r="A19" s="172" t="s">
        <v>3097</v>
      </c>
      <c r="B19" s="73" t="s">
        <v>4105</v>
      </c>
    </row>
    <row r="20" spans="1:2">
      <c r="A20" s="169" t="s">
        <v>4093</v>
      </c>
      <c r="B20" s="73" t="s">
        <v>4106</v>
      </c>
    </row>
    <row r="21" spans="1:2">
      <c r="A21" s="174" t="s">
        <v>3099</v>
      </c>
      <c r="B21" t="s">
        <v>4125</v>
      </c>
    </row>
    <row r="22" spans="1:2">
      <c r="A22" s="175" t="s">
        <v>3100</v>
      </c>
      <c r="B22" t="s">
        <v>4107</v>
      </c>
    </row>
    <row r="23" spans="1:2">
      <c r="A23" s="171" t="s">
        <v>4092</v>
      </c>
      <c r="B23" t="s">
        <v>4108</v>
      </c>
    </row>
    <row r="24" spans="1:2">
      <c r="A24" s="171" t="s">
        <v>3102</v>
      </c>
      <c r="B24" t="s">
        <v>4109</v>
      </c>
    </row>
    <row r="25" spans="1:2">
      <c r="A25" s="171" t="s">
        <v>3</v>
      </c>
      <c r="B25" t="s">
        <v>4110</v>
      </c>
    </row>
    <row r="26" spans="1:2">
      <c r="A26" s="176" t="s">
        <v>3103</v>
      </c>
      <c r="B26" t="s">
        <v>4111</v>
      </c>
    </row>
    <row r="27" spans="1:2">
      <c r="A27" s="176" t="s">
        <v>3104</v>
      </c>
      <c r="B27" t="s">
        <v>4112</v>
      </c>
    </row>
    <row r="28" spans="1:2">
      <c r="A28" s="176" t="s">
        <v>3105</v>
      </c>
      <c r="B28" t="s">
        <v>4113</v>
      </c>
    </row>
    <row r="29" spans="1:2">
      <c r="A29" s="177" t="s">
        <v>3106</v>
      </c>
      <c r="B29" t="s">
        <v>4114</v>
      </c>
    </row>
    <row r="30" spans="1:2">
      <c r="A30" s="177" t="s">
        <v>3107</v>
      </c>
      <c r="B30" t="s">
        <v>4115</v>
      </c>
    </row>
    <row r="31" spans="1:2">
      <c r="A31" s="176" t="s">
        <v>3108</v>
      </c>
      <c r="B31" t="s">
        <v>4116</v>
      </c>
    </row>
    <row r="32" spans="1:2">
      <c r="A32" s="177" t="s">
        <v>3109</v>
      </c>
      <c r="B32" t="s">
        <v>4117</v>
      </c>
    </row>
    <row r="33" spans="1:2">
      <c r="A33" s="177" t="s">
        <v>3110</v>
      </c>
      <c r="B33" t="s">
        <v>4118</v>
      </c>
    </row>
    <row r="34" spans="1:2">
      <c r="A34" s="178" t="s">
        <v>332</v>
      </c>
      <c r="B34" t="s">
        <v>4119</v>
      </c>
    </row>
    <row r="35" spans="1:2">
      <c r="A35" s="177" t="s">
        <v>3111</v>
      </c>
      <c r="B35" t="s">
        <v>4120</v>
      </c>
    </row>
    <row r="36" spans="1:2">
      <c r="A36" s="177" t="s">
        <v>3112</v>
      </c>
      <c r="B36" t="s">
        <v>4121</v>
      </c>
    </row>
    <row r="37" spans="1:2">
      <c r="A37" s="177" t="s">
        <v>558</v>
      </c>
      <c r="B37" s="73" t="s">
        <v>3074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3"/>
  <sheetViews>
    <sheetView workbookViewId="0">
      <selection activeCell="E3" sqref="E3"/>
    </sheetView>
  </sheetViews>
  <sheetFormatPr defaultRowHeight="15"/>
  <sheetData>
    <row r="1" spans="1:5">
      <c r="A1" s="1" t="s">
        <v>1446</v>
      </c>
    </row>
    <row r="3" spans="1:5">
      <c r="A3" t="s">
        <v>272</v>
      </c>
      <c r="B3" t="s">
        <v>14</v>
      </c>
      <c r="C3" t="s">
        <v>2</v>
      </c>
      <c r="D3" t="s">
        <v>270</v>
      </c>
      <c r="E3" t="s">
        <v>269</v>
      </c>
    </row>
    <row r="4" spans="1:5">
      <c r="A4" s="90">
        <v>6.1171305090789397E-11</v>
      </c>
      <c r="B4">
        <v>-23.517342907430201</v>
      </c>
      <c r="C4">
        <v>30.685646712314298</v>
      </c>
      <c r="D4">
        <v>26.2176065705717</v>
      </c>
      <c r="E4">
        <v>22.725741315074298</v>
      </c>
    </row>
    <row r="5" spans="1:5">
      <c r="A5" s="90">
        <v>2.0437217930845201E-7</v>
      </c>
      <c r="B5">
        <v>-15.403323096938999</v>
      </c>
      <c r="C5">
        <v>29.903871955349999</v>
      </c>
      <c r="D5">
        <v>18.332562944851801</v>
      </c>
      <c r="E5">
        <v>23.03845121786</v>
      </c>
    </row>
    <row r="6" spans="1:5">
      <c r="A6">
        <v>2.5115182829161902E-4</v>
      </c>
      <c r="B6">
        <v>-8.2894529081147699</v>
      </c>
      <c r="C6">
        <v>23.585522689390899</v>
      </c>
      <c r="D6">
        <v>16.9641686137766</v>
      </c>
      <c r="E6">
        <v>25.565790924243601</v>
      </c>
    </row>
    <row r="7" spans="1:5">
      <c r="A7" s="90">
        <v>1.0669453578582501E-11</v>
      </c>
      <c r="B7">
        <v>-25.263636262930699</v>
      </c>
      <c r="C7">
        <v>30.087345203850401</v>
      </c>
      <c r="D7">
        <v>19.124026969075199</v>
      </c>
      <c r="E7">
        <v>22.965061918459799</v>
      </c>
    </row>
    <row r="8" spans="1:5">
      <c r="A8" s="90">
        <v>2.1325314385867498E-8</v>
      </c>
      <c r="B8">
        <v>-17.663371001081</v>
      </c>
      <c r="C8">
        <v>22.3564757602289</v>
      </c>
      <c r="D8">
        <v>23.39003872592</v>
      </c>
      <c r="E8">
        <v>26.057409695908401</v>
      </c>
    </row>
    <row r="9" spans="1:5">
      <c r="A9">
        <v>2.6233099544365101E-2</v>
      </c>
      <c r="B9">
        <v>-3.64073332417136</v>
      </c>
      <c r="C9">
        <v>26.891364116221698</v>
      </c>
      <c r="D9">
        <v>30.6526623805985</v>
      </c>
      <c r="E9">
        <v>24.2434543535113</v>
      </c>
    </row>
    <row r="10" spans="1:5">
      <c r="A10" s="90">
        <v>7.9640452921412794E-11</v>
      </c>
      <c r="B10">
        <v>-23.253498949639098</v>
      </c>
      <c r="C10">
        <v>24.095393213909102</v>
      </c>
      <c r="D10">
        <v>34.8271078057587</v>
      </c>
      <c r="E10">
        <v>25.3618427144363</v>
      </c>
    </row>
    <row r="11" spans="1:5">
      <c r="A11" s="90">
        <v>3.9585206278522099E-10</v>
      </c>
      <c r="B11">
        <v>-21.649980553297201</v>
      </c>
      <c r="C11">
        <v>35.339192015118897</v>
      </c>
      <c r="D11">
        <v>20.0629796180874</v>
      </c>
      <c r="E11">
        <v>20.864323193952401</v>
      </c>
    </row>
    <row r="12" spans="1:5">
      <c r="A12">
        <v>2.8419403767351401E-2</v>
      </c>
      <c r="B12">
        <v>-3.5606831358664199</v>
      </c>
      <c r="C12">
        <v>28.633317092899201</v>
      </c>
      <c r="D12">
        <v>16.3897910295054</v>
      </c>
      <c r="E12">
        <v>23.5466731628403</v>
      </c>
    </row>
    <row r="13" spans="1:5">
      <c r="A13">
        <v>3.99911640646778E-3</v>
      </c>
      <c r="B13">
        <v>-5.5216818406469397</v>
      </c>
      <c r="C13">
        <v>36.437318539712599</v>
      </c>
      <c r="D13">
        <v>20.543618565425302</v>
      </c>
      <c r="E13">
        <v>20.425072584115</v>
      </c>
    </row>
    <row r="14" spans="1:5">
      <c r="A14" s="90">
        <v>8.3703501829614301E-7</v>
      </c>
      <c r="B14">
        <v>-13.993399929463401</v>
      </c>
      <c r="C14">
        <v>37.7822478422895</v>
      </c>
      <c r="D14">
        <v>17.868419918231702</v>
      </c>
      <c r="E14">
        <v>19.8871008630842</v>
      </c>
    </row>
    <row r="15" spans="1:5">
      <c r="A15" s="90">
        <v>3.1120354258550297E-5</v>
      </c>
      <c r="B15">
        <v>-10.3776484750894</v>
      </c>
      <c r="C15">
        <v>31.790408554021301</v>
      </c>
      <c r="D15">
        <v>26.8134496407583</v>
      </c>
      <c r="E15">
        <v>22.283836578391501</v>
      </c>
    </row>
    <row r="16" spans="1:5">
      <c r="A16" s="90">
        <v>4.6610095701024802E-10</v>
      </c>
      <c r="B16">
        <v>-21.486618859322501</v>
      </c>
      <c r="C16">
        <v>27.030031492002301</v>
      </c>
      <c r="D16">
        <v>20.6916770711541</v>
      </c>
      <c r="E16">
        <v>24.187987403199099</v>
      </c>
    </row>
    <row r="17" spans="1:5">
      <c r="A17">
        <v>9.8112887661498394E-3</v>
      </c>
      <c r="B17">
        <v>-4.6242216413372903</v>
      </c>
      <c r="C17">
        <v>24.8618704178371</v>
      </c>
      <c r="D17">
        <v>21.5502804890275</v>
      </c>
      <c r="E17">
        <v>25.055251832865199</v>
      </c>
    </row>
    <row r="18" spans="1:5">
      <c r="A18" s="90">
        <v>2.48448236776243E-5</v>
      </c>
      <c r="B18">
        <v>-10.602861129831</v>
      </c>
      <c r="C18">
        <v>12.8646426065825</v>
      </c>
      <c r="D18">
        <v>19.882673867978198</v>
      </c>
      <c r="E18">
        <v>29.854142957366999</v>
      </c>
    </row>
    <row r="19" spans="1:5">
      <c r="A19" s="90">
        <v>1.6244043907909099E-10</v>
      </c>
      <c r="B19">
        <v>-22.540709710090901</v>
      </c>
      <c r="C19">
        <v>40.5523072853684</v>
      </c>
      <c r="D19">
        <v>19.281254033558099</v>
      </c>
      <c r="E19">
        <v>18.779077085852599</v>
      </c>
    </row>
    <row r="20" spans="1:5">
      <c r="A20" s="90">
        <v>1.3811412199915999E-12</v>
      </c>
      <c r="B20">
        <v>-27.308110987503198</v>
      </c>
      <c r="C20">
        <v>15.838689330034001</v>
      </c>
      <c r="D20">
        <v>24.066463909111899</v>
      </c>
      <c r="E20">
        <v>28.664524267986401</v>
      </c>
    </row>
    <row r="21" spans="1:5">
      <c r="A21" s="90">
        <v>1.8225967432174099E-6</v>
      </c>
      <c r="B21">
        <v>-13.2152482917743</v>
      </c>
      <c r="C21">
        <v>24.4666707701981</v>
      </c>
      <c r="D21">
        <v>27.654984439723201</v>
      </c>
      <c r="E21">
        <v>25.2133316919208</v>
      </c>
    </row>
    <row r="22" spans="1:5">
      <c r="A22">
        <v>1.0874070926856799E-2</v>
      </c>
      <c r="B22">
        <v>-4.5213741376700796</v>
      </c>
      <c r="C22">
        <v>25.4458013237454</v>
      </c>
      <c r="D22">
        <v>30.838274238631101</v>
      </c>
      <c r="E22">
        <v>24.821679470501799</v>
      </c>
    </row>
    <row r="23" spans="1:5">
      <c r="A23">
        <v>6.3669394451295897E-4</v>
      </c>
      <c r="B23">
        <v>-7.3592214817247701</v>
      </c>
      <c r="C23">
        <v>36.353523794561603</v>
      </c>
      <c r="D23">
        <v>33.274218211881802</v>
      </c>
      <c r="E23">
        <v>20.4585904821753</v>
      </c>
    </row>
    <row r="24" spans="1:5">
      <c r="A24" s="90">
        <v>9.7933998715708902E-10</v>
      </c>
      <c r="B24">
        <v>-20.744142253647901</v>
      </c>
      <c r="C24">
        <v>15.995449612382799</v>
      </c>
      <c r="D24">
        <v>18.698165048845102</v>
      </c>
      <c r="E24">
        <v>28.601820155046902</v>
      </c>
    </row>
    <row r="25" spans="1:5">
      <c r="A25">
        <v>3.0140363774153699E-4</v>
      </c>
      <c r="B25">
        <v>-8.1070602023638294</v>
      </c>
      <c r="C25">
        <v>8.4730589017271996</v>
      </c>
      <c r="D25">
        <v>19.2852192930877</v>
      </c>
      <c r="E25">
        <v>31.610776439309099</v>
      </c>
    </row>
    <row r="26" spans="1:5">
      <c r="A26" s="90">
        <v>5.8065344559461003E-11</v>
      </c>
      <c r="B26">
        <v>-23.5694521092183</v>
      </c>
      <c r="C26">
        <v>43.299061117693803</v>
      </c>
      <c r="D26">
        <v>28.5414331452921</v>
      </c>
      <c r="E26">
        <v>17.680375552922499</v>
      </c>
    </row>
    <row r="27" spans="1:5">
      <c r="A27" s="90">
        <v>1.1031840529097999E-12</v>
      </c>
      <c r="B27">
        <v>-27.532820523839</v>
      </c>
      <c r="C27">
        <v>25.854236606974201</v>
      </c>
      <c r="D27">
        <v>24.7944926843047</v>
      </c>
      <c r="E27">
        <v>24.658305357210299</v>
      </c>
    </row>
    <row r="28" spans="1:5">
      <c r="A28" s="90">
        <v>9.6109202496381206E-6</v>
      </c>
      <c r="B28">
        <v>-11.552610579979</v>
      </c>
      <c r="C28">
        <v>34.116060100030197</v>
      </c>
      <c r="D28">
        <v>23.058334724046301</v>
      </c>
      <c r="E28">
        <v>21.3535759599879</v>
      </c>
    </row>
    <row r="29" spans="1:5">
      <c r="A29" s="90">
        <v>3.5313782603279198E-10</v>
      </c>
      <c r="B29">
        <v>-21.764162693178701</v>
      </c>
      <c r="C29">
        <v>43.809005971532301</v>
      </c>
      <c r="D29">
        <v>17.536534084938499</v>
      </c>
      <c r="E29">
        <v>17.4763976113871</v>
      </c>
    </row>
    <row r="30" spans="1:5">
      <c r="A30" s="90">
        <v>3.0997038574018701E-9</v>
      </c>
      <c r="B30">
        <v>-19.591959259888899</v>
      </c>
      <c r="C30">
        <v>11.1985353915952</v>
      </c>
      <c r="D30">
        <v>28.063737172633399</v>
      </c>
      <c r="E30">
        <v>30.5205858433619</v>
      </c>
    </row>
    <row r="31" spans="1:5">
      <c r="A31" s="90">
        <v>4.5298864124061903E-5</v>
      </c>
      <c r="B31">
        <v>-10.0022286003137</v>
      </c>
      <c r="C31">
        <v>22.096033028792601</v>
      </c>
      <c r="D31">
        <v>19.223600937984902</v>
      </c>
      <c r="E31">
        <v>26.161586788483</v>
      </c>
    </row>
    <row r="32" spans="1:5">
      <c r="A32" s="90">
        <v>6.0717986466552397E-6</v>
      </c>
      <c r="B32">
        <v>-12.011855679380099</v>
      </c>
      <c r="C32">
        <v>43.094171598088003</v>
      </c>
      <c r="D32">
        <v>18.545440724119501</v>
      </c>
      <c r="E32">
        <v>17.762331360764801</v>
      </c>
    </row>
    <row r="33" spans="1:5">
      <c r="A33" s="90">
        <v>1.64169579362338E-6</v>
      </c>
      <c r="B33">
        <v>-13.3197808298571</v>
      </c>
      <c r="C33">
        <v>8.8313027662225103</v>
      </c>
      <c r="D33">
        <v>22.348083448596299</v>
      </c>
      <c r="E33">
        <v>31.467478893511</v>
      </c>
    </row>
    <row r="34" spans="1:5">
      <c r="A34" s="90">
        <v>2.1946561641989199E-6</v>
      </c>
      <c r="B34">
        <v>-13.0294851687191</v>
      </c>
      <c r="C34">
        <v>36.260352055076503</v>
      </c>
      <c r="D34">
        <v>19.598424551077201</v>
      </c>
      <c r="E34">
        <v>20.4958591779694</v>
      </c>
    </row>
    <row r="35" spans="1:5">
      <c r="A35" s="90">
        <v>4.8651807005672403E-7</v>
      </c>
      <c r="B35">
        <v>-14.5359917930364</v>
      </c>
      <c r="C35">
        <v>44.630476575344801</v>
      </c>
      <c r="D35">
        <v>16.018761657178398</v>
      </c>
      <c r="E35">
        <v>17.147809369862099</v>
      </c>
    </row>
    <row r="36" spans="1:5">
      <c r="A36" s="90">
        <v>2.0415148227174401E-7</v>
      </c>
      <c r="B36">
        <v>-15.404403558507999</v>
      </c>
      <c r="C36">
        <v>42.680347844958298</v>
      </c>
      <c r="D36">
        <v>21.271593505516599</v>
      </c>
      <c r="E36">
        <v>17.927860862016701</v>
      </c>
    </row>
    <row r="37" spans="1:5">
      <c r="A37" s="90">
        <v>9.0639877214538101E-10</v>
      </c>
      <c r="B37">
        <v>-20.8215417608655</v>
      </c>
      <c r="C37">
        <v>48.558527569286497</v>
      </c>
      <c r="D37">
        <v>17.310668677091599</v>
      </c>
      <c r="E37">
        <v>15.5765889722854</v>
      </c>
    </row>
    <row r="38" spans="1:5">
      <c r="A38">
        <v>1.2978005371029101E-4</v>
      </c>
      <c r="B38">
        <v>-8.9496694349148793</v>
      </c>
      <c r="C38">
        <v>10.122718908824</v>
      </c>
      <c r="D38">
        <v>27.343020727857901</v>
      </c>
      <c r="E38">
        <v>30.9509124364704</v>
      </c>
    </row>
    <row r="39" spans="1:5">
      <c r="A39" s="90">
        <v>6.9642830419279605E-10</v>
      </c>
      <c r="B39">
        <v>-21.085056265275199</v>
      </c>
      <c r="C39">
        <v>38.673317718785299</v>
      </c>
      <c r="D39">
        <v>17.677850979380299</v>
      </c>
      <c r="E39">
        <v>19.530672912485901</v>
      </c>
    </row>
    <row r="40" spans="1:5">
      <c r="A40">
        <v>2.60946665606126E-3</v>
      </c>
      <c r="B40">
        <v>-5.9486094248657704</v>
      </c>
      <c r="C40">
        <v>27.575353024527399</v>
      </c>
      <c r="D40">
        <v>19.140874482691299</v>
      </c>
      <c r="E40">
        <v>23.969858790189001</v>
      </c>
    </row>
    <row r="41" spans="1:5">
      <c r="A41" s="90">
        <v>7.5630110715904697E-11</v>
      </c>
      <c r="B41">
        <v>-23.305166622146501</v>
      </c>
      <c r="C41">
        <v>42.967107654083499</v>
      </c>
      <c r="D41">
        <v>23.7076182616875</v>
      </c>
      <c r="E41">
        <v>17.8131569383666</v>
      </c>
    </row>
    <row r="42" spans="1:5">
      <c r="A42" s="90">
        <v>1.40791450532336E-6</v>
      </c>
      <c r="B42">
        <v>-13.473401022722999</v>
      </c>
      <c r="C42">
        <v>48.575825354549998</v>
      </c>
      <c r="D42">
        <v>31.1402181629092</v>
      </c>
      <c r="E42">
        <v>15.569669858179999</v>
      </c>
    </row>
    <row r="43" spans="1:5">
      <c r="A43" s="90">
        <v>1.0900777640887701E-7</v>
      </c>
      <c r="B43">
        <v>-16.031846614061401</v>
      </c>
      <c r="C43">
        <v>35.690173735842102</v>
      </c>
      <c r="D43">
        <v>28.7222837470472</v>
      </c>
      <c r="E43">
        <v>20.723930505663201</v>
      </c>
    </row>
    <row r="44" spans="1:5">
      <c r="A44" s="90">
        <v>1.8986464040839199E-6</v>
      </c>
      <c r="B44">
        <v>-13.174369344585999</v>
      </c>
      <c r="C44">
        <v>19.440493359230501</v>
      </c>
      <c r="D44">
        <v>25.063657434657198</v>
      </c>
      <c r="E44">
        <v>27.2238026563078</v>
      </c>
    </row>
    <row r="45" spans="1:5">
      <c r="A45" s="90">
        <v>1.35370669284042E-12</v>
      </c>
      <c r="B45">
        <v>-27.328174587622101</v>
      </c>
      <c r="C45">
        <v>26.5474280836061</v>
      </c>
      <c r="D45">
        <v>24.832758740521999</v>
      </c>
      <c r="E45">
        <v>24.381028766557598</v>
      </c>
    </row>
    <row r="46" spans="1:5">
      <c r="A46" s="90">
        <v>2.3863098712666701E-5</v>
      </c>
      <c r="B46">
        <v>-10.6431772791206</v>
      </c>
      <c r="C46">
        <v>49.015608209650999</v>
      </c>
      <c r="D46">
        <v>18.592870729044101</v>
      </c>
      <c r="E46">
        <v>15.393756716139601</v>
      </c>
    </row>
    <row r="47" spans="1:5">
      <c r="A47">
        <v>6.0993668567247E-3</v>
      </c>
      <c r="B47">
        <v>-5.0995703071694001</v>
      </c>
      <c r="C47">
        <v>12.816277580801399</v>
      </c>
      <c r="D47">
        <v>22.535978276282499</v>
      </c>
      <c r="E47">
        <v>29.8734889676794</v>
      </c>
    </row>
    <row r="48" spans="1:5">
      <c r="A48">
        <v>1.8745389773182498E-2</v>
      </c>
      <c r="B48">
        <v>-3.9768074355624599</v>
      </c>
      <c r="C48">
        <v>41.608713156543701</v>
      </c>
      <c r="D48">
        <v>19.072520146146399</v>
      </c>
      <c r="E48">
        <v>18.356514737382501</v>
      </c>
    </row>
    <row r="49" spans="1:5">
      <c r="A49" s="90">
        <v>7.8848639917803406E-11</v>
      </c>
      <c r="B49">
        <v>-23.263491051649801</v>
      </c>
      <c r="C49">
        <v>30.910393992904599</v>
      </c>
      <c r="D49">
        <v>29.298386876471302</v>
      </c>
      <c r="E49">
        <v>22.6358424028382</v>
      </c>
    </row>
    <row r="50" spans="1:5">
      <c r="A50" s="90">
        <v>3.9104759197405399E-14</v>
      </c>
      <c r="B50">
        <v>-30.872532216722799</v>
      </c>
      <c r="C50">
        <v>37.385432556271603</v>
      </c>
      <c r="D50">
        <v>18.694192590191999</v>
      </c>
      <c r="E50">
        <v>20.045826977491402</v>
      </c>
    </row>
    <row r="51" spans="1:5">
      <c r="A51" s="90">
        <v>1.10858088660723E-7</v>
      </c>
      <c r="B51">
        <v>-16.015014934121599</v>
      </c>
      <c r="C51">
        <v>12.174313869793</v>
      </c>
      <c r="D51">
        <v>31.181667190976398</v>
      </c>
      <c r="E51">
        <v>30.130274452082801</v>
      </c>
    </row>
    <row r="52" spans="1:5">
      <c r="A52" s="90">
        <v>5.30571561392111E-11</v>
      </c>
      <c r="B52">
        <v>-23.659651365730099</v>
      </c>
      <c r="C52">
        <v>25.8853162471205</v>
      </c>
      <c r="D52">
        <v>27.643592506647099</v>
      </c>
      <c r="E52">
        <v>24.645873501151801</v>
      </c>
    </row>
    <row r="53" spans="1:5">
      <c r="A53" s="90">
        <v>3.5502404969244802E-12</v>
      </c>
      <c r="B53">
        <v>-26.364005769123299</v>
      </c>
      <c r="C53">
        <v>12.8927546381019</v>
      </c>
      <c r="D53">
        <v>19.140816759318099</v>
      </c>
      <c r="E53">
        <v>29.8428981447592</v>
      </c>
    </row>
    <row r="54" spans="1:5">
      <c r="A54" s="90">
        <v>1.1211195616451101E-14</v>
      </c>
      <c r="B54">
        <v>-32.1218635072739</v>
      </c>
      <c r="C54">
        <v>8.2276276713237202</v>
      </c>
      <c r="D54">
        <v>34.210301060229497</v>
      </c>
      <c r="E54">
        <v>31.708948931470498</v>
      </c>
    </row>
    <row r="55" spans="1:5">
      <c r="A55" s="90">
        <v>1.12813236287459E-11</v>
      </c>
      <c r="B55">
        <v>-25.207872533768899</v>
      </c>
      <c r="C55">
        <v>11.0923623773269</v>
      </c>
      <c r="D55">
        <v>27.767316154204298</v>
      </c>
      <c r="E55">
        <v>30.563055049069199</v>
      </c>
    </row>
    <row r="56" spans="1:5">
      <c r="A56" s="90">
        <v>4.8905744639000697E-10</v>
      </c>
      <c r="B56">
        <v>-21.438541156073398</v>
      </c>
      <c r="C56">
        <v>10.392217339482199</v>
      </c>
      <c r="D56">
        <v>27.645044634118701</v>
      </c>
      <c r="E56">
        <v>30.843113064207099</v>
      </c>
    </row>
    <row r="57" spans="1:5">
      <c r="A57" s="90">
        <v>1.27274899389225E-5</v>
      </c>
      <c r="B57">
        <v>-11.271746341669299</v>
      </c>
      <c r="C57">
        <v>17.210116150323302</v>
      </c>
      <c r="D57">
        <v>30.136939426884101</v>
      </c>
      <c r="E57">
        <v>28.115953539870699</v>
      </c>
    </row>
    <row r="58" spans="1:5">
      <c r="A58" s="90">
        <v>2.1766897331743302E-6</v>
      </c>
      <c r="B58">
        <v>-13.0377053062297</v>
      </c>
      <c r="C58">
        <v>47.610775371547803</v>
      </c>
      <c r="D58">
        <v>33.506704331375701</v>
      </c>
      <c r="E58">
        <v>15.9556898513809</v>
      </c>
    </row>
    <row r="59" spans="1:5">
      <c r="A59" s="90">
        <v>2.91214985174117E-7</v>
      </c>
      <c r="B59">
        <v>-15.049204061872</v>
      </c>
      <c r="C59">
        <v>36.519777175970397</v>
      </c>
      <c r="D59">
        <v>15.413469038903701</v>
      </c>
      <c r="E59">
        <v>20.392089129611801</v>
      </c>
    </row>
    <row r="60" spans="1:5">
      <c r="A60" s="90">
        <v>5.0342405224548397E-11</v>
      </c>
      <c r="B60">
        <v>-23.712173347773</v>
      </c>
      <c r="C60">
        <v>33.473345067352099</v>
      </c>
      <c r="D60">
        <v>17.623046846129</v>
      </c>
      <c r="E60">
        <v>21.610661973059202</v>
      </c>
    </row>
    <row r="61" spans="1:5">
      <c r="A61" s="90">
        <v>1.4675136348761499E-8</v>
      </c>
      <c r="B61">
        <v>-18.0371111800481</v>
      </c>
      <c r="C61">
        <v>36.3631278350949</v>
      </c>
      <c r="D61">
        <v>18.0379696656018</v>
      </c>
      <c r="E61">
        <v>20.454748865961999</v>
      </c>
    </row>
    <row r="62" spans="1:5">
      <c r="A62" s="90">
        <v>2.2454689137169999E-8</v>
      </c>
      <c r="B62">
        <v>-17.611766374315899</v>
      </c>
      <c r="C62">
        <v>46.2833256046288</v>
      </c>
      <c r="D62">
        <v>16.668004677631</v>
      </c>
      <c r="E62">
        <v>16.486669758148501</v>
      </c>
    </row>
    <row r="63" spans="1:5">
      <c r="A63" s="90">
        <v>3.4276145942754398E-5</v>
      </c>
      <c r="B63">
        <v>-10.281060899296399</v>
      </c>
      <c r="C63">
        <v>48.217950760386898</v>
      </c>
      <c r="D63">
        <v>22.533829081803599</v>
      </c>
      <c r="E63">
        <v>15.7128196958452</v>
      </c>
    </row>
    <row r="64" spans="1:5">
      <c r="A64" s="90">
        <v>2.9825586644320101E-9</v>
      </c>
      <c r="B64">
        <v>-19.630484292600201</v>
      </c>
      <c r="C64">
        <v>27.782711468637</v>
      </c>
      <c r="D64">
        <v>34.151876298710697</v>
      </c>
      <c r="E64">
        <v>23.8869154125452</v>
      </c>
    </row>
    <row r="65" spans="1:5">
      <c r="A65" s="90">
        <v>2.9780424428090799E-10</v>
      </c>
      <c r="B65">
        <v>-21.934584743661599</v>
      </c>
      <c r="C65">
        <v>8.8040977558121103</v>
      </c>
      <c r="D65">
        <v>25.774094355292601</v>
      </c>
      <c r="E65">
        <v>31.478360897675199</v>
      </c>
    </row>
    <row r="66" spans="1:5">
      <c r="A66">
        <v>2.7259866588921398E-4</v>
      </c>
      <c r="B66">
        <v>-8.2075099327372403</v>
      </c>
      <c r="C66">
        <v>23.799612577073301</v>
      </c>
      <c r="D66">
        <v>32.951080966740797</v>
      </c>
      <c r="E66">
        <v>25.480154969170702</v>
      </c>
    </row>
    <row r="67" spans="1:5">
      <c r="A67" s="90">
        <v>2.4415179446848598E-9</v>
      </c>
      <c r="B67">
        <v>-19.830645882593199</v>
      </c>
      <c r="C67">
        <v>18.466205114964399</v>
      </c>
      <c r="D67">
        <v>30.691772615537001</v>
      </c>
      <c r="E67">
        <v>27.613517954014199</v>
      </c>
    </row>
    <row r="68" spans="1:5">
      <c r="A68">
        <v>2.0947648499938199E-3</v>
      </c>
      <c r="B68">
        <v>-6.1683139753475098</v>
      </c>
      <c r="C68">
        <v>29.1604808652773</v>
      </c>
      <c r="D68">
        <v>23.444647970609399</v>
      </c>
      <c r="E68">
        <v>23.335807653889098</v>
      </c>
    </row>
    <row r="69" spans="1:5">
      <c r="A69">
        <v>3.17275554554627E-2</v>
      </c>
      <c r="B69">
        <v>-3.4505697184140902</v>
      </c>
      <c r="C69">
        <v>43.975022166036098</v>
      </c>
      <c r="D69">
        <v>23.8038572855294</v>
      </c>
      <c r="E69">
        <v>17.409991133585599</v>
      </c>
    </row>
    <row r="70" spans="1:5">
      <c r="A70" s="90">
        <v>3.7776142925191402E-11</v>
      </c>
      <c r="B70">
        <v>-23.999343352100599</v>
      </c>
      <c r="C70">
        <v>23.560255942400499</v>
      </c>
      <c r="D70">
        <v>20.419775606133001</v>
      </c>
      <c r="E70">
        <v>25.575897623039801</v>
      </c>
    </row>
    <row r="71" spans="1:5">
      <c r="A71">
        <v>1.5866482971879901E-2</v>
      </c>
      <c r="B71">
        <v>-4.1435463838824198</v>
      </c>
      <c r="C71">
        <v>8.2419932377524692</v>
      </c>
      <c r="D71">
        <v>34.371520588174498</v>
      </c>
      <c r="E71">
        <v>31.703202704898999</v>
      </c>
    </row>
    <row r="72" spans="1:5">
      <c r="A72">
        <v>1.6792839412827301E-3</v>
      </c>
      <c r="B72">
        <v>-6.3893878018537897</v>
      </c>
      <c r="C72">
        <v>14.076846458949101</v>
      </c>
      <c r="D72">
        <v>19.005102105438699</v>
      </c>
      <c r="E72">
        <v>29.369261416420301</v>
      </c>
    </row>
    <row r="73" spans="1:5">
      <c r="A73" s="90">
        <v>5.3219133863510097E-14</v>
      </c>
      <c r="B73">
        <v>-30.564358404136399</v>
      </c>
      <c r="C73">
        <v>20.608615709934401</v>
      </c>
      <c r="D73">
        <v>21.649803090840599</v>
      </c>
      <c r="E73">
        <v>26.7565537160262</v>
      </c>
    </row>
    <row r="74" spans="1:5">
      <c r="A74" s="90">
        <v>2.51748316305448E-8</v>
      </c>
      <c r="B74">
        <v>-17.4974210863266</v>
      </c>
      <c r="C74">
        <v>23.909008859191101</v>
      </c>
      <c r="D74">
        <v>31.264582453295599</v>
      </c>
      <c r="E74">
        <v>25.4363964563236</v>
      </c>
    </row>
    <row r="75" spans="1:5">
      <c r="A75" s="90">
        <v>1.14774273587052E-14</v>
      </c>
      <c r="B75">
        <v>-32.098394126806703</v>
      </c>
      <c r="C75">
        <v>17.514065326191499</v>
      </c>
      <c r="D75">
        <v>22.633836036548001</v>
      </c>
      <c r="E75">
        <v>27.9943738695234</v>
      </c>
    </row>
    <row r="76" spans="1:5">
      <c r="A76" s="90">
        <v>2.52475116175716E-10</v>
      </c>
      <c r="B76">
        <v>-22.099708421868598</v>
      </c>
      <c r="C76">
        <v>27.9394553420134</v>
      </c>
      <c r="D76">
        <v>28.291274504736101</v>
      </c>
      <c r="E76">
        <v>23.824217863194601</v>
      </c>
    </row>
    <row r="77" spans="1:5">
      <c r="A77">
        <v>1.07931895329881E-2</v>
      </c>
      <c r="B77">
        <v>-4.5288399425604098</v>
      </c>
      <c r="C77">
        <v>38.425607949029697</v>
      </c>
      <c r="D77">
        <v>21.725347838364499</v>
      </c>
      <c r="E77">
        <v>19.629756820388099</v>
      </c>
    </row>
    <row r="78" spans="1:5">
      <c r="A78" s="90">
        <v>2.67795406269547E-14</v>
      </c>
      <c r="B78">
        <v>-31.251138208381199</v>
      </c>
      <c r="C78">
        <v>8.4757082662545091</v>
      </c>
      <c r="D78">
        <v>31.675483323633699</v>
      </c>
      <c r="E78">
        <v>31.6097166934982</v>
      </c>
    </row>
    <row r="79" spans="1:5">
      <c r="A79">
        <v>1.1820169043732899E-3</v>
      </c>
      <c r="B79">
        <v>-6.7405330586002501</v>
      </c>
      <c r="C79">
        <v>47.0787748051807</v>
      </c>
      <c r="D79">
        <v>19.386010216549</v>
      </c>
      <c r="E79">
        <v>16.1684900779277</v>
      </c>
    </row>
    <row r="80" spans="1:5">
      <c r="A80" s="90">
        <v>2.8179674101071499E-10</v>
      </c>
      <c r="B80">
        <v>-21.989835081432499</v>
      </c>
      <c r="C80">
        <v>43.1486865659244</v>
      </c>
      <c r="D80">
        <v>34.937438732013099</v>
      </c>
      <c r="E80">
        <v>17.740525373630199</v>
      </c>
    </row>
    <row r="81" spans="1:5">
      <c r="A81" s="90">
        <v>3.6869041269034102E-14</v>
      </c>
      <c r="B81">
        <v>-30.931404186012401</v>
      </c>
      <c r="C81">
        <v>47.0233177980408</v>
      </c>
      <c r="D81">
        <v>23.9395537506789</v>
      </c>
      <c r="E81">
        <v>16.190672880783701</v>
      </c>
    </row>
    <row r="82" spans="1:5">
      <c r="A82" s="90">
        <v>3.2509639692306502E-10</v>
      </c>
      <c r="B82">
        <v>-21.846899371660498</v>
      </c>
      <c r="C82">
        <v>22.099556645378499</v>
      </c>
      <c r="D82">
        <v>27.349185296334301</v>
      </c>
      <c r="E82">
        <v>26.160177341848598</v>
      </c>
    </row>
    <row r="83" spans="1:5">
      <c r="A83" s="90">
        <v>3.6465170621612902E-14</v>
      </c>
      <c r="B83">
        <v>-30.9424188194339</v>
      </c>
      <c r="C83">
        <v>16.166454232297799</v>
      </c>
      <c r="D83">
        <v>26.2872678833082</v>
      </c>
      <c r="E83">
        <v>28.5334183070809</v>
      </c>
    </row>
    <row r="84" spans="1:5">
      <c r="A84" s="90">
        <v>8.5693460372580494E-9</v>
      </c>
      <c r="B84">
        <v>-18.5750744156196</v>
      </c>
      <c r="C84">
        <v>42.980698439292603</v>
      </c>
      <c r="D84">
        <v>30.2140942681581</v>
      </c>
      <c r="E84">
        <v>17.807720624283</v>
      </c>
    </row>
    <row r="85" spans="1:5">
      <c r="A85">
        <v>5.9713337527982698E-2</v>
      </c>
      <c r="B85">
        <v>-2.8181998743567598</v>
      </c>
      <c r="C85">
        <v>8.4074483979493397</v>
      </c>
      <c r="D85">
        <v>26.674196720123302</v>
      </c>
      <c r="E85">
        <v>31.6370206408203</v>
      </c>
    </row>
    <row r="86" spans="1:5">
      <c r="A86" s="90">
        <v>3.8419485168572802E-6</v>
      </c>
      <c r="B86">
        <v>-12.4695308937969</v>
      </c>
      <c r="C86">
        <v>20.6096575232223</v>
      </c>
      <c r="D86">
        <v>27.964883204549601</v>
      </c>
      <c r="E86">
        <v>26.756136990711099</v>
      </c>
    </row>
    <row r="87" spans="1:5">
      <c r="A87" s="90">
        <v>7.8568321641122195E-8</v>
      </c>
      <c r="B87">
        <v>-16.359297251306401</v>
      </c>
      <c r="C87">
        <v>9.3902187119238096</v>
      </c>
      <c r="D87">
        <v>29.621787625364998</v>
      </c>
      <c r="E87">
        <v>31.243912515230502</v>
      </c>
    </row>
    <row r="88" spans="1:5">
      <c r="A88" s="90">
        <v>8.3445690608163597E-9</v>
      </c>
      <c r="B88">
        <v>-18.601654921571502</v>
      </c>
      <c r="C88">
        <v>19.534800104796901</v>
      </c>
      <c r="D88">
        <v>30.252294703386699</v>
      </c>
      <c r="E88">
        <v>27.186079958081201</v>
      </c>
    </row>
    <row r="89" spans="1:5">
      <c r="A89">
        <v>5.63079240429833E-2</v>
      </c>
      <c r="B89">
        <v>-2.87692000697337</v>
      </c>
      <c r="C89">
        <v>8.95159282628447</v>
      </c>
      <c r="D89">
        <v>21.6767051769421</v>
      </c>
      <c r="E89">
        <v>31.4193628694862</v>
      </c>
    </row>
    <row r="90" spans="1:5">
      <c r="A90">
        <v>9.44373014478289E-2</v>
      </c>
      <c r="B90">
        <v>-2.35981914142309</v>
      </c>
      <c r="C90">
        <v>39.805632357019903</v>
      </c>
      <c r="D90">
        <v>34.414386902935803</v>
      </c>
      <c r="E90">
        <v>19.077747057191999</v>
      </c>
    </row>
    <row r="91" spans="1:5">
      <c r="A91" s="90">
        <v>1.4132785004292499E-10</v>
      </c>
      <c r="B91">
        <v>-22.6799387469834</v>
      </c>
      <c r="C91">
        <v>32.291095197666401</v>
      </c>
      <c r="D91">
        <v>27.0129973068833</v>
      </c>
      <c r="E91">
        <v>22.083561920933398</v>
      </c>
    </row>
    <row r="92" spans="1:5">
      <c r="A92" s="90">
        <v>1.01447826537117E-8</v>
      </c>
      <c r="B92">
        <v>-18.4063062878792</v>
      </c>
      <c r="C92">
        <v>48.076022614724899</v>
      </c>
      <c r="D92">
        <v>21.8888848740608</v>
      </c>
      <c r="E92">
        <v>15.769590954110001</v>
      </c>
    </row>
    <row r="93" spans="1:5">
      <c r="A93" s="90">
        <v>4.03508444246548E-10</v>
      </c>
      <c r="B93">
        <v>-21.630823700936801</v>
      </c>
      <c r="C93">
        <v>15.611003523226801</v>
      </c>
      <c r="D93">
        <v>28.194582015276001</v>
      </c>
      <c r="E93">
        <v>28.755598590709301</v>
      </c>
    </row>
    <row r="94" spans="1:5">
      <c r="A94" s="90">
        <v>1.02681431750367E-10</v>
      </c>
      <c r="B94">
        <v>-22.999389816213199</v>
      </c>
      <c r="C94">
        <v>49.066912817768802</v>
      </c>
      <c r="D94">
        <v>20.863829697482299</v>
      </c>
      <c r="E94">
        <v>15.3732348728925</v>
      </c>
    </row>
    <row r="95" spans="1:5">
      <c r="A95" s="90">
        <v>1.11913370885188E-10</v>
      </c>
      <c r="B95">
        <v>-22.913296018158398</v>
      </c>
      <c r="C95">
        <v>39.803675953764497</v>
      </c>
      <c r="D95">
        <v>22.606851048767599</v>
      </c>
      <c r="E95">
        <v>19.078529618494201</v>
      </c>
    </row>
    <row r="96" spans="1:5">
      <c r="A96" s="90">
        <v>1.6819144080959799E-12</v>
      </c>
      <c r="B96">
        <v>-27.1110884426548</v>
      </c>
      <c r="C96">
        <v>26.399194980971501</v>
      </c>
      <c r="D96">
        <v>24.9130321759731</v>
      </c>
      <c r="E96">
        <v>24.4403220076114</v>
      </c>
    </row>
    <row r="97" spans="1:5">
      <c r="A97" s="90">
        <v>1.3139894789909999E-11</v>
      </c>
      <c r="B97">
        <v>-25.055368109760298</v>
      </c>
      <c r="C97">
        <v>29.0344221419655</v>
      </c>
      <c r="D97">
        <v>21.220857426524201</v>
      </c>
      <c r="E97">
        <v>23.386231143213799</v>
      </c>
    </row>
    <row r="98" spans="1:5">
      <c r="A98">
        <v>2.33325545114236E-2</v>
      </c>
      <c r="B98">
        <v>-3.7579057042397999</v>
      </c>
      <c r="C98">
        <v>40.390857175923898</v>
      </c>
      <c r="D98">
        <v>16.290456773713199</v>
      </c>
      <c r="E98">
        <v>18.843657129630401</v>
      </c>
    </row>
    <row r="99" spans="1:5">
      <c r="A99" s="90">
        <v>1.4941779611113899E-5</v>
      </c>
      <c r="B99">
        <v>-11.1113492681437</v>
      </c>
      <c r="C99">
        <v>39.474054803606101</v>
      </c>
      <c r="D99">
        <v>31.023372956551601</v>
      </c>
      <c r="E99">
        <v>19.2103780785576</v>
      </c>
    </row>
    <row r="100" spans="1:5">
      <c r="A100">
        <v>1.25930257371582E-2</v>
      </c>
      <c r="B100">
        <v>-4.3746121311934898</v>
      </c>
      <c r="C100">
        <v>41.4670306956396</v>
      </c>
      <c r="D100">
        <v>27.3048996692523</v>
      </c>
      <c r="E100">
        <v>18.413187721744201</v>
      </c>
    </row>
    <row r="101" spans="1:5">
      <c r="A101" s="90">
        <v>3.2204535416848502E-12</v>
      </c>
      <c r="B101">
        <v>-26.4614989148359</v>
      </c>
      <c r="C101">
        <v>16.0307795675471</v>
      </c>
      <c r="D101">
        <v>25.492318957112701</v>
      </c>
      <c r="E101">
        <v>28.5876881729811</v>
      </c>
    </row>
    <row r="102" spans="1:5">
      <c r="A102" s="90">
        <v>8.8366066094374501E-6</v>
      </c>
      <c r="B102">
        <v>-11.636607622721501</v>
      </c>
      <c r="C102">
        <v>23.5475274496712</v>
      </c>
      <c r="D102">
        <v>26.450174264609799</v>
      </c>
      <c r="E102">
        <v>25.580989020131501</v>
      </c>
    </row>
    <row r="103" spans="1:5">
      <c r="A103" s="90">
        <v>2.0313914601472399E-10</v>
      </c>
      <c r="B103">
        <v>-22.317129923350802</v>
      </c>
      <c r="C103">
        <v>37.282614247873397</v>
      </c>
      <c r="D103">
        <v>16.410169582814</v>
      </c>
      <c r="E103">
        <v>20.0869543008506</v>
      </c>
    </row>
    <row r="104" spans="1:5">
      <c r="A104" s="90">
        <v>2.65146210697053E-8</v>
      </c>
      <c r="B104">
        <v>-17.445569517626499</v>
      </c>
      <c r="C104">
        <v>13.794459406286499</v>
      </c>
      <c r="D104">
        <v>27.666524490341502</v>
      </c>
      <c r="E104">
        <v>29.4822162374854</v>
      </c>
    </row>
    <row r="105" spans="1:5">
      <c r="A105" s="90">
        <v>2.8677792892369399E-14</v>
      </c>
      <c r="B105">
        <v>-31.1826533384736</v>
      </c>
      <c r="C105">
        <v>9.2587182922288793</v>
      </c>
      <c r="D105">
        <v>17.049154704436699</v>
      </c>
      <c r="E105">
        <v>31.2965126831084</v>
      </c>
    </row>
    <row r="106" spans="1:5">
      <c r="A106" s="90">
        <v>6.0483454138953804E-10</v>
      </c>
      <c r="B106">
        <v>-21.2260661806082</v>
      </c>
      <c r="C106">
        <v>10.157796842511701</v>
      </c>
      <c r="D106">
        <v>17.2855744790286</v>
      </c>
      <c r="E106">
        <v>30.9368812629953</v>
      </c>
    </row>
    <row r="107" spans="1:5">
      <c r="A107">
        <v>7.8610295921700504E-2</v>
      </c>
      <c r="B107">
        <v>-2.5432525967553601</v>
      </c>
      <c r="C107">
        <v>18.785733348690002</v>
      </c>
      <c r="D107">
        <v>20.120123075321299</v>
      </c>
      <c r="E107">
        <v>27.485706660523999</v>
      </c>
    </row>
    <row r="108" spans="1:5">
      <c r="A108">
        <v>4.7806646816176301E-2</v>
      </c>
      <c r="B108">
        <v>-3.0405905944202201</v>
      </c>
      <c r="C108">
        <v>22.013313247356599</v>
      </c>
      <c r="D108">
        <v>24.227263778448101</v>
      </c>
      <c r="E108">
        <v>26.194674701057401</v>
      </c>
    </row>
    <row r="109" spans="1:5">
      <c r="A109" s="90">
        <v>6.0490474435475202E-13</v>
      </c>
      <c r="B109">
        <v>-28.133705396623501</v>
      </c>
      <c r="C109">
        <v>38.297260555438697</v>
      </c>
      <c r="D109">
        <v>23.7512120604515</v>
      </c>
      <c r="E109">
        <v>19.681095777824499</v>
      </c>
    </row>
    <row r="110" spans="1:5">
      <c r="A110">
        <v>7.3800006286311698E-2</v>
      </c>
      <c r="B110">
        <v>-2.6063964621953399</v>
      </c>
      <c r="C110">
        <v>14.6705287438817</v>
      </c>
      <c r="D110">
        <v>27.784174815751602</v>
      </c>
      <c r="E110">
        <v>29.1317885024473</v>
      </c>
    </row>
    <row r="111" spans="1:5">
      <c r="A111" s="90">
        <v>1.0222016570762801E-9</v>
      </c>
      <c r="B111">
        <v>-20.701307048507601</v>
      </c>
      <c r="C111">
        <v>45.177407106384599</v>
      </c>
      <c r="D111">
        <v>34.013358508236699</v>
      </c>
      <c r="E111">
        <v>16.9290371574461</v>
      </c>
    </row>
    <row r="112" spans="1:5">
      <c r="A112" s="90">
        <v>1.1904838001088499E-12</v>
      </c>
      <c r="B112">
        <v>-27.456661336712799</v>
      </c>
      <c r="C112">
        <v>46.006850583478801</v>
      </c>
      <c r="D112">
        <v>25.482887965627</v>
      </c>
      <c r="E112">
        <v>16.597259766608499</v>
      </c>
    </row>
    <row r="113" spans="1:5">
      <c r="A113" s="90">
        <v>2.5717229743364699E-6</v>
      </c>
      <c r="B113">
        <v>-12.8709344656572</v>
      </c>
      <c r="C113">
        <v>9.6607008399441803</v>
      </c>
      <c r="D113">
        <v>27.210987154394399</v>
      </c>
      <c r="E113">
        <v>31.1357196640223</v>
      </c>
    </row>
    <row r="114" spans="1:5">
      <c r="A114" s="90">
        <v>3.8106095367129599E-13</v>
      </c>
      <c r="B114">
        <v>-28.5958170491907</v>
      </c>
      <c r="C114">
        <v>9.7052681860514003</v>
      </c>
      <c r="D114">
        <v>25.0069495709613</v>
      </c>
      <c r="E114">
        <v>31.117892725579399</v>
      </c>
    </row>
    <row r="115" spans="1:5">
      <c r="A115">
        <v>1.1461556568719699E-2</v>
      </c>
      <c r="B115">
        <v>-4.4687567506782804</v>
      </c>
      <c r="C115">
        <v>32.026900160592</v>
      </c>
      <c r="D115">
        <v>34.9701815890148</v>
      </c>
      <c r="E115">
        <v>22.189239935763201</v>
      </c>
    </row>
    <row r="116" spans="1:5">
      <c r="A116">
        <v>3.0540176231922902E-4</v>
      </c>
      <c r="B116">
        <v>-8.0938823946684604</v>
      </c>
      <c r="C116">
        <v>34.961012197658398</v>
      </c>
      <c r="D116">
        <v>32.8066215338185</v>
      </c>
      <c r="E116">
        <v>21.015595120936599</v>
      </c>
    </row>
    <row r="117" spans="1:5">
      <c r="A117">
        <v>3.37174988657802E-3</v>
      </c>
      <c r="B117">
        <v>-5.6923234152062099</v>
      </c>
      <c r="C117">
        <v>11.101749766617999</v>
      </c>
      <c r="D117">
        <v>16.701855277642601</v>
      </c>
      <c r="E117">
        <v>30.5593000933528</v>
      </c>
    </row>
    <row r="118" spans="1:5">
      <c r="A118">
        <v>8.55912247332569E-3</v>
      </c>
      <c r="B118">
        <v>-4.7607576088818897</v>
      </c>
      <c r="C118">
        <v>46.6675527445041</v>
      </c>
      <c r="D118">
        <v>15.816398365423099</v>
      </c>
      <c r="E118">
        <v>16.332978902198398</v>
      </c>
    </row>
    <row r="119" spans="1:5">
      <c r="A119" s="90">
        <v>6.4622605775680698E-6</v>
      </c>
      <c r="B119">
        <v>-11.949531366774499</v>
      </c>
      <c r="C119">
        <v>12.775009680073699</v>
      </c>
      <c r="D119">
        <v>27.585969921201499</v>
      </c>
      <c r="E119">
        <v>29.889996127970502</v>
      </c>
    </row>
    <row r="120" spans="1:5">
      <c r="A120">
        <v>6.4976404808992803E-3</v>
      </c>
      <c r="B120">
        <v>-5.0363161709206299</v>
      </c>
      <c r="C120">
        <v>22.671497335191798</v>
      </c>
      <c r="D120">
        <v>27.8546962561086</v>
      </c>
      <c r="E120">
        <v>25.9314010659233</v>
      </c>
    </row>
    <row r="121" spans="1:5">
      <c r="A121" s="90">
        <v>5.3949065917216497E-12</v>
      </c>
      <c r="B121">
        <v>-25.945565831229001</v>
      </c>
      <c r="C121">
        <v>13.4072657432407</v>
      </c>
      <c r="D121">
        <v>31.129502640105802</v>
      </c>
      <c r="E121">
        <v>29.637093702703702</v>
      </c>
    </row>
    <row r="122" spans="1:5">
      <c r="A122" s="90">
        <v>1.6510148307526499E-7</v>
      </c>
      <c r="B122">
        <v>-15.6167055031699</v>
      </c>
      <c r="C122">
        <v>31.7985094133765</v>
      </c>
      <c r="D122">
        <v>27.1968266507611</v>
      </c>
      <c r="E122">
        <v>22.280596234649401</v>
      </c>
    </row>
    <row r="123" spans="1:5">
      <c r="A123" s="90">
        <v>1.50402799463794E-14</v>
      </c>
      <c r="B123">
        <v>-31.828044463106099</v>
      </c>
      <c r="C123">
        <v>28.113213500939299</v>
      </c>
      <c r="D123">
        <v>22.598014916293302</v>
      </c>
      <c r="E123">
        <v>23.7547145996243</v>
      </c>
    </row>
    <row r="124" spans="1:5">
      <c r="A124" s="90">
        <v>7.5779202704042001E-10</v>
      </c>
      <c r="B124">
        <v>-21.000612138591801</v>
      </c>
      <c r="C124">
        <v>33.102662282530197</v>
      </c>
      <c r="D124">
        <v>24.728401033207799</v>
      </c>
      <c r="E124">
        <v>21.758935086987901</v>
      </c>
    </row>
    <row r="125" spans="1:5">
      <c r="A125">
        <v>5.7011858934155703E-2</v>
      </c>
      <c r="B125">
        <v>-2.8644959813108799</v>
      </c>
      <c r="C125">
        <v>10.223021931014999</v>
      </c>
      <c r="D125">
        <v>32.723509324714499</v>
      </c>
      <c r="E125">
        <v>30.910791227594</v>
      </c>
    </row>
    <row r="126" spans="1:5">
      <c r="A126" s="90">
        <v>1.03923996976439E-8</v>
      </c>
      <c r="B126">
        <v>-18.3821910962658</v>
      </c>
      <c r="C126">
        <v>39.188019991386703</v>
      </c>
      <c r="D126">
        <v>32.446918967179997</v>
      </c>
      <c r="E126">
        <v>19.3247920034453</v>
      </c>
    </row>
    <row r="127" spans="1:5">
      <c r="A127" s="90">
        <v>6.1734928746881898E-9</v>
      </c>
      <c r="B127">
        <v>-18.9030010530984</v>
      </c>
      <c r="C127">
        <v>14.8762582894415</v>
      </c>
      <c r="D127">
        <v>32.462026863358901</v>
      </c>
      <c r="E127">
        <v>29.049496684223399</v>
      </c>
    </row>
    <row r="128" spans="1:5">
      <c r="A128" s="90">
        <v>2.0133651026605601E-8</v>
      </c>
      <c r="B128">
        <v>-17.720873241331098</v>
      </c>
      <c r="C128">
        <v>22.534409846179202</v>
      </c>
      <c r="D128">
        <v>21.679759905673599</v>
      </c>
      <c r="E128">
        <v>25.986236061528299</v>
      </c>
    </row>
    <row r="129" spans="1:5">
      <c r="A129" s="90">
        <v>1.0380626400137399E-7</v>
      </c>
      <c r="B129">
        <v>-16.080739521201401</v>
      </c>
      <c r="C129">
        <v>33.832977123092903</v>
      </c>
      <c r="D129">
        <v>28.4357434790581</v>
      </c>
      <c r="E129">
        <v>21.466809150762899</v>
      </c>
    </row>
    <row r="130" spans="1:5">
      <c r="A130" s="90">
        <v>3.8053464379034598E-5</v>
      </c>
      <c r="B130">
        <v>-10.176518429732001</v>
      </c>
      <c r="C130">
        <v>46.428353148978204</v>
      </c>
      <c r="D130">
        <v>18.401616928167599</v>
      </c>
      <c r="E130">
        <v>16.4286587404087</v>
      </c>
    </row>
    <row r="131" spans="1:5">
      <c r="A131">
        <v>2.78338835930656E-2</v>
      </c>
      <c r="B131">
        <v>-3.58150116617812</v>
      </c>
      <c r="C131">
        <v>39.283887476660297</v>
      </c>
      <c r="D131">
        <v>21.358714881353102</v>
      </c>
      <c r="E131">
        <v>19.2864450093359</v>
      </c>
    </row>
    <row r="132" spans="1:5">
      <c r="A132">
        <v>1.0267697806990401E-2</v>
      </c>
      <c r="B132">
        <v>-4.5787524469682301</v>
      </c>
      <c r="C132">
        <v>18.306796045042599</v>
      </c>
      <c r="D132">
        <v>29.0451004588977</v>
      </c>
      <c r="E132">
        <v>27.677281581982999</v>
      </c>
    </row>
    <row r="133" spans="1:5">
      <c r="A133" s="90">
        <v>4.5771249479227999E-5</v>
      </c>
      <c r="B133">
        <v>-9.9918544045839894</v>
      </c>
      <c r="C133">
        <v>26.0208818968385</v>
      </c>
      <c r="D133">
        <v>29.039731221273499</v>
      </c>
      <c r="E133">
        <v>24.591647241264599</v>
      </c>
    </row>
    <row r="134" spans="1:5">
      <c r="A134" s="90">
        <v>2.0898385875080899E-6</v>
      </c>
      <c r="B134">
        <v>-13.078423725827401</v>
      </c>
      <c r="C134">
        <v>9.3309694328345394</v>
      </c>
      <c r="D134">
        <v>34.990380508825197</v>
      </c>
      <c r="E134">
        <v>31.267612226866198</v>
      </c>
    </row>
    <row r="135" spans="1:5">
      <c r="A135">
        <v>3.3924483151584201E-4</v>
      </c>
      <c r="B135">
        <v>-7.9887884943960303</v>
      </c>
      <c r="C135">
        <v>21.794267038349101</v>
      </c>
      <c r="D135">
        <v>17.841057688929101</v>
      </c>
      <c r="E135">
        <v>26.2822931846604</v>
      </c>
    </row>
    <row r="136" spans="1:5">
      <c r="A136" s="90">
        <v>3.1665322176396402E-12</v>
      </c>
      <c r="B136">
        <v>-26.478384064478998</v>
      </c>
      <c r="C136">
        <v>30.2998498850502</v>
      </c>
      <c r="D136">
        <v>34.553081155754597</v>
      </c>
      <c r="E136">
        <v>22.880060045979899</v>
      </c>
    </row>
    <row r="137" spans="1:5">
      <c r="A137" s="90">
        <v>1.11179605110827E-7</v>
      </c>
      <c r="B137">
        <v>-16.012118879227799</v>
      </c>
      <c r="C137">
        <v>12.130333393812201</v>
      </c>
      <c r="D137">
        <v>31.469197967089698</v>
      </c>
      <c r="E137">
        <v>30.147866642475101</v>
      </c>
    </row>
    <row r="138" spans="1:5">
      <c r="A138">
        <v>5.15878772762445E-3</v>
      </c>
      <c r="B138">
        <v>-5.2670536635974603</v>
      </c>
      <c r="C138">
        <v>29.609428258612802</v>
      </c>
      <c r="D138">
        <v>32.140851300209803</v>
      </c>
      <c r="E138">
        <v>23.156228696554901</v>
      </c>
    </row>
    <row r="139" spans="1:5">
      <c r="A139" s="90">
        <v>2.6639311652455199E-5</v>
      </c>
      <c r="B139">
        <v>-10.5331225514977</v>
      </c>
      <c r="C139">
        <v>43.526265509892298</v>
      </c>
      <c r="D139">
        <v>31.506083193235099</v>
      </c>
      <c r="E139">
        <v>17.589493796043101</v>
      </c>
    </row>
    <row r="140" spans="1:5">
      <c r="A140" s="90">
        <v>8.6964544133678804E-9</v>
      </c>
      <c r="B140">
        <v>-18.560350433045699</v>
      </c>
      <c r="C140">
        <v>17.961484523955701</v>
      </c>
      <c r="D140">
        <v>23.7332192994654</v>
      </c>
      <c r="E140">
        <v>27.815406190417701</v>
      </c>
    </row>
    <row r="141" spans="1:5">
      <c r="A141" s="90">
        <v>6.0941052468718904E-6</v>
      </c>
      <c r="B141">
        <v>-12.008188606976899</v>
      </c>
      <c r="C141">
        <v>44.465678517241003</v>
      </c>
      <c r="D141">
        <v>22.6585462596267</v>
      </c>
      <c r="E141">
        <v>17.2137285931036</v>
      </c>
    </row>
    <row r="142" spans="1:5">
      <c r="A142">
        <v>5.14144175735489E-4</v>
      </c>
      <c r="B142">
        <v>-7.5730068343013297</v>
      </c>
      <c r="C142">
        <v>16.107742743100999</v>
      </c>
      <c r="D142">
        <v>33.662316626869099</v>
      </c>
      <c r="E142">
        <v>28.5569029027596</v>
      </c>
    </row>
    <row r="143" spans="1:5">
      <c r="A143" s="90">
        <v>6.2921980521107195E-8</v>
      </c>
      <c r="B143">
        <v>-16.581370282438201</v>
      </c>
      <c r="C143">
        <v>22.534614449832599</v>
      </c>
      <c r="D143">
        <v>30.3810613974929</v>
      </c>
      <c r="E143">
        <v>25.986154220067</v>
      </c>
    </row>
    <row r="144" spans="1:5">
      <c r="A144" s="90">
        <v>9.1501404106200306E-9</v>
      </c>
      <c r="B144">
        <v>-18.5094966123538</v>
      </c>
      <c r="C144">
        <v>21.398440485820199</v>
      </c>
      <c r="D144">
        <v>29.342756355181301</v>
      </c>
      <c r="E144">
        <v>26.440623805671901</v>
      </c>
    </row>
    <row r="145" spans="1:5">
      <c r="A145">
        <v>8.16243984670003E-4</v>
      </c>
      <c r="B145">
        <v>-7.11079724687092</v>
      </c>
      <c r="C145">
        <v>37.628201514016801</v>
      </c>
      <c r="D145">
        <v>33.581227376125803</v>
      </c>
      <c r="E145">
        <v>19.948719394393301</v>
      </c>
    </row>
    <row r="146" spans="1:5">
      <c r="A146" s="90">
        <v>4.0978970786283297E-5</v>
      </c>
      <c r="B146">
        <v>-10.102451530493701</v>
      </c>
      <c r="C146">
        <v>14.5057329544798</v>
      </c>
      <c r="D146">
        <v>29.1632299637422</v>
      </c>
      <c r="E146">
        <v>29.197706818208101</v>
      </c>
    </row>
    <row r="147" spans="1:5">
      <c r="A147">
        <v>5.4171068552766799E-4</v>
      </c>
      <c r="B147">
        <v>-7.52077848958087</v>
      </c>
      <c r="C147">
        <v>9.6941601624712295</v>
      </c>
      <c r="D147">
        <v>28.638494233600799</v>
      </c>
      <c r="E147">
        <v>31.122335935011499</v>
      </c>
    </row>
    <row r="148" spans="1:5">
      <c r="A148">
        <v>2.3712360927781999E-2</v>
      </c>
      <c r="B148">
        <v>-3.7417588086709599</v>
      </c>
      <c r="C148">
        <v>47.631104787811601</v>
      </c>
      <c r="D148">
        <v>17.411437649279801</v>
      </c>
      <c r="E148">
        <v>15.9475580848753</v>
      </c>
    </row>
    <row r="149" spans="1:5">
      <c r="A149" s="90">
        <v>3.9689044200072E-7</v>
      </c>
      <c r="B149">
        <v>-14.7396055590782</v>
      </c>
      <c r="C149">
        <v>37.438968393486</v>
      </c>
      <c r="D149">
        <v>19.2268430208787</v>
      </c>
      <c r="E149">
        <v>20.024412642605601</v>
      </c>
    </row>
    <row r="150" spans="1:5">
      <c r="A150" s="90">
        <v>6.2767523787498398E-11</v>
      </c>
      <c r="B150">
        <v>-23.491583313357701</v>
      </c>
      <c r="C150">
        <v>45.162670939695097</v>
      </c>
      <c r="D150">
        <v>31.412913855165201</v>
      </c>
      <c r="E150">
        <v>16.934931624122001</v>
      </c>
    </row>
    <row r="151" spans="1:5">
      <c r="A151" s="90">
        <v>7.4202920015389905E-10</v>
      </c>
      <c r="B151">
        <v>-21.021632520228302</v>
      </c>
      <c r="C151">
        <v>40.184934780932998</v>
      </c>
      <c r="D151">
        <v>17.585455668158801</v>
      </c>
      <c r="E151">
        <v>18.926026087626798</v>
      </c>
    </row>
    <row r="152" spans="1:5">
      <c r="A152" s="90">
        <v>1.2839101336218E-8</v>
      </c>
      <c r="B152">
        <v>-18.1707705305251</v>
      </c>
      <c r="C152">
        <v>21.267404543701598</v>
      </c>
      <c r="D152">
        <v>26.584823937155299</v>
      </c>
      <c r="E152">
        <v>26.493038182519399</v>
      </c>
    </row>
    <row r="153" spans="1:5">
      <c r="A153" s="90">
        <v>5.0282912624454695E-7</v>
      </c>
      <c r="B153">
        <v>-14.5030154338163</v>
      </c>
      <c r="C153">
        <v>27.896149169188</v>
      </c>
      <c r="D153">
        <v>29.5048720855266</v>
      </c>
      <c r="E153">
        <v>23.841540332324801</v>
      </c>
    </row>
    <row r="154" spans="1:5">
      <c r="A154">
        <v>1.51980374197607E-4</v>
      </c>
      <c r="B154">
        <v>-8.79175916257533</v>
      </c>
      <c r="C154">
        <v>34.855235286988297</v>
      </c>
      <c r="D154">
        <v>26.6506921872497</v>
      </c>
      <c r="E154">
        <v>21.057905885204701</v>
      </c>
    </row>
    <row r="155" spans="1:5">
      <c r="A155">
        <v>1.21441874010034E-4</v>
      </c>
      <c r="B155">
        <v>-9.0160748128645896</v>
      </c>
      <c r="C155">
        <v>28.893477801233502</v>
      </c>
      <c r="D155">
        <v>15.385380461812</v>
      </c>
      <c r="E155">
        <v>23.442608879506601</v>
      </c>
    </row>
    <row r="156" spans="1:5">
      <c r="A156" s="90">
        <v>7.13696603386079E-7</v>
      </c>
      <c r="B156">
        <v>-14.1528078901427</v>
      </c>
      <c r="C156">
        <v>46.524272530805298</v>
      </c>
      <c r="D156">
        <v>31.532682040706302</v>
      </c>
      <c r="E156">
        <v>16.390290987677901</v>
      </c>
    </row>
    <row r="157" spans="1:5">
      <c r="A157" s="90">
        <v>1.93888869841759E-14</v>
      </c>
      <c r="B157">
        <v>-31.574076328841802</v>
      </c>
      <c r="C157">
        <v>46.260672881268</v>
      </c>
      <c r="D157">
        <v>18.092118306085499</v>
      </c>
      <c r="E157">
        <v>16.495730847492801</v>
      </c>
    </row>
    <row r="158" spans="1:5">
      <c r="A158" s="90">
        <v>1.7204424520420299E-12</v>
      </c>
      <c r="B158">
        <v>-27.088439618624299</v>
      </c>
      <c r="C158">
        <v>20.051748030353298</v>
      </c>
      <c r="D158">
        <v>21.919818543828999</v>
      </c>
      <c r="E158">
        <v>26.979300787858701</v>
      </c>
    </row>
    <row r="159" spans="1:5">
      <c r="A159" s="90">
        <v>9.95562766417155E-8</v>
      </c>
      <c r="B159">
        <v>-16.122542758281</v>
      </c>
      <c r="C159">
        <v>8.0158637799322605</v>
      </c>
      <c r="D159">
        <v>19.550699149258399</v>
      </c>
      <c r="E159">
        <v>31.793654488027101</v>
      </c>
    </row>
    <row r="160" spans="1:5">
      <c r="A160">
        <v>1.17638193891534E-3</v>
      </c>
      <c r="B160">
        <v>-6.7453117042454203</v>
      </c>
      <c r="C160">
        <v>19.591352308169</v>
      </c>
      <c r="D160">
        <v>28.055198760703199</v>
      </c>
      <c r="E160">
        <v>27.163459076732401</v>
      </c>
    </row>
    <row r="161" spans="1:5">
      <c r="A161" s="90">
        <v>1.5474455884996099E-5</v>
      </c>
      <c r="B161">
        <v>-11.076319900916699</v>
      </c>
      <c r="C161">
        <v>38.051742850337199</v>
      </c>
      <c r="D161">
        <v>34.244067152030802</v>
      </c>
      <c r="E161">
        <v>19.779302859865101</v>
      </c>
    </row>
    <row r="162" spans="1:5">
      <c r="A162" s="90">
        <v>2.6231340323333899E-10</v>
      </c>
      <c r="B162">
        <v>-22.061481131492201</v>
      </c>
      <c r="C162">
        <v>18.609635229222501</v>
      </c>
      <c r="D162">
        <v>23.612836496904499</v>
      </c>
      <c r="E162">
        <v>27.556145908310999</v>
      </c>
    </row>
    <row r="163" spans="1:5">
      <c r="A163">
        <v>3.1431141890100198E-2</v>
      </c>
      <c r="B163">
        <v>-3.4599560976172201</v>
      </c>
      <c r="C163">
        <v>32.261583768297001</v>
      </c>
      <c r="D163">
        <v>20.267440192401398</v>
      </c>
      <c r="E163">
        <v>22.095366492681201</v>
      </c>
    </row>
    <row r="164" spans="1:5">
      <c r="A164">
        <v>1.65558463910069E-3</v>
      </c>
      <c r="B164">
        <v>-6.4036010762792204</v>
      </c>
      <c r="C164">
        <v>26.784016794525101</v>
      </c>
      <c r="D164">
        <v>28.0107872048393</v>
      </c>
      <c r="E164">
        <v>24.286393282190001</v>
      </c>
    </row>
    <row r="165" spans="1:5">
      <c r="A165">
        <v>1.21024522926494E-4</v>
      </c>
      <c r="B165">
        <v>-9.0195173640880792</v>
      </c>
      <c r="C165">
        <v>11.5907582188956</v>
      </c>
      <c r="D165">
        <v>31.540006762370499</v>
      </c>
      <c r="E165">
        <v>30.363696712441701</v>
      </c>
    </row>
    <row r="166" spans="1:5">
      <c r="A166" s="90">
        <v>8.25719974048056E-13</v>
      </c>
      <c r="B166">
        <v>-27.8225206933378</v>
      </c>
      <c r="C166">
        <v>18.974835647270101</v>
      </c>
      <c r="D166">
        <v>18.3258325187489</v>
      </c>
      <c r="E166">
        <v>27.410065741092001</v>
      </c>
    </row>
    <row r="167" spans="1:5">
      <c r="A167" s="90">
        <v>2.1508215612905901E-11</v>
      </c>
      <c r="B167">
        <v>-24.5625861322543</v>
      </c>
      <c r="C167">
        <v>15.274973202496801</v>
      </c>
      <c r="D167">
        <v>22.132892557419801</v>
      </c>
      <c r="E167">
        <v>28.8900107190013</v>
      </c>
    </row>
    <row r="168" spans="1:5">
      <c r="A168" s="90">
        <v>1.2919943933426399E-10</v>
      </c>
      <c r="B168">
        <v>-22.7696638641075</v>
      </c>
      <c r="C168">
        <v>15.991708004847199</v>
      </c>
      <c r="D168">
        <v>22.2924658702686</v>
      </c>
      <c r="E168">
        <v>28.603316798061101</v>
      </c>
    </row>
    <row r="169" spans="1:5">
      <c r="A169" s="90">
        <v>8.1531147504340395E-9</v>
      </c>
      <c r="B169">
        <v>-18.624865804737698</v>
      </c>
      <c r="C169">
        <v>13.961103649809999</v>
      </c>
      <c r="D169">
        <v>20.3305191826075</v>
      </c>
      <c r="E169">
        <v>29.415558540075999</v>
      </c>
    </row>
    <row r="170" spans="1:5">
      <c r="A170" s="90">
        <v>2.52386943575865E-6</v>
      </c>
      <c r="B170">
        <v>-12.8897173437205</v>
      </c>
      <c r="C170">
        <v>10.350823760498301</v>
      </c>
      <c r="D170">
        <v>24.3506567273289</v>
      </c>
      <c r="E170">
        <v>30.8596704958007</v>
      </c>
    </row>
    <row r="171" spans="1:5">
      <c r="A171" s="90">
        <v>1.50041736382929E-6</v>
      </c>
      <c r="B171">
        <v>-13.409767246005501</v>
      </c>
      <c r="C171">
        <v>22.7213564966805</v>
      </c>
      <c r="D171">
        <v>26.9155888492242</v>
      </c>
      <c r="E171">
        <v>25.911457401327802</v>
      </c>
    </row>
    <row r="172" spans="1:5">
      <c r="A172" s="90">
        <v>5.36153112009527E-13</v>
      </c>
      <c r="B172">
        <v>-28.254356617897798</v>
      </c>
      <c r="C172">
        <v>29.869942933320999</v>
      </c>
      <c r="D172">
        <v>27.4578793859109</v>
      </c>
      <c r="E172">
        <v>23.0520228266716</v>
      </c>
    </row>
    <row r="173" spans="1:5">
      <c r="A173" s="90">
        <v>1.3222220620211999E-7</v>
      </c>
      <c r="B173">
        <v>-15.8387819493375</v>
      </c>
      <c r="C173">
        <v>23.791230750735799</v>
      </c>
      <c r="D173">
        <v>16.465262328274498</v>
      </c>
      <c r="E173">
        <v>25.483507699705701</v>
      </c>
    </row>
    <row r="174" spans="1:5">
      <c r="A174" s="90">
        <v>2.8175913618823698E-12</v>
      </c>
      <c r="B174">
        <v>-26.595138722944899</v>
      </c>
      <c r="C174">
        <v>47.299410689622199</v>
      </c>
      <c r="D174">
        <v>22.529099755920502</v>
      </c>
      <c r="E174">
        <v>16.080235724151098</v>
      </c>
    </row>
    <row r="175" spans="1:5">
      <c r="A175" s="90">
        <v>1.0111015409064299E-11</v>
      </c>
      <c r="B175">
        <v>-25.317395651830299</v>
      </c>
      <c r="C175">
        <v>31.068550260271898</v>
      </c>
      <c r="D175">
        <v>22.219637986272598</v>
      </c>
      <c r="E175">
        <v>22.572579895891199</v>
      </c>
    </row>
    <row r="176" spans="1:5">
      <c r="A176" s="90">
        <v>3.8040391585517101E-6</v>
      </c>
      <c r="B176">
        <v>-12.479447119287901</v>
      </c>
      <c r="C176">
        <v>39.2574531012215</v>
      </c>
      <c r="D176">
        <v>26.437105871737</v>
      </c>
      <c r="E176">
        <v>19.297018759511399</v>
      </c>
    </row>
    <row r="177" spans="1:5">
      <c r="A177">
        <v>2.25479938680921E-4</v>
      </c>
      <c r="B177">
        <v>-8.3972793667000207</v>
      </c>
      <c r="C177">
        <v>9.0688904295675492</v>
      </c>
      <c r="D177">
        <v>22.810040307231201</v>
      </c>
      <c r="E177">
        <v>31.372443828173001</v>
      </c>
    </row>
    <row r="178" spans="1:5">
      <c r="A178" s="90">
        <v>6.0269868624027894E-8</v>
      </c>
      <c r="B178">
        <v>-16.624433549244301</v>
      </c>
      <c r="C178">
        <v>33.3288095574826</v>
      </c>
      <c r="D178">
        <v>16.4823532477021</v>
      </c>
      <c r="E178">
        <v>21.668476177007001</v>
      </c>
    </row>
    <row r="179" spans="1:5">
      <c r="A179">
        <v>2.2421652337175101E-2</v>
      </c>
      <c r="B179">
        <v>-3.7977281648042198</v>
      </c>
      <c r="C179">
        <v>35.154048806521999</v>
      </c>
      <c r="D179">
        <v>19.2799061583355</v>
      </c>
      <c r="E179">
        <v>20.938380477391199</v>
      </c>
    </row>
    <row r="180" spans="1:5">
      <c r="A180">
        <v>5.4021261054495201E-2</v>
      </c>
      <c r="B180">
        <v>-2.91837758667512</v>
      </c>
      <c r="C180">
        <v>29.312999594491</v>
      </c>
      <c r="D180">
        <v>15.6317738071084</v>
      </c>
      <c r="E180">
        <v>23.274800162203601</v>
      </c>
    </row>
    <row r="181" spans="1:5">
      <c r="A181" s="90">
        <v>3.5330059449825798E-13</v>
      </c>
      <c r="B181">
        <v>-28.671457157846</v>
      </c>
      <c r="C181">
        <v>42.503381360322201</v>
      </c>
      <c r="D181">
        <v>28.3655528724194</v>
      </c>
      <c r="E181">
        <v>17.998647455871101</v>
      </c>
    </row>
    <row r="182" spans="1:5">
      <c r="A182" s="90">
        <v>5.7302114178140898E-8</v>
      </c>
      <c r="B182">
        <v>-16.6749283172547</v>
      </c>
      <c r="C182">
        <v>8.2799341166392004</v>
      </c>
      <c r="D182">
        <v>31.024963962845501</v>
      </c>
      <c r="E182">
        <v>31.688026353344299</v>
      </c>
    </row>
    <row r="183" spans="1:5">
      <c r="A183" s="90">
        <v>1.1226278654353899E-14</v>
      </c>
      <c r="B183">
        <v>-32.120519056468702</v>
      </c>
      <c r="C183">
        <v>27.385872009210299</v>
      </c>
      <c r="D183">
        <v>30.520300981588701</v>
      </c>
      <c r="E183">
        <v>24.045651196315902</v>
      </c>
    </row>
    <row r="184" spans="1:5">
      <c r="A184" s="90">
        <v>2.3471447962743002E-13</v>
      </c>
      <c r="B184">
        <v>-29.080406599762298</v>
      </c>
      <c r="C184">
        <v>45.163992135785499</v>
      </c>
      <c r="D184">
        <v>18.407717430964102</v>
      </c>
      <c r="E184">
        <v>16.934403145685799</v>
      </c>
    </row>
    <row r="185" spans="1:5">
      <c r="A185" s="90">
        <v>2.2675298581920901E-6</v>
      </c>
      <c r="B185">
        <v>-12.9968194871531</v>
      </c>
      <c r="C185">
        <v>34.5300441682339</v>
      </c>
      <c r="D185">
        <v>33.104277774691603</v>
      </c>
      <c r="E185">
        <v>21.1879823327065</v>
      </c>
    </row>
    <row r="186" spans="1:5">
      <c r="A186" s="90">
        <v>1.9648568037009701E-13</v>
      </c>
      <c r="B186">
        <v>-29.258186839691401</v>
      </c>
      <c r="C186">
        <v>48.919722476974101</v>
      </c>
      <c r="D186">
        <v>26.705354661680801</v>
      </c>
      <c r="E186">
        <v>15.432111009210301</v>
      </c>
    </row>
    <row r="187" spans="1:5">
      <c r="A187" s="90">
        <v>1.41999795696524E-9</v>
      </c>
      <c r="B187">
        <v>-20.372610404091201</v>
      </c>
      <c r="C187">
        <v>40.749362048693001</v>
      </c>
      <c r="D187">
        <v>24.9174233339727</v>
      </c>
      <c r="E187">
        <v>18.700255180522799</v>
      </c>
    </row>
    <row r="188" spans="1:5">
      <c r="A188" s="90">
        <v>2.1129696667166601E-10</v>
      </c>
      <c r="B188">
        <v>-22.2777565469625</v>
      </c>
      <c r="C188">
        <v>26.0278241341002</v>
      </c>
      <c r="D188">
        <v>31.121902661398099</v>
      </c>
      <c r="E188">
        <v>24.588870346359901</v>
      </c>
    </row>
    <row r="189" spans="1:5">
      <c r="A189" s="90">
        <v>5.7077368923757304E-12</v>
      </c>
      <c r="B189">
        <v>-25.8891985119146</v>
      </c>
      <c r="C189">
        <v>38.438226810656502</v>
      </c>
      <c r="D189">
        <v>27.631868859752998</v>
      </c>
      <c r="E189">
        <v>19.624709275737398</v>
      </c>
    </row>
    <row r="190" spans="1:5">
      <c r="A190" s="90">
        <v>2.2919088656395299E-14</v>
      </c>
      <c r="B190">
        <v>-31.406806265792</v>
      </c>
      <c r="C190">
        <v>33.187250907067202</v>
      </c>
      <c r="D190">
        <v>29.264843035489299</v>
      </c>
      <c r="E190">
        <v>21.725099637173098</v>
      </c>
    </row>
    <row r="191" spans="1:5">
      <c r="A191" s="90">
        <v>1.13586067784113E-7</v>
      </c>
      <c r="B191">
        <v>-15.9907049809261</v>
      </c>
      <c r="C191">
        <v>32.2872075620107</v>
      </c>
      <c r="D191">
        <v>22.016713572665999</v>
      </c>
      <c r="E191">
        <v>22.085116975195699</v>
      </c>
    </row>
    <row r="192" spans="1:5">
      <c r="A192" s="90">
        <v>8.4347124953577801E-8</v>
      </c>
      <c r="B192">
        <v>-16.2883251132588</v>
      </c>
      <c r="C192">
        <v>49.904937903862397</v>
      </c>
      <c r="D192">
        <v>15.387359042651999</v>
      </c>
      <c r="E192">
        <v>15.038024838455</v>
      </c>
    </row>
    <row r="193" spans="1:5">
      <c r="A193" s="90">
        <v>6.0091253489094201E-6</v>
      </c>
      <c r="B193">
        <v>-12.0222313526354</v>
      </c>
      <c r="C193">
        <v>40.1237903633155</v>
      </c>
      <c r="D193">
        <v>29.0352703537792</v>
      </c>
      <c r="E193">
        <v>18.950483854673799</v>
      </c>
    </row>
    <row r="194" spans="1:5">
      <c r="A194" s="90">
        <v>8.4851775289016196E-14</v>
      </c>
      <c r="B194">
        <v>-30.0978704807738</v>
      </c>
      <c r="C194">
        <v>28.0140456608497</v>
      </c>
      <c r="D194">
        <v>31.539228181354702</v>
      </c>
      <c r="E194">
        <v>23.7943817356601</v>
      </c>
    </row>
    <row r="195" spans="1:5">
      <c r="A195">
        <v>3.74249523874229E-3</v>
      </c>
      <c r="B195">
        <v>-5.5880027138844497</v>
      </c>
      <c r="C195">
        <v>8.0691783404909092</v>
      </c>
      <c r="D195">
        <v>21.664351443760101</v>
      </c>
      <c r="E195">
        <v>31.772328663803599</v>
      </c>
    </row>
    <row r="196" spans="1:5">
      <c r="A196" s="90">
        <v>1.7927464560998101E-6</v>
      </c>
      <c r="B196">
        <v>-13.2317617809812</v>
      </c>
      <c r="C196">
        <v>17.652084733359501</v>
      </c>
      <c r="D196">
        <v>24.799901256337801</v>
      </c>
      <c r="E196">
        <v>27.939166106656199</v>
      </c>
    </row>
    <row r="197" spans="1:5">
      <c r="A197" s="90">
        <v>1.44469138095466E-14</v>
      </c>
      <c r="B197">
        <v>-31.868295580357099</v>
      </c>
      <c r="C197">
        <v>48.522922974079798</v>
      </c>
      <c r="D197">
        <v>21.763982940465201</v>
      </c>
      <c r="E197">
        <v>15.5908308103681</v>
      </c>
    </row>
    <row r="198" spans="1:5">
      <c r="A198" s="90">
        <v>3.5927734043907901E-9</v>
      </c>
      <c r="B198">
        <v>-19.444341396656601</v>
      </c>
      <c r="C198">
        <v>30.761360576376301</v>
      </c>
      <c r="D198">
        <v>26.875161905772998</v>
      </c>
      <c r="E198">
        <v>22.695455769449499</v>
      </c>
    </row>
    <row r="199" spans="1:5">
      <c r="A199" s="90">
        <v>2.23456878180562E-5</v>
      </c>
      <c r="B199">
        <v>-10.708877194309199</v>
      </c>
      <c r="C199">
        <v>49.529264180455399</v>
      </c>
      <c r="D199">
        <v>33.6729772668332</v>
      </c>
      <c r="E199">
        <v>15.1882943278179</v>
      </c>
    </row>
    <row r="200" spans="1:5">
      <c r="A200">
        <v>3.3803206791256598E-3</v>
      </c>
      <c r="B200">
        <v>-5.6897846985066396</v>
      </c>
      <c r="C200">
        <v>19.4109571110457</v>
      </c>
      <c r="D200">
        <v>33.5814915690571</v>
      </c>
      <c r="E200">
        <v>27.2356171555817</v>
      </c>
    </row>
    <row r="201" spans="1:5">
      <c r="A201" s="90">
        <v>7.3060626706507902E-11</v>
      </c>
      <c r="B201">
        <v>-23.3397315166279</v>
      </c>
      <c r="C201">
        <v>29.9875774388202</v>
      </c>
      <c r="D201">
        <v>29.516180432401601</v>
      </c>
      <c r="E201">
        <v>23.004969024471901</v>
      </c>
    </row>
    <row r="202" spans="1:5">
      <c r="A202" s="90">
        <v>2.9438208853554902E-14</v>
      </c>
      <c r="B202">
        <v>-31.156482943473101</v>
      </c>
      <c r="C202">
        <v>15.6234762687236</v>
      </c>
      <c r="D202">
        <v>19.412735421210499</v>
      </c>
      <c r="E202">
        <v>28.750609492510598</v>
      </c>
    </row>
    <row r="203" spans="1:5">
      <c r="A203" s="90">
        <v>5.3866845893533302E-7</v>
      </c>
      <c r="B203">
        <v>-14.434165559307599</v>
      </c>
      <c r="C203">
        <v>30.663133563008198</v>
      </c>
      <c r="D203">
        <v>28.755332743749001</v>
      </c>
      <c r="E203">
        <v>22.734746574796699</v>
      </c>
    </row>
    <row r="204" spans="1:5">
      <c r="A204">
        <v>1.48543230940993E-2</v>
      </c>
      <c r="B204">
        <v>-4.2094643386521202</v>
      </c>
      <c r="C204">
        <v>40.172747578937603</v>
      </c>
      <c r="D204">
        <v>26.2022624304518</v>
      </c>
      <c r="E204">
        <v>18.930900968425</v>
      </c>
    </row>
    <row r="205" spans="1:5">
      <c r="A205" s="90">
        <v>8.4505313759872996E-10</v>
      </c>
      <c r="B205">
        <v>-20.891621605816301</v>
      </c>
      <c r="C205">
        <v>32.298343162052298</v>
      </c>
      <c r="D205">
        <v>20.023852027952699</v>
      </c>
      <c r="E205">
        <v>22.0806627351791</v>
      </c>
    </row>
    <row r="206" spans="1:5">
      <c r="A206" s="90">
        <v>1.8900226498552799E-8</v>
      </c>
      <c r="B206">
        <v>-17.7840919309022</v>
      </c>
      <c r="C206">
        <v>44.245837920345402</v>
      </c>
      <c r="D206">
        <v>22.2407893184572</v>
      </c>
      <c r="E206">
        <v>17.301664831861899</v>
      </c>
    </row>
    <row r="207" spans="1:5">
      <c r="A207" s="90">
        <v>1.5623075675731901E-7</v>
      </c>
      <c r="B207">
        <v>-15.671931712667501</v>
      </c>
      <c r="C207">
        <v>15.1670074444264</v>
      </c>
      <c r="D207">
        <v>34.265366434119599</v>
      </c>
      <c r="E207">
        <v>28.9331970222294</v>
      </c>
    </row>
    <row r="208" spans="1:5">
      <c r="A208" s="90">
        <v>1.15820109916997E-8</v>
      </c>
      <c r="B208">
        <v>-18.2738127191103</v>
      </c>
      <c r="C208">
        <v>18.264129372313601</v>
      </c>
      <c r="D208">
        <v>23.117204802110798</v>
      </c>
      <c r="E208">
        <v>27.694348251074601</v>
      </c>
    </row>
    <row r="209" spans="1:5">
      <c r="A209">
        <v>3.2912107723882898E-4</v>
      </c>
      <c r="B209">
        <v>-8.0190848589766599</v>
      </c>
      <c r="C209">
        <v>18.066197374369899</v>
      </c>
      <c r="D209">
        <v>20.186985721811698</v>
      </c>
      <c r="E209">
        <v>27.773521050252</v>
      </c>
    </row>
    <row r="210" spans="1:5">
      <c r="A210" s="90">
        <v>5.0312762933255395E-10</v>
      </c>
      <c r="B210">
        <v>-21.410177241766799</v>
      </c>
      <c r="C210">
        <v>40.628023457247799</v>
      </c>
      <c r="D210">
        <v>17.9705202253535</v>
      </c>
      <c r="E210">
        <v>18.748790617100902</v>
      </c>
    </row>
    <row r="211" spans="1:5">
      <c r="A211" s="90">
        <v>2.6561314865405699E-5</v>
      </c>
      <c r="B211">
        <v>-10.5360547291068</v>
      </c>
      <c r="C211">
        <v>28.91159752151</v>
      </c>
      <c r="D211">
        <v>27.965577300638</v>
      </c>
      <c r="E211">
        <v>23.435360991395999</v>
      </c>
    </row>
    <row r="212" spans="1:5">
      <c r="A212" s="90">
        <v>5.6332268025547495E-13</v>
      </c>
      <c r="B212">
        <v>-28.2049237866296</v>
      </c>
      <c r="C212">
        <v>25.8959624529816</v>
      </c>
      <c r="D212">
        <v>19.9831267772242</v>
      </c>
      <c r="E212">
        <v>24.6416150188074</v>
      </c>
    </row>
    <row r="213" spans="1:5">
      <c r="A213" s="90">
        <v>2.1805210013563199E-7</v>
      </c>
      <c r="B213">
        <v>-15.338531811263399</v>
      </c>
      <c r="C213">
        <v>19.281474437564601</v>
      </c>
      <c r="D213">
        <v>22.737165163271101</v>
      </c>
      <c r="E213">
        <v>27.287410224974199</v>
      </c>
    </row>
    <row r="214" spans="1:5">
      <c r="A214" s="90">
        <v>3.00239460751878E-8</v>
      </c>
      <c r="B214">
        <v>-17.321270571172199</v>
      </c>
      <c r="C214">
        <v>45.943499833811103</v>
      </c>
      <c r="D214">
        <v>15.955619835294801</v>
      </c>
      <c r="E214">
        <v>16.622600066475599</v>
      </c>
    </row>
    <row r="215" spans="1:5">
      <c r="A215" s="90">
        <v>2.0052395949281799E-10</v>
      </c>
      <c r="B215">
        <v>-22.330087377603999</v>
      </c>
      <c r="C215">
        <v>31.297831873875101</v>
      </c>
      <c r="D215">
        <v>26.485994751565201</v>
      </c>
      <c r="E215">
        <v>22.48086725045</v>
      </c>
    </row>
    <row r="216" spans="1:5">
      <c r="A216">
        <v>2.4207162889225099E-3</v>
      </c>
      <c r="B216">
        <v>-6.0236917954510396</v>
      </c>
      <c r="C216">
        <v>35.1032378268428</v>
      </c>
      <c r="D216">
        <v>18.100552097894301</v>
      </c>
      <c r="E216">
        <v>20.958704869262899</v>
      </c>
    </row>
    <row r="217" spans="1:5">
      <c r="A217">
        <v>6.4415133034774905E-2</v>
      </c>
      <c r="B217">
        <v>-2.7424066884644498</v>
      </c>
      <c r="C217">
        <v>30.695910475682499</v>
      </c>
      <c r="D217">
        <v>28.871382996439898</v>
      </c>
      <c r="E217">
        <v>22.721635809727001</v>
      </c>
    </row>
    <row r="218" spans="1:5">
      <c r="A218" s="90">
        <v>1.08359928312199E-13</v>
      </c>
      <c r="B218">
        <v>-29.8533180392647</v>
      </c>
      <c r="C218">
        <v>12.634160810615899</v>
      </c>
      <c r="D218">
        <v>32.176322150044101</v>
      </c>
      <c r="E218">
        <v>29.946335675753701</v>
      </c>
    </row>
    <row r="219" spans="1:5">
      <c r="A219" s="90">
        <v>9.7809725884749493E-6</v>
      </c>
      <c r="B219">
        <v>-11.5350716321877</v>
      </c>
      <c r="C219">
        <v>31.664235896896599</v>
      </c>
      <c r="D219">
        <v>22.538982089608901</v>
      </c>
      <c r="E219">
        <v>22.3343056412414</v>
      </c>
    </row>
    <row r="220" spans="1:5">
      <c r="A220">
        <v>8.0440096064680194E-3</v>
      </c>
      <c r="B220">
        <v>-4.8228276128322598</v>
      </c>
      <c r="C220">
        <v>49.733481606934198</v>
      </c>
      <c r="D220">
        <v>28.1342580961064</v>
      </c>
      <c r="E220">
        <v>15.1066073572263</v>
      </c>
    </row>
    <row r="221" spans="1:5">
      <c r="A221" s="90">
        <v>1.56118446605656E-8</v>
      </c>
      <c r="B221">
        <v>-17.975235937679699</v>
      </c>
      <c r="C221">
        <v>40.032355960458503</v>
      </c>
      <c r="D221">
        <v>28.9735827129334</v>
      </c>
      <c r="E221">
        <v>18.9870576158166</v>
      </c>
    </row>
    <row r="222" spans="1:5">
      <c r="A222">
        <v>8.49112180716661E-2</v>
      </c>
      <c r="B222">
        <v>-2.46614906162957</v>
      </c>
      <c r="C222">
        <v>32.999801993370099</v>
      </c>
      <c r="D222">
        <v>21.8943514535204</v>
      </c>
      <c r="E222">
        <v>21.800079202652</v>
      </c>
    </row>
    <row r="223" spans="1:5">
      <c r="A223" s="90">
        <v>5.9387416118764004E-13</v>
      </c>
      <c r="B223">
        <v>-28.1521089478438</v>
      </c>
      <c r="C223">
        <v>30.7657051207498</v>
      </c>
      <c r="D223">
        <v>22.975203678943199</v>
      </c>
      <c r="E223">
        <v>22.693717951700101</v>
      </c>
    </row>
    <row r="224" spans="1:5">
      <c r="A224" s="90">
        <v>6.4364920238111001E-13</v>
      </c>
      <c r="B224">
        <v>-28.071622534017902</v>
      </c>
      <c r="C224">
        <v>31.532246259041099</v>
      </c>
      <c r="D224">
        <v>20.192860593088</v>
      </c>
      <c r="E224">
        <v>22.387101496383501</v>
      </c>
    </row>
    <row r="225" spans="1:5">
      <c r="A225">
        <v>2.7348984233244501E-3</v>
      </c>
      <c r="B225">
        <v>-5.9016609833501903</v>
      </c>
      <c r="C225">
        <v>48.3920695744455</v>
      </c>
      <c r="D225">
        <v>17.256455933675198</v>
      </c>
      <c r="E225">
        <v>15.643172170221799</v>
      </c>
    </row>
    <row r="226" spans="1:5">
      <c r="A226">
        <v>2.0976118036426E-4</v>
      </c>
      <c r="B226">
        <v>-8.4695409107514301</v>
      </c>
      <c r="C226">
        <v>17.8894628938287</v>
      </c>
      <c r="D226">
        <v>34.840870397165403</v>
      </c>
      <c r="E226">
        <v>27.844214842468499</v>
      </c>
    </row>
    <row r="227" spans="1:5">
      <c r="A227" s="90">
        <v>6.3469281861145798E-7</v>
      </c>
      <c r="B227">
        <v>-14.2701247053168</v>
      </c>
      <c r="C227">
        <v>44.030567280948198</v>
      </c>
      <c r="D227">
        <v>26.905820840038398</v>
      </c>
      <c r="E227">
        <v>17.387773087620701</v>
      </c>
    </row>
    <row r="228" spans="1:5">
      <c r="A228">
        <v>4.1129233122009799E-2</v>
      </c>
      <c r="B228">
        <v>-3.19103614213586</v>
      </c>
      <c r="C228">
        <v>30.252326146699499</v>
      </c>
      <c r="D228">
        <v>34.252407345920801</v>
      </c>
      <c r="E228">
        <v>22.899069541320198</v>
      </c>
    </row>
    <row r="229" spans="1:5">
      <c r="A229" s="90">
        <v>4.5778081074897102E-5</v>
      </c>
      <c r="B229">
        <v>-9.9917051605504099</v>
      </c>
      <c r="C229">
        <v>29.399707851465799</v>
      </c>
      <c r="D229">
        <v>30.380474487319599</v>
      </c>
      <c r="E229">
        <v>23.2401168594137</v>
      </c>
    </row>
    <row r="230" spans="1:5">
      <c r="A230" s="90">
        <v>1.5288339411657699E-10</v>
      </c>
      <c r="B230">
        <v>-22.601345615061799</v>
      </c>
      <c r="C230">
        <v>18.1634725108743</v>
      </c>
      <c r="D230">
        <v>28.637565807439401</v>
      </c>
      <c r="E230">
        <v>27.7346109956503</v>
      </c>
    </row>
    <row r="231" spans="1:5">
      <c r="A231">
        <v>1.6947106025697101E-2</v>
      </c>
      <c r="B231">
        <v>-4.0776581956797902</v>
      </c>
      <c r="C231">
        <v>34.617529563140103</v>
      </c>
      <c r="D231">
        <v>28.655621591024101</v>
      </c>
      <c r="E231">
        <v>21.1529881747439</v>
      </c>
    </row>
    <row r="232" spans="1:5">
      <c r="A232" s="90">
        <v>3.4593132059144797E-8</v>
      </c>
      <c r="B232">
        <v>-17.179610669986001</v>
      </c>
      <c r="C232">
        <v>27.017026990186402</v>
      </c>
      <c r="D232">
        <v>15.8416568674147</v>
      </c>
      <c r="E232">
        <v>24.1931892039254</v>
      </c>
    </row>
    <row r="233" spans="1:5">
      <c r="A233">
        <v>3.52150922800164E-4</v>
      </c>
      <c r="B233">
        <v>-7.9514507163015899</v>
      </c>
      <c r="C233">
        <v>34.040141133591497</v>
      </c>
      <c r="D233">
        <v>30.889659379608901</v>
      </c>
      <c r="E233">
        <v>21.383943546563401</v>
      </c>
    </row>
    <row r="234" spans="1:5">
      <c r="A234">
        <v>2.2143057999026599E-3</v>
      </c>
      <c r="B234">
        <v>-6.1128163332296097</v>
      </c>
      <c r="C234">
        <v>37.801528179552399</v>
      </c>
      <c r="D234">
        <v>34.570749998092701</v>
      </c>
      <c r="E234">
        <v>19.879388728178998</v>
      </c>
    </row>
    <row r="235" spans="1:5">
      <c r="A235" s="90">
        <v>4.3411112948098697E-5</v>
      </c>
      <c r="B235">
        <v>-10.044795090923399</v>
      </c>
      <c r="C235">
        <v>40.778328373562502</v>
      </c>
      <c r="D235">
        <v>15.606320835649999</v>
      </c>
      <c r="E235">
        <v>18.688668650575</v>
      </c>
    </row>
    <row r="236" spans="1:5">
      <c r="A236" s="90">
        <v>1.2619781486918699E-6</v>
      </c>
      <c r="B236">
        <v>-13.5828301088193</v>
      </c>
      <c r="C236">
        <v>26.226696323137698</v>
      </c>
      <c r="D236">
        <v>22.1113150613382</v>
      </c>
      <c r="E236">
        <v>24.509321470744901</v>
      </c>
    </row>
    <row r="237" spans="1:5">
      <c r="A237">
        <v>5.9389802608615595E-4</v>
      </c>
      <c r="B237">
        <v>-7.4288029265948001</v>
      </c>
      <c r="C237">
        <v>31.5117365005426</v>
      </c>
      <c r="D237">
        <v>32.670719809830203</v>
      </c>
      <c r="E237">
        <v>22.395305399782998</v>
      </c>
    </row>
    <row r="238" spans="1:5">
      <c r="A238" s="90">
        <v>6.9671044740920201E-12</v>
      </c>
      <c r="B238">
        <v>-25.689821404429299</v>
      </c>
      <c r="C238">
        <v>15.383514819666701</v>
      </c>
      <c r="D238">
        <v>24.528835960663901</v>
      </c>
      <c r="E238">
        <v>28.8465940721333</v>
      </c>
    </row>
    <row r="239" spans="1:5">
      <c r="A239" s="90">
        <v>4.8825921214556404E-13</v>
      </c>
      <c r="B239">
        <v>-28.347929957650202</v>
      </c>
      <c r="C239">
        <v>44.718574637081502</v>
      </c>
      <c r="D239">
        <v>26.2069073366001</v>
      </c>
      <c r="E239">
        <v>17.1125701451674</v>
      </c>
    </row>
    <row r="240" spans="1:5">
      <c r="A240">
        <v>3.70638933456633E-3</v>
      </c>
      <c r="B240">
        <v>-5.5976971014381904</v>
      </c>
      <c r="C240">
        <v>39.281124285887898</v>
      </c>
      <c r="D240">
        <v>29.195428350940301</v>
      </c>
      <c r="E240">
        <v>19.287550285644802</v>
      </c>
    </row>
    <row r="241" spans="1:5">
      <c r="A241" s="90">
        <v>3.5187027707177803E-14</v>
      </c>
      <c r="B241">
        <v>-30.978098911277002</v>
      </c>
      <c r="C241">
        <v>10.4628773573786</v>
      </c>
      <c r="D241">
        <v>23.835277166217601</v>
      </c>
      <c r="E241">
        <v>30.814849057048601</v>
      </c>
    </row>
    <row r="242" spans="1:5">
      <c r="A242" s="90">
        <v>1.9615473111099499E-5</v>
      </c>
      <c r="B242">
        <v>-10.839191858731301</v>
      </c>
      <c r="C242">
        <v>40.037359846290201</v>
      </c>
      <c r="D242">
        <v>19.507131166756199</v>
      </c>
      <c r="E242">
        <v>18.985056061483899</v>
      </c>
    </row>
    <row r="243" spans="1:5">
      <c r="A243" s="90">
        <v>1.0497302615379001E-6</v>
      </c>
      <c r="B243">
        <v>-13.766977320571099</v>
      </c>
      <c r="C243">
        <v>34.706338452175302</v>
      </c>
      <c r="D243">
        <v>33.627168685197802</v>
      </c>
      <c r="E243">
        <v>21.117464619129901</v>
      </c>
    </row>
    <row r="244" spans="1:5">
      <c r="A244">
        <v>3.6130151637860299E-2</v>
      </c>
      <c r="B244">
        <v>-3.3206275368244702</v>
      </c>
      <c r="C244">
        <v>20.492403670679799</v>
      </c>
      <c r="D244">
        <v>15.9751939354464</v>
      </c>
      <c r="E244">
        <v>26.803038531728099</v>
      </c>
    </row>
    <row r="245" spans="1:5">
      <c r="A245" s="90">
        <v>5.6902009448013705E-7</v>
      </c>
      <c r="B245">
        <v>-14.379350088012799</v>
      </c>
      <c r="C245">
        <v>39.8223970755935</v>
      </c>
      <c r="D245">
        <v>16.567621403373799</v>
      </c>
      <c r="E245">
        <v>19.071041169762601</v>
      </c>
    </row>
    <row r="246" spans="1:5">
      <c r="A246" s="90">
        <v>6.2403991087239095E-10</v>
      </c>
      <c r="B246">
        <v>-21.194806789873098</v>
      </c>
      <c r="C246">
        <v>27.652349526528301</v>
      </c>
      <c r="D246">
        <v>24.566097222268599</v>
      </c>
      <c r="E246">
        <v>23.939060189388702</v>
      </c>
    </row>
    <row r="247" spans="1:5">
      <c r="A247">
        <v>2.6763725421733798E-4</v>
      </c>
      <c r="B247">
        <v>-8.2258780233410391</v>
      </c>
      <c r="C247">
        <v>45.465613418258698</v>
      </c>
      <c r="D247">
        <v>18.900847220793398</v>
      </c>
      <c r="E247">
        <v>16.813754632696501</v>
      </c>
    </row>
    <row r="248" spans="1:5">
      <c r="A248">
        <v>4.6137836352095501E-4</v>
      </c>
      <c r="B248">
        <v>-7.6812921064299999</v>
      </c>
      <c r="C248">
        <v>41.237159258685999</v>
      </c>
      <c r="D248">
        <v>16.340197157114702</v>
      </c>
      <c r="E248">
        <v>18.505136296525599</v>
      </c>
    </row>
    <row r="249" spans="1:5">
      <c r="A249" s="90">
        <v>8.0235057369624193E-9</v>
      </c>
      <c r="B249">
        <v>-18.640890386269501</v>
      </c>
      <c r="C249">
        <v>24.494139888789501</v>
      </c>
      <c r="D249">
        <v>29.118702621199201</v>
      </c>
      <c r="E249">
        <v>25.2023440444842</v>
      </c>
    </row>
    <row r="250" spans="1:5">
      <c r="A250">
        <v>2.4777482067247802E-3</v>
      </c>
      <c r="B250">
        <v>-6.0004051124291902</v>
      </c>
      <c r="C250">
        <v>17.592293743044099</v>
      </c>
      <c r="D250">
        <v>30.7343644555658</v>
      </c>
      <c r="E250">
        <v>27.963082502782299</v>
      </c>
    </row>
    <row r="251" spans="1:5">
      <c r="A251" s="90">
        <v>1.299262102652E-11</v>
      </c>
      <c r="B251">
        <v>-25.066639532965102</v>
      </c>
      <c r="C251">
        <v>18.733537981752299</v>
      </c>
      <c r="D251">
        <v>27.994010634720301</v>
      </c>
      <c r="E251">
        <v>27.506584807299099</v>
      </c>
    </row>
    <row r="252" spans="1:5">
      <c r="A252" s="90">
        <v>7.9678082525824802E-5</v>
      </c>
      <c r="B252">
        <v>-9.4375160096634207</v>
      </c>
      <c r="C252">
        <v>40.122259067837099</v>
      </c>
      <c r="D252">
        <v>20.571104614064101</v>
      </c>
      <c r="E252">
        <v>18.951096372865099</v>
      </c>
    </row>
    <row r="253" spans="1:5">
      <c r="A253">
        <v>4.7476396907193702E-4</v>
      </c>
      <c r="B253">
        <v>-7.6526927846459101</v>
      </c>
      <c r="C253">
        <v>29.347012548707401</v>
      </c>
      <c r="D253">
        <v>24.214159185066801</v>
      </c>
      <c r="E253">
        <v>23.261194980517001</v>
      </c>
    </row>
    <row r="254" spans="1:5">
      <c r="A254" s="90">
        <v>6.0297070832496194E-11</v>
      </c>
      <c r="B254">
        <v>-23.531737589950801</v>
      </c>
      <c r="C254">
        <v>37.542245752178097</v>
      </c>
      <c r="D254">
        <v>33.187971962615798</v>
      </c>
      <c r="E254">
        <v>19.983101699128699</v>
      </c>
    </row>
    <row r="255" spans="1:5">
      <c r="A255" s="90">
        <v>4.6691491244905396E-13</v>
      </c>
      <c r="B255">
        <v>-28.3926293541655</v>
      </c>
      <c r="C255">
        <v>24.063087350223199</v>
      </c>
      <c r="D255">
        <v>31.615802794694901</v>
      </c>
      <c r="E255">
        <v>25.3747650599107</v>
      </c>
    </row>
    <row r="256" spans="1:5">
      <c r="A256" s="90">
        <v>7.86234589591351E-6</v>
      </c>
      <c r="B256">
        <v>-11.7534255360136</v>
      </c>
      <c r="C256">
        <v>10.705890376586501</v>
      </c>
      <c r="D256">
        <v>17.653296748176199</v>
      </c>
      <c r="E256">
        <v>30.717643849365398</v>
      </c>
    </row>
    <row r="257" spans="1:5">
      <c r="A257" s="90">
        <v>1.8583095308718299E-8</v>
      </c>
      <c r="B257">
        <v>-17.801013523855801</v>
      </c>
      <c r="C257">
        <v>16.4417716190219</v>
      </c>
      <c r="D257">
        <v>25.4654021095484</v>
      </c>
      <c r="E257">
        <v>28.4232913523912</v>
      </c>
    </row>
    <row r="258" spans="1:5">
      <c r="A258" s="90">
        <v>8.3248292336645499E-10</v>
      </c>
      <c r="B258">
        <v>-20.906608406757101</v>
      </c>
      <c r="C258">
        <v>10.250075916294</v>
      </c>
      <c r="D258">
        <v>26.9013940775767</v>
      </c>
      <c r="E258">
        <v>30.899969633482399</v>
      </c>
    </row>
    <row r="259" spans="1:5">
      <c r="A259" s="90">
        <v>8.1103836555917405E-14</v>
      </c>
      <c r="B259">
        <v>-30.1430461284234</v>
      </c>
      <c r="C259">
        <v>13.051667321939</v>
      </c>
      <c r="D259">
        <v>24.649304440245</v>
      </c>
      <c r="E259">
        <v>29.7793330712244</v>
      </c>
    </row>
    <row r="260" spans="1:5">
      <c r="A260" s="90">
        <v>2.04535292724963E-7</v>
      </c>
      <c r="B260">
        <v>-15.402525295791699</v>
      </c>
      <c r="C260">
        <v>43.4674173411913</v>
      </c>
      <c r="D260">
        <v>27.437730240635599</v>
      </c>
      <c r="E260">
        <v>17.613033063523499</v>
      </c>
    </row>
    <row r="261" spans="1:5">
      <c r="A261" s="90">
        <v>4.7118624506569599E-14</v>
      </c>
      <c r="B261">
        <v>-30.6861080472802</v>
      </c>
      <c r="C261">
        <v>39.888681422918999</v>
      </c>
      <c r="D261">
        <v>32.201045420952099</v>
      </c>
      <c r="E261">
        <v>19.0445274308324</v>
      </c>
    </row>
    <row r="262" spans="1:5">
      <c r="A262">
        <v>8.9086523146920797E-4</v>
      </c>
      <c r="B262">
        <v>-7.0233173972993601</v>
      </c>
      <c r="C262">
        <v>31.819733998738201</v>
      </c>
      <c r="D262">
        <v>16.832456449046699</v>
      </c>
      <c r="E262">
        <v>22.2721064005047</v>
      </c>
    </row>
    <row r="263" spans="1:5">
      <c r="A263" s="90">
        <v>6.5614384029772898E-12</v>
      </c>
      <c r="B263">
        <v>-25.749811268261901</v>
      </c>
      <c r="C263">
        <v>24.1456015794538</v>
      </c>
      <c r="D263">
        <v>30.087927347049099</v>
      </c>
      <c r="E263">
        <v>25.341759368218501</v>
      </c>
    </row>
    <row r="264" spans="1:5">
      <c r="A264" s="90">
        <v>3.7851626548541802E-13</v>
      </c>
      <c r="B264">
        <v>-28.602517349415098</v>
      </c>
      <c r="C264">
        <v>21.058131950907399</v>
      </c>
      <c r="D264">
        <v>31.536361100152099</v>
      </c>
      <c r="E264">
        <v>26.576747219636999</v>
      </c>
    </row>
    <row r="265" spans="1:5">
      <c r="A265" s="90">
        <v>7.4833568278804999E-8</v>
      </c>
      <c r="B265">
        <v>-16.407999278854</v>
      </c>
      <c r="C265">
        <v>9.5347179323434794</v>
      </c>
      <c r="D265">
        <v>22.002657889388502</v>
      </c>
      <c r="E265">
        <v>31.186112827062601</v>
      </c>
    </row>
    <row r="266" spans="1:5">
      <c r="A266" s="90">
        <v>1.83958425845835E-10</v>
      </c>
      <c r="B266">
        <v>-22.416311330339301</v>
      </c>
      <c r="C266">
        <v>8.7659011199139094</v>
      </c>
      <c r="D266">
        <v>19.980402518995099</v>
      </c>
      <c r="E266">
        <v>31.493639552034399</v>
      </c>
    </row>
    <row r="267" spans="1:5">
      <c r="A267">
        <v>6.3902936946211896E-3</v>
      </c>
      <c r="B267">
        <v>-5.0529750500493398</v>
      </c>
      <c r="C267">
        <v>20.447858180385101</v>
      </c>
      <c r="D267">
        <v>24.212522492744</v>
      </c>
      <c r="E267">
        <v>26.820856727846</v>
      </c>
    </row>
    <row r="268" spans="1:5">
      <c r="A268" s="90">
        <v>3.9469800277463398E-7</v>
      </c>
      <c r="B268">
        <v>-14.745144914400299</v>
      </c>
      <c r="C268">
        <v>23.309018507599799</v>
      </c>
      <c r="D268">
        <v>26.165766757912898</v>
      </c>
      <c r="E268">
        <v>25.676392596960099</v>
      </c>
    </row>
    <row r="269" spans="1:5">
      <c r="A269" s="90">
        <v>6.5078750711797497E-13</v>
      </c>
      <c r="B269">
        <v>-28.0605932159425</v>
      </c>
      <c r="C269">
        <v>47.556200732942699</v>
      </c>
      <c r="D269">
        <v>22.017312566749801</v>
      </c>
      <c r="E269">
        <v>15.9775197068229</v>
      </c>
    </row>
    <row r="270" spans="1:5">
      <c r="A270" s="90">
        <v>2.7791599012230601E-5</v>
      </c>
      <c r="B270">
        <v>-10.4907767767421</v>
      </c>
      <c r="C270">
        <v>33.509384236298501</v>
      </c>
      <c r="D270">
        <v>26.2173958029598</v>
      </c>
      <c r="E270">
        <v>21.596246305480602</v>
      </c>
    </row>
    <row r="271" spans="1:5">
      <c r="A271" s="90">
        <v>1.0348333536835401E-11</v>
      </c>
      <c r="B271">
        <v>-25.2941956201146</v>
      </c>
      <c r="C271">
        <v>45.993484918028102</v>
      </c>
      <c r="D271">
        <v>23.639483307488302</v>
      </c>
      <c r="E271">
        <v>16.602606032788799</v>
      </c>
    </row>
    <row r="272" spans="1:5">
      <c r="A272" s="90">
        <v>2.7371869612308901E-9</v>
      </c>
      <c r="B272">
        <v>-19.716335100404301</v>
      </c>
      <c r="C272">
        <v>11.7522502895445</v>
      </c>
      <c r="D272">
        <v>22.936168992891901</v>
      </c>
      <c r="E272">
        <v>30.299099884182201</v>
      </c>
    </row>
    <row r="273" spans="1:5">
      <c r="A273" s="90">
        <v>1.1047055124944299E-6</v>
      </c>
      <c r="B273">
        <v>-13.7159317630431</v>
      </c>
      <c r="C273">
        <v>15.1116000553593</v>
      </c>
      <c r="D273">
        <v>29.463336779736</v>
      </c>
      <c r="E273">
        <v>28.9553599778563</v>
      </c>
    </row>
    <row r="274" spans="1:5">
      <c r="A274">
        <v>2.3954247338403199E-2</v>
      </c>
      <c r="B274">
        <v>-3.7316096289526799</v>
      </c>
      <c r="C274">
        <v>22.728553483728302</v>
      </c>
      <c r="D274">
        <v>27.838937100022999</v>
      </c>
      <c r="E274">
        <v>25.908578606508701</v>
      </c>
    </row>
    <row r="275" spans="1:5">
      <c r="A275" s="90">
        <v>3.0662183224250099E-6</v>
      </c>
      <c r="B275">
        <v>-12.6950655724748</v>
      </c>
      <c r="C275">
        <v>32.507710776291802</v>
      </c>
      <c r="D275">
        <v>27.3831843584776</v>
      </c>
      <c r="E275">
        <v>21.996915689483298</v>
      </c>
    </row>
    <row r="276" spans="1:5">
      <c r="A276">
        <v>1.0285610031834799E-4</v>
      </c>
      <c r="B276">
        <v>-9.1821796308546997</v>
      </c>
      <c r="C276">
        <v>33.4696938069537</v>
      </c>
      <c r="D276">
        <v>23.350228848867101</v>
      </c>
      <c r="E276">
        <v>21.612122477218499</v>
      </c>
    </row>
    <row r="277" spans="1:5">
      <c r="A277">
        <v>8.8412539220311004E-2</v>
      </c>
      <c r="B277">
        <v>-2.4257414730141802</v>
      </c>
      <c r="C277">
        <v>9.3052396848797798</v>
      </c>
      <c r="D277">
        <v>27.674828339368101</v>
      </c>
      <c r="E277">
        <v>31.277904126048099</v>
      </c>
    </row>
    <row r="278" spans="1:5">
      <c r="A278" s="90">
        <v>2.31905069185721E-5</v>
      </c>
      <c r="B278">
        <v>-10.6717675475752</v>
      </c>
      <c r="C278">
        <v>31.352789600379801</v>
      </c>
      <c r="D278">
        <v>23.3196028321981</v>
      </c>
      <c r="E278">
        <v>22.4588841598481</v>
      </c>
    </row>
    <row r="279" spans="1:5">
      <c r="A279" s="90">
        <v>4.4936550399071001E-7</v>
      </c>
      <c r="B279">
        <v>-14.6154292402867</v>
      </c>
      <c r="C279">
        <v>12.299069839995401</v>
      </c>
      <c r="D279">
        <v>25.141030717641101</v>
      </c>
      <c r="E279">
        <v>30.080372064001899</v>
      </c>
    </row>
    <row r="280" spans="1:5">
      <c r="A280" s="90">
        <v>8.2981130285076606E-11</v>
      </c>
      <c r="B280">
        <v>-23.2124078799419</v>
      </c>
      <c r="C280">
        <v>20.616618917323599</v>
      </c>
      <c r="D280">
        <v>15.828542564995599</v>
      </c>
      <c r="E280">
        <v>26.7533524330705</v>
      </c>
    </row>
    <row r="281" spans="1:5">
      <c r="A281" s="90">
        <v>2.1378235362857199E-14</v>
      </c>
      <c r="B281">
        <v>-31.4764030295369</v>
      </c>
      <c r="C281">
        <v>16.6868532248773</v>
      </c>
      <c r="D281">
        <v>29.2347703501582</v>
      </c>
      <c r="E281">
        <v>28.325258710049098</v>
      </c>
    </row>
    <row r="282" spans="1:5">
      <c r="A282" s="90">
        <v>6.0999769872267698E-9</v>
      </c>
      <c r="B282">
        <v>-18.914980838360002</v>
      </c>
      <c r="C282">
        <v>23.1074260864407</v>
      </c>
      <c r="D282">
        <v>31.335093933157601</v>
      </c>
      <c r="E282">
        <v>25.7570295654237</v>
      </c>
    </row>
    <row r="283" spans="1:5">
      <c r="A283" s="90">
        <v>2.2914327293149002E-5</v>
      </c>
      <c r="B283">
        <v>-10.6837481970499</v>
      </c>
      <c r="C283">
        <v>45.333253307268002</v>
      </c>
      <c r="D283">
        <v>20.7221842417493</v>
      </c>
      <c r="E283">
        <v>16.866698677092799</v>
      </c>
    </row>
    <row r="284" spans="1:5">
      <c r="A284">
        <v>1.51231863741117E-4</v>
      </c>
      <c r="B284">
        <v>-8.7966963773926405</v>
      </c>
      <c r="C284">
        <v>36.718197727110201</v>
      </c>
      <c r="D284">
        <v>27.458677534014001</v>
      </c>
      <c r="E284">
        <v>20.3127209091559</v>
      </c>
    </row>
    <row r="285" spans="1:5">
      <c r="A285" s="90">
        <v>7.5173093331609997E-13</v>
      </c>
      <c r="B285">
        <v>-27.9163979364284</v>
      </c>
      <c r="C285">
        <v>30.7533079953864</v>
      </c>
      <c r="D285">
        <v>32.297155661508398</v>
      </c>
      <c r="E285">
        <v>22.698676801845401</v>
      </c>
    </row>
    <row r="286" spans="1:5">
      <c r="A286" s="90">
        <v>2.6296962699926899E-12</v>
      </c>
      <c r="B286">
        <v>-26.664152763102798</v>
      </c>
      <c r="C286">
        <v>39.968204261269399</v>
      </c>
      <c r="D286">
        <v>19.8370524030179</v>
      </c>
      <c r="E286">
        <v>19.012718295492199</v>
      </c>
    </row>
    <row r="287" spans="1:5">
      <c r="A287" s="90">
        <v>8.1610738879007293E-12</v>
      </c>
      <c r="B287">
        <v>-25.531645351702199</v>
      </c>
      <c r="C287">
        <v>18.5583280101418</v>
      </c>
      <c r="D287">
        <v>17.329900260083399</v>
      </c>
      <c r="E287">
        <v>27.576668795943299</v>
      </c>
    </row>
    <row r="288" spans="1:5">
      <c r="A288">
        <v>1.43184997815523E-4</v>
      </c>
      <c r="B288">
        <v>-8.8513730727839306</v>
      </c>
      <c r="C288">
        <v>46.464773322921197</v>
      </c>
      <c r="D288">
        <v>16.838032524101401</v>
      </c>
      <c r="E288">
        <v>16.414090670831499</v>
      </c>
    </row>
    <row r="289" spans="1:5">
      <c r="A289" s="90">
        <v>4.1341355643675398E-11</v>
      </c>
      <c r="B289">
        <v>-23.909157769670902</v>
      </c>
      <c r="C289">
        <v>46.371849615126798</v>
      </c>
      <c r="D289">
        <v>19.391562095843302</v>
      </c>
      <c r="E289">
        <v>16.451260153949299</v>
      </c>
    </row>
    <row r="290" spans="1:5">
      <c r="A290" s="90">
        <v>1.0121795259724701E-8</v>
      </c>
      <c r="B290">
        <v>-18.4085747916141</v>
      </c>
      <c r="C290">
        <v>39.430950124748101</v>
      </c>
      <c r="D290">
        <v>24.025577376596601</v>
      </c>
      <c r="E290">
        <v>19.227619950100799</v>
      </c>
    </row>
    <row r="291" spans="1:5">
      <c r="A291" s="90">
        <v>4.7534988865562998E-6</v>
      </c>
      <c r="B291">
        <v>-12.256629603384001</v>
      </c>
      <c r="C291">
        <v>36.463012594729697</v>
      </c>
      <c r="D291">
        <v>34.838160336948903</v>
      </c>
      <c r="E291">
        <v>20.4147949621081</v>
      </c>
    </row>
    <row r="292" spans="1:5">
      <c r="A292">
        <v>3.8395280380295001E-2</v>
      </c>
      <c r="B292">
        <v>-3.25982073370526</v>
      </c>
      <c r="C292">
        <v>24.6194155677222</v>
      </c>
      <c r="D292">
        <v>30.965896826237401</v>
      </c>
      <c r="E292">
        <v>25.152233772911099</v>
      </c>
    </row>
    <row r="293" spans="1:5">
      <c r="A293" s="90">
        <v>1.01990776932518E-7</v>
      </c>
      <c r="B293">
        <v>-16.098383449980702</v>
      </c>
      <c r="C293">
        <v>40.927221335936302</v>
      </c>
      <c r="D293">
        <v>25.4298005299643</v>
      </c>
      <c r="E293">
        <v>18.629111465625499</v>
      </c>
    </row>
    <row r="294" spans="1:5">
      <c r="A294" s="90">
        <v>1.2003014825506499E-8</v>
      </c>
      <c r="B294">
        <v>-18.238107983253901</v>
      </c>
      <c r="C294">
        <v>17.0815378576517</v>
      </c>
      <c r="D294">
        <v>28.2928570173681</v>
      </c>
      <c r="E294">
        <v>28.1673848569393</v>
      </c>
    </row>
    <row r="295" spans="1:5">
      <c r="A295" s="90">
        <v>1.1900565522955799E-13</v>
      </c>
      <c r="B295">
        <v>-29.759605379990901</v>
      </c>
      <c r="C295">
        <v>23.139351258054401</v>
      </c>
      <c r="D295">
        <v>29.6456823358312</v>
      </c>
      <c r="E295">
        <v>25.744259496778199</v>
      </c>
    </row>
    <row r="296" spans="1:5">
      <c r="A296" s="90">
        <v>1.5393914376200499E-14</v>
      </c>
      <c r="B296">
        <v>-31.804804133968101</v>
      </c>
      <c r="C296">
        <v>33.8798418035731</v>
      </c>
      <c r="D296">
        <v>33.909707902930698</v>
      </c>
      <c r="E296">
        <v>21.4480632785708</v>
      </c>
    </row>
    <row r="297" spans="1:5">
      <c r="A297">
        <v>5.8158428643668497E-3</v>
      </c>
      <c r="B297">
        <v>-5.1471695569345401</v>
      </c>
      <c r="C297">
        <v>45.743824905715897</v>
      </c>
      <c r="D297">
        <v>23.730059145018501</v>
      </c>
      <c r="E297">
        <v>16.702470037713599</v>
      </c>
    </row>
    <row r="298" spans="1:5">
      <c r="A298" s="90">
        <v>6.7248097913054905E-11</v>
      </c>
      <c r="B298">
        <v>-23.422632381667299</v>
      </c>
      <c r="C298">
        <v>34.390967360231997</v>
      </c>
      <c r="D298">
        <v>19.7491809073836</v>
      </c>
      <c r="E298">
        <v>21.243613055907201</v>
      </c>
    </row>
    <row r="299" spans="1:5">
      <c r="A299" s="90">
        <v>5.87242683438942E-5</v>
      </c>
      <c r="B299">
        <v>-9.7426574865195708</v>
      </c>
      <c r="C299">
        <v>15.3106798403896</v>
      </c>
      <c r="D299">
        <v>33.517549741081901</v>
      </c>
      <c r="E299">
        <v>28.8757280638441</v>
      </c>
    </row>
    <row r="300" spans="1:5">
      <c r="A300" s="90">
        <v>6.1501800934319104E-5</v>
      </c>
      <c r="B300">
        <v>-9.6964441000956896</v>
      </c>
      <c r="C300">
        <v>13.8316888222471</v>
      </c>
      <c r="D300">
        <v>19.3844287935644</v>
      </c>
      <c r="E300">
        <v>29.4673244711012</v>
      </c>
    </row>
    <row r="301" spans="1:5">
      <c r="A301" s="90">
        <v>3.1286680245084601E-13</v>
      </c>
      <c r="B301">
        <v>-28.792998846218399</v>
      </c>
      <c r="C301">
        <v>35.1754445321858</v>
      </c>
      <c r="D301">
        <v>18.5613033920527</v>
      </c>
      <c r="E301">
        <v>20.929822187125701</v>
      </c>
    </row>
    <row r="302" spans="1:5">
      <c r="A302" s="90">
        <v>7.4817170268817202E-6</v>
      </c>
      <c r="B302">
        <v>-11.803048243271901</v>
      </c>
      <c r="C302">
        <v>37.781788420397802</v>
      </c>
      <c r="D302">
        <v>25.961214867420502</v>
      </c>
      <c r="E302">
        <v>19.887284631840899</v>
      </c>
    </row>
    <row r="303" spans="1:5">
      <c r="A303" s="90">
        <v>1.16931774735586E-12</v>
      </c>
      <c r="B303">
        <v>-27.4746006591187</v>
      </c>
      <c r="C303">
        <v>32.348201228305697</v>
      </c>
      <c r="D303">
        <v>34.327818946912899</v>
      </c>
      <c r="E303">
        <v>22.0607195086777</v>
      </c>
    </row>
    <row r="304" spans="1:5">
      <c r="A304">
        <v>5.9349593759035497E-3</v>
      </c>
      <c r="B304">
        <v>-5.1268950957790498</v>
      </c>
      <c r="C304">
        <v>47.913931606803096</v>
      </c>
      <c r="D304">
        <v>27.8619989054278</v>
      </c>
      <c r="E304">
        <v>15.8344273572788</v>
      </c>
    </row>
    <row r="305" spans="1:5">
      <c r="A305" s="90">
        <v>1.7828067859696201E-5</v>
      </c>
      <c r="B305">
        <v>-10.934736496532301</v>
      </c>
      <c r="C305">
        <v>36.741316482890397</v>
      </c>
      <c r="D305">
        <v>17.1050039539114</v>
      </c>
      <c r="E305">
        <v>20.3034734068438</v>
      </c>
    </row>
    <row r="306" spans="1:5">
      <c r="A306">
        <v>2.7222005141183399E-2</v>
      </c>
      <c r="B306">
        <v>-3.6037296202109301</v>
      </c>
      <c r="C306">
        <v>28.305950836744199</v>
      </c>
      <c r="D306">
        <v>30.572971799410901</v>
      </c>
      <c r="E306">
        <v>23.677619665302299</v>
      </c>
    </row>
    <row r="307" spans="1:5">
      <c r="A307" s="90">
        <v>3.2739471621222398E-9</v>
      </c>
      <c r="B307">
        <v>-19.5372694967587</v>
      </c>
      <c r="C307">
        <v>14.5170311187394</v>
      </c>
      <c r="D307">
        <v>16.573111503385</v>
      </c>
      <c r="E307">
        <v>29.193187552504199</v>
      </c>
    </row>
    <row r="308" spans="1:5">
      <c r="A308" s="90">
        <v>1.16744213988206E-10</v>
      </c>
      <c r="B308">
        <v>-22.8710357795952</v>
      </c>
      <c r="C308">
        <v>49.279159502591902</v>
      </c>
      <c r="D308">
        <v>30.821151789277799</v>
      </c>
      <c r="E308">
        <v>15.288336198963201</v>
      </c>
    </row>
    <row r="309" spans="1:5">
      <c r="A309">
        <v>5.3908914901125004E-4</v>
      </c>
      <c r="B309">
        <v>-7.5256296036794499</v>
      </c>
      <c r="C309">
        <v>39.118550279177697</v>
      </c>
      <c r="D309">
        <v>22.4042815482244</v>
      </c>
      <c r="E309">
        <v>19.352579888328901</v>
      </c>
    </row>
    <row r="310" spans="1:5">
      <c r="A310">
        <v>1.6673707583553401E-4</v>
      </c>
      <c r="B310">
        <v>-8.6990923824059898</v>
      </c>
      <c r="C310">
        <v>35.167462114710403</v>
      </c>
      <c r="D310">
        <v>19.7157849743962</v>
      </c>
      <c r="E310">
        <v>20.9330151541159</v>
      </c>
    </row>
    <row r="311" spans="1:5">
      <c r="A311" s="90">
        <v>3.6096634295356502E-14</v>
      </c>
      <c r="B311">
        <v>-30.952576766733898</v>
      </c>
      <c r="C311">
        <v>18.734731612261399</v>
      </c>
      <c r="D311">
        <v>33.881298801861703</v>
      </c>
      <c r="E311">
        <v>27.506107355095399</v>
      </c>
    </row>
    <row r="312" spans="1:5">
      <c r="A312" s="90">
        <v>3.7600866110664002E-14</v>
      </c>
      <c r="B312">
        <v>-30.911749309922101</v>
      </c>
      <c r="C312">
        <v>35.744271115865601</v>
      </c>
      <c r="D312">
        <v>15.654040253721201</v>
      </c>
      <c r="E312">
        <v>20.702291553653801</v>
      </c>
    </row>
    <row r="313" spans="1:5">
      <c r="A313" s="90">
        <v>6.0469312964470504E-12</v>
      </c>
      <c r="B313">
        <v>-25.831470196295001</v>
      </c>
      <c r="C313">
        <v>8.4493972221389395</v>
      </c>
      <c r="D313">
        <v>33.495785971172197</v>
      </c>
      <c r="E313">
        <v>31.620241111144399</v>
      </c>
    </row>
    <row r="314" spans="1:5">
      <c r="A314" s="90">
        <v>6.2267382064621605E-14</v>
      </c>
      <c r="B314">
        <v>-30.4073386685895</v>
      </c>
      <c r="C314">
        <v>49.929343130905202</v>
      </c>
      <c r="D314">
        <v>25.9560912335292</v>
      </c>
      <c r="E314">
        <v>15.0282627476379</v>
      </c>
    </row>
    <row r="315" spans="1:5">
      <c r="A315" s="90">
        <v>2.67529771977612E-7</v>
      </c>
      <c r="B315">
        <v>-15.134034979690799</v>
      </c>
      <c r="C315">
        <v>21.362301855813701</v>
      </c>
      <c r="D315">
        <v>25.785696120001401</v>
      </c>
      <c r="E315">
        <v>26.455079257674502</v>
      </c>
    </row>
    <row r="316" spans="1:5">
      <c r="A316" s="90">
        <v>7.9038111401241505E-14</v>
      </c>
      <c r="B316">
        <v>-30.1688462359716</v>
      </c>
      <c r="C316">
        <v>37.687881132587798</v>
      </c>
      <c r="D316">
        <v>21.939148562960298</v>
      </c>
      <c r="E316">
        <v>19.924847546964902</v>
      </c>
    </row>
    <row r="317" spans="1:5">
      <c r="A317">
        <v>4.7466172443573198E-3</v>
      </c>
      <c r="B317">
        <v>-5.3503230737239997</v>
      </c>
      <c r="C317">
        <v>39.368473412003397</v>
      </c>
      <c r="D317">
        <v>16.1380927404389</v>
      </c>
      <c r="E317">
        <v>19.2526106351986</v>
      </c>
    </row>
    <row r="318" spans="1:5">
      <c r="A318" s="90">
        <v>5.0090687854516496E-6</v>
      </c>
      <c r="B318">
        <v>-12.204260531311</v>
      </c>
      <c r="C318">
        <v>38.832954314071699</v>
      </c>
      <c r="D318">
        <v>31.572000421583699</v>
      </c>
      <c r="E318">
        <v>19.466818274371299</v>
      </c>
    </row>
    <row r="319" spans="1:5">
      <c r="A319" s="90">
        <v>4.5901529644553799E-10</v>
      </c>
      <c r="B319">
        <v>-21.5019375808339</v>
      </c>
      <c r="C319">
        <v>40.517685028258697</v>
      </c>
      <c r="D319">
        <v>16.563905756920601</v>
      </c>
      <c r="E319">
        <v>18.792925988696499</v>
      </c>
    </row>
    <row r="320" spans="1:5">
      <c r="A320" s="90">
        <v>9.9846582353112501E-10</v>
      </c>
      <c r="B320">
        <v>-20.724801191469101</v>
      </c>
      <c r="C320">
        <v>48.326479889918097</v>
      </c>
      <c r="D320">
        <v>25.193617343902599</v>
      </c>
      <c r="E320">
        <v>15.6694080440327</v>
      </c>
    </row>
    <row r="321" spans="1:5">
      <c r="A321" s="90">
        <v>1.41882557752867E-14</v>
      </c>
      <c r="B321">
        <v>-31.886361830583098</v>
      </c>
      <c r="C321">
        <v>25.845714502502201</v>
      </c>
      <c r="D321">
        <v>21.844047801569101</v>
      </c>
      <c r="E321">
        <v>24.6617141989991</v>
      </c>
    </row>
    <row r="322" spans="1:5">
      <c r="A322" s="90">
        <v>3.1612529294033199E-8</v>
      </c>
      <c r="B322">
        <v>-17.269712298290901</v>
      </c>
      <c r="C322">
        <v>26.848351085092901</v>
      </c>
      <c r="D322">
        <v>26.497842972166801</v>
      </c>
      <c r="E322">
        <v>24.2606595659629</v>
      </c>
    </row>
    <row r="323" spans="1:5">
      <c r="A323" s="90">
        <v>1.9473481186799598E-5</v>
      </c>
      <c r="B323">
        <v>-10.846456957089501</v>
      </c>
      <c r="C323">
        <v>9.8731251778081095</v>
      </c>
      <c r="D323">
        <v>31.532051176764099</v>
      </c>
      <c r="E323">
        <v>31.050749928876801</v>
      </c>
    </row>
    <row r="324" spans="1:5">
      <c r="A324">
        <v>4.2681342320897903E-2</v>
      </c>
      <c r="B324">
        <v>-3.1539934022254901</v>
      </c>
      <c r="C324">
        <v>22.217701540328601</v>
      </c>
      <c r="D324">
        <v>21.007149559445701</v>
      </c>
      <c r="E324">
        <v>26.112919383868601</v>
      </c>
    </row>
    <row r="325" spans="1:5">
      <c r="A325" s="90">
        <v>3.4854424343969501E-13</v>
      </c>
      <c r="B325">
        <v>-28.6850112188522</v>
      </c>
      <c r="C325">
        <v>28.8385815937072</v>
      </c>
      <c r="D325">
        <v>19.9198475154117</v>
      </c>
      <c r="E325">
        <v>23.464567362517101</v>
      </c>
    </row>
    <row r="326" spans="1:5">
      <c r="A326">
        <v>4.10668752381225E-3</v>
      </c>
      <c r="B326">
        <v>-5.4951385307073899</v>
      </c>
      <c r="C326">
        <v>38.247711453121198</v>
      </c>
      <c r="D326">
        <v>31.7964440304786</v>
      </c>
      <c r="E326">
        <v>19.700915418751499</v>
      </c>
    </row>
    <row r="327" spans="1:5">
      <c r="A327" s="90">
        <v>5.1318436782975703E-6</v>
      </c>
      <c r="B327">
        <v>-12.1800455718662</v>
      </c>
      <c r="C327">
        <v>47.900964626576801</v>
      </c>
      <c r="D327">
        <v>34.606350944377503</v>
      </c>
      <c r="E327">
        <v>15.8396141493693</v>
      </c>
    </row>
    <row r="328" spans="1:5">
      <c r="A328" s="90">
        <v>6.5198394959799898E-7</v>
      </c>
      <c r="B328">
        <v>-14.243245892503699</v>
      </c>
      <c r="C328">
        <v>41.149349449202397</v>
      </c>
      <c r="D328">
        <v>25.665778396651099</v>
      </c>
      <c r="E328">
        <v>18.540260220318999</v>
      </c>
    </row>
    <row r="329" spans="1:5">
      <c r="A329" s="90">
        <v>4.0528082811809902E-7</v>
      </c>
      <c r="B329">
        <v>-14.7186856073718</v>
      </c>
      <c r="C329">
        <v>38.389442622661598</v>
      </c>
      <c r="D329">
        <v>34.8168633086607</v>
      </c>
      <c r="E329">
        <v>19.644222950935401</v>
      </c>
    </row>
    <row r="330" spans="1:5">
      <c r="A330" s="90">
        <v>8.7336472803839303E-9</v>
      </c>
      <c r="B330">
        <v>-18.556082767357999</v>
      </c>
      <c r="C330">
        <v>23.954773659352199</v>
      </c>
      <c r="D330">
        <v>32.955993679352098</v>
      </c>
      <c r="E330">
        <v>25.418090536259101</v>
      </c>
    </row>
    <row r="331" spans="1:5">
      <c r="A331" s="90">
        <v>3.78904623215434E-9</v>
      </c>
      <c r="B331">
        <v>-19.391151503307299</v>
      </c>
      <c r="C331">
        <v>28.7584961368702</v>
      </c>
      <c r="D331">
        <v>28.915443308651401</v>
      </c>
      <c r="E331">
        <v>23.496601545251899</v>
      </c>
    </row>
    <row r="332" spans="1:5">
      <c r="A332" s="90">
        <v>3.42756410695595E-13</v>
      </c>
      <c r="B332">
        <v>-28.701756372936099</v>
      </c>
      <c r="C332">
        <v>38.653943934477901</v>
      </c>
      <c r="D332">
        <v>17.1715803304687</v>
      </c>
      <c r="E332">
        <v>19.5384224262089</v>
      </c>
    </row>
    <row r="333" spans="1:5">
      <c r="A333" s="90">
        <v>1.0745026322277199E-14</v>
      </c>
      <c r="B333">
        <v>-32.164333415095903</v>
      </c>
      <c r="C333">
        <v>37.650212664157202</v>
      </c>
      <c r="D333">
        <v>28.177621997892899</v>
      </c>
      <c r="E333">
        <v>19.9399149343371</v>
      </c>
    </row>
    <row r="334" spans="1:5">
      <c r="A334">
        <v>1.3015986671110601E-4</v>
      </c>
      <c r="B334">
        <v>-8.9467471190928496</v>
      </c>
      <c r="C334">
        <v>49.425992865115397</v>
      </c>
      <c r="D334">
        <v>29.2274287808686</v>
      </c>
      <c r="E334">
        <v>15.2296028539538</v>
      </c>
    </row>
    <row r="335" spans="1:5">
      <c r="A335" s="90">
        <v>4.4754936431901702E-8</v>
      </c>
      <c r="B335">
        <v>-16.922064086982001</v>
      </c>
      <c r="C335">
        <v>48.562673123087698</v>
      </c>
      <c r="D335">
        <v>17.427165335975602</v>
      </c>
      <c r="E335">
        <v>15.574930750764899</v>
      </c>
    </row>
    <row r="336" spans="1:5">
      <c r="A336">
        <v>3.0055064492431399E-3</v>
      </c>
      <c r="B336">
        <v>-5.8073091896736404</v>
      </c>
      <c r="C336">
        <v>21.975274217780701</v>
      </c>
      <c r="D336">
        <v>19.683215101249498</v>
      </c>
      <c r="E336">
        <v>26.209890312887701</v>
      </c>
    </row>
    <row r="337" spans="1:5">
      <c r="A337" s="90">
        <v>1.27253952837315E-5</v>
      </c>
      <c r="B337">
        <v>-11.271910932455601</v>
      </c>
      <c r="C337">
        <v>23.848006020300101</v>
      </c>
      <c r="D337">
        <v>28.0192310316488</v>
      </c>
      <c r="E337">
        <v>25.460797591879999</v>
      </c>
    </row>
    <row r="338" spans="1:5">
      <c r="A338" s="90">
        <v>5.0567364080731202E-8</v>
      </c>
      <c r="B338">
        <v>-16.7999594473829</v>
      </c>
      <c r="C338">
        <v>11.4115416710265</v>
      </c>
      <c r="D338">
        <v>31.6950800875202</v>
      </c>
      <c r="E338">
        <v>30.435383331589399</v>
      </c>
    </row>
    <row r="339" spans="1:5">
      <c r="A339" s="90">
        <v>1.9921220645897799E-12</v>
      </c>
      <c r="B339">
        <v>-26.941820681239001</v>
      </c>
      <c r="C339">
        <v>13.9731012294069</v>
      </c>
      <c r="D339">
        <v>22.928153052926099</v>
      </c>
      <c r="E339">
        <v>29.410759508237199</v>
      </c>
    </row>
    <row r="340" spans="1:5">
      <c r="A340" s="90">
        <v>2.7273153701800199E-7</v>
      </c>
      <c r="B340">
        <v>-15.1147779064841</v>
      </c>
      <c r="C340">
        <v>42.566865366883597</v>
      </c>
      <c r="D340">
        <v>23.649298758246001</v>
      </c>
      <c r="E340">
        <v>17.9732538532466</v>
      </c>
    </row>
    <row r="341" spans="1:5">
      <c r="A341" s="90">
        <v>5.1033520764101701E-12</v>
      </c>
      <c r="B341">
        <v>-26.001123522221199</v>
      </c>
      <c r="C341">
        <v>48.104941883590101</v>
      </c>
      <c r="D341">
        <v>28.358432883396699</v>
      </c>
      <c r="E341">
        <v>15.758023246564001</v>
      </c>
    </row>
    <row r="342" spans="1:5">
      <c r="A342">
        <v>1.8304334908560099E-3</v>
      </c>
      <c r="B342">
        <v>-6.3032024599313203</v>
      </c>
      <c r="C342">
        <v>37.290753616485702</v>
      </c>
      <c r="D342">
        <v>23.6431052302942</v>
      </c>
      <c r="E342">
        <v>20.0836985534057</v>
      </c>
    </row>
    <row r="343" spans="1:5">
      <c r="A343">
        <v>2.18379144971888E-2</v>
      </c>
      <c r="B343">
        <v>-3.8241076227203599</v>
      </c>
      <c r="C343">
        <v>37.575682974420502</v>
      </c>
      <c r="D343">
        <v>29.204894485883401</v>
      </c>
      <c r="E343">
        <v>19.969726810231801</v>
      </c>
    </row>
    <row r="344" spans="1:5">
      <c r="A344" s="90">
        <v>6.2611226704098799E-5</v>
      </c>
      <c r="B344">
        <v>-9.6785659556167101</v>
      </c>
      <c r="C344">
        <v>41.598582591395797</v>
      </c>
      <c r="D344">
        <v>34.326915019191802</v>
      </c>
      <c r="E344">
        <v>18.360566963441698</v>
      </c>
    </row>
    <row r="345" spans="1:5">
      <c r="A345">
        <v>1.1484223501753699E-2</v>
      </c>
      <c r="B345">
        <v>-4.46678105490001</v>
      </c>
      <c r="C345">
        <v>16.071540550328798</v>
      </c>
      <c r="D345">
        <v>17.400969015434399</v>
      </c>
      <c r="E345">
        <v>28.571383779868501</v>
      </c>
    </row>
    <row r="346" spans="1:5">
      <c r="A346" s="90">
        <v>1.70039633293936E-8</v>
      </c>
      <c r="B346">
        <v>-17.889819383039299</v>
      </c>
      <c r="C346">
        <v>24.7502702875063</v>
      </c>
      <c r="D346">
        <v>30.059799449518302</v>
      </c>
      <c r="E346">
        <v>25.099891884997501</v>
      </c>
    </row>
    <row r="347" spans="1:5">
      <c r="A347" s="90">
        <v>4.3426990594171998E-10</v>
      </c>
      <c r="B347">
        <v>-21.5573548720382</v>
      </c>
      <c r="C347">
        <v>28.542286968789998</v>
      </c>
      <c r="D347">
        <v>25.144080719910601</v>
      </c>
      <c r="E347">
        <v>23.583085212484001</v>
      </c>
    </row>
    <row r="348" spans="1:5">
      <c r="A348" s="90">
        <v>7.3780653935123296E-12</v>
      </c>
      <c r="B348">
        <v>-25.632509653481801</v>
      </c>
      <c r="C348">
        <v>25.820433761924502</v>
      </c>
      <c r="D348">
        <v>17.452288656495501</v>
      </c>
      <c r="E348">
        <v>24.671826495230199</v>
      </c>
    </row>
    <row r="349" spans="1:5">
      <c r="A349" s="90">
        <v>9.7546844195762104E-11</v>
      </c>
      <c r="B349">
        <v>-23.050688400015598</v>
      </c>
      <c r="C349">
        <v>28.611341635696601</v>
      </c>
      <c r="D349">
        <v>33.844275474548297</v>
      </c>
      <c r="E349">
        <v>23.5554633457214</v>
      </c>
    </row>
    <row r="350" spans="1:5">
      <c r="A350" s="90">
        <v>1.0125117679918501E-12</v>
      </c>
      <c r="B350">
        <v>-27.618586973289499</v>
      </c>
      <c r="C350">
        <v>37.871567257679999</v>
      </c>
      <c r="D350">
        <v>23.889601198025002</v>
      </c>
      <c r="E350">
        <v>19.851373096928</v>
      </c>
    </row>
    <row r="351" spans="1:5">
      <c r="A351" s="90">
        <v>1.38366794661021E-5</v>
      </c>
      <c r="B351">
        <v>-11.1881875595304</v>
      </c>
      <c r="C351">
        <v>21.0424071974121</v>
      </c>
      <c r="D351">
        <v>15.453852182254201</v>
      </c>
      <c r="E351">
        <v>26.583037121035201</v>
      </c>
    </row>
    <row r="352" spans="1:5">
      <c r="A352" s="90">
        <v>1.82915870334978E-7</v>
      </c>
      <c r="B352">
        <v>-15.514239514756399</v>
      </c>
      <c r="C352">
        <v>49.1290099923499</v>
      </c>
      <c r="D352">
        <v>15.8744487445801</v>
      </c>
      <c r="E352">
        <v>15.34839600306</v>
      </c>
    </row>
    <row r="353" spans="1:5">
      <c r="A353" s="90">
        <v>6.3994713242845997E-9</v>
      </c>
      <c r="B353">
        <v>-18.867050455573299</v>
      </c>
      <c r="C353">
        <v>21.152290546335301</v>
      </c>
      <c r="D353">
        <v>22.798226932063699</v>
      </c>
      <c r="E353">
        <v>26.539083781465902</v>
      </c>
    </row>
    <row r="354" spans="1:5">
      <c r="A354" s="90">
        <v>2.4806691308254801E-12</v>
      </c>
      <c r="B354">
        <v>-26.722492781327301</v>
      </c>
      <c r="C354">
        <v>42.736144199036097</v>
      </c>
      <c r="D354">
        <v>30.918981865979699</v>
      </c>
      <c r="E354">
        <v>17.905542320385599</v>
      </c>
    </row>
    <row r="355" spans="1:5">
      <c r="A355" s="90">
        <v>1.65388856582352E-11</v>
      </c>
      <c r="B355">
        <v>-24.825306801139799</v>
      </c>
      <c r="C355">
        <v>29.836685378570099</v>
      </c>
      <c r="D355">
        <v>26.916364938952</v>
      </c>
      <c r="E355">
        <v>23.065325848572002</v>
      </c>
    </row>
    <row r="356" spans="1:5">
      <c r="A356" s="90">
        <v>8.9369947461507905E-8</v>
      </c>
      <c r="B356">
        <v>-16.230481369429398</v>
      </c>
      <c r="C356">
        <v>48.619839753489899</v>
      </c>
      <c r="D356">
        <v>26.714243944734299</v>
      </c>
      <c r="E356">
        <v>15.552064098603999</v>
      </c>
    </row>
    <row r="357" spans="1:5">
      <c r="A357">
        <v>5.7948333173284801E-2</v>
      </c>
      <c r="B357">
        <v>-2.84820347279754</v>
      </c>
      <c r="C357">
        <v>27.334643539506899</v>
      </c>
      <c r="D357">
        <v>32.902733027003698</v>
      </c>
      <c r="E357">
        <v>24.066142584197198</v>
      </c>
    </row>
    <row r="358" spans="1:5">
      <c r="A358" s="90">
        <v>1.0781517765561E-11</v>
      </c>
      <c r="B358">
        <v>-25.253187765779401</v>
      </c>
      <c r="C358">
        <v>9.0540627422742492</v>
      </c>
      <c r="D358">
        <v>28.1861993158236</v>
      </c>
      <c r="E358">
        <v>31.3783749030903</v>
      </c>
    </row>
    <row r="359" spans="1:5">
      <c r="A359">
        <v>7.3307459871843001E-3</v>
      </c>
      <c r="B359">
        <v>-4.9156779964769397</v>
      </c>
      <c r="C359">
        <v>44.189412803389096</v>
      </c>
      <c r="D359">
        <v>22.808573618531199</v>
      </c>
      <c r="E359">
        <v>17.324234878644301</v>
      </c>
    </row>
    <row r="360" spans="1:5">
      <c r="A360" s="90">
        <v>5.5557345097285295E-10</v>
      </c>
      <c r="B360">
        <v>-21.311020290616199</v>
      </c>
      <c r="C360">
        <v>19.9352663774043</v>
      </c>
      <c r="D360">
        <v>29.2301523685455</v>
      </c>
      <c r="E360">
        <v>27.0258934490383</v>
      </c>
    </row>
    <row r="361" spans="1:5">
      <c r="A361" s="90">
        <v>4.4354147310569798E-5</v>
      </c>
      <c r="B361">
        <v>-10.0233043403774</v>
      </c>
      <c r="C361">
        <v>19.585420454852301</v>
      </c>
      <c r="D361">
        <v>33.814743729308198</v>
      </c>
      <c r="E361">
        <v>27.1658318180591</v>
      </c>
    </row>
    <row r="362" spans="1:5">
      <c r="A362" s="90">
        <v>1.2256216853034801E-14</v>
      </c>
      <c r="B362">
        <v>-32.032743088446701</v>
      </c>
      <c r="C362">
        <v>33.571792526170597</v>
      </c>
      <c r="D362">
        <v>16.064983122050801</v>
      </c>
      <c r="E362">
        <v>21.571282989531799</v>
      </c>
    </row>
    <row r="363" spans="1:5">
      <c r="A363" s="90">
        <v>1.6333571053932201E-6</v>
      </c>
      <c r="B363">
        <v>-13.3248730872993</v>
      </c>
      <c r="C363">
        <v>32.1769285104237</v>
      </c>
      <c r="D363">
        <v>23.290149089880298</v>
      </c>
      <c r="E363">
        <v>22.129228595830501</v>
      </c>
    </row>
    <row r="364" spans="1:5">
      <c r="A364" s="90">
        <v>1.12606890128042E-13</v>
      </c>
      <c r="B364">
        <v>-29.8148734898868</v>
      </c>
      <c r="C364">
        <v>9.6589285829104501</v>
      </c>
      <c r="D364">
        <v>31.267697289586099</v>
      </c>
      <c r="E364">
        <v>31.1364285668358</v>
      </c>
    </row>
    <row r="365" spans="1:5">
      <c r="A365">
        <v>3.0786513298252998E-3</v>
      </c>
      <c r="B365">
        <v>-5.7832636578209096</v>
      </c>
      <c r="C365">
        <v>12.4286791598424</v>
      </c>
      <c r="D365">
        <v>26.042592804879</v>
      </c>
      <c r="E365">
        <v>30.028528336063001</v>
      </c>
    </row>
    <row r="366" spans="1:5">
      <c r="A366">
        <v>1.19769760397028E-4</v>
      </c>
      <c r="B366">
        <v>-9.0299393215326393</v>
      </c>
      <c r="C366">
        <v>26.9909253316</v>
      </c>
      <c r="D366">
        <v>20.810732124373299</v>
      </c>
      <c r="E366">
        <v>24.20362986736</v>
      </c>
    </row>
    <row r="367" spans="1:5">
      <c r="A367" s="90">
        <v>1.1832556108561899E-10</v>
      </c>
      <c r="B367">
        <v>-22.857581298244899</v>
      </c>
      <c r="C367">
        <v>43.3773432304151</v>
      </c>
      <c r="D367">
        <v>17.676866855472301</v>
      </c>
      <c r="E367">
        <v>17.649062707833899</v>
      </c>
    </row>
    <row r="368" spans="1:5">
      <c r="A368" s="90">
        <v>7.0058743218738304E-8</v>
      </c>
      <c r="B368">
        <v>-16.473931757980001</v>
      </c>
      <c r="C368">
        <v>22.097660714760401</v>
      </c>
      <c r="D368">
        <v>30.111443954519899</v>
      </c>
      <c r="E368">
        <v>26.1609357140958</v>
      </c>
    </row>
    <row r="369" spans="1:5">
      <c r="A369">
        <v>1.08851031157233E-3</v>
      </c>
      <c r="B369">
        <v>-6.8229452041399403</v>
      </c>
      <c r="C369">
        <v>17.686893757432699</v>
      </c>
      <c r="D369">
        <v>23.2349530840293</v>
      </c>
      <c r="E369">
        <v>27.9252424970269</v>
      </c>
    </row>
    <row r="370" spans="1:5">
      <c r="A370" s="90">
        <v>2.2022447578726199E-8</v>
      </c>
      <c r="B370">
        <v>-17.6312035592982</v>
      </c>
      <c r="C370">
        <v>47.186623705551</v>
      </c>
      <c r="D370">
        <v>23.970385389402502</v>
      </c>
      <c r="E370">
        <v>16.125350517779601</v>
      </c>
    </row>
    <row r="371" spans="1:5">
      <c r="A371" s="90">
        <v>5.5405897736430701E-10</v>
      </c>
      <c r="B371">
        <v>-21.3137499775112</v>
      </c>
      <c r="C371">
        <v>14.6217574053444</v>
      </c>
      <c r="D371">
        <v>16.5619708085433</v>
      </c>
      <c r="E371">
        <v>29.1512970378622</v>
      </c>
    </row>
    <row r="372" spans="1:5">
      <c r="A372" s="90">
        <v>1.0710642815521999E-9</v>
      </c>
      <c r="B372">
        <v>-20.654613027158501</v>
      </c>
      <c r="C372">
        <v>18.990314510650901</v>
      </c>
      <c r="D372">
        <v>34.649445959366901</v>
      </c>
      <c r="E372">
        <v>27.403874195739601</v>
      </c>
    </row>
    <row r="373" spans="1:5">
      <c r="A373" s="90">
        <v>2.5841353654818501E-10</v>
      </c>
      <c r="B373">
        <v>-22.076459959369799</v>
      </c>
      <c r="C373">
        <v>36.133568589109899</v>
      </c>
      <c r="D373">
        <v>24.579146266914901</v>
      </c>
      <c r="E373">
        <v>20.546572564356001</v>
      </c>
    </row>
    <row r="374" spans="1:5">
      <c r="A374" s="90">
        <v>9.2978625757064092E-6</v>
      </c>
      <c r="B374">
        <v>-11.585726014789399</v>
      </c>
      <c r="C374">
        <v>32.246210996061599</v>
      </c>
      <c r="D374">
        <v>19.491307046264399</v>
      </c>
      <c r="E374">
        <v>22.1015156015754</v>
      </c>
    </row>
    <row r="375" spans="1:5">
      <c r="A375" s="90">
        <v>3.5076925470764002E-7</v>
      </c>
      <c r="B375">
        <v>-14.8631372236541</v>
      </c>
      <c r="C375">
        <v>28.9146020356566</v>
      </c>
      <c r="D375">
        <v>32.3782925494015</v>
      </c>
      <c r="E375">
        <v>23.4341591857374</v>
      </c>
    </row>
    <row r="376" spans="1:5">
      <c r="A376" s="90">
        <v>3.8783792474774403E-12</v>
      </c>
      <c r="B376">
        <v>-26.275603769284899</v>
      </c>
      <c r="C376">
        <v>31.5842050649226</v>
      </c>
      <c r="D376">
        <v>31.4633782068267</v>
      </c>
      <c r="E376">
        <v>22.366317974030999</v>
      </c>
    </row>
    <row r="377" spans="1:5">
      <c r="A377" s="90">
        <v>2.7289584721460399E-7</v>
      </c>
      <c r="B377">
        <v>-15.1141756265901</v>
      </c>
      <c r="C377">
        <v>26.717789154965399</v>
      </c>
      <c r="D377">
        <v>16.324916738085399</v>
      </c>
      <c r="E377">
        <v>24.312884338013799</v>
      </c>
    </row>
    <row r="378" spans="1:5">
      <c r="A378" s="90">
        <v>2.1640207317748801E-11</v>
      </c>
      <c r="B378">
        <v>-24.556468081693499</v>
      </c>
      <c r="C378">
        <v>32.900878791697302</v>
      </c>
      <c r="D378">
        <v>17.4341623205692</v>
      </c>
      <c r="E378">
        <v>21.839648483321099</v>
      </c>
    </row>
    <row r="379" spans="1:5">
      <c r="A379" s="90">
        <v>2.1152716848427999E-5</v>
      </c>
      <c r="B379">
        <v>-10.763742204531299</v>
      </c>
      <c r="C379">
        <v>16.889396750368199</v>
      </c>
      <c r="D379">
        <v>34.312322610057898</v>
      </c>
      <c r="E379">
        <v>28.2442412998527</v>
      </c>
    </row>
    <row r="380" spans="1:5">
      <c r="A380" s="90">
        <v>2.82904782359916E-14</v>
      </c>
      <c r="B380">
        <v>-31.1962511049684</v>
      </c>
      <c r="C380">
        <v>14.5605330355465</v>
      </c>
      <c r="D380">
        <v>31.902639120817199</v>
      </c>
      <c r="E380">
        <v>29.175786785781401</v>
      </c>
    </row>
    <row r="381" spans="1:5">
      <c r="A381">
        <v>2.6251154421750598E-2</v>
      </c>
      <c r="B381">
        <v>-3.6400453129400598</v>
      </c>
      <c r="C381">
        <v>42.571547742467402</v>
      </c>
      <c r="D381">
        <v>33.270829701796202</v>
      </c>
      <c r="E381">
        <v>17.971380903012999</v>
      </c>
    </row>
    <row r="382" spans="1:5">
      <c r="A382" s="90">
        <v>5.0156210217507403E-6</v>
      </c>
      <c r="B382">
        <v>-12.2029533113654</v>
      </c>
      <c r="C382">
        <v>20.288258490618301</v>
      </c>
      <c r="D382">
        <v>19.9966688500717</v>
      </c>
      <c r="E382">
        <v>26.884696603752701</v>
      </c>
    </row>
    <row r="383" spans="1:5">
      <c r="A383">
        <v>5.6501965138971703E-2</v>
      </c>
      <c r="B383">
        <v>-2.8734798602138598</v>
      </c>
      <c r="C383">
        <v>45.083904263563497</v>
      </c>
      <c r="D383">
        <v>32.347303791903002</v>
      </c>
      <c r="E383">
        <v>16.966438294574601</v>
      </c>
    </row>
    <row r="384" spans="1:5">
      <c r="A384" s="90">
        <v>2.17553559750856E-11</v>
      </c>
      <c r="B384">
        <v>-24.551161136980799</v>
      </c>
      <c r="C384">
        <v>37.577415010891897</v>
      </c>
      <c r="D384">
        <v>34.428155976347597</v>
      </c>
      <c r="E384">
        <v>19.969033995643301</v>
      </c>
    </row>
    <row r="385" spans="1:5">
      <c r="A385" s="90">
        <v>9.8593151189466095E-10</v>
      </c>
      <c r="B385">
        <v>-20.737434224291501</v>
      </c>
      <c r="C385">
        <v>24.1694464860484</v>
      </c>
      <c r="D385">
        <v>17.828375054523299</v>
      </c>
      <c r="E385">
        <v>25.332221405580601</v>
      </c>
    </row>
    <row r="386" spans="1:5">
      <c r="A386" s="90">
        <v>4.2700183554862697E-8</v>
      </c>
      <c r="B386">
        <v>-16.969062618012298</v>
      </c>
      <c r="C386">
        <v>27.767037653364198</v>
      </c>
      <c r="D386">
        <v>18.734118281863601</v>
      </c>
      <c r="E386">
        <v>23.893184938654301</v>
      </c>
    </row>
    <row r="387" spans="1:5">
      <c r="A387" s="90">
        <v>9.9611702783652097E-10</v>
      </c>
      <c r="B387">
        <v>-20.727156367418399</v>
      </c>
      <c r="C387">
        <v>16.065248824190299</v>
      </c>
      <c r="D387">
        <v>27.666481873020501</v>
      </c>
      <c r="E387">
        <v>28.573900470323899</v>
      </c>
    </row>
    <row r="388" spans="1:5">
      <c r="A388">
        <v>2.9911372399404602E-4</v>
      </c>
      <c r="B388">
        <v>-8.11468670908131</v>
      </c>
      <c r="C388">
        <v>47.720461040269598</v>
      </c>
      <c r="D388">
        <v>29.433271544985502</v>
      </c>
      <c r="E388">
        <v>15.911815583892199</v>
      </c>
    </row>
    <row r="389" spans="1:5">
      <c r="A389" s="90">
        <v>3.5873145975475701E-12</v>
      </c>
      <c r="B389">
        <v>-26.3536172163044</v>
      </c>
      <c r="C389">
        <v>14.4031030167826</v>
      </c>
      <c r="D389">
        <v>23.946753670461501</v>
      </c>
      <c r="E389">
        <v>29.238758793287001</v>
      </c>
    </row>
    <row r="390" spans="1:5">
      <c r="A390" s="90">
        <v>4.71586517222737E-14</v>
      </c>
      <c r="B390">
        <v>-30.685258909084599</v>
      </c>
      <c r="C390">
        <v>33.961925644427502</v>
      </c>
      <c r="D390">
        <v>15.422643953934299</v>
      </c>
      <c r="E390">
        <v>21.415229742228998</v>
      </c>
    </row>
    <row r="391" spans="1:5">
      <c r="A391" s="90">
        <v>1.31245786059716E-11</v>
      </c>
      <c r="B391">
        <v>-25.056534414178</v>
      </c>
      <c r="C391">
        <v>9.9271099050529301</v>
      </c>
      <c r="D391">
        <v>34.849419849924701</v>
      </c>
      <c r="E391">
        <v>31.029156037978801</v>
      </c>
    </row>
    <row r="392" spans="1:5">
      <c r="A392" s="90">
        <v>1.38836989803436E-9</v>
      </c>
      <c r="B392">
        <v>-20.3951355132229</v>
      </c>
      <c r="C392">
        <v>33.751068353652997</v>
      </c>
      <c r="D392">
        <v>21.176276453770701</v>
      </c>
      <c r="E392">
        <v>21.499572658538799</v>
      </c>
    </row>
    <row r="393" spans="1:5">
      <c r="A393">
        <v>3.0706232876442598E-4</v>
      </c>
      <c r="B393">
        <v>-8.0884598056926293</v>
      </c>
      <c r="C393">
        <v>28.509037217591001</v>
      </c>
      <c r="D393">
        <v>18.4640247561038</v>
      </c>
      <c r="E393">
        <v>23.596385112963599</v>
      </c>
    </row>
    <row r="394" spans="1:5">
      <c r="A394" s="90">
        <v>4.7406649042088801E-7</v>
      </c>
      <c r="B394">
        <v>-14.561918249939399</v>
      </c>
      <c r="C394">
        <v>41.392235812265397</v>
      </c>
      <c r="D394">
        <v>31.6855636471882</v>
      </c>
      <c r="E394">
        <v>18.4431056750938</v>
      </c>
    </row>
    <row r="395" spans="1:5">
      <c r="A395" s="90">
        <v>3.9317470412830003E-12</v>
      </c>
      <c r="B395">
        <v>-26.261937249059201</v>
      </c>
      <c r="C395">
        <v>45.446901693940198</v>
      </c>
      <c r="D395">
        <v>23.483887552283701</v>
      </c>
      <c r="E395">
        <v>16.821239322423899</v>
      </c>
    </row>
    <row r="396" spans="1:5">
      <c r="A396" s="90">
        <v>8.9621859413056798E-12</v>
      </c>
      <c r="B396">
        <v>-25.438006952033199</v>
      </c>
      <c r="C396">
        <v>31.971753476653198</v>
      </c>
      <c r="D396">
        <v>19.114435971714599</v>
      </c>
      <c r="E396">
        <v>22.211298609338701</v>
      </c>
    </row>
    <row r="397" spans="1:5">
      <c r="A397">
        <v>1.8445731933276401E-3</v>
      </c>
      <c r="B397">
        <v>-6.2955073597806503</v>
      </c>
      <c r="C397">
        <v>16.9065348072909</v>
      </c>
      <c r="D397">
        <v>20.103044854477002</v>
      </c>
      <c r="E397">
        <v>28.237386077083599</v>
      </c>
    </row>
    <row r="398" spans="1:5">
      <c r="A398">
        <v>5.1912696577689104E-4</v>
      </c>
      <c r="B398">
        <v>-7.5633620693084804</v>
      </c>
      <c r="C398">
        <v>18.175267462152998</v>
      </c>
      <c r="D398">
        <v>17.521856208331901</v>
      </c>
      <c r="E398">
        <v>27.729893015138799</v>
      </c>
    </row>
    <row r="399" spans="1:5">
      <c r="A399" s="90">
        <v>1.94989043216712E-9</v>
      </c>
      <c r="B399">
        <v>-20.055492654581599</v>
      </c>
      <c r="C399">
        <v>14.2671890920028</v>
      </c>
      <c r="D399">
        <v>29.610317829065</v>
      </c>
      <c r="E399">
        <v>29.293124363198899</v>
      </c>
    </row>
    <row r="400" spans="1:5">
      <c r="A400">
        <v>4.0519502879959299E-4</v>
      </c>
      <c r="B400">
        <v>-7.8111420541753898</v>
      </c>
      <c r="C400">
        <v>18.192248176783298</v>
      </c>
      <c r="D400">
        <v>18.276386652141799</v>
      </c>
      <c r="E400">
        <v>27.723100729286699</v>
      </c>
    </row>
    <row r="401" spans="1:5">
      <c r="A401" s="90">
        <v>1.90505865334654E-8</v>
      </c>
      <c r="B401">
        <v>-17.776167946689402</v>
      </c>
      <c r="C401">
        <v>9.0261871251277608</v>
      </c>
      <c r="D401">
        <v>34.085373398847899</v>
      </c>
      <c r="E401">
        <v>31.389525149948899</v>
      </c>
    </row>
    <row r="402" spans="1:5">
      <c r="A402" s="90">
        <v>1.8237378155640399E-5</v>
      </c>
      <c r="B402">
        <v>-10.912037325117</v>
      </c>
      <c r="C402">
        <v>28.6319145462476</v>
      </c>
      <c r="D402">
        <v>24.178902222774902</v>
      </c>
      <c r="E402">
        <v>23.547234181501</v>
      </c>
    </row>
    <row r="403" spans="1:5">
      <c r="A403" s="90">
        <v>5.8917537667968795E-13</v>
      </c>
      <c r="B403">
        <v>-28.160052502302602</v>
      </c>
      <c r="C403">
        <v>10.3890630519018</v>
      </c>
      <c r="D403">
        <v>16.501868623308798</v>
      </c>
      <c r="E403">
        <v>30.844374779239299</v>
      </c>
    </row>
    <row r="404" spans="1:5">
      <c r="A404" s="90">
        <v>1.8560667477830199E-13</v>
      </c>
      <c r="B404">
        <v>-29.315146611960099</v>
      </c>
      <c r="C404">
        <v>21.124961510300601</v>
      </c>
      <c r="D404">
        <v>25.256939441897</v>
      </c>
      <c r="E404">
        <v>26.550015395879701</v>
      </c>
    </row>
    <row r="405" spans="1:5">
      <c r="A405">
        <v>2.8941383223902799E-4</v>
      </c>
      <c r="B405">
        <v>-8.1476529486443106</v>
      </c>
      <c r="C405">
        <v>20.311611323617399</v>
      </c>
      <c r="D405">
        <v>33.970136051066198</v>
      </c>
      <c r="E405">
        <v>26.875355470553</v>
      </c>
    </row>
    <row r="406" spans="1:5">
      <c r="A406">
        <v>1.3478101267273899E-4</v>
      </c>
      <c r="B406">
        <v>-8.9118592249506197</v>
      </c>
      <c r="C406">
        <v>15.722184471786001</v>
      </c>
      <c r="D406">
        <v>16.40519766137</v>
      </c>
      <c r="E406">
        <v>28.711126211285599</v>
      </c>
    </row>
    <row r="407" spans="1:5">
      <c r="A407" s="90">
        <v>1.0831802671876401E-10</v>
      </c>
      <c r="B407">
        <v>-22.945949524076301</v>
      </c>
      <c r="C407">
        <v>39.248357357457301</v>
      </c>
      <c r="D407">
        <v>26.3270744029433</v>
      </c>
      <c r="E407">
        <v>19.300657057017101</v>
      </c>
    </row>
    <row r="408" spans="1:5">
      <c r="A408" s="90">
        <v>9.4358638476282295E-6</v>
      </c>
      <c r="B408">
        <v>-11.570992825557701</v>
      </c>
      <c r="C408">
        <v>19.871370748151101</v>
      </c>
      <c r="D408">
        <v>34.367860266938798</v>
      </c>
      <c r="E408">
        <v>27.051451700739602</v>
      </c>
    </row>
    <row r="409" spans="1:5">
      <c r="A409">
        <v>6.40676545162705E-2</v>
      </c>
      <c r="B409">
        <v>-2.7478156521444199</v>
      </c>
      <c r="C409">
        <v>8.7188365785405004</v>
      </c>
      <c r="D409">
        <v>25.211221748031701</v>
      </c>
      <c r="E409">
        <v>31.512465368583801</v>
      </c>
    </row>
    <row r="410" spans="1:5">
      <c r="A410" s="90">
        <v>3.4225348992641601E-13</v>
      </c>
      <c r="B410">
        <v>-28.7032247337849</v>
      </c>
      <c r="C410">
        <v>29.0597089552321</v>
      </c>
      <c r="D410">
        <v>33.920106869190903</v>
      </c>
      <c r="E410">
        <v>23.376116417907198</v>
      </c>
    </row>
    <row r="411" spans="1:5">
      <c r="A411" s="90">
        <v>5.8296758964390602E-14</v>
      </c>
      <c r="B411">
        <v>-30.4732298954771</v>
      </c>
      <c r="C411">
        <v>19.494679727125899</v>
      </c>
      <c r="D411">
        <v>26.448507690802199</v>
      </c>
      <c r="E411">
        <v>27.202128109149601</v>
      </c>
    </row>
    <row r="412" spans="1:5">
      <c r="A412" s="90">
        <v>9.4772065228299801E-14</v>
      </c>
      <c r="B412">
        <v>-29.987301699661199</v>
      </c>
      <c r="C412">
        <v>20.358216599561299</v>
      </c>
      <c r="D412">
        <v>29.547921675257399</v>
      </c>
      <c r="E412">
        <v>26.856713360175501</v>
      </c>
    </row>
    <row r="413" spans="1:5">
      <c r="A413" s="90">
        <v>1.9401207401558401E-9</v>
      </c>
      <c r="B413">
        <v>-20.060515628614102</v>
      </c>
      <c r="C413">
        <v>18.777439121622599</v>
      </c>
      <c r="D413">
        <v>17.427172730676801</v>
      </c>
      <c r="E413">
        <v>27.489024351350999</v>
      </c>
    </row>
    <row r="414" spans="1:5">
      <c r="A414" s="90">
        <v>9.6052438813347599E-11</v>
      </c>
      <c r="B414">
        <v>-23.066126835955099</v>
      </c>
      <c r="C414">
        <v>31.530921288300298</v>
      </c>
      <c r="D414">
        <v>20.635737250559</v>
      </c>
      <c r="E414">
        <v>22.3876314846799</v>
      </c>
    </row>
    <row r="415" spans="1:5">
      <c r="A415" s="90">
        <v>2.2775452187796201E-5</v>
      </c>
      <c r="B415">
        <v>-10.689827260446901</v>
      </c>
      <c r="C415">
        <v>40.825689019635298</v>
      </c>
      <c r="D415">
        <v>18.052275669760999</v>
      </c>
      <c r="E415">
        <v>18.669724392145898</v>
      </c>
    </row>
    <row r="416" spans="1:5">
      <c r="A416" s="90">
        <v>1.37339564671109E-12</v>
      </c>
      <c r="B416">
        <v>-27.313734868445799</v>
      </c>
      <c r="C416">
        <v>22.125987324398</v>
      </c>
      <c r="D416">
        <v>20.8055873401463</v>
      </c>
      <c r="E416">
        <v>26.149605070240799</v>
      </c>
    </row>
    <row r="417" spans="1:5">
      <c r="A417" s="90">
        <v>6.0116251535181197E-10</v>
      </c>
      <c r="B417">
        <v>-21.232155809707798</v>
      </c>
      <c r="C417">
        <v>17.9748168336228</v>
      </c>
      <c r="D417">
        <v>20.848059849813598</v>
      </c>
      <c r="E417">
        <v>27.810073266550901</v>
      </c>
    </row>
    <row r="418" spans="1:5">
      <c r="A418">
        <v>1.15414743595013E-4</v>
      </c>
      <c r="B418">
        <v>-9.0669784512623099</v>
      </c>
      <c r="C418">
        <v>39.951261019334197</v>
      </c>
      <c r="D418">
        <v>28.681534053757801</v>
      </c>
      <c r="E418">
        <v>19.019495592266299</v>
      </c>
    </row>
    <row r="419" spans="1:5">
      <c r="A419" s="90">
        <v>6.6104351185715803E-7</v>
      </c>
      <c r="B419">
        <v>-14.2294461719433</v>
      </c>
      <c r="C419">
        <v>36.8888568785042</v>
      </c>
      <c r="D419">
        <v>34.3152716290206</v>
      </c>
      <c r="E419">
        <v>20.244457248598302</v>
      </c>
    </row>
    <row r="420" spans="1:5">
      <c r="A420" s="90">
        <v>4.57375564199655E-13</v>
      </c>
      <c r="B420">
        <v>-28.413271538011699</v>
      </c>
      <c r="C420">
        <v>24.7011994118802</v>
      </c>
      <c r="D420">
        <v>25.508052906952798</v>
      </c>
      <c r="E420">
        <v>25.119520235247901</v>
      </c>
    </row>
    <row r="421" spans="1:5">
      <c r="A421" s="90">
        <v>4.0901922536376001E-13</v>
      </c>
      <c r="B421">
        <v>-28.5250142341933</v>
      </c>
      <c r="C421">
        <v>46.745455905795097</v>
      </c>
      <c r="D421">
        <v>15.149667984805999</v>
      </c>
      <c r="E421">
        <v>16.301817637681999</v>
      </c>
    </row>
    <row r="422" spans="1:5">
      <c r="A422" s="90">
        <v>2.20822280285915E-6</v>
      </c>
      <c r="B422">
        <v>-13.023322527548199</v>
      </c>
      <c r="C422">
        <v>35.512288691010298</v>
      </c>
      <c r="D422">
        <v>26.104401117190701</v>
      </c>
      <c r="E422">
        <v>20.7950845235959</v>
      </c>
    </row>
    <row r="423" spans="1:5">
      <c r="A423">
        <v>3.6196835968906602E-4</v>
      </c>
      <c r="B423">
        <v>-7.9239537541323202</v>
      </c>
      <c r="C423">
        <v>26.425633414648502</v>
      </c>
      <c r="D423">
        <v>31.638059960678198</v>
      </c>
      <c r="E423">
        <v>24.429746634140599</v>
      </c>
    </row>
    <row r="424" spans="1:5">
      <c r="A424">
        <v>1.77429230317729E-4</v>
      </c>
      <c r="B424">
        <v>-8.6369387309870795</v>
      </c>
      <c r="C424">
        <v>43.539205510169303</v>
      </c>
      <c r="D424">
        <v>16.178431562147999</v>
      </c>
      <c r="E424">
        <v>17.5843177959323</v>
      </c>
    </row>
    <row r="425" spans="1:5">
      <c r="A425" s="90">
        <v>8.7248756088526404E-13</v>
      </c>
      <c r="B425">
        <v>-27.767427997800802</v>
      </c>
      <c r="C425">
        <v>34.540033653378501</v>
      </c>
      <c r="D425">
        <v>16.979024810716499</v>
      </c>
      <c r="E425">
        <v>21.1839865386486</v>
      </c>
    </row>
    <row r="426" spans="1:5">
      <c r="A426" s="90">
        <v>3.1709954518167299E-14</v>
      </c>
      <c r="B426">
        <v>-31.082145740667102</v>
      </c>
      <c r="C426">
        <v>28.462535363156299</v>
      </c>
      <c r="D426">
        <v>28.348431168124101</v>
      </c>
      <c r="E426">
        <v>23.614985854737501</v>
      </c>
    </row>
    <row r="427" spans="1:5">
      <c r="A427" s="90">
        <v>1.3648473781783401E-10</v>
      </c>
      <c r="B427">
        <v>-22.714808318413201</v>
      </c>
      <c r="C427">
        <v>22.2592468583025</v>
      </c>
      <c r="D427">
        <v>17.289739781990601</v>
      </c>
      <c r="E427">
        <v>26.096301256678998</v>
      </c>
    </row>
    <row r="428" spans="1:5">
      <c r="A428" s="90">
        <v>5.17345345723697E-12</v>
      </c>
      <c r="B428">
        <v>-25.987480670284398</v>
      </c>
      <c r="C428">
        <v>44.271555659826802</v>
      </c>
      <c r="D428">
        <v>27.479057442396901</v>
      </c>
      <c r="E428">
        <v>17.2913777360693</v>
      </c>
    </row>
    <row r="429" spans="1:5">
      <c r="A429" s="90">
        <v>4.8731033631990703E-14</v>
      </c>
      <c r="B429">
        <v>-30.6524603268706</v>
      </c>
      <c r="C429">
        <v>39.166223135776796</v>
      </c>
      <c r="D429">
        <v>24.207856287248401</v>
      </c>
      <c r="E429">
        <v>19.333510745689299</v>
      </c>
    </row>
    <row r="430" spans="1:5">
      <c r="A430">
        <v>2.9928058159194599E-3</v>
      </c>
      <c r="B430">
        <v>-5.8115439316284796</v>
      </c>
      <c r="C430">
        <v>11.4036445938982</v>
      </c>
      <c r="D430">
        <v>17.3964381823316</v>
      </c>
      <c r="E430">
        <v>30.438542162440701</v>
      </c>
    </row>
    <row r="431" spans="1:5">
      <c r="A431" s="90">
        <v>1.2613274536196101E-13</v>
      </c>
      <c r="B431">
        <v>-29.701441507918599</v>
      </c>
      <c r="C431">
        <v>46.570236116182102</v>
      </c>
      <c r="D431">
        <v>32.908283798024101</v>
      </c>
      <c r="E431">
        <v>16.371905553527199</v>
      </c>
    </row>
    <row r="432" spans="1:5">
      <c r="A432">
        <v>1.2736412608490701E-4</v>
      </c>
      <c r="B432">
        <v>-8.9684604393695206</v>
      </c>
      <c r="C432">
        <v>25.380997460801201</v>
      </c>
      <c r="D432">
        <v>16.519528646022099</v>
      </c>
      <c r="E432">
        <v>24.847601015679501</v>
      </c>
    </row>
    <row r="433" spans="1:5">
      <c r="A433" s="90">
        <v>5.4413063619337997E-11</v>
      </c>
      <c r="B433">
        <v>-23.634416850834299</v>
      </c>
      <c r="C433">
        <v>33.4151329076849</v>
      </c>
      <c r="D433">
        <v>24.577719178050799</v>
      </c>
      <c r="E433">
        <v>21.633946836926</v>
      </c>
    </row>
    <row r="434" spans="1:5">
      <c r="A434" s="90">
        <v>2.2070390468708701E-10</v>
      </c>
      <c r="B434">
        <v>-22.234199110538299</v>
      </c>
      <c r="C434">
        <v>22.431254400871701</v>
      </c>
      <c r="D434">
        <v>26.420078794471902</v>
      </c>
      <c r="E434">
        <v>26.027498239651301</v>
      </c>
    </row>
    <row r="435" spans="1:5">
      <c r="A435" s="90">
        <v>1.05316662649694E-13</v>
      </c>
      <c r="B435">
        <v>-29.881804748501199</v>
      </c>
      <c r="C435">
        <v>8.1927424501627701</v>
      </c>
      <c r="D435">
        <v>20.5025623738766</v>
      </c>
      <c r="E435">
        <v>31.7229030199349</v>
      </c>
    </row>
    <row r="436" spans="1:5">
      <c r="A436" s="90">
        <v>4.2023301910321804E-12</v>
      </c>
      <c r="B436">
        <v>-26.195381937099299</v>
      </c>
      <c r="C436">
        <v>14.8890407127328</v>
      </c>
      <c r="D436">
        <v>22.576581654138899</v>
      </c>
      <c r="E436">
        <v>29.0443837149069</v>
      </c>
    </row>
    <row r="437" spans="1:5">
      <c r="A437">
        <v>6.6413365148673903E-4</v>
      </c>
      <c r="B437">
        <v>-7.3170271463828698</v>
      </c>
      <c r="C437">
        <v>35.704441425390499</v>
      </c>
      <c r="D437">
        <v>16.6617746977136</v>
      </c>
      <c r="E437">
        <v>20.7182234298438</v>
      </c>
    </row>
    <row r="438" spans="1:5">
      <c r="A438" s="90">
        <v>3.3252022025371E-7</v>
      </c>
      <c r="B438">
        <v>-14.9165651659064</v>
      </c>
      <c r="C438">
        <v>34.2993703540415</v>
      </c>
      <c r="D438">
        <v>23.9375422196463</v>
      </c>
      <c r="E438">
        <v>21.280251858383401</v>
      </c>
    </row>
    <row r="439" spans="1:5">
      <c r="A439" s="90">
        <v>3.2028361042469398E-5</v>
      </c>
      <c r="B439">
        <v>-10.348888765103901</v>
      </c>
      <c r="C439">
        <v>46.965669841039897</v>
      </c>
      <c r="D439">
        <v>17.4961854424328</v>
      </c>
      <c r="E439">
        <v>16.213732063584001</v>
      </c>
    </row>
    <row r="440" spans="1:5">
      <c r="A440" s="90">
        <v>5.5025644901920703E-13</v>
      </c>
      <c r="B440">
        <v>-28.2283919544107</v>
      </c>
      <c r="C440">
        <v>48.619349919259498</v>
      </c>
      <c r="D440">
        <v>23.3120385417715</v>
      </c>
      <c r="E440">
        <v>15.5522600322962</v>
      </c>
    </row>
    <row r="441" spans="1:5">
      <c r="A441" s="90">
        <v>2.8559670727594899E-8</v>
      </c>
      <c r="B441">
        <v>-17.371270228687301</v>
      </c>
      <c r="C441">
        <v>10.233290446922201</v>
      </c>
      <c r="D441">
        <v>23.860060209408399</v>
      </c>
      <c r="E441">
        <v>30.906683821231098</v>
      </c>
    </row>
    <row r="442" spans="1:5">
      <c r="A442" s="90">
        <v>1.71494407840939E-12</v>
      </c>
      <c r="B442">
        <v>-27.091640643183698</v>
      </c>
      <c r="C442">
        <v>44.080022241920197</v>
      </c>
      <c r="D442">
        <v>20.4276335146278</v>
      </c>
      <c r="E442">
        <v>17.367991103231901</v>
      </c>
    </row>
    <row r="443" spans="1:5">
      <c r="A443" s="90">
        <v>5.6578481246822302E-14</v>
      </c>
      <c r="B443">
        <v>-30.503147671977601</v>
      </c>
      <c r="C443">
        <v>16.116925880778599</v>
      </c>
      <c r="D443">
        <v>29.804383232258299</v>
      </c>
      <c r="E443">
        <v>28.5532296476886</v>
      </c>
    </row>
    <row r="444" spans="1:5">
      <c r="A444" s="90">
        <v>2.1569264534376799E-9</v>
      </c>
      <c r="B444">
        <v>-19.954581566811601</v>
      </c>
      <c r="C444">
        <v>14.503731480334</v>
      </c>
      <c r="D444">
        <v>29.051381018944099</v>
      </c>
      <c r="E444">
        <v>29.198507407866401</v>
      </c>
    </row>
    <row r="445" spans="1:5">
      <c r="A445" s="90">
        <v>1.6604665116880599E-8</v>
      </c>
      <c r="B445">
        <v>-17.913582149928398</v>
      </c>
      <c r="C445">
        <v>37.410715858917698</v>
      </c>
      <c r="D445">
        <v>27.719229850918101</v>
      </c>
      <c r="E445">
        <v>20.0357136564329</v>
      </c>
    </row>
    <row r="446" spans="1:5">
      <c r="A446" s="90">
        <v>6.8583996389093102E-6</v>
      </c>
      <c r="B446">
        <v>-11.8900364322313</v>
      </c>
      <c r="C446">
        <v>23.0946324467659</v>
      </c>
      <c r="D446">
        <v>31.441882331855599</v>
      </c>
      <c r="E446">
        <v>25.7621470212936</v>
      </c>
    </row>
    <row r="447" spans="1:5">
      <c r="A447" s="90">
        <v>2.9952288506012601E-7</v>
      </c>
      <c r="B447">
        <v>-15.0210750114248</v>
      </c>
      <c r="C447">
        <v>25.2143658907153</v>
      </c>
      <c r="D447">
        <v>28.728503501042699</v>
      </c>
      <c r="E447">
        <v>24.914253643713899</v>
      </c>
    </row>
    <row r="448" spans="1:5">
      <c r="A448">
        <v>6.7197651764012503E-2</v>
      </c>
      <c r="B448">
        <v>-2.7001169760515</v>
      </c>
      <c r="C448">
        <v>24.2575986445881</v>
      </c>
      <c r="D448">
        <v>25.9280714439228</v>
      </c>
      <c r="E448">
        <v>25.296960542164701</v>
      </c>
    </row>
    <row r="449" spans="1:5">
      <c r="A449" s="90">
        <v>5.3170303099898602E-8</v>
      </c>
      <c r="B449">
        <v>-16.749765808865298</v>
      </c>
      <c r="C449">
        <v>25.699695525690899</v>
      </c>
      <c r="D449">
        <v>22.4905364541337</v>
      </c>
      <c r="E449">
        <v>24.720121789723599</v>
      </c>
    </row>
    <row r="450" spans="1:5">
      <c r="A450" s="90">
        <v>3.2961839389019302E-8</v>
      </c>
      <c r="B450">
        <v>-17.227915326756602</v>
      </c>
      <c r="C450">
        <v>40.752766274847097</v>
      </c>
      <c r="D450">
        <v>21.415351615287399</v>
      </c>
      <c r="E450">
        <v>18.698893490061199</v>
      </c>
    </row>
    <row r="451" spans="1:5">
      <c r="A451" s="90">
        <v>2.3594691749586999E-8</v>
      </c>
      <c r="B451">
        <v>-17.562244076079399</v>
      </c>
      <c r="C451">
        <v>15.161406596656899</v>
      </c>
      <c r="D451">
        <v>22.674155165441299</v>
      </c>
      <c r="E451">
        <v>28.9354373613372</v>
      </c>
    </row>
    <row r="452" spans="1:5">
      <c r="A452">
        <v>1.53549901781337E-4</v>
      </c>
      <c r="B452">
        <v>-8.7814849507302899</v>
      </c>
      <c r="C452">
        <v>23.752981543541001</v>
      </c>
      <c r="D452">
        <v>30.919553008861801</v>
      </c>
      <c r="E452">
        <v>25.4988073825836</v>
      </c>
    </row>
    <row r="453" spans="1:5">
      <c r="A453">
        <v>9.9028478446185397E-2</v>
      </c>
      <c r="B453">
        <v>-2.31234780914148</v>
      </c>
      <c r="C453">
        <v>20.277881311718399</v>
      </c>
      <c r="D453">
        <v>25.3706741193309</v>
      </c>
      <c r="E453">
        <v>26.888847475312701</v>
      </c>
    </row>
    <row r="454" spans="1:5">
      <c r="A454">
        <v>9.6557865235486103E-3</v>
      </c>
      <c r="B454">
        <v>-4.6401979035973504</v>
      </c>
      <c r="C454">
        <v>15.819838227238501</v>
      </c>
      <c r="D454">
        <v>31.793042412027699</v>
      </c>
      <c r="E454">
        <v>28.6720647091046</v>
      </c>
    </row>
    <row r="455" spans="1:5">
      <c r="A455" s="90">
        <v>4.5190616591072601E-8</v>
      </c>
      <c r="B455">
        <v>-16.9123763692022</v>
      </c>
      <c r="C455">
        <v>40.173415760509698</v>
      </c>
      <c r="D455">
        <v>29.058911432512101</v>
      </c>
      <c r="E455">
        <v>18.9306336957961</v>
      </c>
    </row>
    <row r="456" spans="1:5">
      <c r="A456" s="90">
        <v>1.1348488704696199E-12</v>
      </c>
      <c r="B456">
        <v>-27.504521627632201</v>
      </c>
      <c r="C456">
        <v>12.9928000355139</v>
      </c>
      <c r="D456">
        <v>15.4366248100996</v>
      </c>
      <c r="E456">
        <v>29.802879985794402</v>
      </c>
    </row>
    <row r="457" spans="1:5">
      <c r="A457" s="90">
        <v>4.0476868140065801E-10</v>
      </c>
      <c r="B457">
        <v>-21.627705369029702</v>
      </c>
      <c r="C457">
        <v>38.800810907036102</v>
      </c>
      <c r="D457">
        <v>15.6928577413782</v>
      </c>
      <c r="E457">
        <v>19.479675637185601</v>
      </c>
    </row>
    <row r="458" spans="1:5">
      <c r="A458" s="90">
        <v>1.3713253160799801E-10</v>
      </c>
      <c r="B458">
        <v>-22.710073273714801</v>
      </c>
      <c r="C458">
        <v>31.181248921435301</v>
      </c>
      <c r="D458">
        <v>27.1229501301423</v>
      </c>
      <c r="E458">
        <v>22.527500431425899</v>
      </c>
    </row>
    <row r="459" spans="1:5">
      <c r="A459" s="90">
        <v>1.74344037842007E-12</v>
      </c>
      <c r="B459">
        <v>-27.075160725869502</v>
      </c>
      <c r="C459">
        <v>44.668135460466097</v>
      </c>
      <c r="D459">
        <v>26.404423471540198</v>
      </c>
      <c r="E459">
        <v>17.1327458158135</v>
      </c>
    </row>
    <row r="460" spans="1:5">
      <c r="A460">
        <v>8.1022253471048199E-3</v>
      </c>
      <c r="B460">
        <v>-4.8156165208257997</v>
      </c>
      <c r="C460">
        <v>21.186816412955501</v>
      </c>
      <c r="D460">
        <v>15.874977470375599</v>
      </c>
      <c r="E460">
        <v>26.525273434817802</v>
      </c>
    </row>
    <row r="461" spans="1:5">
      <c r="A461" s="90">
        <v>2.8077550544738002E-5</v>
      </c>
      <c r="B461">
        <v>-10.4805402139243</v>
      </c>
      <c r="C461">
        <v>35.768551779445303</v>
      </c>
      <c r="D461">
        <v>24.190548849292099</v>
      </c>
      <c r="E461">
        <v>20.6925792882219</v>
      </c>
    </row>
    <row r="462" spans="1:5">
      <c r="A462" s="90">
        <v>3.2751128177325499E-7</v>
      </c>
      <c r="B462">
        <v>-14.9317433343018</v>
      </c>
      <c r="C462">
        <v>10.068694430403401</v>
      </c>
      <c r="D462">
        <v>28.3176576625556</v>
      </c>
      <c r="E462">
        <v>30.972522227838599</v>
      </c>
    </row>
    <row r="463" spans="1:5">
      <c r="A463" s="90">
        <v>2.4972575789460999E-5</v>
      </c>
      <c r="B463">
        <v>-10.5977323036279</v>
      </c>
      <c r="C463">
        <v>20.2625859687105</v>
      </c>
      <c r="D463">
        <v>31.005168459378201</v>
      </c>
      <c r="E463">
        <v>26.894965612515801</v>
      </c>
    </row>
    <row r="464" spans="1:5">
      <c r="A464" s="90">
        <v>3.1697984101520598E-13</v>
      </c>
      <c r="B464">
        <v>-28.779938216067499</v>
      </c>
      <c r="C464">
        <v>19.268956728745302</v>
      </c>
      <c r="D464">
        <v>19.332516025751801</v>
      </c>
      <c r="E464">
        <v>27.2924173085019</v>
      </c>
    </row>
    <row r="465" spans="1:5">
      <c r="A465">
        <v>1.34202230965892E-2</v>
      </c>
      <c r="B465">
        <v>-4.3109925233897997</v>
      </c>
      <c r="C465">
        <v>24.517874264624002</v>
      </c>
      <c r="D465">
        <v>23.474616878666001</v>
      </c>
      <c r="E465">
        <v>25.1928502941504</v>
      </c>
    </row>
    <row r="466" spans="1:5">
      <c r="A466" s="90">
        <v>2.6746209249425299E-13</v>
      </c>
      <c r="B466">
        <v>-28.949798548918299</v>
      </c>
      <c r="C466">
        <v>43.1057439134456</v>
      </c>
      <c r="D466">
        <v>30.804253066889899</v>
      </c>
      <c r="E466">
        <v>17.757702434621802</v>
      </c>
    </row>
    <row r="467" spans="1:5">
      <c r="A467" s="90">
        <v>2.4167504426037201E-14</v>
      </c>
      <c r="B467">
        <v>-31.353767456414001</v>
      </c>
      <c r="C467">
        <v>20.324709487613301</v>
      </c>
      <c r="D467">
        <v>15.902394261211199</v>
      </c>
      <c r="E467">
        <v>26.870116204954702</v>
      </c>
    </row>
    <row r="468" spans="1:5">
      <c r="A468" s="90">
        <v>6.29037982271245E-7</v>
      </c>
      <c r="B468">
        <v>-14.279074196900201</v>
      </c>
      <c r="C468">
        <v>18.148489261046102</v>
      </c>
      <c r="D468">
        <v>17.840030002407701</v>
      </c>
      <c r="E468">
        <v>27.740604295581601</v>
      </c>
    </row>
    <row r="469" spans="1:5">
      <c r="A469">
        <v>7.2159201251741106E-2</v>
      </c>
      <c r="B469">
        <v>-2.6288804724167898</v>
      </c>
      <c r="C469">
        <v>36.537484305445098</v>
      </c>
      <c r="D469">
        <v>29.8863335838541</v>
      </c>
      <c r="E469">
        <v>20.385006277822001</v>
      </c>
    </row>
    <row r="470" spans="1:5">
      <c r="A470" s="90">
        <v>7.8829184429256594E-8</v>
      </c>
      <c r="B470">
        <v>-16.3559825478718</v>
      </c>
      <c r="C470">
        <v>15.659041787497699</v>
      </c>
      <c r="D470">
        <v>28.544626245275101</v>
      </c>
      <c r="E470">
        <v>28.736383285000901</v>
      </c>
    </row>
    <row r="471" spans="1:5">
      <c r="A471" s="90">
        <v>1.6772935187833699E-5</v>
      </c>
      <c r="B471">
        <v>-10.995743971336299</v>
      </c>
      <c r="C471">
        <v>18.752079993486401</v>
      </c>
      <c r="D471">
        <v>23.850995646789698</v>
      </c>
      <c r="E471">
        <v>27.499168002605401</v>
      </c>
    </row>
    <row r="472" spans="1:5">
      <c r="A472" s="90">
        <v>5.9640230300866603E-10</v>
      </c>
      <c r="B472">
        <v>-21.2401056715285</v>
      </c>
      <c r="C472">
        <v>25.921288391575199</v>
      </c>
      <c r="D472">
        <v>19.265310550108602</v>
      </c>
      <c r="E472">
        <v>24.631484643369902</v>
      </c>
    </row>
    <row r="473" spans="1:5">
      <c r="A473" s="90">
        <v>4.6543010670143198E-11</v>
      </c>
      <c r="B473">
        <v>-23.7906442701995</v>
      </c>
      <c r="C473">
        <v>26.155976918060301</v>
      </c>
      <c r="D473">
        <v>28.750738967210101</v>
      </c>
      <c r="E473">
        <v>24.5376092327759</v>
      </c>
    </row>
    <row r="474" spans="1:5">
      <c r="A474" s="90">
        <v>1.30074122468767E-8</v>
      </c>
      <c r="B474">
        <v>-18.157746469134999</v>
      </c>
      <c r="C474">
        <v>49.6168821379542</v>
      </c>
      <c r="D474">
        <v>33.494596155360298</v>
      </c>
      <c r="E474">
        <v>15.1532471448183</v>
      </c>
    </row>
    <row r="475" spans="1:5">
      <c r="A475" s="90">
        <v>2.88522914337321E-7</v>
      </c>
      <c r="B475">
        <v>-15.058491328373</v>
      </c>
      <c r="C475">
        <v>24.256801029667301</v>
      </c>
      <c r="D475">
        <v>33.653405220247798</v>
      </c>
      <c r="E475">
        <v>25.297279588133101</v>
      </c>
    </row>
    <row r="476" spans="1:5">
      <c r="A476">
        <v>2.1744347203680602E-3</v>
      </c>
      <c r="B476">
        <v>-6.1309865469023599</v>
      </c>
      <c r="C476">
        <v>23.0342799527571</v>
      </c>
      <c r="D476">
        <v>24.697498483583299</v>
      </c>
      <c r="E476">
        <v>25.786288018897199</v>
      </c>
    </row>
    <row r="477" spans="1:5">
      <c r="A477" s="90">
        <v>9.86040251627363E-13</v>
      </c>
      <c r="B477">
        <v>-27.6450792179898</v>
      </c>
      <c r="C477">
        <v>8.3134678467176908</v>
      </c>
      <c r="D477">
        <v>23.900159429758801</v>
      </c>
      <c r="E477">
        <v>31.674612861312902</v>
      </c>
    </row>
    <row r="478" spans="1:5">
      <c r="A478">
        <v>2.2634258026656699E-2</v>
      </c>
      <c r="B478">
        <v>-3.7882906785450401</v>
      </c>
      <c r="C478">
        <v>29.2066936558113</v>
      </c>
      <c r="D478">
        <v>27.545438660308701</v>
      </c>
      <c r="E478">
        <v>23.317322537675501</v>
      </c>
    </row>
    <row r="479" spans="1:5">
      <c r="A479" s="90">
        <v>4.0984424772507602E-14</v>
      </c>
      <c r="B479">
        <v>-30.8255842839778</v>
      </c>
      <c r="C479">
        <v>20.9025148400106</v>
      </c>
      <c r="D479">
        <v>26.192869408987502</v>
      </c>
      <c r="E479">
        <v>26.638994063995799</v>
      </c>
    </row>
    <row r="480" spans="1:5">
      <c r="A480" s="90">
        <v>1.20296496305772E-9</v>
      </c>
      <c r="B480">
        <v>-20.5384765250183</v>
      </c>
      <c r="C480">
        <v>36.426485752686901</v>
      </c>
      <c r="D480">
        <v>33.095218078233302</v>
      </c>
      <c r="E480">
        <v>20.429405698925301</v>
      </c>
    </row>
    <row r="481" spans="1:5">
      <c r="A481">
        <v>5.1259116013125001E-3</v>
      </c>
      <c r="B481">
        <v>-5.2734468963484398</v>
      </c>
      <c r="C481">
        <v>41.6726949573494</v>
      </c>
      <c r="D481">
        <v>32.389323129318697</v>
      </c>
      <c r="E481">
        <v>18.3309220170602</v>
      </c>
    </row>
    <row r="482" spans="1:5">
      <c r="A482" s="90">
        <v>1.9796527970210199E-5</v>
      </c>
      <c r="B482">
        <v>-10.830003990680201</v>
      </c>
      <c r="C482">
        <v>32.969172406941702</v>
      </c>
      <c r="D482">
        <v>24.612858858890799</v>
      </c>
      <c r="E482">
        <v>21.812331037223299</v>
      </c>
    </row>
    <row r="483" spans="1:5">
      <c r="A483" s="90">
        <v>1.9394533894818199E-12</v>
      </c>
      <c r="B483">
        <v>-26.9686149405536</v>
      </c>
      <c r="C483">
        <v>11.8370761987753</v>
      </c>
      <c r="D483">
        <v>25.693610426969801</v>
      </c>
      <c r="E483">
        <v>30.265169520489899</v>
      </c>
    </row>
    <row r="484" spans="1:5">
      <c r="A484" s="90">
        <v>1.64458205769439E-9</v>
      </c>
      <c r="B484">
        <v>-20.225779553280798</v>
      </c>
      <c r="C484">
        <v>11.505882359109799</v>
      </c>
      <c r="D484">
        <v>20.924358824268001</v>
      </c>
      <c r="E484">
        <v>30.397647056356099</v>
      </c>
    </row>
    <row r="485" spans="1:5">
      <c r="A485" s="90">
        <v>8.9616179527006702E-11</v>
      </c>
      <c r="B485">
        <v>-23.135485237171199</v>
      </c>
      <c r="C485">
        <v>30.962833382189299</v>
      </c>
      <c r="D485">
        <v>32.7840968966484</v>
      </c>
      <c r="E485">
        <v>22.614866647124298</v>
      </c>
    </row>
    <row r="486" spans="1:5">
      <c r="A486">
        <v>1.5048191281709899E-2</v>
      </c>
      <c r="B486">
        <v>-4.1964974756268001</v>
      </c>
      <c r="C486">
        <v>12.9539064778946</v>
      </c>
      <c r="D486">
        <v>33.877419908531003</v>
      </c>
      <c r="E486">
        <v>29.818437408842101</v>
      </c>
    </row>
    <row r="487" spans="1:5">
      <c r="A487" s="90">
        <v>1.5426876487334901E-5</v>
      </c>
      <c r="B487">
        <v>-11.079399343232501</v>
      </c>
      <c r="C487">
        <v>36.6251421510242</v>
      </c>
      <c r="D487">
        <v>23.5779554396868</v>
      </c>
      <c r="E487">
        <v>20.349943139590302</v>
      </c>
    </row>
    <row r="488" spans="1:5">
      <c r="A488" s="90">
        <v>5.8565952850459301E-6</v>
      </c>
      <c r="B488">
        <v>-12.047942132604501</v>
      </c>
      <c r="C488">
        <v>23.63025616901</v>
      </c>
      <c r="D488">
        <v>29.1348672984168</v>
      </c>
      <c r="E488">
        <v>25.547897532396</v>
      </c>
    </row>
    <row r="489" spans="1:5">
      <c r="A489" s="90">
        <v>1.44488007876522E-5</v>
      </c>
      <c r="B489">
        <v>-11.1448991373236</v>
      </c>
      <c r="C489">
        <v>16.821360730566099</v>
      </c>
      <c r="D489">
        <v>18.955858526751399</v>
      </c>
      <c r="E489">
        <v>28.271455707773601</v>
      </c>
    </row>
    <row r="490" spans="1:5">
      <c r="A490" s="90">
        <v>1.6714643955110901E-10</v>
      </c>
      <c r="B490">
        <v>-22.512150804209998</v>
      </c>
      <c r="C490">
        <v>40.799004353582902</v>
      </c>
      <c r="D490">
        <v>25.934916678816101</v>
      </c>
      <c r="E490">
        <v>18.6803982585669</v>
      </c>
    </row>
    <row r="491" spans="1:5">
      <c r="A491" s="90">
        <v>7.8753124054385199E-12</v>
      </c>
      <c r="B491">
        <v>-25.567288261471798</v>
      </c>
      <c r="C491">
        <v>19.609219263773401</v>
      </c>
      <c r="D491">
        <v>24.212371055036801</v>
      </c>
      <c r="E491">
        <v>27.156312294490601</v>
      </c>
    </row>
    <row r="492" spans="1:5">
      <c r="A492" s="90">
        <v>2.6891688487929E-12</v>
      </c>
      <c r="B492">
        <v>-26.641788948202301</v>
      </c>
      <c r="C492">
        <v>22.410944757517399</v>
      </c>
      <c r="D492">
        <v>18.943773014470899</v>
      </c>
      <c r="E492">
        <v>26.035622096992999</v>
      </c>
    </row>
    <row r="493" spans="1:5">
      <c r="A493" s="90">
        <v>5.6459059247738802E-9</v>
      </c>
      <c r="B493">
        <v>-18.992335169532701</v>
      </c>
      <c r="C493">
        <v>17.3574480013922</v>
      </c>
      <c r="D493">
        <v>17.1824417961761</v>
      </c>
      <c r="E493">
        <v>28.057020799443102</v>
      </c>
    </row>
    <row r="494" spans="1:5">
      <c r="A494" s="90">
        <v>4.9204348148969103E-12</v>
      </c>
      <c r="B494">
        <v>-26.037624212317802</v>
      </c>
      <c r="C494">
        <v>15.250689947512001</v>
      </c>
      <c r="D494">
        <v>22.991015980951499</v>
      </c>
      <c r="E494">
        <v>28.899724020995201</v>
      </c>
    </row>
    <row r="495" spans="1:5">
      <c r="A495" s="90">
        <v>2.8727076564331401E-9</v>
      </c>
      <c r="B495">
        <v>-19.668010817631998</v>
      </c>
      <c r="C495">
        <v>27.1613862747326</v>
      </c>
      <c r="D495">
        <v>16.411914522759599</v>
      </c>
      <c r="E495">
        <v>24.1354454901069</v>
      </c>
    </row>
    <row r="496" spans="1:5">
      <c r="A496" s="90">
        <v>6.4302654539395297E-12</v>
      </c>
      <c r="B496">
        <v>-25.770005294870298</v>
      </c>
      <c r="C496">
        <v>32.664563068188698</v>
      </c>
      <c r="D496">
        <v>31.284300945699201</v>
      </c>
      <c r="E496">
        <v>21.9341747727245</v>
      </c>
    </row>
    <row r="497" spans="1:5">
      <c r="A497">
        <v>1.13580313179542E-2</v>
      </c>
      <c r="B497">
        <v>-4.47783018018308</v>
      </c>
      <c r="C497">
        <v>32.791634962428397</v>
      </c>
      <c r="D497">
        <v>30.0837383884937</v>
      </c>
      <c r="E497">
        <v>21.8833460150287</v>
      </c>
    </row>
    <row r="498" spans="1:5">
      <c r="A498" s="90">
        <v>1.13752757122681E-9</v>
      </c>
      <c r="B498">
        <v>-20.594408726956001</v>
      </c>
      <c r="C498">
        <v>21.6880197045393</v>
      </c>
      <c r="D498">
        <v>21.688167545944498</v>
      </c>
      <c r="E498">
        <v>26.324792118184298</v>
      </c>
    </row>
    <row r="499" spans="1:5">
      <c r="A499" s="90">
        <v>7.9230476205428202E-13</v>
      </c>
      <c r="B499">
        <v>-27.863830276539399</v>
      </c>
      <c r="C499">
        <v>14.500184717122499</v>
      </c>
      <c r="D499">
        <v>22.959135370329001</v>
      </c>
      <c r="E499">
        <v>29.199926113151001</v>
      </c>
    </row>
    <row r="500" spans="1:5">
      <c r="A500" s="90">
        <v>2.53978599725218E-11</v>
      </c>
      <c r="B500">
        <v>-24.396356198503899</v>
      </c>
      <c r="C500">
        <v>49.435941728763297</v>
      </c>
      <c r="D500">
        <v>26.5611109090969</v>
      </c>
      <c r="E500">
        <v>15.225623308494701</v>
      </c>
    </row>
    <row r="501" spans="1:5">
      <c r="A501" s="90">
        <v>3.2257323038448E-6</v>
      </c>
      <c r="B501">
        <v>-12.644350562533599</v>
      </c>
      <c r="C501">
        <v>48.1367694032378</v>
      </c>
      <c r="D501">
        <v>17.399914590641899</v>
      </c>
      <c r="E501">
        <v>15.7452922387049</v>
      </c>
    </row>
    <row r="502" spans="1:5">
      <c r="A502" s="90">
        <v>2.0512705433477399E-10</v>
      </c>
      <c r="B502">
        <v>-22.3073915515299</v>
      </c>
      <c r="C502">
        <v>9.2378751812502706</v>
      </c>
      <c r="D502">
        <v>22.4985544476658</v>
      </c>
      <c r="E502">
        <v>31.304849927499902</v>
      </c>
    </row>
    <row r="503" spans="1:5">
      <c r="A503" s="90">
        <v>5.1746155702876299E-12</v>
      </c>
      <c r="B503">
        <v>-25.9872560654712</v>
      </c>
      <c r="C503">
        <v>29.524720008950698</v>
      </c>
      <c r="D503">
        <v>23.529997542500499</v>
      </c>
      <c r="E503">
        <v>23.190111996419699</v>
      </c>
    </row>
    <row r="504" spans="1:5">
      <c r="A504">
        <v>1.5297618401711999E-3</v>
      </c>
      <c r="B504">
        <v>-6.4826432157128897</v>
      </c>
      <c r="C504">
        <v>8.4665866084396804</v>
      </c>
      <c r="D504">
        <v>22.1984379086643</v>
      </c>
      <c r="E504">
        <v>31.613365356624101</v>
      </c>
    </row>
    <row r="505" spans="1:5">
      <c r="A505" s="90">
        <v>9.2673243098455197E-10</v>
      </c>
      <c r="B505">
        <v>-20.7993562317418</v>
      </c>
      <c r="C505">
        <v>29.3625227045268</v>
      </c>
      <c r="D505">
        <v>23.883776073344102</v>
      </c>
      <c r="E505">
        <v>23.2549909181893</v>
      </c>
    </row>
    <row r="506" spans="1:5">
      <c r="A506" s="90">
        <v>2.3235032267650198E-12</v>
      </c>
      <c r="B506">
        <v>-26.787945057634701</v>
      </c>
      <c r="C506">
        <v>41.729364957194797</v>
      </c>
      <c r="D506">
        <v>33.815958523191497</v>
      </c>
      <c r="E506">
        <v>18.308254017122099</v>
      </c>
    </row>
    <row r="507" spans="1:5">
      <c r="A507" s="90">
        <v>9.6372697655951095E-5</v>
      </c>
      <c r="B507">
        <v>-9.24728761579855</v>
      </c>
      <c r="C507">
        <v>19.503775451332299</v>
      </c>
      <c r="D507">
        <v>34.907944980077403</v>
      </c>
      <c r="E507">
        <v>27.198489819467099</v>
      </c>
    </row>
    <row r="508" spans="1:5">
      <c r="A508" s="90">
        <v>1.60689584826048E-13</v>
      </c>
      <c r="B508">
        <v>-29.459301935555398</v>
      </c>
      <c r="C508">
        <v>46.719096505083101</v>
      </c>
      <c r="D508">
        <v>34.517428437247901</v>
      </c>
      <c r="E508">
        <v>16.312361397966701</v>
      </c>
    </row>
    <row r="509" spans="1:5">
      <c r="A509">
        <v>1.81307506989655E-4</v>
      </c>
      <c r="B509">
        <v>-8.6153160346092008</v>
      </c>
      <c r="C509">
        <v>29.508875737898101</v>
      </c>
      <c r="D509">
        <v>32.4950066627935</v>
      </c>
      <c r="E509">
        <v>23.196449704840798</v>
      </c>
    </row>
    <row r="510" spans="1:5">
      <c r="A510" s="90">
        <v>4.3359389395673199E-13</v>
      </c>
      <c r="B510">
        <v>-28.466668027087501</v>
      </c>
      <c r="C510">
        <v>37.321377051994197</v>
      </c>
      <c r="D510">
        <v>18.102581417187999</v>
      </c>
      <c r="E510">
        <v>20.0714491792023</v>
      </c>
    </row>
    <row r="511" spans="1:5">
      <c r="A511" s="90">
        <v>6.7687241819711297E-7</v>
      </c>
      <c r="B511">
        <v>-14.205783033496299</v>
      </c>
      <c r="C511">
        <v>10.3340598633513</v>
      </c>
      <c r="D511">
        <v>33.860553414560897</v>
      </c>
      <c r="E511">
        <v>30.866376054659501</v>
      </c>
    </row>
    <row r="512" spans="1:5">
      <c r="A512" s="90">
        <v>1.246649861026E-12</v>
      </c>
      <c r="B512">
        <v>-27.410561273721498</v>
      </c>
      <c r="C512">
        <v>39.427162311971202</v>
      </c>
      <c r="D512">
        <v>20.132885174825802</v>
      </c>
      <c r="E512">
        <v>19.229135075211499</v>
      </c>
    </row>
    <row r="513" spans="1:5">
      <c r="A513">
        <v>1.7968645505289E-2</v>
      </c>
      <c r="B513">
        <v>-4.0191269563592504</v>
      </c>
      <c r="C513">
        <v>38.5712558366358</v>
      </c>
      <c r="D513">
        <v>18.511760723777101</v>
      </c>
      <c r="E513">
        <v>19.571497665345699</v>
      </c>
    </row>
    <row r="514" spans="1:5">
      <c r="A514" s="90">
        <v>4.3074087206866101E-7</v>
      </c>
      <c r="B514">
        <v>-14.657759152549501</v>
      </c>
      <c r="C514">
        <v>39.146275506820501</v>
      </c>
      <c r="D514">
        <v>28.196602473035501</v>
      </c>
      <c r="E514">
        <v>19.341489797271802</v>
      </c>
    </row>
    <row r="515" spans="1:5">
      <c r="A515" s="90">
        <v>3.44778767335182E-10</v>
      </c>
      <c r="B515">
        <v>-21.7881181586895</v>
      </c>
      <c r="C515">
        <v>21.043449010700002</v>
      </c>
      <c r="D515">
        <v>26.667897747829599</v>
      </c>
      <c r="E515">
        <v>26.582620395719999</v>
      </c>
    </row>
    <row r="516" spans="1:5">
      <c r="A516" s="90">
        <v>2.4397860333910099E-6</v>
      </c>
      <c r="B516">
        <v>-12.923600213737499</v>
      </c>
      <c r="C516">
        <v>37.148174099158503</v>
      </c>
      <c r="D516">
        <v>22.1598613308743</v>
      </c>
      <c r="E516">
        <v>20.140730360336601</v>
      </c>
    </row>
    <row r="517" spans="1:5">
      <c r="A517" s="90">
        <v>9.5402706116245098E-5</v>
      </c>
      <c r="B517">
        <v>-9.2574036139139704</v>
      </c>
      <c r="C517">
        <v>45.883285036310603</v>
      </c>
      <c r="D517">
        <v>18.075052103958999</v>
      </c>
      <c r="E517">
        <v>16.646685985475798</v>
      </c>
    </row>
    <row r="518" spans="1:5">
      <c r="A518" s="90">
        <v>3.6933524922472598E-12</v>
      </c>
      <c r="B518">
        <v>-26.3244865358594</v>
      </c>
      <c r="C518">
        <v>8.2950130528770405</v>
      </c>
      <c r="D518">
        <v>21.318852994591001</v>
      </c>
      <c r="E518">
        <v>31.681994778849202</v>
      </c>
    </row>
    <row r="519" spans="1:5">
      <c r="A519">
        <v>2.8824455460236299E-3</v>
      </c>
      <c r="B519">
        <v>-5.8491161972315497</v>
      </c>
      <c r="C519">
        <v>38.702641061041497</v>
      </c>
      <c r="D519">
        <v>21.151536446996001</v>
      </c>
      <c r="E519">
        <v>19.5189435755834</v>
      </c>
    </row>
    <row r="520" spans="1:5">
      <c r="A520" s="90">
        <v>2.12068967771572E-10</v>
      </c>
      <c r="B520">
        <v>-22.274109574484299</v>
      </c>
      <c r="C520">
        <v>43.070396815892302</v>
      </c>
      <c r="D520">
        <v>16.7778499098495</v>
      </c>
      <c r="E520">
        <v>17.771841273643101</v>
      </c>
    </row>
    <row r="521" spans="1:5">
      <c r="A521" s="90">
        <v>7.2996070239788401E-14</v>
      </c>
      <c r="B521">
        <v>-30.248370787542999</v>
      </c>
      <c r="C521">
        <v>44.731998946517699</v>
      </c>
      <c r="D521">
        <v>24.996847393922501</v>
      </c>
      <c r="E521">
        <v>17.1072004213929</v>
      </c>
    </row>
    <row r="522" spans="1:5">
      <c r="A522" s="90">
        <v>7.4348111457259002E-12</v>
      </c>
      <c r="B522">
        <v>-25.624847937048401</v>
      </c>
      <c r="C522">
        <v>40.428446572273998</v>
      </c>
      <c r="D522">
        <v>33.231922173872597</v>
      </c>
      <c r="E522">
        <v>18.828621371090399</v>
      </c>
    </row>
    <row r="523" spans="1:5">
      <c r="A523">
        <v>3.30174205741933E-3</v>
      </c>
      <c r="B523">
        <v>-5.7133050536101999</v>
      </c>
      <c r="C523">
        <v>14.5525162257254</v>
      </c>
      <c r="D523">
        <v>17.576764598488801</v>
      </c>
      <c r="E523">
        <v>29.178993509709802</v>
      </c>
    </row>
    <row r="524" spans="1:5">
      <c r="A524" s="90">
        <v>6.2875434590810503E-13</v>
      </c>
      <c r="B524">
        <v>-28.095035761539499</v>
      </c>
      <c r="C524">
        <v>48.031616346444899</v>
      </c>
      <c r="D524">
        <v>26.7639103066176</v>
      </c>
      <c r="E524">
        <v>15.787353461422001</v>
      </c>
    </row>
    <row r="525" spans="1:5">
      <c r="A525" s="90">
        <v>1.2454865732176199E-9</v>
      </c>
      <c r="B525">
        <v>-20.5037395615192</v>
      </c>
      <c r="C525">
        <v>45.004543344024597</v>
      </c>
      <c r="D525">
        <v>24.718091906979701</v>
      </c>
      <c r="E525">
        <v>16.998182662390199</v>
      </c>
    </row>
    <row r="526" spans="1:5">
      <c r="A526" s="90">
        <v>1.04409145909394E-10</v>
      </c>
      <c r="B526">
        <v>-22.9827038398209</v>
      </c>
      <c r="C526">
        <v>23.490301666781299</v>
      </c>
      <c r="D526">
        <v>20.767447128891899</v>
      </c>
      <c r="E526">
        <v>25.603879333287502</v>
      </c>
    </row>
    <row r="527" spans="1:5">
      <c r="A527">
        <v>3.2644156174138099E-3</v>
      </c>
      <c r="B527">
        <v>-5.7246745162200501</v>
      </c>
      <c r="C527">
        <v>35.373226355761297</v>
      </c>
      <c r="D527">
        <v>18.821171089075499</v>
      </c>
      <c r="E527">
        <v>20.850709457695501</v>
      </c>
    </row>
    <row r="528" spans="1:5">
      <c r="A528" s="90">
        <v>1.17360574664188E-6</v>
      </c>
      <c r="B528">
        <v>-13.6554297135363</v>
      </c>
      <c r="C528">
        <v>23.1632354171015</v>
      </c>
      <c r="D528">
        <v>27.378774564713201</v>
      </c>
      <c r="E528">
        <v>25.734705833159399</v>
      </c>
    </row>
    <row r="529" spans="1:5">
      <c r="A529" s="90">
        <v>3.9356441859239299E-9</v>
      </c>
      <c r="B529">
        <v>-19.353191261760401</v>
      </c>
      <c r="C529">
        <v>31.597154228016699</v>
      </c>
      <c r="D529">
        <v>26.770237120799699</v>
      </c>
      <c r="E529">
        <v>22.361138308793301</v>
      </c>
    </row>
    <row r="530" spans="1:5">
      <c r="A530" s="90">
        <v>2.9166250985154502E-12</v>
      </c>
      <c r="B530">
        <v>-26.560593956266299</v>
      </c>
      <c r="C530">
        <v>40.225657225120798</v>
      </c>
      <c r="D530">
        <v>16.8823821516708</v>
      </c>
      <c r="E530">
        <v>18.909737109951699</v>
      </c>
    </row>
    <row r="531" spans="1:5">
      <c r="A531" s="90">
        <v>1.85381083441418E-14</v>
      </c>
      <c r="B531">
        <v>-31.618947871038799</v>
      </c>
      <c r="C531">
        <v>13.6011756360531</v>
      </c>
      <c r="D531">
        <v>17.798738614655999</v>
      </c>
      <c r="E531">
        <v>29.5595297455788</v>
      </c>
    </row>
    <row r="532" spans="1:5">
      <c r="A532" s="90">
        <v>1.2555221885618999E-10</v>
      </c>
      <c r="B532">
        <v>-22.798299357393201</v>
      </c>
      <c r="C532">
        <v>14.133844833821099</v>
      </c>
      <c r="D532">
        <v>19.659702912904301</v>
      </c>
      <c r="E532">
        <v>29.346462066471599</v>
      </c>
    </row>
    <row r="533" spans="1:5">
      <c r="A533" s="90">
        <v>2.96464237312577E-13</v>
      </c>
      <c r="B533">
        <v>-28.846849799894098</v>
      </c>
      <c r="C533">
        <v>15.9047386515886</v>
      </c>
      <c r="D533">
        <v>30.367348822765099</v>
      </c>
      <c r="E533">
        <v>28.638104539364601</v>
      </c>
    </row>
    <row r="534" spans="1:5">
      <c r="A534" s="90">
        <v>1.62190424034311E-12</v>
      </c>
      <c r="B534">
        <v>-27.147420199991</v>
      </c>
      <c r="C534">
        <v>8.0479473010636902</v>
      </c>
      <c r="D534">
        <v>33.105425443500302</v>
      </c>
      <c r="E534">
        <v>31.780821079574501</v>
      </c>
    </row>
    <row r="535" spans="1:5">
      <c r="A535" s="90">
        <v>2.6501085993326199E-6</v>
      </c>
      <c r="B535">
        <v>-12.8409099379256</v>
      </c>
      <c r="C535">
        <v>41.374063941184403</v>
      </c>
      <c r="D535">
        <v>25.1028399402276</v>
      </c>
      <c r="E535">
        <v>18.450374423526199</v>
      </c>
    </row>
    <row r="536" spans="1:5">
      <c r="A536">
        <v>7.8163550938348397E-3</v>
      </c>
      <c r="B536">
        <v>-4.8515369336161704</v>
      </c>
      <c r="C536">
        <v>18.683064246550199</v>
      </c>
      <c r="D536">
        <v>29.4630530895665</v>
      </c>
      <c r="E536">
        <v>27.526774301379898</v>
      </c>
    </row>
    <row r="537" spans="1:5">
      <c r="A537">
        <v>7.2830498597129196E-4</v>
      </c>
      <c r="B537">
        <v>-7.2247906607233396</v>
      </c>
      <c r="C537">
        <v>36.607585694640903</v>
      </c>
      <c r="D537">
        <v>23.160058585926901</v>
      </c>
      <c r="E537">
        <v>20.356965722143599</v>
      </c>
    </row>
    <row r="538" spans="1:5">
      <c r="A538" s="90">
        <v>3.2172619559814298E-7</v>
      </c>
      <c r="B538">
        <v>-14.949564977362099</v>
      </c>
      <c r="C538">
        <v>19.5839508445933</v>
      </c>
      <c r="D538">
        <v>30.393674517981701</v>
      </c>
      <c r="E538">
        <v>27.166419662162699</v>
      </c>
    </row>
    <row r="539" spans="1:5">
      <c r="A539" s="90">
        <v>6.9774749798179704E-8</v>
      </c>
      <c r="B539">
        <v>-16.477993643368102</v>
      </c>
      <c r="C539">
        <v>15.9797823000699</v>
      </c>
      <c r="D539">
        <v>16.309039252810202</v>
      </c>
      <c r="E539">
        <v>28.608087079972002</v>
      </c>
    </row>
    <row r="540" spans="1:5">
      <c r="A540" s="90">
        <v>6.4055019022009801E-14</v>
      </c>
      <c r="B540">
        <v>-30.379034008638602</v>
      </c>
      <c r="C540">
        <v>33.938764399383203</v>
      </c>
      <c r="D540">
        <v>27.729077572003</v>
      </c>
      <c r="E540">
        <v>21.424494240246698</v>
      </c>
    </row>
    <row r="541" spans="1:5">
      <c r="A541">
        <v>2.5747680450324399E-3</v>
      </c>
      <c r="B541">
        <v>-5.9619958285229</v>
      </c>
      <c r="C541">
        <v>19.071480720303999</v>
      </c>
      <c r="D541">
        <v>26.0077541554347</v>
      </c>
      <c r="E541">
        <v>27.371407711878401</v>
      </c>
    </row>
    <row r="542" spans="1:5">
      <c r="A542" s="90">
        <v>1.07410538384784E-8</v>
      </c>
      <c r="B542">
        <v>-18.3491926299161</v>
      </c>
      <c r="C542">
        <v>46.949889563024001</v>
      </c>
      <c r="D542">
        <v>22.967239189893</v>
      </c>
      <c r="E542">
        <v>16.220044174790399</v>
      </c>
    </row>
    <row r="543" spans="1:5">
      <c r="A543" s="90">
        <v>5.39010377222605E-5</v>
      </c>
      <c r="B543">
        <v>-9.82836082750255</v>
      </c>
      <c r="C543">
        <v>25.164538090117301</v>
      </c>
      <c r="D543">
        <v>20.6434684805572</v>
      </c>
      <c r="E543">
        <v>24.934184763953098</v>
      </c>
    </row>
    <row r="544" spans="1:5">
      <c r="A544" s="90">
        <v>3.87639940320846E-13</v>
      </c>
      <c r="B544">
        <v>-28.5786994749994</v>
      </c>
      <c r="C544">
        <v>22.9296691548079</v>
      </c>
      <c r="D544">
        <v>32.498461790382898</v>
      </c>
      <c r="E544">
        <v>25.828132338076799</v>
      </c>
    </row>
    <row r="545" spans="1:5">
      <c r="A545" s="90">
        <v>6.6196469190701696E-7</v>
      </c>
      <c r="B545">
        <v>-14.2280536179197</v>
      </c>
      <c r="C545">
        <v>34.365388256031999</v>
      </c>
      <c r="D545">
        <v>31.4292583009228</v>
      </c>
      <c r="E545">
        <v>21.253844697587201</v>
      </c>
    </row>
    <row r="546" spans="1:5">
      <c r="A546">
        <v>2.5235808922138801E-2</v>
      </c>
      <c r="B546">
        <v>-3.67949130414042</v>
      </c>
      <c r="C546">
        <v>8.8166984678246099</v>
      </c>
      <c r="D546">
        <v>24.879629048518801</v>
      </c>
      <c r="E546">
        <v>31.4733206128702</v>
      </c>
    </row>
    <row r="547" spans="1:5">
      <c r="A547" s="90">
        <v>1.04950497601757E-8</v>
      </c>
      <c r="B547">
        <v>-18.372362142362899</v>
      </c>
      <c r="C547">
        <v>12.5030366238207</v>
      </c>
      <c r="D547">
        <v>21.998125859536199</v>
      </c>
      <c r="E547">
        <v>29.998785350471699</v>
      </c>
    </row>
    <row r="548" spans="1:5">
      <c r="A548" s="90">
        <v>1.9139345978274501E-14</v>
      </c>
      <c r="B548">
        <v>-31.587030179883801</v>
      </c>
      <c r="C548">
        <v>26.141807310748799</v>
      </c>
      <c r="D548">
        <v>27.029509162530299</v>
      </c>
      <c r="E548">
        <v>24.543277075700502</v>
      </c>
    </row>
    <row r="549" spans="1:5">
      <c r="A549">
        <v>2.5689808340844601E-2</v>
      </c>
      <c r="B549">
        <v>-3.6616609283457602</v>
      </c>
      <c r="C549">
        <v>21.031848659273201</v>
      </c>
      <c r="D549">
        <v>19.777798033319399</v>
      </c>
      <c r="E549">
        <v>26.5872605362907</v>
      </c>
    </row>
    <row r="550" spans="1:5">
      <c r="A550">
        <v>1.18303673066128E-4</v>
      </c>
      <c r="B550">
        <v>-9.0422557387203693</v>
      </c>
      <c r="C550">
        <v>15.214930669870199</v>
      </c>
      <c r="D550">
        <v>26.031760722398801</v>
      </c>
      <c r="E550">
        <v>28.914027732051899</v>
      </c>
    </row>
    <row r="551" spans="1:5">
      <c r="A551">
        <v>1.49373756456776E-4</v>
      </c>
      <c r="B551">
        <v>-8.8090589602887093</v>
      </c>
      <c r="C551">
        <v>35.873944526538303</v>
      </c>
      <c r="D551">
        <v>19.0464330743998</v>
      </c>
      <c r="E551">
        <v>20.650422189384699</v>
      </c>
    </row>
    <row r="552" spans="1:5">
      <c r="A552" s="90">
        <v>1.8216013723262298E-11</v>
      </c>
      <c r="B552">
        <v>-24.728720033804301</v>
      </c>
      <c r="C552">
        <v>47.808348836377299</v>
      </c>
      <c r="D552">
        <v>31.724975961260501</v>
      </c>
      <c r="E552">
        <v>15.876660465449101</v>
      </c>
    </row>
    <row r="553" spans="1:5">
      <c r="A553">
        <v>3.5532745685709298E-3</v>
      </c>
      <c r="B553">
        <v>-5.6398856869749299</v>
      </c>
      <c r="C553">
        <v>18.529608729295401</v>
      </c>
      <c r="D553">
        <v>25.104034184478198</v>
      </c>
      <c r="E553">
        <v>27.588156508281799</v>
      </c>
    </row>
    <row r="554" spans="1:5">
      <c r="A554" s="90">
        <v>2.7288837899576201E-6</v>
      </c>
      <c r="B554">
        <v>-12.811617900524199</v>
      </c>
      <c r="C554">
        <v>41.081065309699603</v>
      </c>
      <c r="D554">
        <v>33.751042741350801</v>
      </c>
      <c r="E554">
        <v>18.5675738761202</v>
      </c>
    </row>
    <row r="555" spans="1:5">
      <c r="A555" s="90">
        <v>6.9790122370640304E-7</v>
      </c>
      <c r="B555">
        <v>-14.1751882575126</v>
      </c>
      <c r="C555">
        <v>22.1173989581876</v>
      </c>
      <c r="D555">
        <v>28.930740957148402</v>
      </c>
      <c r="E555">
        <v>26.153040416724998</v>
      </c>
    </row>
    <row r="556" spans="1:5">
      <c r="A556" s="90">
        <v>3.1978152373980301E-12</v>
      </c>
      <c r="B556">
        <v>-26.468553277607899</v>
      </c>
      <c r="C556">
        <v>12.6135194869712</v>
      </c>
      <c r="D556">
        <v>18.043560362421001</v>
      </c>
      <c r="E556">
        <v>29.954592205211501</v>
      </c>
    </row>
    <row r="557" spans="1:5">
      <c r="A557" s="90">
        <v>5.1419076773725497E-14</v>
      </c>
      <c r="B557">
        <v>-30.598767147848601</v>
      </c>
      <c r="C557">
        <v>48.972636670339902</v>
      </c>
      <c r="D557">
        <v>32.503647306002698</v>
      </c>
      <c r="E557">
        <v>15.410945331864101</v>
      </c>
    </row>
    <row r="558" spans="1:5">
      <c r="A558" s="90">
        <v>9.7661620795653597E-13</v>
      </c>
      <c r="B558">
        <v>-27.654682647110601</v>
      </c>
      <c r="C558">
        <v>25.591932767536498</v>
      </c>
      <c r="D558">
        <v>30.536968414671701</v>
      </c>
      <c r="E558">
        <v>24.763226892985401</v>
      </c>
    </row>
    <row r="559" spans="1:5">
      <c r="A559" s="90">
        <v>1.28992073088666E-9</v>
      </c>
      <c r="B559">
        <v>-20.468685069386002</v>
      </c>
      <c r="C559">
        <v>33.995788512285799</v>
      </c>
      <c r="D559">
        <v>18.6505577620119</v>
      </c>
      <c r="E559">
        <v>21.401684595085701</v>
      </c>
    </row>
    <row r="560" spans="1:5">
      <c r="A560" s="90">
        <v>2.4970152713249999E-14</v>
      </c>
      <c r="B560">
        <v>-31.321095174768701</v>
      </c>
      <c r="C560">
        <v>8.4970246655866504</v>
      </c>
      <c r="D560">
        <v>24.608586616814101</v>
      </c>
      <c r="E560">
        <v>31.6011901337653</v>
      </c>
    </row>
    <row r="561" spans="1:5">
      <c r="A561" s="90">
        <v>2.87478788744194E-10</v>
      </c>
      <c r="B561">
        <v>-21.969872036693999</v>
      </c>
      <c r="C561">
        <v>8.6159646427258796</v>
      </c>
      <c r="D561">
        <v>17.903323434293299</v>
      </c>
      <c r="E561">
        <v>31.553614142909598</v>
      </c>
    </row>
    <row r="562" spans="1:5">
      <c r="A562" s="90">
        <v>4.0015828203313699E-8</v>
      </c>
      <c r="B562">
        <v>-17.033990756020199</v>
      </c>
      <c r="C562">
        <v>9.3406600849703008</v>
      </c>
      <c r="D562">
        <v>32.873545885086102</v>
      </c>
      <c r="E562">
        <v>31.2637359660119</v>
      </c>
    </row>
    <row r="563" spans="1:5">
      <c r="A563" s="90">
        <v>5.0242277672591298E-5</v>
      </c>
      <c r="B563">
        <v>-9.8986537009921705</v>
      </c>
      <c r="C563">
        <v>42.349115408025703</v>
      </c>
      <c r="D563">
        <v>17.710190839134199</v>
      </c>
      <c r="E563">
        <v>18.060353836789702</v>
      </c>
    </row>
    <row r="564" spans="1:5">
      <c r="A564" s="90">
        <v>2.8329879827842402E-10</v>
      </c>
      <c r="B564">
        <v>-21.984518950970401</v>
      </c>
      <c r="C564">
        <v>41.531591484788798</v>
      </c>
      <c r="D564">
        <v>27.9572079703212</v>
      </c>
      <c r="E564">
        <v>18.3873634060845</v>
      </c>
    </row>
    <row r="565" spans="1:5">
      <c r="A565">
        <v>1.61520722172275E-2</v>
      </c>
      <c r="B565">
        <v>-4.1257069268803397</v>
      </c>
      <c r="C565">
        <v>35.401034488808399</v>
      </c>
      <c r="D565">
        <v>28.741772738285398</v>
      </c>
      <c r="E565">
        <v>20.839586204476699</v>
      </c>
    </row>
    <row r="566" spans="1:5">
      <c r="A566" s="90">
        <v>1.8130186610313201E-11</v>
      </c>
      <c r="B566">
        <v>-24.733442798312801</v>
      </c>
      <c r="C566">
        <v>31.7358384039253</v>
      </c>
      <c r="D566">
        <v>32.073634038679302</v>
      </c>
      <c r="E566">
        <v>22.305664638429899</v>
      </c>
    </row>
    <row r="567" spans="1:5">
      <c r="A567">
        <v>1.9259409387235901E-3</v>
      </c>
      <c r="B567">
        <v>-6.2523406313289396</v>
      </c>
      <c r="C567">
        <v>31.765503009781199</v>
      </c>
      <c r="D567">
        <v>15.5306460056454</v>
      </c>
      <c r="E567">
        <v>22.293798796087501</v>
      </c>
    </row>
    <row r="568" spans="1:5">
      <c r="A568">
        <v>4.8257959794753297E-3</v>
      </c>
      <c r="B568">
        <v>-5.3337795879577703</v>
      </c>
      <c r="C568">
        <v>24.088462466839701</v>
      </c>
      <c r="D568">
        <v>32.156416121870301</v>
      </c>
      <c r="E568">
        <v>25.3646150132641</v>
      </c>
    </row>
    <row r="569" spans="1:5">
      <c r="A569" s="90">
        <v>2.3714438989736001E-6</v>
      </c>
      <c r="B569">
        <v>-12.952011548255401</v>
      </c>
      <c r="C569">
        <v>33.658628104254603</v>
      </c>
      <c r="D569">
        <v>19.190230090171099</v>
      </c>
      <c r="E569">
        <v>21.536548758298199</v>
      </c>
    </row>
    <row r="570" spans="1:5">
      <c r="A570" s="90">
        <v>6.1432228474438694E-14</v>
      </c>
      <c r="B570">
        <v>-30.420841803745599</v>
      </c>
      <c r="C570">
        <v>11.39540177444</v>
      </c>
      <c r="D570">
        <v>19.527389532886399</v>
      </c>
      <c r="E570">
        <v>30.441839290223999</v>
      </c>
    </row>
    <row r="571" spans="1:5">
      <c r="A571" s="90">
        <v>1.0885519070470301E-10</v>
      </c>
      <c r="B571">
        <v>-22.941002642616901</v>
      </c>
      <c r="C571">
        <v>10.5493117957376</v>
      </c>
      <c r="D571">
        <v>26.766839334741199</v>
      </c>
      <c r="E571">
        <v>30.780275281704998</v>
      </c>
    </row>
    <row r="572" spans="1:5">
      <c r="A572" s="90">
        <v>6.2541207346021702E-14</v>
      </c>
      <c r="B572">
        <v>-30.4029507378863</v>
      </c>
      <c r="C572">
        <v>46.137608756311202</v>
      </c>
      <c r="D572">
        <v>22.683439287357</v>
      </c>
      <c r="E572">
        <v>16.5449564974755</v>
      </c>
    </row>
    <row r="573" spans="1:5">
      <c r="A573" s="90">
        <v>1.3938669383602299E-9</v>
      </c>
      <c r="B573">
        <v>-20.391183982277202</v>
      </c>
      <c r="C573">
        <v>33.892093487549602</v>
      </c>
      <c r="D573">
        <v>15.838365340605399</v>
      </c>
      <c r="E573">
        <v>21.443162604980198</v>
      </c>
    </row>
    <row r="574" spans="1:5">
      <c r="A574" s="90">
        <v>2.41184369589716E-14</v>
      </c>
      <c r="B574">
        <v>-31.355799827847498</v>
      </c>
      <c r="C574">
        <v>30.076355983968799</v>
      </c>
      <c r="D574">
        <v>17.627488286234399</v>
      </c>
      <c r="E574">
        <v>22.969457606412501</v>
      </c>
    </row>
    <row r="575" spans="1:5">
      <c r="A575" s="90">
        <v>7.8840861626605404E-8</v>
      </c>
      <c r="B575">
        <v>-16.355834425921401</v>
      </c>
      <c r="C575">
        <v>49.051969592925197</v>
      </c>
      <c r="D575">
        <v>32.130037131719298</v>
      </c>
      <c r="E575">
        <v>15.3792121628299</v>
      </c>
    </row>
    <row r="576" spans="1:5">
      <c r="A576">
        <v>1.5234056272462701E-4</v>
      </c>
      <c r="B576">
        <v>-8.7893919991533593</v>
      </c>
      <c r="C576">
        <v>14.4489718740806</v>
      </c>
      <c r="D576">
        <v>26.493664290756001</v>
      </c>
      <c r="E576">
        <v>29.2204112503678</v>
      </c>
    </row>
    <row r="577" spans="1:5">
      <c r="A577" s="90">
        <v>2.5021784386284401E-8</v>
      </c>
      <c r="B577">
        <v>-17.503519016054</v>
      </c>
      <c r="C577">
        <v>16.617517933249498</v>
      </c>
      <c r="D577">
        <v>22.987051382660901</v>
      </c>
      <c r="E577">
        <v>28.352992826700198</v>
      </c>
    </row>
    <row r="578" spans="1:5">
      <c r="A578">
        <v>8.8270703178403395E-2</v>
      </c>
      <c r="B578">
        <v>-2.4273470137598698</v>
      </c>
      <c r="C578">
        <v>45.492825058754498</v>
      </c>
      <c r="D578">
        <v>18.0398975266144</v>
      </c>
      <c r="E578">
        <v>16.802869976498201</v>
      </c>
    </row>
    <row r="579" spans="1:5">
      <c r="A579" s="90">
        <v>6.8811026343709197E-12</v>
      </c>
      <c r="B579">
        <v>-25.7022422102009</v>
      </c>
      <c r="C579">
        <v>29.6163732828572</v>
      </c>
      <c r="D579">
        <v>21.381199969910099</v>
      </c>
      <c r="E579">
        <v>23.153450686857099</v>
      </c>
    </row>
    <row r="580" spans="1:5">
      <c r="A580">
        <v>7.8496903590253003E-3</v>
      </c>
      <c r="B580">
        <v>-4.8472811926759398</v>
      </c>
      <c r="C580">
        <v>43.919150729663698</v>
      </c>
      <c r="D580">
        <v>28.931738752871802</v>
      </c>
      <c r="E580">
        <v>17.432339708134499</v>
      </c>
    </row>
    <row r="581" spans="1:5">
      <c r="A581" s="90">
        <v>2.56165829178489E-11</v>
      </c>
      <c r="B581">
        <v>-24.387781203927101</v>
      </c>
      <c r="C581">
        <v>27.871082146186399</v>
      </c>
      <c r="D581">
        <v>23.890981739386898</v>
      </c>
      <c r="E581">
        <v>23.8515671415254</v>
      </c>
    </row>
    <row r="582" spans="1:5">
      <c r="A582" s="90">
        <v>4.3610659755684301E-11</v>
      </c>
      <c r="B582">
        <v>-23.855719505646999</v>
      </c>
      <c r="C582">
        <v>23.9624160747044</v>
      </c>
      <c r="D582">
        <v>19.8805311461911</v>
      </c>
      <c r="E582">
        <v>25.415033570118201</v>
      </c>
    </row>
    <row r="583" spans="1:5">
      <c r="A583" s="90">
        <v>3.1788754137876503E-14</v>
      </c>
      <c r="B583">
        <v>-31.0796638111342</v>
      </c>
      <c r="C583">
        <v>25.817205272149302</v>
      </c>
      <c r="D583">
        <v>34.602892161347</v>
      </c>
      <c r="E583">
        <v>24.673117891140301</v>
      </c>
    </row>
    <row r="584" spans="1:5">
      <c r="A584" s="90">
        <v>1.8263588360280601E-13</v>
      </c>
      <c r="B584">
        <v>-29.331281931254502</v>
      </c>
      <c r="C584">
        <v>13.7563860430382</v>
      </c>
      <c r="D584">
        <v>29.847523472271899</v>
      </c>
      <c r="E584">
        <v>29.4974455827847</v>
      </c>
    </row>
    <row r="585" spans="1:5">
      <c r="A585">
        <v>8.1680280842790799E-4</v>
      </c>
      <c r="B585">
        <v>-7.1101128527897703</v>
      </c>
      <c r="C585">
        <v>12.311527037061801</v>
      </c>
      <c r="D585">
        <v>27.4050287017599</v>
      </c>
      <c r="E585">
        <v>30.0753891851753</v>
      </c>
    </row>
    <row r="586" spans="1:5">
      <c r="A586" s="90">
        <v>8.6203281875787303E-6</v>
      </c>
      <c r="B586">
        <v>-11.661387401208501</v>
      </c>
      <c r="C586">
        <v>9.6647389531135595</v>
      </c>
      <c r="D586">
        <v>22.233914532698702</v>
      </c>
      <c r="E586">
        <v>31.1341044187546</v>
      </c>
    </row>
    <row r="587" spans="1:5">
      <c r="A587" s="90">
        <v>2.07846071518666E-5</v>
      </c>
      <c r="B587">
        <v>-10.781297885998001</v>
      </c>
      <c r="C587">
        <v>37.394622773863397</v>
      </c>
      <c r="D587">
        <v>31.420441525988299</v>
      </c>
      <c r="E587">
        <v>20.0421508904546</v>
      </c>
    </row>
    <row r="588" spans="1:5">
      <c r="A588" s="90">
        <v>2.6316813471426701E-5</v>
      </c>
      <c r="B588">
        <v>-10.545302527551399</v>
      </c>
      <c r="C588">
        <v>29.525846546515801</v>
      </c>
      <c r="D588">
        <v>19.423027141019698</v>
      </c>
      <c r="E588">
        <v>23.189661381393702</v>
      </c>
    </row>
    <row r="589" spans="1:5">
      <c r="A589" s="90">
        <v>2.4163721761533101E-6</v>
      </c>
      <c r="B589">
        <v>-12.9332432433346</v>
      </c>
      <c r="C589">
        <v>12.8858366427012</v>
      </c>
      <c r="D589">
        <v>27.369209388270999</v>
      </c>
      <c r="E589">
        <v>29.845665342919499</v>
      </c>
    </row>
    <row r="590" spans="1:5">
      <c r="A590" s="90">
        <v>8.9350821515059101E-11</v>
      </c>
      <c r="B590">
        <v>-23.1384506800166</v>
      </c>
      <c r="C590">
        <v>25.4385658861138</v>
      </c>
      <c r="D590">
        <v>16.9072001054883</v>
      </c>
      <c r="E590">
        <v>24.824573645554501</v>
      </c>
    </row>
    <row r="591" spans="1:5">
      <c r="A591" s="90">
        <v>1.2456627016937901E-9</v>
      </c>
      <c r="B591">
        <v>-20.503598158129002</v>
      </c>
      <c r="C591">
        <v>40.859997452702402</v>
      </c>
      <c r="D591">
        <v>25.843648076988799</v>
      </c>
      <c r="E591">
        <v>18.656001018919</v>
      </c>
    </row>
    <row r="592" spans="1:5">
      <c r="A592">
        <v>1.73954842213816E-4</v>
      </c>
      <c r="B592">
        <v>-8.6567148199396406</v>
      </c>
      <c r="C592">
        <v>9.0611548214219493</v>
      </c>
      <c r="D592">
        <v>15.1606511557475</v>
      </c>
      <c r="E592">
        <v>31.375538071431201</v>
      </c>
    </row>
    <row r="593" spans="1:5">
      <c r="A593" s="90">
        <v>7.9501885957202099E-10</v>
      </c>
      <c r="B593">
        <v>-20.952655278823499</v>
      </c>
      <c r="C593">
        <v>19.771977739408602</v>
      </c>
      <c r="D593">
        <v>25.378129892051199</v>
      </c>
      <c r="E593">
        <v>27.091208904236598</v>
      </c>
    </row>
    <row r="594" spans="1:5">
      <c r="A594" s="90">
        <v>2.5715144191710998E-7</v>
      </c>
      <c r="B594">
        <v>-15.173600657441501</v>
      </c>
      <c r="C594">
        <v>13.397878226824099</v>
      </c>
      <c r="D594">
        <v>30.519672129303199</v>
      </c>
      <c r="E594">
        <v>29.640848709270401</v>
      </c>
    </row>
    <row r="595" spans="1:5">
      <c r="A595">
        <v>1.24151173118011E-2</v>
      </c>
      <c r="B595">
        <v>-4.3888404108680099</v>
      </c>
      <c r="C595">
        <v>21.152667972259199</v>
      </c>
      <c r="D595">
        <v>25.5141607951373</v>
      </c>
      <c r="E595">
        <v>26.538932811096299</v>
      </c>
    </row>
    <row r="596" spans="1:5">
      <c r="A596" s="90">
        <v>1.6089173117963799E-12</v>
      </c>
      <c r="B596">
        <v>-27.1554596402915</v>
      </c>
      <c r="C596">
        <v>33.4041196610779</v>
      </c>
      <c r="D596">
        <v>34.839137699455001</v>
      </c>
      <c r="E596">
        <v>21.638352135568901</v>
      </c>
    </row>
    <row r="597" spans="1:5">
      <c r="A597" s="90">
        <v>9.94755619031559E-6</v>
      </c>
      <c r="B597">
        <v>-11.5181836459741</v>
      </c>
      <c r="C597">
        <v>12.486222971696399</v>
      </c>
      <c r="D597">
        <v>22.718988237902501</v>
      </c>
      <c r="E597">
        <v>30.0055108113214</v>
      </c>
    </row>
    <row r="598" spans="1:5">
      <c r="A598">
        <v>1.3551284233376801E-2</v>
      </c>
      <c r="B598">
        <v>-4.3012739587765401</v>
      </c>
      <c r="C598">
        <v>34.230802157428101</v>
      </c>
      <c r="D598">
        <v>17.670302279293502</v>
      </c>
      <c r="E598">
        <v>21.307679137028799</v>
      </c>
    </row>
    <row r="599" spans="1:5">
      <c r="A599" s="90">
        <v>1.9433877288051501E-14</v>
      </c>
      <c r="B599">
        <v>-31.5717585998053</v>
      </c>
      <c r="C599">
        <v>32.833804320078301</v>
      </c>
      <c r="D599">
        <v>29.511187081225199</v>
      </c>
      <c r="E599">
        <v>21.866478271968699</v>
      </c>
    </row>
    <row r="600" spans="1:5">
      <c r="A600" s="90">
        <v>4.0000567725934203E-9</v>
      </c>
      <c r="B600">
        <v>-19.336957282778901</v>
      </c>
      <c r="C600">
        <v>33.054339569993303</v>
      </c>
      <c r="D600">
        <v>23.8683672342449</v>
      </c>
      <c r="E600">
        <v>21.7782641720027</v>
      </c>
    </row>
    <row r="601" spans="1:5">
      <c r="A601">
        <v>5.0593420886626997E-4</v>
      </c>
      <c r="B601">
        <v>-7.5891039191338203</v>
      </c>
      <c r="C601">
        <v>29.349119106773301</v>
      </c>
      <c r="D601">
        <v>25.768428584560802</v>
      </c>
      <c r="E601">
        <v>23.260352357290699</v>
      </c>
    </row>
    <row r="602" spans="1:5">
      <c r="A602">
        <v>3.1144598702348798E-3</v>
      </c>
      <c r="B602">
        <v>-5.7716995381709104</v>
      </c>
      <c r="C602">
        <v>22.815571447834401</v>
      </c>
      <c r="D602">
        <v>24.8475154023618</v>
      </c>
      <c r="E602">
        <v>25.873771420866198</v>
      </c>
    </row>
    <row r="603" spans="1:5">
      <c r="A603">
        <v>3.4618656085915502E-2</v>
      </c>
      <c r="B603">
        <v>-3.3633625489963501</v>
      </c>
      <c r="C603">
        <v>30.955552198924099</v>
      </c>
      <c r="D603">
        <v>30.9861730318516</v>
      </c>
      <c r="E603">
        <v>22.617779120430299</v>
      </c>
    </row>
    <row r="604" spans="1:5">
      <c r="A604" s="90">
        <v>5.4751441316183696E-13</v>
      </c>
      <c r="B604">
        <v>-28.2333876081568</v>
      </c>
      <c r="C604">
        <v>40.506507946178303</v>
      </c>
      <c r="D604">
        <v>20.268637561239299</v>
      </c>
      <c r="E604">
        <v>18.7973968215287</v>
      </c>
    </row>
    <row r="605" spans="1:5">
      <c r="A605" s="90">
        <v>1.4903159538871301E-13</v>
      </c>
      <c r="B605">
        <v>-29.534618061855902</v>
      </c>
      <c r="C605">
        <v>40.3072309014387</v>
      </c>
      <c r="D605">
        <v>30.3282086551189</v>
      </c>
      <c r="E605">
        <v>18.877107639424501</v>
      </c>
    </row>
    <row r="606" spans="1:5">
      <c r="A606">
        <v>8.8255093878853899E-2</v>
      </c>
      <c r="B606">
        <v>-2.4275238638276799</v>
      </c>
      <c r="C606">
        <v>14.991750524379301</v>
      </c>
      <c r="D606">
        <v>25.530559970066001</v>
      </c>
      <c r="E606">
        <v>29.003299790248299</v>
      </c>
    </row>
    <row r="607" spans="1:5">
      <c r="A607" s="90">
        <v>4.6886545203424402E-13</v>
      </c>
      <c r="B607">
        <v>-28.388460550279301</v>
      </c>
      <c r="C607">
        <v>26.611922454554598</v>
      </c>
      <c r="D607">
        <v>17.682801629416598</v>
      </c>
      <c r="E607">
        <v>24.355231018178198</v>
      </c>
    </row>
    <row r="608" spans="1:5">
      <c r="A608" s="90">
        <v>5.2358570525135601E-5</v>
      </c>
      <c r="B608">
        <v>-9.8573949181902893</v>
      </c>
      <c r="C608">
        <v>35.758001142647103</v>
      </c>
      <c r="D608">
        <v>17.3133487487212</v>
      </c>
      <c r="E608">
        <v>20.6967995429412</v>
      </c>
    </row>
    <row r="609" spans="1:5">
      <c r="A609">
        <v>3.32529175677485E-3</v>
      </c>
      <c r="B609">
        <v>-5.70619786232536</v>
      </c>
      <c r="C609">
        <v>16.499982546549301</v>
      </c>
      <c r="D609">
        <v>17.448512688279202</v>
      </c>
      <c r="E609">
        <v>28.400006981380301</v>
      </c>
    </row>
    <row r="610" spans="1:5">
      <c r="A610">
        <v>5.5105423464036601E-2</v>
      </c>
      <c r="B610">
        <v>-2.8985071381927798</v>
      </c>
      <c r="C610">
        <v>21.8944405391812</v>
      </c>
      <c r="D610">
        <v>30.6252681137994</v>
      </c>
      <c r="E610">
        <v>26.2422237843275</v>
      </c>
    </row>
    <row r="611" spans="1:5">
      <c r="A611" s="90">
        <v>5.4606756677948797E-11</v>
      </c>
      <c r="B611">
        <v>-23.630863492153502</v>
      </c>
      <c r="C611">
        <v>17.0471005192958</v>
      </c>
      <c r="D611">
        <v>27.7989888424054</v>
      </c>
      <c r="E611">
        <v>28.181159792281701</v>
      </c>
    </row>
    <row r="612" spans="1:5">
      <c r="A612" s="90">
        <v>2.2261847775773899E-11</v>
      </c>
      <c r="B612">
        <v>-24.5281467647313</v>
      </c>
      <c r="C612">
        <v>28.200956892222202</v>
      </c>
      <c r="D612">
        <v>19.117466602474501</v>
      </c>
      <c r="E612">
        <v>23.719617243111099</v>
      </c>
    </row>
    <row r="613" spans="1:5">
      <c r="A613">
        <v>1.08126413543342E-2</v>
      </c>
      <c r="B613">
        <v>-4.5270393335763703</v>
      </c>
      <c r="C613">
        <v>23.171536939218601</v>
      </c>
      <c r="D613">
        <v>22.8642726317048</v>
      </c>
      <c r="E613">
        <v>25.731385224312501</v>
      </c>
    </row>
    <row r="614" spans="1:5">
      <c r="A614" s="90">
        <v>1.74668350963162E-12</v>
      </c>
      <c r="B614">
        <v>-27.073302263391302</v>
      </c>
      <c r="C614">
        <v>40.707929403055502</v>
      </c>
      <c r="D614">
        <v>22.279364955611499</v>
      </c>
      <c r="E614">
        <v>18.716828238777801</v>
      </c>
    </row>
    <row r="615" spans="1:5">
      <c r="A615" s="90">
        <v>2.9748721105347302E-7</v>
      </c>
      <c r="B615">
        <v>-15.0278946009403</v>
      </c>
      <c r="C615">
        <v>34.168813078664201</v>
      </c>
      <c r="D615">
        <v>19.8013404663652</v>
      </c>
      <c r="E615">
        <v>21.332474768534301</v>
      </c>
    </row>
    <row r="616" spans="1:5">
      <c r="A616" s="90">
        <v>7.3646319871602095E-12</v>
      </c>
      <c r="B616">
        <v>-25.634332035061401</v>
      </c>
      <c r="C616">
        <v>19.144916749093699</v>
      </c>
      <c r="D616">
        <v>30.911473543383199</v>
      </c>
      <c r="E616">
        <v>27.342033300362498</v>
      </c>
    </row>
    <row r="617" spans="1:5">
      <c r="A617" s="90">
        <v>6.5654125485320901E-6</v>
      </c>
      <c r="B617">
        <v>-11.933695211585</v>
      </c>
      <c r="C617">
        <v>22.184731944464101</v>
      </c>
      <c r="D617">
        <v>31.5884164441377</v>
      </c>
      <c r="E617">
        <v>26.126107222214301</v>
      </c>
    </row>
    <row r="618" spans="1:5">
      <c r="A618" s="90">
        <v>1.26521810026929E-7</v>
      </c>
      <c r="B618">
        <v>-15.8828511323599</v>
      </c>
      <c r="C618">
        <v>30.727098896168201</v>
      </c>
      <c r="D618">
        <v>20.502495570108302</v>
      </c>
      <c r="E618">
        <v>22.709160441532699</v>
      </c>
    </row>
    <row r="619" spans="1:5">
      <c r="A619" s="90">
        <v>2.1369263290896401E-14</v>
      </c>
      <c r="B619">
        <v>-31.4768228001609</v>
      </c>
      <c r="C619">
        <v>30.583424397744199</v>
      </c>
      <c r="D619">
        <v>27.0210582343861</v>
      </c>
      <c r="E619">
        <v>22.766630240902298</v>
      </c>
    </row>
    <row r="620" spans="1:5">
      <c r="A620">
        <v>5.2132423193795997E-2</v>
      </c>
      <c r="B620">
        <v>-2.9539681976109402</v>
      </c>
      <c r="C620">
        <v>48.807878617662901</v>
      </c>
      <c r="D620">
        <v>31.2479224568233</v>
      </c>
      <c r="E620">
        <v>15.476848552934801</v>
      </c>
    </row>
    <row r="621" spans="1:5">
      <c r="A621" s="90">
        <v>2.3484887210214701E-7</v>
      </c>
      <c r="B621">
        <v>-15.2643236271158</v>
      </c>
      <c r="C621">
        <v>27.877392246853599</v>
      </c>
      <c r="D621">
        <v>16.5047344937921</v>
      </c>
      <c r="E621">
        <v>23.849043101258601</v>
      </c>
    </row>
    <row r="622" spans="1:5">
      <c r="A622">
        <v>2.7370619132710502E-3</v>
      </c>
      <c r="B622">
        <v>-5.9008702283277596</v>
      </c>
      <c r="C622">
        <v>37.910775979049497</v>
      </c>
      <c r="D622">
        <v>19.6057668095455</v>
      </c>
      <c r="E622">
        <v>19.8356896083802</v>
      </c>
    </row>
    <row r="623" spans="1:5">
      <c r="A623" s="90">
        <v>2.6328054013896999E-5</v>
      </c>
      <c r="B623">
        <v>-10.544875494749199</v>
      </c>
      <c r="C623">
        <v>49.006963546387901</v>
      </c>
      <c r="D623">
        <v>19.547791169025</v>
      </c>
      <c r="E623">
        <v>15.397214581444899</v>
      </c>
    </row>
    <row r="624" spans="1:5">
      <c r="A624" s="90">
        <v>5.6873038261578905E-13</v>
      </c>
      <c r="B624">
        <v>-28.1953699173445</v>
      </c>
      <c r="C624">
        <v>8.6294483784586191</v>
      </c>
      <c r="D624">
        <v>16.059280782938</v>
      </c>
      <c r="E624">
        <v>31.548220648616599</v>
      </c>
    </row>
    <row r="625" spans="1:5">
      <c r="A625" s="90">
        <v>1.7456503265950899E-12</v>
      </c>
      <c r="B625">
        <v>-27.0738939497049</v>
      </c>
      <c r="C625">
        <v>33.5273588476703</v>
      </c>
      <c r="D625">
        <v>27.805612902157002</v>
      </c>
      <c r="E625">
        <v>21.5890564609319</v>
      </c>
    </row>
    <row r="626" spans="1:5">
      <c r="A626" s="90">
        <v>2.9351726156072301E-7</v>
      </c>
      <c r="B626">
        <v>-15.041329386594301</v>
      </c>
      <c r="C626">
        <v>21.780936840921601</v>
      </c>
      <c r="D626">
        <v>32.387121566571302</v>
      </c>
      <c r="E626">
        <v>26.287625263631298</v>
      </c>
    </row>
    <row r="627" spans="1:5">
      <c r="A627" s="90">
        <v>3.21639381732186E-5</v>
      </c>
      <c r="B627">
        <v>-10.344664665515699</v>
      </c>
      <c r="C627">
        <v>15.3576868623495</v>
      </c>
      <c r="D627">
        <v>24.665352143347299</v>
      </c>
      <c r="E627">
        <v>28.856925255060201</v>
      </c>
    </row>
    <row r="628" spans="1:5">
      <c r="A628" s="90">
        <v>4.4051585551113598E-10</v>
      </c>
      <c r="B628">
        <v>-21.5430746768502</v>
      </c>
      <c r="C628">
        <v>27.373010249808399</v>
      </c>
      <c r="D628">
        <v>20.987262474373001</v>
      </c>
      <c r="E628">
        <v>24.050795900076601</v>
      </c>
    </row>
    <row r="629" spans="1:5">
      <c r="A629" s="90">
        <v>4.7325666208554699E-10</v>
      </c>
      <c r="B629">
        <v>-21.471383248631199</v>
      </c>
      <c r="C629">
        <v>11.737349945120499</v>
      </c>
      <c r="D629">
        <v>30.3227981831878</v>
      </c>
      <c r="E629">
        <v>30.3050600219518</v>
      </c>
    </row>
    <row r="630" spans="1:5">
      <c r="A630">
        <v>1.15741977044893E-2</v>
      </c>
      <c r="B630">
        <v>-4.4589769941991904</v>
      </c>
      <c r="C630">
        <v>40.201261718291804</v>
      </c>
      <c r="D630">
        <v>18.6761449789628</v>
      </c>
      <c r="E630">
        <v>18.919495312683299</v>
      </c>
    </row>
    <row r="631" spans="1:5">
      <c r="A631" s="90">
        <v>3.9386931137780598E-13</v>
      </c>
      <c r="B631">
        <v>-28.562757237646998</v>
      </c>
      <c r="C631">
        <v>36.378142348025001</v>
      </c>
      <c r="D631">
        <v>25.738534382544501</v>
      </c>
      <c r="E631">
        <v>20.448743060790001</v>
      </c>
    </row>
    <row r="632" spans="1:5">
      <c r="A632">
        <v>1.6290896543462001E-3</v>
      </c>
      <c r="B632">
        <v>-6.4197339144456196</v>
      </c>
      <c r="C632">
        <v>35.767264907248297</v>
      </c>
      <c r="D632">
        <v>32.570438976399601</v>
      </c>
      <c r="E632">
        <v>20.6930940371007</v>
      </c>
    </row>
    <row r="633" spans="1:5">
      <c r="A633" s="90">
        <v>7.1516461351647705E-14</v>
      </c>
      <c r="B633">
        <v>-30.2688487430149</v>
      </c>
      <c r="C633">
        <v>36.008305055554999</v>
      </c>
      <c r="D633">
        <v>16.164787164889301</v>
      </c>
      <c r="E633">
        <v>20.596677977778</v>
      </c>
    </row>
    <row r="634" spans="1:5">
      <c r="A634">
        <v>7.0273146122743098E-4</v>
      </c>
      <c r="B634">
        <v>-7.2605357288494297</v>
      </c>
      <c r="C634">
        <v>25.515366556122899</v>
      </c>
      <c r="D634">
        <v>23.6359115596861</v>
      </c>
      <c r="E634">
        <v>24.7938533775508</v>
      </c>
    </row>
    <row r="635" spans="1:5">
      <c r="A635">
        <v>6.65843527148865E-3</v>
      </c>
      <c r="B635">
        <v>-5.0118707662544804</v>
      </c>
      <c r="C635">
        <v>45.921585396863499</v>
      </c>
      <c r="D635">
        <v>20.279784495942302</v>
      </c>
      <c r="E635">
        <v>16.631365841254599</v>
      </c>
    </row>
    <row r="636" spans="1:5">
      <c r="A636" s="90">
        <v>1.11212762222422E-5</v>
      </c>
      <c r="B636">
        <v>-11.40665050754</v>
      </c>
      <c r="C636">
        <v>28.8322645304725</v>
      </c>
      <c r="D636">
        <v>22.670043646358</v>
      </c>
      <c r="E636">
        <v>23.467094187811</v>
      </c>
    </row>
    <row r="637" spans="1:5">
      <c r="A637">
        <v>7.2332157024889501E-2</v>
      </c>
      <c r="B637">
        <v>-2.6264864765707401</v>
      </c>
      <c r="C637">
        <v>43.406364189926499</v>
      </c>
      <c r="D637">
        <v>33.180832634680002</v>
      </c>
      <c r="E637">
        <v>17.637454324029399</v>
      </c>
    </row>
    <row r="638" spans="1:5">
      <c r="A638" s="90">
        <v>3.45213777645173E-14</v>
      </c>
      <c r="B638">
        <v>-30.997197617426</v>
      </c>
      <c r="C638">
        <v>40.756513622589402</v>
      </c>
      <c r="D638">
        <v>34.380349754355798</v>
      </c>
      <c r="E638">
        <v>18.697394550964201</v>
      </c>
    </row>
    <row r="639" spans="1:5">
      <c r="A639">
        <v>4.8018080052728902E-2</v>
      </c>
      <c r="B639">
        <v>-3.0361776712305599</v>
      </c>
      <c r="C639">
        <v>46.4920131070539</v>
      </c>
      <c r="D639">
        <v>29.229580778628598</v>
      </c>
      <c r="E639">
        <v>16.403194757178401</v>
      </c>
    </row>
    <row r="640" spans="1:5">
      <c r="A640" s="90">
        <v>2.1222514251340101E-7</v>
      </c>
      <c r="B640">
        <v>-15.3656181328023</v>
      </c>
      <c r="C640">
        <v>42.254616820253403</v>
      </c>
      <c r="D640">
        <v>26.748032132163601</v>
      </c>
      <c r="E640">
        <v>18.0981532718986</v>
      </c>
    </row>
    <row r="641" spans="1:5">
      <c r="A641">
        <v>1.01772341347523E-4</v>
      </c>
      <c r="B641">
        <v>-9.1927721867607293</v>
      </c>
      <c r="C641">
        <v>24.951666534412698</v>
      </c>
      <c r="D641">
        <v>24.798352126963401</v>
      </c>
      <c r="E641">
        <v>25.019333386234901</v>
      </c>
    </row>
    <row r="642" spans="1:5">
      <c r="A642" s="90">
        <v>3.3430908488558797E-8</v>
      </c>
      <c r="B642">
        <v>-17.2137849610369</v>
      </c>
      <c r="C642">
        <v>30.118956267833699</v>
      </c>
      <c r="D642">
        <v>24.2137054400519</v>
      </c>
      <c r="E642">
        <v>22.952417492866498</v>
      </c>
    </row>
    <row r="643" spans="1:5">
      <c r="A643" s="90">
        <v>3.2483041859919101E-7</v>
      </c>
      <c r="B643">
        <v>-14.939962579721501</v>
      </c>
      <c r="C643">
        <v>10.6335362740792</v>
      </c>
      <c r="D643">
        <v>18.162192390300302</v>
      </c>
      <c r="E643">
        <v>30.7465854903683</v>
      </c>
    </row>
    <row r="644" spans="1:5">
      <c r="A644">
        <v>1.01761419175646E-2</v>
      </c>
      <c r="B644">
        <v>-4.5877093261800601</v>
      </c>
      <c r="C644">
        <v>33.119828140828801</v>
      </c>
      <c r="D644">
        <v>26.291212947107901</v>
      </c>
      <c r="E644">
        <v>21.752068743668499</v>
      </c>
    </row>
    <row r="645" spans="1:5">
      <c r="A645" s="90">
        <v>1.1504296221480201E-14</v>
      </c>
      <c r="B645">
        <v>-32.096055844830197</v>
      </c>
      <c r="C645">
        <v>43.764303481206298</v>
      </c>
      <c r="D645">
        <v>33.4963065804914</v>
      </c>
      <c r="E645">
        <v>17.494278607517501</v>
      </c>
    </row>
    <row r="646" spans="1:5">
      <c r="A646" s="90">
        <v>2.8411335442960399E-5</v>
      </c>
      <c r="B646">
        <v>-10.468722357114901</v>
      </c>
      <c r="C646">
        <v>39.416804681066402</v>
      </c>
      <c r="D646">
        <v>17.0680772699416</v>
      </c>
      <c r="E646">
        <v>19.233278127573399</v>
      </c>
    </row>
    <row r="647" spans="1:5">
      <c r="A647">
        <v>2.1357911918913701E-3</v>
      </c>
      <c r="B647">
        <v>-6.1489181192678402</v>
      </c>
      <c r="C647">
        <v>20.774489885661801</v>
      </c>
      <c r="D647">
        <v>25.5959413247183</v>
      </c>
      <c r="E647">
        <v>26.6902040457353</v>
      </c>
    </row>
    <row r="648" spans="1:5">
      <c r="A648" s="90">
        <v>5.5644345404791897E-12</v>
      </c>
      <c r="B648">
        <v>-25.914625746340501</v>
      </c>
      <c r="C648">
        <v>29.3738822704181</v>
      </c>
      <c r="D648">
        <v>32.638788172043903</v>
      </c>
      <c r="E648">
        <v>23.2504470918328</v>
      </c>
    </row>
    <row r="649" spans="1:5">
      <c r="A649">
        <v>4.20161931710007E-2</v>
      </c>
      <c r="B649">
        <v>-3.1697001833142302</v>
      </c>
      <c r="C649">
        <v>42.864192730281502</v>
      </c>
      <c r="D649">
        <v>15.362415891140699</v>
      </c>
      <c r="E649">
        <v>17.854322907887401</v>
      </c>
    </row>
    <row r="650" spans="1:5">
      <c r="A650" s="90">
        <v>1.5583093024241999E-5</v>
      </c>
      <c r="B650">
        <v>-11.0693240119209</v>
      </c>
      <c r="C650">
        <v>30.744851556140901</v>
      </c>
      <c r="D650">
        <v>33.404495734721401</v>
      </c>
      <c r="E650">
        <v>22.702059377543598</v>
      </c>
    </row>
    <row r="651" spans="1:5">
      <c r="A651">
        <v>1.54333875445671E-3</v>
      </c>
      <c r="B651">
        <v>-6.4738071869513396</v>
      </c>
      <c r="C651">
        <v>26.624515754170702</v>
      </c>
      <c r="D651">
        <v>22.110980954021201</v>
      </c>
      <c r="E651">
        <v>24.350193698331701</v>
      </c>
    </row>
    <row r="652" spans="1:5">
      <c r="A652" s="90">
        <v>9.5645437876371407E-10</v>
      </c>
      <c r="B652">
        <v>-20.767788024198602</v>
      </c>
      <c r="C652">
        <v>10.807847849559</v>
      </c>
      <c r="D652">
        <v>29.104136442765601</v>
      </c>
      <c r="E652">
        <v>30.676860860176401</v>
      </c>
    </row>
    <row r="653" spans="1:5">
      <c r="A653" s="90">
        <v>7.3524101337474202E-5</v>
      </c>
      <c r="B653">
        <v>-9.5178972961426105</v>
      </c>
      <c r="C653">
        <v>39.187089960556499</v>
      </c>
      <c r="D653">
        <v>15.501243947073799</v>
      </c>
      <c r="E653">
        <v>19.3251640157774</v>
      </c>
    </row>
    <row r="654" spans="1:5">
      <c r="A654" s="90">
        <v>1.0752188248923801E-9</v>
      </c>
      <c r="B654">
        <v>-20.650741638042501</v>
      </c>
      <c r="C654">
        <v>18.1884818971157</v>
      </c>
      <c r="D654">
        <v>20.371960331685798</v>
      </c>
      <c r="E654">
        <v>27.724607241153699</v>
      </c>
    </row>
    <row r="655" spans="1:5">
      <c r="A655" s="90">
        <v>5.7670475972157698E-11</v>
      </c>
      <c r="B655">
        <v>-23.576275754959902</v>
      </c>
      <c r="C655">
        <v>16.902242814656301</v>
      </c>
      <c r="D655">
        <v>21.9069151347503</v>
      </c>
      <c r="E655">
        <v>28.239102874137501</v>
      </c>
    </row>
    <row r="656" spans="1:5">
      <c r="A656" s="90">
        <v>1.25073944820849E-7</v>
      </c>
      <c r="B656">
        <v>-15.894360715979101</v>
      </c>
      <c r="C656">
        <v>46.052262150682502</v>
      </c>
      <c r="D656">
        <v>24.430124121718102</v>
      </c>
      <c r="E656">
        <v>16.579095139726999</v>
      </c>
    </row>
    <row r="657" spans="1:5">
      <c r="A657" s="90">
        <v>3.2513182502137797E-5</v>
      </c>
      <c r="B657">
        <v>-10.3338649354179</v>
      </c>
      <c r="C657">
        <v>25.182303961366401</v>
      </c>
      <c r="D657">
        <v>20.4454244533554</v>
      </c>
      <c r="E657">
        <v>24.927078415453401</v>
      </c>
    </row>
    <row r="658" spans="1:5">
      <c r="A658">
        <v>2.0758363085845201E-2</v>
      </c>
      <c r="B658">
        <v>-3.8748060732226501</v>
      </c>
      <c r="C658">
        <v>21.704829357098799</v>
      </c>
      <c r="D658">
        <v>29.404588551260499</v>
      </c>
      <c r="E658">
        <v>26.318068257160501</v>
      </c>
    </row>
    <row r="659" spans="1:5">
      <c r="A659" s="90">
        <v>2.1911401460081199E-6</v>
      </c>
      <c r="B659">
        <v>-13.031088534993099</v>
      </c>
      <c r="C659">
        <v>18.3256821660325</v>
      </c>
      <c r="D659">
        <v>34.6972437528893</v>
      </c>
      <c r="E659">
        <v>27.669727133586999</v>
      </c>
    </row>
    <row r="660" spans="1:5">
      <c r="A660" s="90">
        <v>3.3326787959087301E-6</v>
      </c>
      <c r="B660">
        <v>-12.611734134147101</v>
      </c>
      <c r="C660">
        <v>23.686176049988699</v>
      </c>
      <c r="D660">
        <v>15.7340271398425</v>
      </c>
      <c r="E660">
        <v>25.525529580004498</v>
      </c>
    </row>
    <row r="661" spans="1:5">
      <c r="A661" s="90">
        <v>7.83810055598066E-8</v>
      </c>
      <c r="B661">
        <v>-16.361684214966498</v>
      </c>
      <c r="C661">
        <v>21.005153324455001</v>
      </c>
      <c r="D661">
        <v>21.754791513085401</v>
      </c>
      <c r="E661">
        <v>26.597938670217999</v>
      </c>
    </row>
    <row r="662" spans="1:5">
      <c r="A662" s="90">
        <v>6.8362028870582405E-8</v>
      </c>
      <c r="B662">
        <v>-16.498448299932601</v>
      </c>
      <c r="C662">
        <v>22.9331289250404</v>
      </c>
      <c r="D662">
        <v>30.0429195677862</v>
      </c>
      <c r="E662">
        <v>25.826748429983901</v>
      </c>
    </row>
    <row r="663" spans="1:5">
      <c r="A663" s="90">
        <v>4.3988743144037001E-10</v>
      </c>
      <c r="B663">
        <v>-21.544502259383801</v>
      </c>
      <c r="C663">
        <v>40.312989463098297</v>
      </c>
      <c r="D663">
        <v>16.4719660533592</v>
      </c>
      <c r="E663">
        <v>18.874804214760701</v>
      </c>
    </row>
    <row r="664" spans="1:5">
      <c r="A664" s="90">
        <v>3.6587038942473199E-8</v>
      </c>
      <c r="B664">
        <v>-17.1235717865118</v>
      </c>
      <c r="C664">
        <v>33.310977825429298</v>
      </c>
      <c r="D664">
        <v>30.087966127321099</v>
      </c>
      <c r="E664">
        <v>21.675608869828299</v>
      </c>
    </row>
    <row r="665" spans="1:5">
      <c r="A665" s="90">
        <v>1.3791934482447599E-11</v>
      </c>
      <c r="B665">
        <v>-25.006937152421099</v>
      </c>
      <c r="C665">
        <v>35.0425562243909</v>
      </c>
      <c r="D665">
        <v>15.9057666221634</v>
      </c>
      <c r="E665">
        <v>20.9829775102437</v>
      </c>
    </row>
    <row r="666" spans="1:5">
      <c r="A666" s="90">
        <v>4.7900208381027698E-12</v>
      </c>
      <c r="B666">
        <v>-26.064486354180598</v>
      </c>
      <c r="C666">
        <v>46.628948280122103</v>
      </c>
      <c r="D666">
        <v>24.348121881485</v>
      </c>
      <c r="E666">
        <v>16.348420687951101</v>
      </c>
    </row>
    <row r="667" spans="1:5">
      <c r="A667" s="90">
        <v>7.6689101768459002E-13</v>
      </c>
      <c r="B667">
        <v>-27.896431692707399</v>
      </c>
      <c r="C667">
        <v>43.581355182919701</v>
      </c>
      <c r="D667">
        <v>15.1042983215302</v>
      </c>
      <c r="E667">
        <v>17.567457926832098</v>
      </c>
    </row>
    <row r="668" spans="1:5">
      <c r="A668" s="90">
        <v>1.07697606439065E-8</v>
      </c>
      <c r="B668">
        <v>-18.346523570360599</v>
      </c>
      <c r="C668">
        <v>19.8522676434368</v>
      </c>
      <c r="D668">
        <v>28.499371437355901</v>
      </c>
      <c r="E668">
        <v>27.059092942625298</v>
      </c>
    </row>
    <row r="669" spans="1:5">
      <c r="A669" s="90">
        <v>1.05837097579386E-10</v>
      </c>
      <c r="B669">
        <v>-22.9691200192172</v>
      </c>
      <c r="C669">
        <v>49.707701047882402</v>
      </c>
      <c r="D669">
        <v>22.544749146327401</v>
      </c>
      <c r="E669">
        <v>15.116919580847</v>
      </c>
    </row>
    <row r="670" spans="1:5">
      <c r="A670" s="90">
        <v>4.1423156451576303E-8</v>
      </c>
      <c r="B670">
        <v>-16.999425777905302</v>
      </c>
      <c r="C670">
        <v>17.285130990203498</v>
      </c>
      <c r="D670">
        <v>17.215503035113201</v>
      </c>
      <c r="E670">
        <v>28.085947603918601</v>
      </c>
    </row>
    <row r="671" spans="1:5">
      <c r="A671" s="90">
        <v>8.8433240669017496E-5</v>
      </c>
      <c r="B671">
        <v>-9.3332626333329909</v>
      </c>
      <c r="C671">
        <v>48.322601612657301</v>
      </c>
      <c r="D671">
        <v>33.711485164240003</v>
      </c>
      <c r="E671">
        <v>15.6709593549371</v>
      </c>
    </row>
    <row r="672" spans="1:5">
      <c r="A672">
        <v>9.3856146927474293E-2</v>
      </c>
      <c r="B672">
        <v>-2.36599202073194</v>
      </c>
      <c r="C672">
        <v>36.222737820353402</v>
      </c>
      <c r="D672">
        <v>17.133328858763001</v>
      </c>
      <c r="E672">
        <v>20.510904871858699</v>
      </c>
    </row>
    <row r="673" spans="1:5">
      <c r="A673">
        <v>5.5880072236451795E-4</v>
      </c>
      <c r="B673">
        <v>-7.4897176378755796</v>
      </c>
      <c r="C673">
        <v>30.803662477061199</v>
      </c>
      <c r="D673">
        <v>34.176534842699802</v>
      </c>
      <c r="E673">
        <v>22.678535009175501</v>
      </c>
    </row>
    <row r="674" spans="1:5">
      <c r="A674" s="90">
        <v>8.5118530717475702E-14</v>
      </c>
      <c r="B674">
        <v>-30.094731630774199</v>
      </c>
      <c r="C674">
        <v>23.322088410612199</v>
      </c>
      <c r="D674">
        <v>34.065488586202299</v>
      </c>
      <c r="E674">
        <v>25.671164635755101</v>
      </c>
    </row>
    <row r="675" spans="1:5">
      <c r="A675" s="90">
        <v>4.77066416379626E-12</v>
      </c>
      <c r="B675">
        <v>-26.068535583027799</v>
      </c>
      <c r="C675">
        <v>23.935001258272699</v>
      </c>
      <c r="D675">
        <v>33.997406736016302</v>
      </c>
      <c r="E675">
        <v>25.425999496690899</v>
      </c>
    </row>
    <row r="676" spans="1:5">
      <c r="A676">
        <v>7.9642001229920708E-3</v>
      </c>
      <c r="B676">
        <v>-4.8327987646438597</v>
      </c>
      <c r="C676">
        <v>36.016967399045797</v>
      </c>
      <c r="D676">
        <v>19.645947869867101</v>
      </c>
      <c r="E676">
        <v>20.593213040381698</v>
      </c>
    </row>
    <row r="677" spans="1:5">
      <c r="A677">
        <v>9.1581859741148904E-3</v>
      </c>
      <c r="B677">
        <v>-4.6931071576685497</v>
      </c>
      <c r="C677">
        <v>44.334715398494197</v>
      </c>
      <c r="D677">
        <v>22.019266718998601</v>
      </c>
      <c r="E677">
        <v>17.266113840602301</v>
      </c>
    </row>
    <row r="678" spans="1:5">
      <c r="A678" s="90">
        <v>8.6406571257491394E-14</v>
      </c>
      <c r="B678">
        <v>-30.079712665771801</v>
      </c>
      <c r="C678">
        <v>24.637418303173</v>
      </c>
      <c r="D678">
        <v>20.942717581056101</v>
      </c>
      <c r="E678">
        <v>25.1450326787308</v>
      </c>
    </row>
    <row r="679" spans="1:5">
      <c r="A679">
        <v>5.0916540170389601E-2</v>
      </c>
      <c r="B679">
        <v>-2.9775674539802299</v>
      </c>
      <c r="C679">
        <v>43.866309418343</v>
      </c>
      <c r="D679">
        <v>23.684827764518602</v>
      </c>
      <c r="E679">
        <v>17.453476232662801</v>
      </c>
    </row>
    <row r="680" spans="1:5">
      <c r="A680">
        <v>4.5310299466234001E-3</v>
      </c>
      <c r="B680">
        <v>-5.3968060040443397</v>
      </c>
      <c r="C680">
        <v>38.492743401788204</v>
      </c>
      <c r="D680">
        <v>22.050081985071301</v>
      </c>
      <c r="E680">
        <v>19.6029026392847</v>
      </c>
    </row>
    <row r="681" spans="1:5">
      <c r="A681" s="90">
        <v>4.0953340153935499E-14</v>
      </c>
      <c r="B681">
        <v>-30.826343021297301</v>
      </c>
      <c r="C681">
        <v>22.7124441657215</v>
      </c>
      <c r="D681">
        <v>16.490901992656301</v>
      </c>
      <c r="E681">
        <v>25.915022333711399</v>
      </c>
    </row>
    <row r="682" spans="1:5">
      <c r="A682" s="90">
        <v>2.0079426007826199E-7</v>
      </c>
      <c r="B682">
        <v>-15.420985034805</v>
      </c>
      <c r="C682">
        <v>34.036615365650498</v>
      </c>
      <c r="D682">
        <v>34.769589989446096</v>
      </c>
      <c r="E682">
        <v>21.385353853739801</v>
      </c>
    </row>
    <row r="683" spans="1:5">
      <c r="A683">
        <v>5.0356690657033902E-2</v>
      </c>
      <c r="B683">
        <v>-2.9886237856857698</v>
      </c>
      <c r="C683">
        <v>38.335457338020198</v>
      </c>
      <c r="D683">
        <v>29.047082671895598</v>
      </c>
      <c r="E683">
        <v>19.665817064791899</v>
      </c>
    </row>
    <row r="684" spans="1:5">
      <c r="A684">
        <v>2.09782679933408E-2</v>
      </c>
      <c r="B684">
        <v>-3.8642682345533599</v>
      </c>
      <c r="C684">
        <v>44.573237854987397</v>
      </c>
      <c r="D684">
        <v>17.368533727712901</v>
      </c>
      <c r="E684">
        <v>17.170704858004999</v>
      </c>
    </row>
    <row r="685" spans="1:5">
      <c r="A685">
        <v>6.5905065398703196E-4</v>
      </c>
      <c r="B685">
        <v>-7.3247101614885102</v>
      </c>
      <c r="C685">
        <v>33.3138342872262</v>
      </c>
      <c r="D685">
        <v>23.1540912622586</v>
      </c>
      <c r="E685">
        <v>21.674466285109499</v>
      </c>
    </row>
    <row r="686" spans="1:5">
      <c r="A686" s="90">
        <v>1.31094048055149E-11</v>
      </c>
      <c r="B686">
        <v>-25.057691219220601</v>
      </c>
      <c r="C686">
        <v>31.515504657756502</v>
      </c>
      <c r="D686">
        <v>17.932060533203199</v>
      </c>
      <c r="E686">
        <v>22.393798136897399</v>
      </c>
    </row>
    <row r="687" spans="1:5">
      <c r="A687">
        <v>3.2671403405604398E-4</v>
      </c>
      <c r="B687">
        <v>-8.0264252832671907</v>
      </c>
      <c r="C687">
        <v>30.4321932350285</v>
      </c>
      <c r="D687">
        <v>24.326165132224599</v>
      </c>
      <c r="E687">
        <v>22.8271227059886</v>
      </c>
    </row>
    <row r="688" spans="1:5">
      <c r="A688" s="90">
        <v>2.1161210834388698E-12</v>
      </c>
      <c r="B688">
        <v>-26.881436380772499</v>
      </c>
      <c r="C688">
        <v>26.600855062250002</v>
      </c>
      <c r="D688">
        <v>18.9619075320661</v>
      </c>
      <c r="E688">
        <v>24.359657975099999</v>
      </c>
    </row>
    <row r="689" spans="1:5">
      <c r="A689" s="90">
        <v>1.30060910852169E-9</v>
      </c>
      <c r="B689">
        <v>-20.460433137195199</v>
      </c>
      <c r="C689">
        <v>37.646781086456002</v>
      </c>
      <c r="D689">
        <v>33.362188651226496</v>
      </c>
      <c r="E689">
        <v>19.9412875654176</v>
      </c>
    </row>
    <row r="690" spans="1:5">
      <c r="A690" s="90">
        <v>1.3316043080085999E-11</v>
      </c>
      <c r="B690">
        <v>-25.042051561008801</v>
      </c>
      <c r="C690">
        <v>23.85615823837</v>
      </c>
      <c r="D690">
        <v>20.364075093530101</v>
      </c>
      <c r="E690">
        <v>25.457536704652</v>
      </c>
    </row>
    <row r="691" spans="1:5">
      <c r="A691" s="90">
        <v>2.7186911715096799E-7</v>
      </c>
      <c r="B691">
        <v>-15.117945073403</v>
      </c>
      <c r="C691">
        <v>26.260722038801799</v>
      </c>
      <c r="D691">
        <v>19.7385313780978</v>
      </c>
      <c r="E691">
        <v>24.495711184479301</v>
      </c>
    </row>
    <row r="692" spans="1:5">
      <c r="A692">
        <v>6.7875254003462696E-4</v>
      </c>
      <c r="B692">
        <v>-7.2952539444989997</v>
      </c>
      <c r="C692">
        <v>36.184220564085997</v>
      </c>
      <c r="D692">
        <v>23.563921009190398</v>
      </c>
      <c r="E692">
        <v>20.526311774365599</v>
      </c>
    </row>
    <row r="693" spans="1:5">
      <c r="A693">
        <v>1.43494122705179E-2</v>
      </c>
      <c r="B693">
        <v>-4.2440462943735904</v>
      </c>
      <c r="C693">
        <v>11.245643439237</v>
      </c>
      <c r="D693">
        <v>15.3586675785482</v>
      </c>
      <c r="E693">
        <v>30.501742624305201</v>
      </c>
    </row>
    <row r="694" spans="1:5">
      <c r="A694">
        <v>2.04431088859699E-2</v>
      </c>
      <c r="B694">
        <v>-3.8901094270729599</v>
      </c>
      <c r="C694">
        <v>36.753335898742101</v>
      </c>
      <c r="D694">
        <v>15.2088924590498</v>
      </c>
      <c r="E694">
        <v>20.298665640503199</v>
      </c>
    </row>
    <row r="695" spans="1:5">
      <c r="A695">
        <v>5.0198486758881895E-4</v>
      </c>
      <c r="B695">
        <v>-7.5969405829722696</v>
      </c>
      <c r="C695">
        <v>16.082065028604099</v>
      </c>
      <c r="D695">
        <v>25.976429143920502</v>
      </c>
      <c r="E695">
        <v>28.567173988558402</v>
      </c>
    </row>
    <row r="696" spans="1:5">
      <c r="A696" s="90">
        <v>1.60055047452132E-8</v>
      </c>
      <c r="B696">
        <v>-17.950333127301299</v>
      </c>
      <c r="C696">
        <v>29.3056294526905</v>
      </c>
      <c r="D696">
        <v>22.757359123788799</v>
      </c>
      <c r="E696">
        <v>23.277748218923801</v>
      </c>
    </row>
    <row r="697" spans="1:5">
      <c r="A697" s="90">
        <v>1.78648255563974E-14</v>
      </c>
      <c r="B697">
        <v>-31.655942668028299</v>
      </c>
      <c r="C697">
        <v>13.997554265428301</v>
      </c>
      <c r="D697">
        <v>33.773266193456898</v>
      </c>
      <c r="E697">
        <v>29.4009782938287</v>
      </c>
    </row>
    <row r="698" spans="1:5">
      <c r="A698" s="90">
        <v>1.1486898539081501E-9</v>
      </c>
      <c r="B698">
        <v>-20.584643801489499</v>
      </c>
      <c r="C698">
        <v>22.681429555173999</v>
      </c>
      <c r="D698">
        <v>24.087507859803701</v>
      </c>
      <c r="E698">
        <v>25.927428177930398</v>
      </c>
    </row>
    <row r="699" spans="1:5">
      <c r="A699" s="90">
        <v>8.4312236390014994E-9</v>
      </c>
      <c r="B699">
        <v>-18.591323922559798</v>
      </c>
      <c r="C699">
        <v>38.623142855707599</v>
      </c>
      <c r="D699">
        <v>23.8547566207126</v>
      </c>
      <c r="E699">
        <v>19.550742857717001</v>
      </c>
    </row>
    <row r="700" spans="1:5">
      <c r="A700" s="90">
        <v>1.9747775570978299E-5</v>
      </c>
      <c r="B700">
        <v>-10.8324697022779</v>
      </c>
      <c r="C700">
        <v>35.2182948426344</v>
      </c>
      <c r="D700">
        <v>15.543249878101101</v>
      </c>
      <c r="E700">
        <v>20.912682062946299</v>
      </c>
    </row>
    <row r="701" spans="1:5">
      <c r="A701" s="90">
        <v>9.2297213944031598E-9</v>
      </c>
      <c r="B701">
        <v>-18.5008369736756</v>
      </c>
      <c r="C701">
        <v>48.465525141451501</v>
      </c>
      <c r="D701">
        <v>16.3712072232738</v>
      </c>
      <c r="E701">
        <v>15.6137899434194</v>
      </c>
    </row>
    <row r="702" spans="1:5">
      <c r="A702" s="90">
        <v>4.2453308270474402E-5</v>
      </c>
      <c r="B702">
        <v>-10.0671057148991</v>
      </c>
      <c r="C702">
        <v>42.765583753585801</v>
      </c>
      <c r="D702">
        <v>34.105016281828298</v>
      </c>
      <c r="E702">
        <v>17.8937664985657</v>
      </c>
    </row>
    <row r="703" spans="1:5">
      <c r="A703" s="90">
        <v>4.9298811007704998E-6</v>
      </c>
      <c r="B703">
        <v>-12.2201956876913</v>
      </c>
      <c r="C703">
        <v>20.024237586185301</v>
      </c>
      <c r="D703">
        <v>16.506872237660001</v>
      </c>
      <c r="E703">
        <v>26.990304965525901</v>
      </c>
    </row>
    <row r="704" spans="1:5">
      <c r="A704" s="90">
        <v>1.39834717946067E-14</v>
      </c>
      <c r="B704">
        <v>-31.900900348835702</v>
      </c>
      <c r="C704">
        <v>17.1365804062225</v>
      </c>
      <c r="D704">
        <v>32.810661564581103</v>
      </c>
      <c r="E704">
        <v>28.145367837510999</v>
      </c>
    </row>
    <row r="705" spans="1:5">
      <c r="A705" s="90">
        <v>4.7434357592563997E-12</v>
      </c>
      <c r="B705">
        <v>-26.0742593990689</v>
      </c>
      <c r="C705">
        <v>12.9571516113356</v>
      </c>
      <c r="D705">
        <v>26.5691624907777</v>
      </c>
      <c r="E705">
        <v>29.817139355465802</v>
      </c>
    </row>
    <row r="706" spans="1:5">
      <c r="A706" s="90">
        <v>7.4455071151112804E-11</v>
      </c>
      <c r="B706">
        <v>-23.320825244261101</v>
      </c>
      <c r="C706">
        <v>15.3193316813558</v>
      </c>
      <c r="D706">
        <v>26.2166879372671</v>
      </c>
      <c r="E706">
        <v>28.872267327457699</v>
      </c>
    </row>
    <row r="707" spans="1:5">
      <c r="A707" s="90">
        <v>4.4899292267894801E-14</v>
      </c>
      <c r="B707">
        <v>-30.7343543626944</v>
      </c>
      <c r="C707">
        <v>37.295607464853703</v>
      </c>
      <c r="D707">
        <v>21.1218483280391</v>
      </c>
      <c r="E707">
        <v>20.0817570140585</v>
      </c>
    </row>
    <row r="708" spans="1:5">
      <c r="A708">
        <v>1.07745692154825E-4</v>
      </c>
      <c r="B708">
        <v>-9.1357368097812603</v>
      </c>
      <c r="C708">
        <v>22.398922711145101</v>
      </c>
      <c r="D708">
        <v>32.890086714178302</v>
      </c>
      <c r="E708">
        <v>26.040430915541901</v>
      </c>
    </row>
    <row r="709" spans="1:5">
      <c r="A709" s="90">
        <v>2.20387421674074E-11</v>
      </c>
      <c r="B709">
        <v>-24.5382192037167</v>
      </c>
      <c r="C709">
        <v>48.241560347843901</v>
      </c>
      <c r="D709">
        <v>15.5018707737327</v>
      </c>
      <c r="E709">
        <v>15.703375860862399</v>
      </c>
    </row>
    <row r="710" spans="1:5">
      <c r="A710" s="90">
        <v>3.3420080705549601E-10</v>
      </c>
      <c r="B710">
        <v>-21.8192790848824</v>
      </c>
      <c r="C710">
        <v>17.248116856440902</v>
      </c>
      <c r="D710">
        <v>25.1909209927544</v>
      </c>
      <c r="E710">
        <v>28.100753257423602</v>
      </c>
    </row>
    <row r="711" spans="1:5">
      <c r="A711" s="90">
        <v>3.52112809363164E-14</v>
      </c>
      <c r="B711">
        <v>-30.9774098825044</v>
      </c>
      <c r="C711">
        <v>16.2213318599388</v>
      </c>
      <c r="D711">
        <v>15.653506512753699</v>
      </c>
      <c r="E711">
        <v>28.511467256024499</v>
      </c>
    </row>
    <row r="712" spans="1:5">
      <c r="A712" s="90">
        <v>3.5573748190392802E-10</v>
      </c>
      <c r="B712">
        <v>-21.7568280674795</v>
      </c>
      <c r="C712">
        <v>39.1814113901928</v>
      </c>
      <c r="D712">
        <v>34.676405112259097</v>
      </c>
      <c r="E712">
        <v>19.327435443922901</v>
      </c>
    </row>
    <row r="713" spans="1:5">
      <c r="A713">
        <v>7.4657212485261304E-2</v>
      </c>
      <c r="B713">
        <v>-2.5948481423129701</v>
      </c>
      <c r="C713">
        <v>15.0932099390775</v>
      </c>
      <c r="D713">
        <v>20.3891343204305</v>
      </c>
      <c r="E713">
        <v>28.962716024369001</v>
      </c>
    </row>
    <row r="714" spans="1:5">
      <c r="A714" s="90">
        <v>2.0051416058460498E-9</v>
      </c>
      <c r="B714">
        <v>-20.027551152324701</v>
      </c>
      <c r="C714">
        <v>31.2321315705776</v>
      </c>
      <c r="D714">
        <v>21.3763283984736</v>
      </c>
      <c r="E714">
        <v>22.507147371769001</v>
      </c>
    </row>
    <row r="715" spans="1:5">
      <c r="A715" s="90">
        <v>5.5836459814184403E-8</v>
      </c>
      <c r="B715">
        <v>-16.700838779245199</v>
      </c>
      <c r="C715">
        <v>46.1730398251675</v>
      </c>
      <c r="D715">
        <v>28.668799889273899</v>
      </c>
      <c r="E715">
        <v>16.530784069932999</v>
      </c>
    </row>
    <row r="716" spans="1:5">
      <c r="A716" s="90">
        <v>4.8260359660567199E-12</v>
      </c>
      <c r="B716">
        <v>-26.056995696192999</v>
      </c>
      <c r="C716">
        <v>10.741587382275601</v>
      </c>
      <c r="D716">
        <v>20.778429503552601</v>
      </c>
      <c r="E716">
        <v>30.7033650470898</v>
      </c>
    </row>
    <row r="717" spans="1:5">
      <c r="A717" s="90">
        <v>5.1525341559072402E-7</v>
      </c>
      <c r="B717">
        <v>-14.4786069882008</v>
      </c>
      <c r="C717">
        <v>34.272645144723398</v>
      </c>
      <c r="D717">
        <v>31.347669502720201</v>
      </c>
      <c r="E717">
        <v>21.290941942110699</v>
      </c>
    </row>
    <row r="718" spans="1:5">
      <c r="A718" s="90">
        <v>1.28064439770318E-10</v>
      </c>
      <c r="B718">
        <v>-22.7784875429846</v>
      </c>
      <c r="C718">
        <v>22.345479558221999</v>
      </c>
      <c r="D718">
        <v>25.782646206207598</v>
      </c>
      <c r="E718">
        <v>26.0618081767112</v>
      </c>
    </row>
    <row r="719" spans="1:5">
      <c r="A719">
        <v>1.8411227114203298E-2</v>
      </c>
      <c r="B719">
        <v>-3.9947946311945901</v>
      </c>
      <c r="C719">
        <v>33.765853669028701</v>
      </c>
      <c r="D719">
        <v>31.437680167145999</v>
      </c>
      <c r="E719">
        <v>21.493658532388501</v>
      </c>
    </row>
    <row r="720" spans="1:5">
      <c r="A720" s="90">
        <v>2.1483788179791899E-8</v>
      </c>
      <c r="B720">
        <v>-17.655967224391802</v>
      </c>
      <c r="C720">
        <v>48.766879675444201</v>
      </c>
      <c r="D720">
        <v>21.541985040530601</v>
      </c>
      <c r="E720">
        <v>15.4932481298223</v>
      </c>
    </row>
    <row r="721" spans="1:5">
      <c r="A721">
        <v>3.35732070916317E-3</v>
      </c>
      <c r="B721">
        <v>-5.6966120310930402</v>
      </c>
      <c r="C721">
        <v>17.136881801299801</v>
      </c>
      <c r="D721">
        <v>31.899070232175301</v>
      </c>
      <c r="E721">
        <v>28.145247279480099</v>
      </c>
    </row>
    <row r="722" spans="1:5">
      <c r="A722">
        <v>3.1744849338659099E-3</v>
      </c>
      <c r="B722">
        <v>-5.75260988535151</v>
      </c>
      <c r="C722">
        <v>37.3331636912189</v>
      </c>
      <c r="D722">
        <v>27.0526078063995</v>
      </c>
      <c r="E722">
        <v>20.066734523512402</v>
      </c>
    </row>
    <row r="723" spans="1:5">
      <c r="A723" s="90">
        <v>8.6135610049960996E-10</v>
      </c>
      <c r="B723">
        <v>-20.8725131075749</v>
      </c>
      <c r="C723">
        <v>39.340513579081701</v>
      </c>
      <c r="D723">
        <v>16.246373448520899</v>
      </c>
      <c r="E723">
        <v>19.263794568367299</v>
      </c>
    </row>
    <row r="724" spans="1:5">
      <c r="A724" s="90">
        <v>1.37986723522443E-12</v>
      </c>
      <c r="B724">
        <v>-27.309033827746699</v>
      </c>
      <c r="C724">
        <v>26.973917284980399</v>
      </c>
      <c r="D724">
        <v>29.731754898093602</v>
      </c>
      <c r="E724">
        <v>24.2104330860078</v>
      </c>
    </row>
    <row r="725" spans="1:5">
      <c r="A725" s="90">
        <v>6.4374189578031302E-7</v>
      </c>
      <c r="B725">
        <v>-14.255967974126801</v>
      </c>
      <c r="C725">
        <v>38.445895932149099</v>
      </c>
      <c r="D725">
        <v>28.248856528662099</v>
      </c>
      <c r="E725">
        <v>19.621641627140299</v>
      </c>
    </row>
    <row r="726" spans="1:5">
      <c r="A726" s="90">
        <v>3.3046463571549499E-6</v>
      </c>
      <c r="B726">
        <v>-12.6201810927595</v>
      </c>
      <c r="C726">
        <v>24.565750502515598</v>
      </c>
      <c r="D726">
        <v>28.600022052414701</v>
      </c>
      <c r="E726">
        <v>25.173699798993798</v>
      </c>
    </row>
    <row r="727" spans="1:5">
      <c r="A727" s="90">
        <v>2.0250986512002901E-8</v>
      </c>
      <c r="B727">
        <v>-17.715062327938401</v>
      </c>
      <c r="C727">
        <v>11.552870742511001</v>
      </c>
      <c r="D727">
        <v>30.6685457052663</v>
      </c>
      <c r="E727">
        <v>30.3788517029956</v>
      </c>
    </row>
    <row r="728" spans="1:5">
      <c r="A728" s="90">
        <v>1.33197029735975E-12</v>
      </c>
      <c r="B728">
        <v>-27.344361843338401</v>
      </c>
      <c r="C728">
        <v>8.0614137672819197</v>
      </c>
      <c r="D728">
        <v>20.200460576452301</v>
      </c>
      <c r="E728">
        <v>31.7754344930872</v>
      </c>
    </row>
    <row r="729" spans="1:5">
      <c r="A729" s="90">
        <v>6.1912071185486806E-14</v>
      </c>
      <c r="B729">
        <v>-30.413061223158198</v>
      </c>
      <c r="C729">
        <v>20.379305678885402</v>
      </c>
      <c r="D729">
        <v>17.2409960487857</v>
      </c>
      <c r="E729">
        <v>26.848277728445801</v>
      </c>
    </row>
    <row r="730" spans="1:5">
      <c r="A730" s="90">
        <v>4.9557353883328802E-12</v>
      </c>
      <c r="B730">
        <v>-26.030475545771701</v>
      </c>
      <c r="C730">
        <v>47.499386142473703</v>
      </c>
      <c r="D730">
        <v>31.404353161342399</v>
      </c>
      <c r="E730">
        <v>16.0002455430105</v>
      </c>
    </row>
    <row r="731" spans="1:5">
      <c r="A731" s="90">
        <v>1.2093490238308E-10</v>
      </c>
      <c r="B731">
        <v>-22.835768711938101</v>
      </c>
      <c r="C731">
        <v>29.192791197914602</v>
      </c>
      <c r="D731">
        <v>16.114181280136101</v>
      </c>
      <c r="E731">
        <v>23.3228835208341</v>
      </c>
    </row>
    <row r="732" spans="1:5">
      <c r="A732">
        <v>9.7795849153959197E-3</v>
      </c>
      <c r="B732">
        <v>-4.6274582380246603</v>
      </c>
      <c r="C732">
        <v>32.575563686434201</v>
      </c>
      <c r="D732">
        <v>29.033351154066601</v>
      </c>
      <c r="E732">
        <v>21.969774525426299</v>
      </c>
    </row>
    <row r="733" spans="1:5">
      <c r="A733" s="90">
        <v>5.4086821836075698E-5</v>
      </c>
      <c r="B733">
        <v>-9.8249199907664195</v>
      </c>
      <c r="C733">
        <v>49.199025826063</v>
      </c>
      <c r="D733">
        <v>27.3183916602284</v>
      </c>
      <c r="E733">
        <v>15.3203896695748</v>
      </c>
    </row>
    <row r="734" spans="1:5">
      <c r="A734" s="90">
        <v>1.17561872236075E-5</v>
      </c>
      <c r="B734">
        <v>-11.3511308837427</v>
      </c>
      <c r="C734">
        <v>25.1747814253904</v>
      </c>
      <c r="D734">
        <v>34.431233732029803</v>
      </c>
      <c r="E734">
        <v>24.930087429843802</v>
      </c>
    </row>
    <row r="735" spans="1:5">
      <c r="A735" s="90">
        <v>6.2340709533646697E-9</v>
      </c>
      <c r="B735">
        <v>-18.893236273990599</v>
      </c>
      <c r="C735">
        <v>10.821446849033199</v>
      </c>
      <c r="D735">
        <v>33.678466910496397</v>
      </c>
      <c r="E735">
        <v>30.671421260386701</v>
      </c>
    </row>
    <row r="736" spans="1:5">
      <c r="A736" s="90">
        <v>3.7369825830937898E-6</v>
      </c>
      <c r="B736">
        <v>-12.4972320681371</v>
      </c>
      <c r="C736">
        <v>15.157761448063001</v>
      </c>
      <c r="D736">
        <v>19.580244314856799</v>
      </c>
      <c r="E736">
        <v>28.9368954207748</v>
      </c>
    </row>
    <row r="737" spans="1:5">
      <c r="A737" s="90">
        <v>5.6072284233405603E-6</v>
      </c>
      <c r="B737">
        <v>-12.091454002694</v>
      </c>
      <c r="C737">
        <v>33.6130489269271</v>
      </c>
      <c r="D737">
        <v>23.881634469144</v>
      </c>
      <c r="E737">
        <v>21.554780429229101</v>
      </c>
    </row>
    <row r="738" spans="1:5">
      <c r="A738" s="90">
        <v>5.0933094689321402E-8</v>
      </c>
      <c r="B738">
        <v>-16.792752934312201</v>
      </c>
      <c r="C738">
        <v>31.448594432324199</v>
      </c>
      <c r="D738">
        <v>29.801086005754801</v>
      </c>
      <c r="E738">
        <v>22.420562227070299</v>
      </c>
    </row>
    <row r="739" spans="1:5">
      <c r="A739">
        <v>8.4657928791525092E-3</v>
      </c>
      <c r="B739">
        <v>-4.7717216022012803</v>
      </c>
      <c r="C739">
        <v>21.815352607052802</v>
      </c>
      <c r="D739">
        <v>27.008931613527199</v>
      </c>
      <c r="E739">
        <v>26.273858957178899</v>
      </c>
    </row>
    <row r="740" spans="1:5">
      <c r="A740">
        <v>1.00444368739362E-2</v>
      </c>
      <c r="B740">
        <v>-4.6007363426215502</v>
      </c>
      <c r="C740">
        <v>8.6070906058885193</v>
      </c>
      <c r="D740">
        <v>17.735047317109998</v>
      </c>
      <c r="E740">
        <v>31.557163757644599</v>
      </c>
    </row>
    <row r="741" spans="1:5">
      <c r="A741" s="90">
        <v>2.4490549646872599E-8</v>
      </c>
      <c r="B741">
        <v>-17.5249785225073</v>
      </c>
      <c r="C741">
        <v>28.797375837806602</v>
      </c>
      <c r="D741">
        <v>19.148274040781001</v>
      </c>
      <c r="E741">
        <v>23.4810496648774</v>
      </c>
    </row>
    <row r="742" spans="1:5">
      <c r="A742" s="90">
        <v>3.3857158801760497E-5</v>
      </c>
      <c r="B742">
        <v>-10.2933600949465</v>
      </c>
      <c r="C742">
        <v>10.064137439709199</v>
      </c>
      <c r="D742">
        <v>16.681996546685699</v>
      </c>
      <c r="E742">
        <v>30.9743450241163</v>
      </c>
    </row>
    <row r="743" spans="1:5">
      <c r="A743" s="90">
        <v>1.7915645973602998E-5</v>
      </c>
      <c r="B743">
        <v>-10.9298361501626</v>
      </c>
      <c r="C743">
        <v>29.605274441652</v>
      </c>
      <c r="D743">
        <v>31.8377583706751</v>
      </c>
      <c r="E743">
        <v>23.157890223339201</v>
      </c>
    </row>
    <row r="744" spans="1:5">
      <c r="A744" s="90">
        <v>3.4686701829717399E-6</v>
      </c>
      <c r="B744">
        <v>-12.5717392700309</v>
      </c>
      <c r="C744">
        <v>24.8425943832844</v>
      </c>
      <c r="D744">
        <v>21.042170939035699</v>
      </c>
      <c r="E744">
        <v>25.062962246686201</v>
      </c>
    </row>
    <row r="745" spans="1:5">
      <c r="A745" s="90">
        <v>1.85988645257582E-11</v>
      </c>
      <c r="B745">
        <v>-24.707920584075101</v>
      </c>
      <c r="C745">
        <v>31.148009076248901</v>
      </c>
      <c r="D745">
        <v>20.663448949344499</v>
      </c>
      <c r="E745">
        <v>22.540796369500502</v>
      </c>
    </row>
    <row r="746" spans="1:5">
      <c r="A746" s="90">
        <v>1.39080779709043E-8</v>
      </c>
      <c r="B746">
        <v>-18.0907960166255</v>
      </c>
      <c r="C746">
        <v>10.1801693323068</v>
      </c>
      <c r="D746">
        <v>25.928694382309899</v>
      </c>
      <c r="E746">
        <v>30.927932267077299</v>
      </c>
    </row>
    <row r="747" spans="1:5">
      <c r="A747" s="90">
        <v>2.5617465933629599E-5</v>
      </c>
      <c r="B747">
        <v>-10.572236176082001</v>
      </c>
      <c r="C747">
        <v>19.141154097393201</v>
      </c>
      <c r="D747">
        <v>20.027399417012901</v>
      </c>
      <c r="E747">
        <v>27.3435383610427</v>
      </c>
    </row>
    <row r="748" spans="1:5">
      <c r="A748" s="90">
        <v>4.5478153943608497E-13</v>
      </c>
      <c r="B748">
        <v>-28.418959224367999</v>
      </c>
      <c r="C748">
        <v>17.55214879103</v>
      </c>
      <c r="D748">
        <v>24.5806177798659</v>
      </c>
      <c r="E748">
        <v>27.979140483588001</v>
      </c>
    </row>
    <row r="749" spans="1:5">
      <c r="A749" s="90">
        <v>6.26243665406477E-9</v>
      </c>
      <c r="B749">
        <v>-18.888696485705999</v>
      </c>
      <c r="C749">
        <v>27.091332274023401</v>
      </c>
      <c r="D749">
        <v>31.290541831403999</v>
      </c>
      <c r="E749">
        <v>24.163467090390601</v>
      </c>
    </row>
    <row r="750" spans="1:5">
      <c r="A750">
        <v>2.6546630350515799E-2</v>
      </c>
      <c r="B750">
        <v>-3.6288524564669</v>
      </c>
      <c r="C750">
        <v>9.3842528965324199</v>
      </c>
      <c r="D750">
        <v>19.480483718216401</v>
      </c>
      <c r="E750">
        <v>31.246298841386999</v>
      </c>
    </row>
    <row r="751" spans="1:5">
      <c r="A751" s="90">
        <v>3.0596016563022602E-10</v>
      </c>
      <c r="B751">
        <v>-21.907566200129001</v>
      </c>
      <c r="C751">
        <v>39.828542783390702</v>
      </c>
      <c r="D751">
        <v>29.1318980464712</v>
      </c>
      <c r="E751">
        <v>19.0685828866437</v>
      </c>
    </row>
    <row r="752" spans="1:5">
      <c r="A752" s="90">
        <v>1.9068525497665099E-14</v>
      </c>
      <c r="B752">
        <v>-31.590737298808701</v>
      </c>
      <c r="C752">
        <v>35.955100214108803</v>
      </c>
      <c r="D752">
        <v>16.133691770955899</v>
      </c>
      <c r="E752">
        <v>20.617959914356501</v>
      </c>
    </row>
    <row r="753" spans="1:5">
      <c r="A753" s="90">
        <v>2.0925946504865399E-10</v>
      </c>
      <c r="B753">
        <v>-22.287446174374502</v>
      </c>
      <c r="C753">
        <v>40.695516181644102</v>
      </c>
      <c r="D753">
        <v>19.991365526802799</v>
      </c>
      <c r="E753">
        <v>18.721793527342399</v>
      </c>
    </row>
    <row r="754" spans="1:5">
      <c r="A754" s="90">
        <v>3.4984353959987202E-13</v>
      </c>
      <c r="B754">
        <v>-28.6812903700894</v>
      </c>
      <c r="C754">
        <v>21.137584586627799</v>
      </c>
      <c r="D754">
        <v>22.789267017506099</v>
      </c>
      <c r="E754">
        <v>26.5449661653489</v>
      </c>
    </row>
    <row r="755" spans="1:5">
      <c r="A755" s="90">
        <v>2.0787642427913498E-5</v>
      </c>
      <c r="B755">
        <v>-10.7811518618553</v>
      </c>
      <c r="C755">
        <v>27.898881028406301</v>
      </c>
      <c r="D755">
        <v>17.192608444020198</v>
      </c>
      <c r="E755">
        <v>23.840447588637499</v>
      </c>
    </row>
    <row r="756" spans="1:5">
      <c r="A756" s="90">
        <v>2.6189915305670399E-11</v>
      </c>
      <c r="B756">
        <v>-24.365646691256401</v>
      </c>
      <c r="C756">
        <v>19.569778440520199</v>
      </c>
      <c r="D756">
        <v>19.499203721061299</v>
      </c>
      <c r="E756">
        <v>27.1720886237919</v>
      </c>
    </row>
    <row r="757" spans="1:5">
      <c r="A757" s="90">
        <v>4.60671365419357E-9</v>
      </c>
      <c r="B757">
        <v>-19.1957511074297</v>
      </c>
      <c r="C757">
        <v>32.889166648033999</v>
      </c>
      <c r="D757">
        <v>23.9180045202374</v>
      </c>
      <c r="E757">
        <v>21.844333340786399</v>
      </c>
    </row>
    <row r="758" spans="1:5">
      <c r="A758">
        <v>5.2097322584419396E-3</v>
      </c>
      <c r="B758">
        <v>-5.25722681447174</v>
      </c>
      <c r="C758">
        <v>29.3350234963</v>
      </c>
      <c r="D758">
        <v>30.485217347741099</v>
      </c>
      <c r="E758">
        <v>23.265990601479999</v>
      </c>
    </row>
    <row r="759" spans="1:5">
      <c r="A759">
        <v>1.13882411898007E-2</v>
      </c>
      <c r="B759">
        <v>-4.4751739304965703</v>
      </c>
      <c r="C759">
        <v>26.427940312773</v>
      </c>
      <c r="D759">
        <v>22.661841651424801</v>
      </c>
      <c r="E759">
        <v>24.428823874890799</v>
      </c>
    </row>
    <row r="760" spans="1:5">
      <c r="A760" s="90">
        <v>2.7345896871113399E-14</v>
      </c>
      <c r="B760">
        <v>-31.2302099002913</v>
      </c>
      <c r="C760">
        <v>26.8518225997686</v>
      </c>
      <c r="D760">
        <v>32.234602379612603</v>
      </c>
      <c r="E760">
        <v>24.259270960092501</v>
      </c>
    </row>
    <row r="761" spans="1:5">
      <c r="A761" s="90">
        <v>5.42265767043854E-6</v>
      </c>
      <c r="B761">
        <v>-12.1249245175932</v>
      </c>
      <c r="C761">
        <v>45.351378591731198</v>
      </c>
      <c r="D761">
        <v>29.7810464538634</v>
      </c>
      <c r="E761">
        <v>16.859448563307499</v>
      </c>
    </row>
    <row r="762" spans="1:5">
      <c r="A762" s="90">
        <v>5.2545022221510096E-13</v>
      </c>
      <c r="B762">
        <v>-28.274520933694799</v>
      </c>
      <c r="C762">
        <v>43.155440334696301</v>
      </c>
      <c r="D762">
        <v>33.048805049620597</v>
      </c>
      <c r="E762">
        <v>17.737823866121499</v>
      </c>
    </row>
    <row r="763" spans="1:5">
      <c r="A763" s="90">
        <v>2.6901952457602901E-9</v>
      </c>
      <c r="B763">
        <v>-19.733652063899601</v>
      </c>
      <c r="C763">
        <v>20.274759343359602</v>
      </c>
      <c r="D763">
        <v>18.996842284686899</v>
      </c>
      <c r="E763">
        <v>26.890096262656201</v>
      </c>
    </row>
    <row r="764" spans="1:5">
      <c r="A764" s="90">
        <v>2.7314236012037498E-7</v>
      </c>
      <c r="B764">
        <v>-15.113272712035</v>
      </c>
      <c r="C764">
        <v>9.5455574668012595</v>
      </c>
      <c r="D764">
        <v>29.075242904946201</v>
      </c>
      <c r="E764">
        <v>31.1817770132795</v>
      </c>
    </row>
    <row r="765" spans="1:5">
      <c r="A765">
        <v>9.1695991390916397E-3</v>
      </c>
      <c r="B765">
        <v>-4.6918617080540397</v>
      </c>
      <c r="C765">
        <v>15.0650928518735</v>
      </c>
      <c r="D765">
        <v>33.5966577287763</v>
      </c>
      <c r="E765">
        <v>28.973962859250602</v>
      </c>
    </row>
    <row r="766" spans="1:5">
      <c r="A766">
        <v>4.9781774206082499E-2</v>
      </c>
      <c r="B766">
        <v>-3.0001063417360201</v>
      </c>
      <c r="C766">
        <v>18.7978730252944</v>
      </c>
      <c r="D766">
        <v>18.562973444350099</v>
      </c>
      <c r="E766">
        <v>27.480850789882201</v>
      </c>
    </row>
    <row r="767" spans="1:5">
      <c r="A767" s="90">
        <v>1.4043272492717799E-7</v>
      </c>
      <c r="B767">
        <v>-15.778537288987501</v>
      </c>
      <c r="C767">
        <v>9.8151354193687403</v>
      </c>
      <c r="D767">
        <v>32.094990042969599</v>
      </c>
      <c r="E767">
        <v>31.073945832252502</v>
      </c>
    </row>
    <row r="768" spans="1:5">
      <c r="A768">
        <v>2.4287324455298201E-4</v>
      </c>
      <c r="B768">
        <v>-8.3229708780725904</v>
      </c>
      <c r="C768">
        <v>35.3839983963408</v>
      </c>
      <c r="D768">
        <v>19.9201803328469</v>
      </c>
      <c r="E768">
        <v>20.846400641463699</v>
      </c>
    </row>
    <row r="769" spans="1:5">
      <c r="A769">
        <v>1.12723276842082E-4</v>
      </c>
      <c r="B769">
        <v>-9.09057462016046</v>
      </c>
      <c r="C769">
        <v>23.073741164989801</v>
      </c>
      <c r="D769">
        <v>29.792361380532402</v>
      </c>
      <c r="E769">
        <v>25.770503534004099</v>
      </c>
    </row>
    <row r="770" spans="1:5">
      <c r="A770" s="90">
        <v>1.20981307641691E-7</v>
      </c>
      <c r="B770">
        <v>-15.927629785583401</v>
      </c>
      <c r="C770">
        <v>48.194924415089197</v>
      </c>
      <c r="D770">
        <v>32.870394405908897</v>
      </c>
      <c r="E770">
        <v>15.722030233964301</v>
      </c>
    </row>
    <row r="771" spans="1:5">
      <c r="A771">
        <v>3.1064231526239201E-3</v>
      </c>
      <c r="B771">
        <v>-5.7742833263734799</v>
      </c>
      <c r="C771">
        <v>28.834107860457198</v>
      </c>
      <c r="D771">
        <v>30.6560282362625</v>
      </c>
      <c r="E771">
        <v>23.4663568558171</v>
      </c>
    </row>
    <row r="772" spans="1:5">
      <c r="A772" s="90">
        <v>5.9578795789282096E-10</v>
      </c>
      <c r="B772">
        <v>-21.2411362875139</v>
      </c>
      <c r="C772">
        <v>10.693882411811501</v>
      </c>
      <c r="D772">
        <v>22.9655323643237</v>
      </c>
      <c r="E772">
        <v>30.722447035275401</v>
      </c>
    </row>
    <row r="773" spans="1:5">
      <c r="A773">
        <v>8.2964986379338204E-2</v>
      </c>
      <c r="B773">
        <v>-2.48933661104099</v>
      </c>
      <c r="C773">
        <v>23.716907737776602</v>
      </c>
      <c r="D773">
        <v>27.1433565253392</v>
      </c>
      <c r="E773">
        <v>25.5132369048893</v>
      </c>
    </row>
    <row r="774" spans="1:5">
      <c r="A774">
        <v>5.28328987834756E-2</v>
      </c>
      <c r="B774">
        <v>-2.9406211992851801</v>
      </c>
      <c r="C774">
        <v>37.013111250474999</v>
      </c>
      <c r="D774">
        <v>18.223884212784501</v>
      </c>
      <c r="E774">
        <v>20.19475549981</v>
      </c>
    </row>
    <row r="775" spans="1:5">
      <c r="A775" s="90">
        <v>1.0348150247942401E-9</v>
      </c>
      <c r="B775">
        <v>-20.689043146206998</v>
      </c>
      <c r="C775">
        <v>20.306013937573901</v>
      </c>
      <c r="D775">
        <v>25.794780314899999</v>
      </c>
      <c r="E775">
        <v>26.8775944249704</v>
      </c>
    </row>
    <row r="776" spans="1:5">
      <c r="A776">
        <v>1.47463731949888E-3</v>
      </c>
      <c r="B776">
        <v>-6.5193432045105499</v>
      </c>
      <c r="C776">
        <v>35.0179655114189</v>
      </c>
      <c r="D776">
        <v>34.134886790998301</v>
      </c>
      <c r="E776">
        <v>20.992813795432401</v>
      </c>
    </row>
    <row r="777" spans="1:5">
      <c r="A777">
        <v>6.0891399662600203E-3</v>
      </c>
      <c r="B777">
        <v>-5.1012484278798604</v>
      </c>
      <c r="C777">
        <v>27.676382500678301</v>
      </c>
      <c r="D777">
        <v>27.5496913352981</v>
      </c>
      <c r="E777">
        <v>23.9294469997287</v>
      </c>
    </row>
    <row r="778" spans="1:5">
      <c r="A778" s="90">
        <v>2.8094881710124901E-11</v>
      </c>
      <c r="B778">
        <v>-24.295433701726498</v>
      </c>
      <c r="C778">
        <v>41.081393684726201</v>
      </c>
      <c r="D778">
        <v>24.8400077410042</v>
      </c>
      <c r="E778">
        <v>18.567442526109499</v>
      </c>
    </row>
    <row r="779" spans="1:5">
      <c r="A779">
        <v>6.6093932799420399E-2</v>
      </c>
      <c r="B779">
        <v>-2.71667832454576</v>
      </c>
      <c r="C779">
        <v>43.715195142664001</v>
      </c>
      <c r="D779">
        <v>28.071409035474101</v>
      </c>
      <c r="E779">
        <v>17.513921942934399</v>
      </c>
    </row>
    <row r="780" spans="1:5">
      <c r="A780" s="90">
        <v>1.3430487348643399E-12</v>
      </c>
      <c r="B780">
        <v>-27.336078910986</v>
      </c>
      <c r="C780">
        <v>9.7771123391576094</v>
      </c>
      <c r="D780">
        <v>23.0348486127332</v>
      </c>
      <c r="E780">
        <v>31.089155064337</v>
      </c>
    </row>
    <row r="781" spans="1:5">
      <c r="A781" s="90">
        <v>1.62154810633735E-6</v>
      </c>
      <c r="B781">
        <v>-13.332129243839301</v>
      </c>
      <c r="C781">
        <v>26.796708029694901</v>
      </c>
      <c r="D781">
        <v>32.600048477761398</v>
      </c>
      <c r="E781">
        <v>24.281316788122101</v>
      </c>
    </row>
    <row r="782" spans="1:5">
      <c r="A782" s="90">
        <v>7.4825871484869293E-9</v>
      </c>
      <c r="B782">
        <v>-18.710687229295001</v>
      </c>
      <c r="C782">
        <v>24.707472137641201</v>
      </c>
      <c r="D782">
        <v>18.362122518010398</v>
      </c>
      <c r="E782">
        <v>25.117011144943501</v>
      </c>
    </row>
    <row r="783" spans="1:5">
      <c r="A783" s="90">
        <v>1.24862968814456E-14</v>
      </c>
      <c r="B783">
        <v>-32.0141446014078</v>
      </c>
      <c r="C783">
        <v>19.965516973286899</v>
      </c>
      <c r="D783">
        <v>17.490224759094399</v>
      </c>
      <c r="E783">
        <v>27.0137932106853</v>
      </c>
    </row>
    <row r="784" spans="1:5">
      <c r="A784">
        <v>5.7686743717071099E-4</v>
      </c>
      <c r="B784">
        <v>-7.4578980627896998</v>
      </c>
      <c r="C784">
        <v>40.383537727873801</v>
      </c>
      <c r="D784">
        <v>27.5092930858955</v>
      </c>
      <c r="E784">
        <v>18.846584908850499</v>
      </c>
    </row>
    <row r="785" spans="1:5">
      <c r="A785" s="90">
        <v>4.9041311214942103E-5</v>
      </c>
      <c r="B785">
        <v>-9.9228475290318094</v>
      </c>
      <c r="C785">
        <v>35.442877564113601</v>
      </c>
      <c r="D785">
        <v>32.885253382846699</v>
      </c>
      <c r="E785">
        <v>20.822848974354599</v>
      </c>
    </row>
    <row r="786" spans="1:5">
      <c r="A786" s="90">
        <v>2.4852206959240298E-7</v>
      </c>
      <c r="B786">
        <v>-15.2077341841162</v>
      </c>
      <c r="C786">
        <v>38.377935708500402</v>
      </c>
      <c r="D786">
        <v>28.864276539534298</v>
      </c>
      <c r="E786">
        <v>19.648825716599799</v>
      </c>
    </row>
    <row r="787" spans="1:5">
      <c r="A787" s="90">
        <v>1.51439010025583E-10</v>
      </c>
      <c r="B787">
        <v>-22.610838146122401</v>
      </c>
      <c r="C787">
        <v>36.326750698033699</v>
      </c>
      <c r="D787">
        <v>33.824651935137801</v>
      </c>
      <c r="E787">
        <v>20.469299720786498</v>
      </c>
    </row>
    <row r="788" spans="1:5">
      <c r="A788" s="90">
        <v>2.14992533286276E-13</v>
      </c>
      <c r="B788">
        <v>-29.168173096287099</v>
      </c>
      <c r="C788">
        <v>18.641263416036999</v>
      </c>
      <c r="D788">
        <v>22.3923117527738</v>
      </c>
      <c r="E788">
        <v>27.543494633585201</v>
      </c>
    </row>
    <row r="789" spans="1:5">
      <c r="A789" s="90">
        <v>6.6166682453342103E-8</v>
      </c>
      <c r="B789">
        <v>-16.531088786897801</v>
      </c>
      <c r="C789">
        <v>13.2304414729588</v>
      </c>
      <c r="D789">
        <v>23.777784057892902</v>
      </c>
      <c r="E789">
        <v>29.707823410816498</v>
      </c>
    </row>
    <row r="790" spans="1:5">
      <c r="A790">
        <v>4.4988666317813002E-2</v>
      </c>
      <c r="B790">
        <v>-3.1013446805379301</v>
      </c>
      <c r="C790">
        <v>12.1713333432563</v>
      </c>
      <c r="D790">
        <v>19.479068745858999</v>
      </c>
      <c r="E790">
        <v>30.131466662697498</v>
      </c>
    </row>
    <row r="791" spans="1:5">
      <c r="A791" s="90">
        <v>5.7456567723793297E-9</v>
      </c>
      <c r="B791">
        <v>-18.974821611487101</v>
      </c>
      <c r="C791">
        <v>35.9837427795865</v>
      </c>
      <c r="D791">
        <v>16.6372190089896</v>
      </c>
      <c r="E791">
        <v>20.606502888165402</v>
      </c>
    </row>
    <row r="792" spans="1:5">
      <c r="A792" s="90">
        <v>9.1212770642824396E-5</v>
      </c>
      <c r="B792">
        <v>-9.3023156417087893</v>
      </c>
      <c r="C792">
        <v>26.567901542875902</v>
      </c>
      <c r="D792">
        <v>22.130925790406799</v>
      </c>
      <c r="E792">
        <v>24.372839382849602</v>
      </c>
    </row>
    <row r="793" spans="1:5">
      <c r="A793">
        <v>2.2182371034866301E-4</v>
      </c>
      <c r="B793">
        <v>-8.4136275890829992</v>
      </c>
      <c r="C793">
        <v>19.512205243110699</v>
      </c>
      <c r="D793">
        <v>30.526126381009799</v>
      </c>
      <c r="E793">
        <v>27.195117902755701</v>
      </c>
    </row>
    <row r="794" spans="1:5">
      <c r="A794" s="90">
        <v>1.9214117594967701E-11</v>
      </c>
      <c r="B794">
        <v>-24.6753758156845</v>
      </c>
      <c r="C794">
        <v>40.038082036655403</v>
      </c>
      <c r="D794">
        <v>16.213782206177701</v>
      </c>
      <c r="E794">
        <v>18.984767185337802</v>
      </c>
    </row>
    <row r="795" spans="1:5">
      <c r="A795" s="90">
        <v>1.4751287975803901E-9</v>
      </c>
      <c r="B795">
        <v>-20.3345205305734</v>
      </c>
      <c r="C795">
        <v>24.397712953388702</v>
      </c>
      <c r="D795">
        <v>19.558009784668702</v>
      </c>
      <c r="E795">
        <v>25.240914818644502</v>
      </c>
    </row>
    <row r="796" spans="1:5">
      <c r="A796" s="90">
        <v>8.6707072425014297E-11</v>
      </c>
      <c r="B796">
        <v>-23.1684856619394</v>
      </c>
      <c r="C796">
        <v>42.157254113815704</v>
      </c>
      <c r="D796">
        <v>31.0901979776099</v>
      </c>
      <c r="E796">
        <v>18.1370983544737</v>
      </c>
    </row>
    <row r="797" spans="1:5">
      <c r="A797">
        <v>7.2785495738844505E-2</v>
      </c>
      <c r="B797">
        <v>-2.6202385779858299</v>
      </c>
      <c r="C797">
        <v>8.9952622358687204</v>
      </c>
      <c r="D797">
        <v>32.046180600300403</v>
      </c>
      <c r="E797">
        <v>31.4018951056525</v>
      </c>
    </row>
    <row r="798" spans="1:5">
      <c r="A798" s="90">
        <v>1.1029158019558E-11</v>
      </c>
      <c r="B798">
        <v>-25.2304786210657</v>
      </c>
      <c r="C798">
        <v>15.3558194958605</v>
      </c>
      <c r="D798">
        <v>19.3719550361857</v>
      </c>
      <c r="E798">
        <v>28.857672201655799</v>
      </c>
    </row>
    <row r="799" spans="1:5">
      <c r="A799">
        <v>3.5577435308019502E-4</v>
      </c>
      <c r="B799">
        <v>-7.9412138677359003</v>
      </c>
      <c r="C799">
        <v>32.621959283482298</v>
      </c>
      <c r="D799">
        <v>32.649543629959197</v>
      </c>
      <c r="E799">
        <v>21.951216286607099</v>
      </c>
    </row>
    <row r="800" spans="1:5">
      <c r="A800" s="90">
        <v>3.7016231492089399E-13</v>
      </c>
      <c r="B800">
        <v>-28.624834796492902</v>
      </c>
      <c r="C800">
        <v>39.215542512480198</v>
      </c>
      <c r="D800">
        <v>29.841283760033502</v>
      </c>
      <c r="E800">
        <v>19.313782995007902</v>
      </c>
    </row>
    <row r="801" spans="1:5">
      <c r="A801">
        <v>1.18506010670422E-4</v>
      </c>
      <c r="B801">
        <v>-9.0405468757183094</v>
      </c>
      <c r="C801">
        <v>41.066518208011999</v>
      </c>
      <c r="D801">
        <v>34.272588426247196</v>
      </c>
      <c r="E801">
        <v>18.573392716795201</v>
      </c>
    </row>
    <row r="802" spans="1:5">
      <c r="A802" s="90">
        <v>4.5850501330027804E-12</v>
      </c>
      <c r="B802">
        <v>-26.1082200761462</v>
      </c>
      <c r="C802">
        <v>44.069455352611797</v>
      </c>
      <c r="D802">
        <v>28.905758373439301</v>
      </c>
      <c r="E802">
        <v>17.372217858955299</v>
      </c>
    </row>
    <row r="803" spans="1:5">
      <c r="A803" s="90">
        <v>4.3566759352077199E-5</v>
      </c>
      <c r="B803">
        <v>-10.041216098565799</v>
      </c>
      <c r="C803">
        <v>46.348944899626098</v>
      </c>
      <c r="D803">
        <v>23.3678272459656</v>
      </c>
      <c r="E803">
        <v>16.460422040149599</v>
      </c>
    </row>
    <row r="804" spans="1:5">
      <c r="A804" s="90">
        <v>3.5943273955617301E-10</v>
      </c>
      <c r="B804">
        <v>-21.7464940506913</v>
      </c>
      <c r="C804">
        <v>45.790661266539203</v>
      </c>
      <c r="D804">
        <v>32.702897088602199</v>
      </c>
      <c r="E804">
        <v>16.683735493384301</v>
      </c>
    </row>
    <row r="805" spans="1:5">
      <c r="A805" s="90">
        <v>2.1905234309604399E-10</v>
      </c>
      <c r="B805">
        <v>-22.241710405099301</v>
      </c>
      <c r="C805">
        <v>27.780932493507901</v>
      </c>
      <c r="D805">
        <v>17.373038618825401</v>
      </c>
      <c r="E805">
        <v>23.887627002596901</v>
      </c>
    </row>
    <row r="806" spans="1:5">
      <c r="A806">
        <v>2.86568951764683E-2</v>
      </c>
      <c r="B806">
        <v>-3.5523611954418901</v>
      </c>
      <c r="C806">
        <v>35.954557026270798</v>
      </c>
      <c r="D806">
        <v>33.220276786014402</v>
      </c>
      <c r="E806">
        <v>20.6181771894917</v>
      </c>
    </row>
    <row r="807" spans="1:5">
      <c r="A807" s="90">
        <v>8.7610555607030899E-11</v>
      </c>
      <c r="B807">
        <v>-23.158119627448301</v>
      </c>
      <c r="C807">
        <v>13.406557859387201</v>
      </c>
      <c r="D807">
        <v>25.824683308601401</v>
      </c>
      <c r="E807">
        <v>29.637376856245101</v>
      </c>
    </row>
    <row r="808" spans="1:5">
      <c r="A808">
        <v>6.1138327801452501E-2</v>
      </c>
      <c r="B808">
        <v>-2.79461631321319</v>
      </c>
      <c r="C808">
        <v>31.269582683686199</v>
      </c>
      <c r="D808">
        <v>26.3138965470716</v>
      </c>
      <c r="E808">
        <v>22.492166926525499</v>
      </c>
    </row>
    <row r="809" spans="1:5">
      <c r="A809" s="90">
        <v>4.6169723642004996E-6</v>
      </c>
      <c r="B809">
        <v>-12.2857714001189</v>
      </c>
      <c r="C809">
        <v>19.605360720306599</v>
      </c>
      <c r="D809">
        <v>32.938456041738398</v>
      </c>
      <c r="E809">
        <v>27.1578557118773</v>
      </c>
    </row>
    <row r="810" spans="1:5">
      <c r="A810">
        <v>1.9242436705088999E-2</v>
      </c>
      <c r="B810">
        <v>-3.9506371938900902</v>
      </c>
      <c r="C810">
        <v>49.3436901629902</v>
      </c>
      <c r="D810">
        <v>19.3022453133017</v>
      </c>
      <c r="E810">
        <v>15.2625239348039</v>
      </c>
    </row>
    <row r="811" spans="1:5">
      <c r="A811" s="90">
        <v>6.7532793888124698E-14</v>
      </c>
      <c r="B811">
        <v>-30.326163079632401</v>
      </c>
      <c r="C811">
        <v>39.887209886219402</v>
      </c>
      <c r="D811">
        <v>22.461172188632201</v>
      </c>
      <c r="E811">
        <v>19.045116045512302</v>
      </c>
    </row>
    <row r="812" spans="1:5">
      <c r="A812" s="90">
        <v>3.05031318277862E-13</v>
      </c>
      <c r="B812">
        <v>-28.818361940696601</v>
      </c>
      <c r="C812">
        <v>43.997099020518398</v>
      </c>
      <c r="D812">
        <v>15.5454569356516</v>
      </c>
      <c r="E812">
        <v>17.4011603917927</v>
      </c>
    </row>
    <row r="813" spans="1:5">
      <c r="A813" s="90">
        <v>8.5162885319395697E-6</v>
      </c>
      <c r="B813">
        <v>-11.673529930349201</v>
      </c>
      <c r="C813">
        <v>47.278003082610702</v>
      </c>
      <c r="D813">
        <v>18.817266584374</v>
      </c>
      <c r="E813">
        <v>16.088798766955701</v>
      </c>
    </row>
    <row r="814" spans="1:5">
      <c r="A814" s="90">
        <v>4.14722932758907E-14</v>
      </c>
      <c r="B814">
        <v>-30.8137508225457</v>
      </c>
      <c r="C814">
        <v>29.2535889050923</v>
      </c>
      <c r="D814">
        <v>24.1586988884956</v>
      </c>
      <c r="E814">
        <v>23.298564437963101</v>
      </c>
    </row>
    <row r="815" spans="1:5">
      <c r="A815" s="90">
        <v>7.1065290646963496E-7</v>
      </c>
      <c r="B815">
        <v>-14.1570817028948</v>
      </c>
      <c r="C815">
        <v>9.0209619528614002</v>
      </c>
      <c r="D815">
        <v>21.7152464110404</v>
      </c>
      <c r="E815">
        <v>31.391615218855399</v>
      </c>
    </row>
    <row r="816" spans="1:5">
      <c r="A816" s="90">
        <v>1.2130708038575101E-6</v>
      </c>
      <c r="B816">
        <v>-13.622355558842299</v>
      </c>
      <c r="C816">
        <v>43.185675352811799</v>
      </c>
      <c r="D816">
        <v>34.5119583047926</v>
      </c>
      <c r="E816">
        <v>17.725729858875301</v>
      </c>
    </row>
    <row r="817" spans="1:5">
      <c r="A817" s="90">
        <v>4.4474086888220599E-5</v>
      </c>
      <c r="B817">
        <v>-10.0206038555232</v>
      </c>
      <c r="C817">
        <v>11.775740486569701</v>
      </c>
      <c r="D817">
        <v>31.788845225237299</v>
      </c>
      <c r="E817">
        <v>30.289703805372099</v>
      </c>
    </row>
    <row r="818" spans="1:5">
      <c r="A818">
        <v>2.2139057432820001E-4</v>
      </c>
      <c r="B818">
        <v>-8.4155821116393508</v>
      </c>
      <c r="C818">
        <v>8.7314491230063105</v>
      </c>
      <c r="D818">
        <v>19.008046477101701</v>
      </c>
      <c r="E818">
        <v>31.507420350797499</v>
      </c>
    </row>
    <row r="819" spans="1:5">
      <c r="A819" s="90">
        <v>3.98090290803918E-14</v>
      </c>
      <c r="B819">
        <v>-30.854682647033101</v>
      </c>
      <c r="C819">
        <v>49.583419901318798</v>
      </c>
      <c r="D819">
        <v>18.977457745932</v>
      </c>
      <c r="E819">
        <v>15.1666320394725</v>
      </c>
    </row>
    <row r="820" spans="1:5">
      <c r="A820" s="90">
        <v>6.34971459824009E-11</v>
      </c>
      <c r="B820">
        <v>-23.480026156198999</v>
      </c>
      <c r="C820">
        <v>22.168393321335301</v>
      </c>
      <c r="D820">
        <v>18.528032219037399</v>
      </c>
      <c r="E820">
        <v>26.132642671465899</v>
      </c>
    </row>
    <row r="821" spans="1:5">
      <c r="A821" s="90">
        <v>8.4679267833280297E-6</v>
      </c>
      <c r="B821">
        <v>-11.679224851005801</v>
      </c>
      <c r="C821">
        <v>31.3604967813008</v>
      </c>
      <c r="D821">
        <v>34.737194464542</v>
      </c>
      <c r="E821">
        <v>22.455801287479702</v>
      </c>
    </row>
    <row r="822" spans="1:5">
      <c r="A822" s="90">
        <v>5.8729705487394105E-11</v>
      </c>
      <c r="B822">
        <v>-23.558075461094301</v>
      </c>
      <c r="C822">
        <v>19.840968667529499</v>
      </c>
      <c r="D822">
        <v>26.558916852809499</v>
      </c>
      <c r="E822">
        <v>27.063612532988198</v>
      </c>
    </row>
    <row r="823" spans="1:5">
      <c r="A823" s="90">
        <v>3.0632177069289502E-6</v>
      </c>
      <c r="B823">
        <v>-12.696044656266899</v>
      </c>
      <c r="C823">
        <v>23.4935189401731</v>
      </c>
      <c r="D823">
        <v>18.8880585599691</v>
      </c>
      <c r="E823">
        <v>25.602592423930801</v>
      </c>
    </row>
    <row r="824" spans="1:5">
      <c r="A824" s="90">
        <v>7.1852006318340706E-8</v>
      </c>
      <c r="B824">
        <v>-16.448657301104301</v>
      </c>
      <c r="C824">
        <v>44.645710692740998</v>
      </c>
      <c r="D824">
        <v>34.588273609988399</v>
      </c>
      <c r="E824">
        <v>17.141715722903601</v>
      </c>
    </row>
    <row r="825" spans="1:5">
      <c r="A825" s="90">
        <v>2.4288400825191601E-8</v>
      </c>
      <c r="B825">
        <v>-17.533266932855899</v>
      </c>
      <c r="C825">
        <v>41.789476206060499</v>
      </c>
      <c r="D825">
        <v>20.337571888230698</v>
      </c>
      <c r="E825">
        <v>18.2842095175758</v>
      </c>
    </row>
    <row r="826" spans="1:5">
      <c r="A826" s="90">
        <v>3.9951363820938498E-7</v>
      </c>
      <c r="B826">
        <v>-14.7330179341266</v>
      </c>
      <c r="C826">
        <v>10.9884302928112</v>
      </c>
      <c r="D826">
        <v>22.2578542027622</v>
      </c>
      <c r="E826">
        <v>30.604627882875501</v>
      </c>
    </row>
    <row r="827" spans="1:5">
      <c r="A827" s="90">
        <v>1.1265820842469499E-11</v>
      </c>
      <c r="B827">
        <v>-25.2092476780794</v>
      </c>
      <c r="C827">
        <v>23.712035769130999</v>
      </c>
      <c r="D827">
        <v>16.077417084015899</v>
      </c>
      <c r="E827">
        <v>25.5151856923476</v>
      </c>
    </row>
    <row r="828" spans="1:5">
      <c r="A828">
        <v>2.0529876473726401E-2</v>
      </c>
      <c r="B828">
        <v>-3.8858740648361101</v>
      </c>
      <c r="C828">
        <v>43.229648377280697</v>
      </c>
      <c r="D828">
        <v>17.975101335905499</v>
      </c>
      <c r="E828">
        <v>17.708140649087699</v>
      </c>
    </row>
    <row r="829" spans="1:5">
      <c r="A829" s="90">
        <v>8.37691205232679E-9</v>
      </c>
      <c r="B829">
        <v>-18.597786480537401</v>
      </c>
      <c r="C829">
        <v>16.460012861527499</v>
      </c>
      <c r="D829">
        <v>29.994313875213301</v>
      </c>
      <c r="E829">
        <v>28.415994855388998</v>
      </c>
    </row>
    <row r="830" spans="1:5">
      <c r="A830" s="90">
        <v>3.2664707724374401E-12</v>
      </c>
      <c r="B830">
        <v>-26.447310988339499</v>
      </c>
      <c r="C830">
        <v>40.863971347920597</v>
      </c>
      <c r="D830">
        <v>15.699566854164001</v>
      </c>
      <c r="E830">
        <v>18.654411460831799</v>
      </c>
    </row>
    <row r="831" spans="1:5">
      <c r="A831" s="90">
        <v>4.1275435559982503E-14</v>
      </c>
      <c r="B831">
        <v>-30.818508852525799</v>
      </c>
      <c r="C831">
        <v>30.231917110737399</v>
      </c>
      <c r="D831">
        <v>17.879289905540599</v>
      </c>
      <c r="E831">
        <v>22.907233155705001</v>
      </c>
    </row>
    <row r="832" spans="1:5">
      <c r="A832" s="90">
        <v>1.4790612467001301E-8</v>
      </c>
      <c r="B832">
        <v>-18.029273150195301</v>
      </c>
      <c r="C832">
        <v>46.197372160386301</v>
      </c>
      <c r="D832">
        <v>23.942945008166099</v>
      </c>
      <c r="E832">
        <v>16.5210511358455</v>
      </c>
    </row>
    <row r="833" spans="1:5">
      <c r="A833">
        <v>3.7769013507257202E-4</v>
      </c>
      <c r="B833">
        <v>-7.88143644700747</v>
      </c>
      <c r="C833">
        <v>17.2406959524378</v>
      </c>
      <c r="D833">
        <v>33.590142154134803</v>
      </c>
      <c r="E833">
        <v>28.103721619024899</v>
      </c>
    </row>
    <row r="834" spans="1:5">
      <c r="A834">
        <v>1.5827811335842999E-4</v>
      </c>
      <c r="B834">
        <v>-8.7511568611641</v>
      </c>
      <c r="C834">
        <v>29.756927338428799</v>
      </c>
      <c r="D834">
        <v>33.534662965685101</v>
      </c>
      <c r="E834">
        <v>23.0972290646285</v>
      </c>
    </row>
    <row r="835" spans="1:5">
      <c r="A835" s="90">
        <v>8.1494399252165501E-13</v>
      </c>
      <c r="B835">
        <v>-27.835657004863499</v>
      </c>
      <c r="C835">
        <v>35.995818404480801</v>
      </c>
      <c r="D835">
        <v>33.270537471398697</v>
      </c>
      <c r="E835">
        <v>20.601672638207699</v>
      </c>
    </row>
    <row r="836" spans="1:5">
      <c r="A836" s="90">
        <v>2.9009847770632999E-11</v>
      </c>
      <c r="B836">
        <v>-24.263385765288</v>
      </c>
      <c r="C836">
        <v>8.0094415447674692</v>
      </c>
      <c r="D836">
        <v>28.6550263362005</v>
      </c>
      <c r="E836">
        <v>31.796223382093</v>
      </c>
    </row>
    <row r="837" spans="1:5">
      <c r="A837" s="90">
        <v>2.0020323783367999E-14</v>
      </c>
      <c r="B837">
        <v>-31.542028448159002</v>
      </c>
      <c r="C837">
        <v>14.264523152262001</v>
      </c>
      <c r="D837">
        <v>25.8798077190295</v>
      </c>
      <c r="E837">
        <v>29.2941907390952</v>
      </c>
    </row>
    <row r="838" spans="1:5">
      <c r="A838" s="90">
        <v>8.8083408185571997E-7</v>
      </c>
      <c r="B838">
        <v>-13.942396558081599</v>
      </c>
      <c r="C838">
        <v>35.689384452532998</v>
      </c>
      <c r="D838">
        <v>20.125121329911099</v>
      </c>
      <c r="E838">
        <v>20.724246218986799</v>
      </c>
    </row>
    <row r="839" spans="1:5">
      <c r="A839">
        <v>1.2656007004698299E-2</v>
      </c>
      <c r="B839">
        <v>-4.36962331448842</v>
      </c>
      <c r="C839">
        <v>33.139244795776897</v>
      </c>
      <c r="D839">
        <v>21.175306183286001</v>
      </c>
      <c r="E839">
        <v>21.744302081689199</v>
      </c>
    </row>
    <row r="840" spans="1:5">
      <c r="A840" s="90">
        <v>6.2015005751744094E-11</v>
      </c>
      <c r="B840">
        <v>-23.503644731913599</v>
      </c>
      <c r="C840">
        <v>19.604530365672002</v>
      </c>
      <c r="D840">
        <v>27.9311922332272</v>
      </c>
      <c r="E840">
        <v>27.158187853731199</v>
      </c>
    </row>
    <row r="841" spans="1:5">
      <c r="A841">
        <v>3.3710159592668199E-4</v>
      </c>
      <c r="B841">
        <v>-7.9951262014528099</v>
      </c>
      <c r="C841">
        <v>43.821287383325398</v>
      </c>
      <c r="D841">
        <v>16.053139474242901</v>
      </c>
      <c r="E841">
        <v>17.471485046669802</v>
      </c>
    </row>
    <row r="842" spans="1:5">
      <c r="A842" s="90">
        <v>1.67003550213775E-12</v>
      </c>
      <c r="B842">
        <v>-27.1181762309607</v>
      </c>
      <c r="C842">
        <v>10.3016311377287</v>
      </c>
      <c r="D842">
        <v>29.536488461308199</v>
      </c>
      <c r="E842">
        <v>30.879347544908502</v>
      </c>
    </row>
    <row r="843" spans="1:5">
      <c r="A843" s="90">
        <v>9.2953881813428694E-11</v>
      </c>
      <c r="B843">
        <v>-23.0989176402509</v>
      </c>
      <c r="C843">
        <v>18.164365587290401</v>
      </c>
      <c r="D843">
        <v>29.209387400187602</v>
      </c>
      <c r="E843">
        <v>27.7342537650838</v>
      </c>
    </row>
    <row r="844" spans="1:5">
      <c r="A844" s="90">
        <v>2.4059273174082201E-14</v>
      </c>
      <c r="B844">
        <v>-31.358255893711501</v>
      </c>
      <c r="C844">
        <v>23.276829139795201</v>
      </c>
      <c r="D844">
        <v>23.2481158245355</v>
      </c>
      <c r="E844">
        <v>25.689268344081899</v>
      </c>
    </row>
    <row r="845" spans="1:5">
      <c r="A845" s="90">
        <v>1.3211842354831E-6</v>
      </c>
      <c r="B845">
        <v>-13.5369820754696</v>
      </c>
      <c r="C845">
        <v>9.5008142474107409</v>
      </c>
      <c r="D845">
        <v>33.609804622829003</v>
      </c>
      <c r="E845">
        <v>31.199674301035699</v>
      </c>
    </row>
    <row r="846" spans="1:5">
      <c r="A846" s="90">
        <v>3.9424970430926101E-10</v>
      </c>
      <c r="B846">
        <v>-21.654036640093899</v>
      </c>
      <c r="C846">
        <v>37.471495866309901</v>
      </c>
      <c r="D846">
        <v>22.133156610652801</v>
      </c>
      <c r="E846">
        <v>20.011401653476099</v>
      </c>
    </row>
    <row r="847" spans="1:5">
      <c r="A847" s="90">
        <v>6.0926309258951305E-14</v>
      </c>
      <c r="B847">
        <v>-30.429111305947099</v>
      </c>
      <c r="C847">
        <v>10.878943575546099</v>
      </c>
      <c r="D847">
        <v>31.583153023384501</v>
      </c>
      <c r="E847">
        <v>30.648422569781498</v>
      </c>
    </row>
    <row r="848" spans="1:5">
      <c r="A848" s="90">
        <v>1.0307181133600101E-6</v>
      </c>
      <c r="B848">
        <v>-13.7852548012151</v>
      </c>
      <c r="C848">
        <v>49.922188241966097</v>
      </c>
      <c r="D848">
        <v>15.610593026503899</v>
      </c>
      <c r="E848">
        <v>15.0311247032136</v>
      </c>
    </row>
    <row r="849" spans="1:5">
      <c r="A849">
        <v>7.9304526321693804E-3</v>
      </c>
      <c r="B849">
        <v>-4.8370451665066199</v>
      </c>
      <c r="C849">
        <v>18.0739018172026</v>
      </c>
      <c r="D849">
        <v>15.031667486764499</v>
      </c>
      <c r="E849">
        <v>27.770439273118999</v>
      </c>
    </row>
    <row r="850" spans="1:5">
      <c r="A850">
        <v>1.6103724680786299E-2</v>
      </c>
      <c r="B850">
        <v>-4.1287046871155404</v>
      </c>
      <c r="C850">
        <v>40.292345088440896</v>
      </c>
      <c r="D850">
        <v>34.7837677598</v>
      </c>
      <c r="E850">
        <v>18.8830619646236</v>
      </c>
    </row>
    <row r="851" spans="1:5">
      <c r="A851" s="90">
        <v>1.4199694618367699E-10</v>
      </c>
      <c r="B851">
        <v>-22.675215564307301</v>
      </c>
      <c r="C851">
        <v>21.771697239950299</v>
      </c>
      <c r="D851">
        <v>18.943187268450899</v>
      </c>
      <c r="E851">
        <v>26.2913211040199</v>
      </c>
    </row>
    <row r="852" spans="1:5">
      <c r="A852" s="90">
        <v>3.0263905364041299E-6</v>
      </c>
      <c r="B852">
        <v>-12.7081398906467</v>
      </c>
      <c r="C852">
        <v>21.977777290157999</v>
      </c>
      <c r="D852">
        <v>28.7227961374447</v>
      </c>
      <c r="E852">
        <v>26.2088890839368</v>
      </c>
    </row>
    <row r="853" spans="1:5">
      <c r="A853" s="90">
        <v>1.1867889980394001E-11</v>
      </c>
      <c r="B853">
        <v>-25.1571846838164</v>
      </c>
      <c r="C853">
        <v>24.587028744630501</v>
      </c>
      <c r="D853">
        <v>21.884421026334199</v>
      </c>
      <c r="E853">
        <v>25.165188502147799</v>
      </c>
    </row>
    <row r="854" spans="1:5">
      <c r="A854" s="90">
        <v>1.05135958474376E-14</v>
      </c>
      <c r="B854">
        <v>-32.186107132719798</v>
      </c>
      <c r="C854">
        <v>21.035643151029898</v>
      </c>
      <c r="D854">
        <v>24.875185741111601</v>
      </c>
      <c r="E854">
        <v>26.585742739587999</v>
      </c>
    </row>
    <row r="855" spans="1:5">
      <c r="A855" s="90">
        <v>1.9404059731738901E-12</v>
      </c>
      <c r="B855">
        <v>-26.9681239002235</v>
      </c>
      <c r="C855">
        <v>39.954854330048001</v>
      </c>
      <c r="D855">
        <v>16.162365935742901</v>
      </c>
      <c r="E855">
        <v>19.018058267980798</v>
      </c>
    </row>
    <row r="856" spans="1:5">
      <c r="A856" s="90">
        <v>1.06386973179877E-9</v>
      </c>
      <c r="B856">
        <v>-20.661352886042401</v>
      </c>
      <c r="C856">
        <v>25.8427594108507</v>
      </c>
      <c r="D856">
        <v>22.907140138559001</v>
      </c>
      <c r="E856">
        <v>24.662896235659701</v>
      </c>
    </row>
    <row r="857" spans="1:5">
      <c r="A857" s="90">
        <v>1.6188050160912601E-8</v>
      </c>
      <c r="B857">
        <v>-17.938992511289701</v>
      </c>
      <c r="C857">
        <v>33.979730768129201</v>
      </c>
      <c r="D857">
        <v>21.011639297939801</v>
      </c>
      <c r="E857">
        <v>21.408107692748299</v>
      </c>
    </row>
    <row r="858" spans="1:5">
      <c r="A858" s="90">
        <v>1.7858496680750199E-14</v>
      </c>
      <c r="B858">
        <v>-31.656296995415399</v>
      </c>
      <c r="C858">
        <v>45.7677697720937</v>
      </c>
      <c r="D858">
        <v>28.294418752193501</v>
      </c>
      <c r="E858">
        <v>16.692892091162499</v>
      </c>
    </row>
    <row r="859" spans="1:5">
      <c r="A859" s="90">
        <v>2.97014306459289E-5</v>
      </c>
      <c r="B859">
        <v>-10.424315343419201</v>
      </c>
      <c r="C859">
        <v>28.433862991630999</v>
      </c>
      <c r="D859">
        <v>18.5777782462537</v>
      </c>
      <c r="E859">
        <v>23.626454803347599</v>
      </c>
    </row>
    <row r="860" spans="1:5">
      <c r="A860" s="90">
        <v>2.1094674926326299E-12</v>
      </c>
      <c r="B860">
        <v>-26.884585573451901</v>
      </c>
      <c r="C860">
        <v>22.7171467836015</v>
      </c>
      <c r="D860">
        <v>24.379723533056701</v>
      </c>
      <c r="E860">
        <v>25.913141286559402</v>
      </c>
    </row>
    <row r="861" spans="1:5">
      <c r="A861" s="90">
        <v>8.9387269448834707E-9</v>
      </c>
      <c r="B861">
        <v>-18.532872657801999</v>
      </c>
      <c r="C861">
        <v>18.159449554979801</v>
      </c>
      <c r="D861">
        <v>21.571099227294301</v>
      </c>
      <c r="E861">
        <v>27.7362201780081</v>
      </c>
    </row>
    <row r="862" spans="1:5">
      <c r="A862" s="90">
        <v>8.4832243321002896E-11</v>
      </c>
      <c r="B862">
        <v>-23.190345417557001</v>
      </c>
      <c r="C862">
        <v>32.918239895254402</v>
      </c>
      <c r="D862">
        <v>27.0881789643317</v>
      </c>
      <c r="E862">
        <v>21.8327040418982</v>
      </c>
    </row>
    <row r="863" spans="1:5">
      <c r="A863" s="90">
        <v>5.1906949368877797E-13</v>
      </c>
      <c r="B863">
        <v>-28.286738621500799</v>
      </c>
      <c r="C863">
        <v>41.809109952300801</v>
      </c>
      <c r="D863">
        <v>33.164167506620302</v>
      </c>
      <c r="E863">
        <v>18.276356019079699</v>
      </c>
    </row>
    <row r="864" spans="1:5">
      <c r="A864" s="90">
        <v>9.5350883504837094E-5</v>
      </c>
      <c r="B864">
        <v>-9.2579469600474305</v>
      </c>
      <c r="C864">
        <v>47.831079164985603</v>
      </c>
      <c r="D864">
        <v>23.793092318810501</v>
      </c>
      <c r="E864">
        <v>15.867568334005799</v>
      </c>
    </row>
    <row r="865" spans="1:5">
      <c r="A865" s="90">
        <v>4.3016933476877899E-10</v>
      </c>
      <c r="B865">
        <v>-21.5668421829727</v>
      </c>
      <c r="C865">
        <v>10.211839519441099</v>
      </c>
      <c r="D865">
        <v>20.606276565231401</v>
      </c>
      <c r="E865">
        <v>30.9152641922235</v>
      </c>
    </row>
    <row r="866" spans="1:5">
      <c r="A866" s="90">
        <v>4.41973708471657E-6</v>
      </c>
      <c r="B866">
        <v>-12.3294303467397</v>
      </c>
      <c r="C866">
        <v>37.723983023315697</v>
      </c>
      <c r="D866">
        <v>28.043323927559001</v>
      </c>
      <c r="E866">
        <v>19.910406790673701</v>
      </c>
    </row>
    <row r="867" spans="1:5">
      <c r="A867">
        <v>3.8591552586967701E-3</v>
      </c>
      <c r="B867">
        <v>-5.5573069643526498</v>
      </c>
      <c r="C867">
        <v>33.523434414062599</v>
      </c>
      <c r="D867">
        <v>33.0852920887992</v>
      </c>
      <c r="E867">
        <v>21.590626234374898</v>
      </c>
    </row>
    <row r="868" spans="1:5">
      <c r="A868" s="90">
        <v>1.08287051510592E-7</v>
      </c>
      <c r="B868">
        <v>-16.038480251393199</v>
      </c>
      <c r="C868">
        <v>46.070160203147701</v>
      </c>
      <c r="D868">
        <v>30.0198699301109</v>
      </c>
      <c r="E868">
        <v>16.571935918740898</v>
      </c>
    </row>
    <row r="869" spans="1:5">
      <c r="A869" s="90">
        <v>1.5444340834034399E-10</v>
      </c>
      <c r="B869">
        <v>-22.591193375750201</v>
      </c>
      <c r="C869">
        <v>39.000675408635303</v>
      </c>
      <c r="D869">
        <v>15.217572911642501</v>
      </c>
      <c r="E869">
        <v>19.399729836545902</v>
      </c>
    </row>
    <row r="870" spans="1:5">
      <c r="A870" s="90">
        <v>2.8129383019362E-7</v>
      </c>
      <c r="B870">
        <v>-15.0838660548813</v>
      </c>
      <c r="C870">
        <v>10.222460554447</v>
      </c>
      <c r="D870">
        <v>34.892983837053201</v>
      </c>
      <c r="E870">
        <v>30.911015778221199</v>
      </c>
    </row>
    <row r="871" spans="1:5">
      <c r="A871" s="90">
        <v>9.3912284059657101E-14</v>
      </c>
      <c r="B871">
        <v>-29.9964151965961</v>
      </c>
      <c r="C871">
        <v>30.2481395998038</v>
      </c>
      <c r="D871">
        <v>24.063767855986999</v>
      </c>
      <c r="E871">
        <v>22.900744160078499</v>
      </c>
    </row>
    <row r="872" spans="1:5">
      <c r="A872" s="90">
        <v>2.0215704592531601E-11</v>
      </c>
      <c r="B872">
        <v>-24.624561358507201</v>
      </c>
      <c r="C872">
        <v>40.921497147064699</v>
      </c>
      <c r="D872">
        <v>33.619084530510001</v>
      </c>
      <c r="E872">
        <v>18.631401141174099</v>
      </c>
    </row>
    <row r="873" spans="1:5">
      <c r="A873" s="90">
        <v>1.68868388321334E-6</v>
      </c>
      <c r="B873">
        <v>-13.2915610997555</v>
      </c>
      <c r="C873">
        <v>14.6326487874612</v>
      </c>
      <c r="D873">
        <v>25.643589859828399</v>
      </c>
      <c r="E873">
        <v>29.146940485015499</v>
      </c>
    </row>
    <row r="874" spans="1:5">
      <c r="A874" s="90">
        <v>1.1995341717563E-5</v>
      </c>
      <c r="B874">
        <v>-11.330992173744701</v>
      </c>
      <c r="C874">
        <v>29.755579514429002</v>
      </c>
      <c r="D874">
        <v>16.452995575964501</v>
      </c>
      <c r="E874">
        <v>23.097768194228401</v>
      </c>
    </row>
    <row r="875" spans="1:5">
      <c r="A875">
        <v>1.80674108225179E-3</v>
      </c>
      <c r="B875">
        <v>-6.3162305636086904</v>
      </c>
      <c r="C875">
        <v>29.972701707854899</v>
      </c>
      <c r="D875">
        <v>23.069930174387999</v>
      </c>
      <c r="E875">
        <v>23.0109193168581</v>
      </c>
    </row>
    <row r="876" spans="1:5">
      <c r="A876" s="90">
        <v>8.6168659734200203E-10</v>
      </c>
      <c r="B876">
        <v>-20.8721294875441</v>
      </c>
      <c r="C876">
        <v>10.2236712882295</v>
      </c>
      <c r="D876">
        <v>24.4162934785709</v>
      </c>
      <c r="E876">
        <v>30.910531484708201</v>
      </c>
    </row>
    <row r="877" spans="1:5">
      <c r="A877" s="90">
        <v>2.04579821112039E-5</v>
      </c>
      <c r="B877">
        <v>-10.797137428345501</v>
      </c>
      <c r="C877">
        <v>28.168332559522199</v>
      </c>
      <c r="D877">
        <v>19.597791568376099</v>
      </c>
      <c r="E877">
        <v>23.732666976191101</v>
      </c>
    </row>
    <row r="878" spans="1:5">
      <c r="A878" s="90">
        <v>1.5743872456852601E-14</v>
      </c>
      <c r="B878">
        <v>-31.782325155697301</v>
      </c>
      <c r="C878">
        <v>28.185705974698099</v>
      </c>
      <c r="D878">
        <v>27.346164733171499</v>
      </c>
      <c r="E878">
        <v>23.7257176101208</v>
      </c>
    </row>
    <row r="879" spans="1:5">
      <c r="A879" s="90">
        <v>2.8117978117425799E-11</v>
      </c>
      <c r="B879">
        <v>-24.2946119535119</v>
      </c>
      <c r="C879">
        <v>20.292079483158901</v>
      </c>
      <c r="D879">
        <v>29.806010434404001</v>
      </c>
      <c r="E879">
        <v>26.8831682067364</v>
      </c>
    </row>
    <row r="880" spans="1:5">
      <c r="A880" s="90">
        <v>5.46935029311624E-14</v>
      </c>
      <c r="B880">
        <v>-30.537031468932799</v>
      </c>
      <c r="C880">
        <v>21.883089823182701</v>
      </c>
      <c r="D880">
        <v>19.7214241093025</v>
      </c>
      <c r="E880">
        <v>26.246764070726901</v>
      </c>
    </row>
    <row r="881" spans="1:5">
      <c r="A881" s="90">
        <v>1.6548987568927999E-13</v>
      </c>
      <c r="B881">
        <v>-29.429866376047698</v>
      </c>
      <c r="C881">
        <v>16.7425747411326</v>
      </c>
      <c r="D881">
        <v>18.658461929298898</v>
      </c>
      <c r="E881">
        <v>28.302970103547</v>
      </c>
    </row>
    <row r="882" spans="1:5">
      <c r="A882" s="90">
        <v>1.3339496241358801E-13</v>
      </c>
      <c r="B882">
        <v>-29.6454620251588</v>
      </c>
      <c r="C882">
        <v>31.596082970499999</v>
      </c>
      <c r="D882">
        <v>26.205655285157299</v>
      </c>
      <c r="E882">
        <v>22.361566811799999</v>
      </c>
    </row>
    <row r="883" spans="1:5">
      <c r="A883" s="90">
        <v>5.6644771311545698E-13</v>
      </c>
      <c r="B883">
        <v>-28.1993916168216</v>
      </c>
      <c r="C883">
        <v>43.801775970961899</v>
      </c>
      <c r="D883">
        <v>21.7947481991723</v>
      </c>
      <c r="E883">
        <v>17.479289611615201</v>
      </c>
    </row>
    <row r="884" spans="1:5">
      <c r="A884">
        <v>3.2946726143237001E-2</v>
      </c>
      <c r="B884">
        <v>-3.4128633812936</v>
      </c>
      <c r="C884">
        <v>42.576983209699399</v>
      </c>
      <c r="D884">
        <v>23.776263538748001</v>
      </c>
      <c r="E884">
        <v>17.969206716120201</v>
      </c>
    </row>
    <row r="885" spans="1:5">
      <c r="A885" s="90">
        <v>2.3078843332014202E-8</v>
      </c>
      <c r="B885">
        <v>-17.584349512159601</v>
      </c>
      <c r="C885">
        <v>9.9890600540675205</v>
      </c>
      <c r="D885">
        <v>32.944191698916299</v>
      </c>
      <c r="E885">
        <v>31.004375978373002</v>
      </c>
    </row>
    <row r="886" spans="1:5">
      <c r="A886" s="90">
        <v>2.14219013260424E-9</v>
      </c>
      <c r="B886">
        <v>-19.961437104805899</v>
      </c>
      <c r="C886">
        <v>35.307193893007899</v>
      </c>
      <c r="D886">
        <v>25.155263077467701</v>
      </c>
      <c r="E886">
        <v>20.8771224427968</v>
      </c>
    </row>
    <row r="887" spans="1:5">
      <c r="A887" s="90">
        <v>5.0294052395392196E-7</v>
      </c>
      <c r="B887">
        <v>-14.5027939164742</v>
      </c>
      <c r="C887">
        <v>32.774909026920803</v>
      </c>
      <c r="D887">
        <v>25.241140108555602</v>
      </c>
      <c r="E887">
        <v>21.8900363892317</v>
      </c>
    </row>
    <row r="888" spans="1:5">
      <c r="A888" s="90">
        <v>4.0565208885123099E-8</v>
      </c>
      <c r="B888">
        <v>-17.020355061719702</v>
      </c>
      <c r="C888">
        <v>16.639772342983601</v>
      </c>
      <c r="D888">
        <v>25.500933798030001</v>
      </c>
      <c r="E888">
        <v>28.344091062806498</v>
      </c>
    </row>
    <row r="889" spans="1:5">
      <c r="A889" s="90">
        <v>5.2932071129687301E-12</v>
      </c>
      <c r="B889">
        <v>-25.964596794218998</v>
      </c>
      <c r="C889">
        <v>33.819585748948199</v>
      </c>
      <c r="D889">
        <v>20.393621828406999</v>
      </c>
      <c r="E889">
        <v>21.4721657004207</v>
      </c>
    </row>
    <row r="890" spans="1:5">
      <c r="A890" s="90">
        <v>1.9376706526752001E-11</v>
      </c>
      <c r="B890">
        <v>-24.666949465767701</v>
      </c>
      <c r="C890">
        <v>12.776925364043599</v>
      </c>
      <c r="D890">
        <v>18.428225894458599</v>
      </c>
      <c r="E890">
        <v>29.889229854382599</v>
      </c>
    </row>
    <row r="891" spans="1:5">
      <c r="A891" s="90">
        <v>2.6558722143209198E-13</v>
      </c>
      <c r="B891">
        <v>-28.9568330905438</v>
      </c>
      <c r="C891">
        <v>38.7839828310534</v>
      </c>
      <c r="D891">
        <v>24.339506500400599</v>
      </c>
      <c r="E891">
        <v>19.486406867578602</v>
      </c>
    </row>
    <row r="892" spans="1:5">
      <c r="A892" s="90">
        <v>5.7414618829779598E-12</v>
      </c>
      <c r="B892">
        <v>-25.883307254577801</v>
      </c>
      <c r="C892">
        <v>25.696679619140902</v>
      </c>
      <c r="D892">
        <v>27.5577295990661</v>
      </c>
      <c r="E892">
        <v>24.721328152343599</v>
      </c>
    </row>
    <row r="893" spans="1:5">
      <c r="A893" s="90">
        <v>1.52581036062469E-7</v>
      </c>
      <c r="B893">
        <v>-15.6955699980172</v>
      </c>
      <c r="C893">
        <v>33.921582572162201</v>
      </c>
      <c r="D893">
        <v>34.468831233680199</v>
      </c>
      <c r="E893">
        <v>21.431366971135098</v>
      </c>
    </row>
    <row r="894" spans="1:5">
      <c r="A894" s="90">
        <v>1.08363747419755E-10</v>
      </c>
      <c r="B894">
        <v>-22.9455275162554</v>
      </c>
      <c r="C894">
        <v>23.926510504912599</v>
      </c>
      <c r="D894">
        <v>23.685962529853001</v>
      </c>
      <c r="E894">
        <v>25.429395798034999</v>
      </c>
    </row>
    <row r="895" spans="1:5">
      <c r="A895" s="90">
        <v>2.95151800975808E-12</v>
      </c>
      <c r="B895">
        <v>-26.5487014983485</v>
      </c>
      <c r="C895">
        <v>46.340134748257697</v>
      </c>
      <c r="D895">
        <v>17.637601448222998</v>
      </c>
      <c r="E895">
        <v>16.463946100696901</v>
      </c>
    </row>
    <row r="896" spans="1:5">
      <c r="A896" s="90">
        <v>1.55916542104252E-10</v>
      </c>
      <c r="B896">
        <v>-22.581700238346599</v>
      </c>
      <c r="C896">
        <v>37.797637346200602</v>
      </c>
      <c r="D896">
        <v>23.613335187546902</v>
      </c>
      <c r="E896">
        <v>19.8809450615197</v>
      </c>
    </row>
    <row r="897" spans="1:5">
      <c r="A897" s="90">
        <v>3.3660704491756297E-14</v>
      </c>
      <c r="B897">
        <v>-31.022445276724898</v>
      </c>
      <c r="C897">
        <v>48.656098057515898</v>
      </c>
      <c r="D897">
        <v>18.074180348776299</v>
      </c>
      <c r="E897">
        <v>15.537560776993599</v>
      </c>
    </row>
    <row r="898" spans="1:5">
      <c r="A898" s="90">
        <v>1.2605913527351601E-10</v>
      </c>
      <c r="B898">
        <v>-22.7942699915092</v>
      </c>
      <c r="C898">
        <v>16.396093469578801</v>
      </c>
      <c r="D898">
        <v>18.185241906903698</v>
      </c>
      <c r="E898">
        <v>28.4415626121685</v>
      </c>
    </row>
    <row r="899" spans="1:5">
      <c r="A899" s="90">
        <v>1.10027100309004E-13</v>
      </c>
      <c r="B899">
        <v>-29.838049693016</v>
      </c>
      <c r="C899">
        <v>16.545426071155799</v>
      </c>
      <c r="D899">
        <v>32.539059212431297</v>
      </c>
      <c r="E899">
        <v>28.3818295715377</v>
      </c>
    </row>
    <row r="900" spans="1:5">
      <c r="A900" s="90">
        <v>2.9232080615810303E-14</v>
      </c>
      <c r="B900">
        <v>-31.163509637485699</v>
      </c>
      <c r="C900">
        <v>14.670744358561899</v>
      </c>
      <c r="D900">
        <v>24.1411680914462</v>
      </c>
      <c r="E900">
        <v>29.131702256575199</v>
      </c>
    </row>
    <row r="901" spans="1:5">
      <c r="A901" s="90">
        <v>6.49611261406373E-9</v>
      </c>
      <c r="B901">
        <v>-18.8520618983285</v>
      </c>
      <c r="C901">
        <v>36.879522745031899</v>
      </c>
      <c r="D901">
        <v>22.445701379329002</v>
      </c>
      <c r="E901">
        <v>20.2481909019873</v>
      </c>
    </row>
    <row r="902" spans="1:5">
      <c r="A902" s="90">
        <v>1.5564763508553201E-13</v>
      </c>
      <c r="B902">
        <v>-29.491181691935299</v>
      </c>
      <c r="C902">
        <v>38.011926224455202</v>
      </c>
      <c r="D902">
        <v>26.0988926375285</v>
      </c>
      <c r="E902">
        <v>19.795229510217901</v>
      </c>
    </row>
    <row r="903" spans="1:5">
      <c r="A903" s="90">
        <v>3.2601165316944498E-7</v>
      </c>
      <c r="B903">
        <v>-14.9363327103</v>
      </c>
      <c r="C903">
        <v>35.0469966898672</v>
      </c>
      <c r="D903">
        <v>33.7708227802068</v>
      </c>
      <c r="E903">
        <v>20.981201324053099</v>
      </c>
    </row>
    <row r="904" spans="1:5">
      <c r="A904" s="90">
        <v>9.9455832104015902E-6</v>
      </c>
      <c r="B904">
        <v>-11.518382003797999</v>
      </c>
      <c r="C904">
        <v>19.487081893719701</v>
      </c>
      <c r="D904">
        <v>25.104985465295599</v>
      </c>
      <c r="E904">
        <v>27.205167242512101</v>
      </c>
    </row>
    <row r="905" spans="1:5">
      <c r="A905" s="90">
        <v>2.4981245865705998E-7</v>
      </c>
      <c r="B905">
        <v>-15.202555365970801</v>
      </c>
      <c r="C905">
        <v>44.912624367978403</v>
      </c>
      <c r="D905">
        <v>24.356040018610699</v>
      </c>
      <c r="E905">
        <v>17.034950252808599</v>
      </c>
    </row>
    <row r="906" spans="1:5">
      <c r="A906">
        <v>6.0086748136269604E-3</v>
      </c>
      <c r="B906">
        <v>-5.1145510516487098</v>
      </c>
      <c r="C906">
        <v>43.948272157460501</v>
      </c>
      <c r="D906">
        <v>16.908359383232899</v>
      </c>
      <c r="E906">
        <v>17.420691137015801</v>
      </c>
    </row>
    <row r="907" spans="1:5">
      <c r="A907">
        <v>2.4133901666604601E-2</v>
      </c>
      <c r="B907">
        <v>-3.72413771881468</v>
      </c>
      <c r="C907">
        <v>17.098648475017399</v>
      </c>
      <c r="D907">
        <v>31.038935827091301</v>
      </c>
      <c r="E907">
        <v>28.160540609992999</v>
      </c>
    </row>
    <row r="908" spans="1:5">
      <c r="A908">
        <v>4.3746499404510803E-3</v>
      </c>
      <c r="B908">
        <v>-5.4319287759849999</v>
      </c>
      <c r="C908">
        <v>31.690854095853901</v>
      </c>
      <c r="D908">
        <v>22.480497090145899</v>
      </c>
      <c r="E908">
        <v>22.323658361658499</v>
      </c>
    </row>
    <row r="909" spans="1:5">
      <c r="A909" s="90">
        <v>9.51924938477152E-13</v>
      </c>
      <c r="B909">
        <v>-27.6802902093653</v>
      </c>
      <c r="C909">
        <v>29.2347178533673</v>
      </c>
      <c r="D909">
        <v>33.304690928198397</v>
      </c>
      <c r="E909">
        <v>23.306112858653101</v>
      </c>
    </row>
    <row r="910" spans="1:5">
      <c r="A910" s="90">
        <v>6.1982312943999404E-7</v>
      </c>
      <c r="B910">
        <v>-14.2938316747027</v>
      </c>
      <c r="C910">
        <v>38.875933275558097</v>
      </c>
      <c r="D910">
        <v>19.682031343691101</v>
      </c>
      <c r="E910">
        <v>19.4496266897768</v>
      </c>
    </row>
    <row r="911" spans="1:5">
      <c r="A911" s="90">
        <v>5.2675939393362998E-13</v>
      </c>
      <c r="B911">
        <v>-28.272032508624399</v>
      </c>
      <c r="C911">
        <v>9.6551226791925693</v>
      </c>
      <c r="D911">
        <v>31.743557294830701</v>
      </c>
      <c r="E911">
        <v>31.137950928323001</v>
      </c>
    </row>
    <row r="912" spans="1:5">
      <c r="A912" s="90">
        <v>3.6011910879981901E-11</v>
      </c>
      <c r="B912">
        <v>-24.0471713744165</v>
      </c>
      <c r="C912">
        <v>37.385394663084298</v>
      </c>
      <c r="D912">
        <v>33.9065032824874</v>
      </c>
      <c r="E912">
        <v>20.0458421347663</v>
      </c>
    </row>
    <row r="913" spans="1:5">
      <c r="A913" s="90">
        <v>1.4081231355282E-5</v>
      </c>
      <c r="B913">
        <v>-11.1706677568479</v>
      </c>
      <c r="C913">
        <v>9.1202638223767298</v>
      </c>
      <c r="D913">
        <v>17.634031614288698</v>
      </c>
      <c r="E913">
        <v>31.351894471049299</v>
      </c>
    </row>
    <row r="914" spans="1:5">
      <c r="A914" s="90">
        <v>1.0011878636044799E-10</v>
      </c>
      <c r="B914">
        <v>-23.024663771287699</v>
      </c>
      <c r="C914">
        <v>47.771719922311597</v>
      </c>
      <c r="D914">
        <v>18.6193620087579</v>
      </c>
      <c r="E914">
        <v>15.891312031075399</v>
      </c>
    </row>
    <row r="915" spans="1:5">
      <c r="A915" s="90">
        <v>5.1371843133358698E-12</v>
      </c>
      <c r="B915">
        <v>-25.99451598552</v>
      </c>
      <c r="C915">
        <v>14.700484770350201</v>
      </c>
      <c r="D915">
        <v>34.373348401859403</v>
      </c>
      <c r="E915">
        <v>29.1198060918599</v>
      </c>
    </row>
    <row r="916" spans="1:5">
      <c r="A916">
        <v>1.2687225929434699E-2</v>
      </c>
      <c r="B916">
        <v>-4.3671596240343602</v>
      </c>
      <c r="C916">
        <v>46.535560143645903</v>
      </c>
      <c r="D916">
        <v>34.404480792582</v>
      </c>
      <c r="E916">
        <v>16.385775942541699</v>
      </c>
    </row>
    <row r="917" spans="1:5">
      <c r="A917" s="90">
        <v>4.6967940657086998E-13</v>
      </c>
      <c r="B917">
        <v>-28.386726046631001</v>
      </c>
      <c r="C917">
        <v>47.940474879927898</v>
      </c>
      <c r="D917">
        <v>22.870146394707302</v>
      </c>
      <c r="E917">
        <v>15.8238100480288</v>
      </c>
    </row>
    <row r="918" spans="1:5">
      <c r="A918" s="90">
        <v>5.6091439456519396E-13</v>
      </c>
      <c r="B918">
        <v>-28.209208095389599</v>
      </c>
      <c r="C918">
        <v>39.226195954717703</v>
      </c>
      <c r="D918">
        <v>22.363160690292698</v>
      </c>
      <c r="E918">
        <v>19.3095216181129</v>
      </c>
    </row>
    <row r="919" spans="1:5">
      <c r="A919">
        <v>2.9661021087832901E-3</v>
      </c>
      <c r="B919">
        <v>-5.8205066094316997</v>
      </c>
      <c r="C919">
        <v>10.989561798051</v>
      </c>
      <c r="D919">
        <v>16.1809555860236</v>
      </c>
      <c r="E919">
        <v>30.6041752807796</v>
      </c>
    </row>
    <row r="920" spans="1:5">
      <c r="A920" s="90">
        <v>4.4305343401437502E-14</v>
      </c>
      <c r="B920">
        <v>-30.747671106590801</v>
      </c>
      <c r="C920">
        <v>48.6757493275218</v>
      </c>
      <c r="D920">
        <v>20.918048010207698</v>
      </c>
      <c r="E920">
        <v>15.5297002689913</v>
      </c>
    </row>
    <row r="921" spans="1:5">
      <c r="A921" s="90">
        <v>9.8979352451277399E-14</v>
      </c>
      <c r="B921">
        <v>-29.9438651276262</v>
      </c>
      <c r="C921">
        <v>31.186113438568999</v>
      </c>
      <c r="D921">
        <v>31.9095996255055</v>
      </c>
      <c r="E921">
        <v>22.525554624572401</v>
      </c>
    </row>
    <row r="922" spans="1:5">
      <c r="A922" s="90">
        <v>8.0199828975786202E-13</v>
      </c>
      <c r="B922">
        <v>-27.851669919517899</v>
      </c>
      <c r="C922">
        <v>23.9583850903437</v>
      </c>
      <c r="D922">
        <v>32.9315382149071</v>
      </c>
      <c r="E922">
        <v>25.4166459638625</v>
      </c>
    </row>
    <row r="923" spans="1:5">
      <c r="A923" s="90">
        <v>1.0003449051698501E-9</v>
      </c>
      <c r="B923">
        <v>-20.722920991242699</v>
      </c>
      <c r="C923">
        <v>30.005290298722699</v>
      </c>
      <c r="D923">
        <v>21.084999046288399</v>
      </c>
      <c r="E923">
        <v>22.997883880510901</v>
      </c>
    </row>
    <row r="924" spans="1:5">
      <c r="A924" s="90">
        <v>4.7221557285132698E-9</v>
      </c>
      <c r="B924">
        <v>-19.171000419472101</v>
      </c>
      <c r="C924">
        <v>15.462528745178099</v>
      </c>
      <c r="D924">
        <v>34.962121173739398</v>
      </c>
      <c r="E924">
        <v>28.814988501928699</v>
      </c>
    </row>
    <row r="925" spans="1:5">
      <c r="A925" s="90">
        <v>4.1203780853088402E-11</v>
      </c>
      <c r="B925">
        <v>-23.912491095504699</v>
      </c>
      <c r="C925">
        <v>10.6319923736155</v>
      </c>
      <c r="D925">
        <v>21.760554718784999</v>
      </c>
      <c r="E925">
        <v>30.7472030505538</v>
      </c>
    </row>
    <row r="926" spans="1:5">
      <c r="A926">
        <v>1.43109496279173E-3</v>
      </c>
      <c r="B926">
        <v>-6.5493154194693499</v>
      </c>
      <c r="C926">
        <v>42.420273102819898</v>
      </c>
      <c r="D926">
        <v>19.5471421675757</v>
      </c>
      <c r="E926">
        <v>18.031890758871999</v>
      </c>
    </row>
    <row r="927" spans="1:5">
      <c r="A927" s="90">
        <v>5.8635138083002498E-7</v>
      </c>
      <c r="B927">
        <v>-14.349346601083401</v>
      </c>
      <c r="C927">
        <v>30.9818886779249</v>
      </c>
      <c r="D927">
        <v>17.076574387028799</v>
      </c>
      <c r="E927">
        <v>22.607244528830101</v>
      </c>
    </row>
    <row r="928" spans="1:5">
      <c r="A928" s="90">
        <v>5.7192931740170201E-8</v>
      </c>
      <c r="B928">
        <v>-16.676835517172201</v>
      </c>
      <c r="C928">
        <v>36.524542955681703</v>
      </c>
      <c r="D928">
        <v>29.8399464506656</v>
      </c>
      <c r="E928">
        <v>20.3901828177273</v>
      </c>
    </row>
    <row r="929" spans="1:5">
      <c r="A929" s="90">
        <v>2.5454627378549201E-8</v>
      </c>
      <c r="B929">
        <v>-17.486368288137701</v>
      </c>
      <c r="C929">
        <v>49.721867731306702</v>
      </c>
      <c r="D929">
        <v>34.579561734572103</v>
      </c>
      <c r="E929">
        <v>15.111252907477301</v>
      </c>
    </row>
    <row r="930" spans="1:5">
      <c r="A930" s="90">
        <v>2.4624374974690299E-5</v>
      </c>
      <c r="B930">
        <v>-10.6117737529667</v>
      </c>
      <c r="C930">
        <v>8.8119260775856691</v>
      </c>
      <c r="D930">
        <v>27.3843383183703</v>
      </c>
      <c r="E930">
        <v>31.475229568965698</v>
      </c>
    </row>
    <row r="931" spans="1:5">
      <c r="A931">
        <v>3.5387147029808299E-3</v>
      </c>
      <c r="B931">
        <v>-5.6439916960193202</v>
      </c>
      <c r="C931">
        <v>20.783569523598999</v>
      </c>
      <c r="D931">
        <v>33.881368958391199</v>
      </c>
      <c r="E931">
        <v>26.686572190560401</v>
      </c>
    </row>
    <row r="932" spans="1:5">
      <c r="A932" s="90">
        <v>2.32003834211134E-7</v>
      </c>
      <c r="B932">
        <v>-15.2765119386445</v>
      </c>
      <c r="C932">
        <v>25.615274364594399</v>
      </c>
      <c r="D932">
        <v>19.8928330419585</v>
      </c>
      <c r="E932">
        <v>24.7538902541623</v>
      </c>
    </row>
    <row r="933" spans="1:5">
      <c r="A933" s="90">
        <v>1.6075358806129801E-5</v>
      </c>
      <c r="B933">
        <v>-11.0382229673351</v>
      </c>
      <c r="C933">
        <v>30.0476678097621</v>
      </c>
      <c r="D933">
        <v>15.920881144702401</v>
      </c>
      <c r="E933">
        <v>22.980932876095199</v>
      </c>
    </row>
    <row r="934" spans="1:5">
      <c r="A934" s="90">
        <v>2.8887660171955303E-14</v>
      </c>
      <c r="B934">
        <v>-31.175361874645201</v>
      </c>
      <c r="C934">
        <v>31.485279252287</v>
      </c>
      <c r="D934">
        <v>26.6441020509228</v>
      </c>
      <c r="E934">
        <v>22.405888299085198</v>
      </c>
    </row>
    <row r="935" spans="1:5">
      <c r="A935">
        <v>6.6346335505579699E-3</v>
      </c>
      <c r="B935">
        <v>-5.0154518424808403</v>
      </c>
      <c r="C935">
        <v>10.029983405489499</v>
      </c>
      <c r="D935">
        <v>16.8717690231279</v>
      </c>
      <c r="E935">
        <v>30.988006637804201</v>
      </c>
    </row>
    <row r="936" spans="1:5">
      <c r="A936" s="90">
        <v>2.41281165291747E-10</v>
      </c>
      <c r="B936">
        <v>-22.145058201496301</v>
      </c>
      <c r="C936">
        <v>16.970964217092799</v>
      </c>
      <c r="D936">
        <v>20.029637278057599</v>
      </c>
      <c r="E936">
        <v>28.211614313162901</v>
      </c>
    </row>
    <row r="937" spans="1:5">
      <c r="A937">
        <v>6.9654728636595706E-2</v>
      </c>
      <c r="B937">
        <v>-2.6642046896524301</v>
      </c>
      <c r="C937">
        <v>27.229718448128601</v>
      </c>
      <c r="D937">
        <v>22.6190294791013</v>
      </c>
      <c r="E937">
        <v>24.108112620748599</v>
      </c>
    </row>
    <row r="938" spans="1:5">
      <c r="A938">
        <v>1.4442095592156499E-2</v>
      </c>
      <c r="B938">
        <v>-4.2376080319363796</v>
      </c>
      <c r="C938">
        <v>15.3761678831652</v>
      </c>
      <c r="D938">
        <v>33.104022820480203</v>
      </c>
      <c r="E938">
        <v>28.849532846733901</v>
      </c>
    </row>
    <row r="939" spans="1:5">
      <c r="A939">
        <v>2.3615470370845501E-3</v>
      </c>
      <c r="B939">
        <v>-6.0484383505183796</v>
      </c>
      <c r="C939">
        <v>11.758726161904599</v>
      </c>
      <c r="D939">
        <v>15.450778156518901</v>
      </c>
      <c r="E939">
        <v>30.296509535238101</v>
      </c>
    </row>
    <row r="940" spans="1:5">
      <c r="A940">
        <v>3.1742936005956901E-4</v>
      </c>
      <c r="B940">
        <v>-8.0552552523870098</v>
      </c>
      <c r="C940">
        <v>8.0481445509940404</v>
      </c>
      <c r="D940">
        <v>19.0891674440354</v>
      </c>
      <c r="E940">
        <v>31.780742179602399</v>
      </c>
    </row>
    <row r="941" spans="1:5">
      <c r="A941" s="90">
        <v>3.7548111737468499E-6</v>
      </c>
      <c r="B941">
        <v>-12.492472560631301</v>
      </c>
      <c r="C941">
        <v>25.333021800965099</v>
      </c>
      <c r="D941">
        <v>33.709516297094503</v>
      </c>
      <c r="E941">
        <v>24.866791279613999</v>
      </c>
    </row>
    <row r="942" spans="1:5">
      <c r="A942" s="90">
        <v>4.30025923054109E-10</v>
      </c>
      <c r="B942">
        <v>-21.567175622885699</v>
      </c>
      <c r="C942">
        <v>21.634201550856201</v>
      </c>
      <c r="D942">
        <v>27.793137403205002</v>
      </c>
      <c r="E942">
        <v>26.346319379657501</v>
      </c>
    </row>
    <row r="943" spans="1:5">
      <c r="A943">
        <v>3.5283337266328797E-2</v>
      </c>
      <c r="B943">
        <v>-3.34434445860045</v>
      </c>
      <c r="C943">
        <v>15.551047592423901</v>
      </c>
      <c r="D943">
        <v>32.1236914675683</v>
      </c>
      <c r="E943">
        <v>28.779580963030501</v>
      </c>
    </row>
    <row r="944" spans="1:5">
      <c r="A944">
        <v>7.2283324003915997E-3</v>
      </c>
      <c r="B944">
        <v>-4.9297469194302597</v>
      </c>
      <c r="C944">
        <v>17.349652712699001</v>
      </c>
      <c r="D944">
        <v>16.839463277719901</v>
      </c>
      <c r="E944">
        <v>28.060138914920401</v>
      </c>
    </row>
    <row r="945" spans="1:5">
      <c r="A945" s="90">
        <v>1.2898694616391699E-9</v>
      </c>
      <c r="B945">
        <v>-20.468724816220899</v>
      </c>
      <c r="C945">
        <v>12.914418168366</v>
      </c>
      <c r="D945">
        <v>27.6424739183858</v>
      </c>
      <c r="E945">
        <v>29.8342327326536</v>
      </c>
    </row>
    <row r="946" spans="1:5">
      <c r="A946" s="90">
        <v>1.3722412323114801E-6</v>
      </c>
      <c r="B946">
        <v>-13.499065218816099</v>
      </c>
      <c r="C946">
        <v>49.351264703087502</v>
      </c>
      <c r="D946">
        <v>18.631975515745602</v>
      </c>
      <c r="E946">
        <v>15.259494118765</v>
      </c>
    </row>
    <row r="947" spans="1:5">
      <c r="A947" s="90">
        <v>1.1825065158956E-10</v>
      </c>
      <c r="B947">
        <v>-22.858214578300601</v>
      </c>
      <c r="C947">
        <v>22.952361071948001</v>
      </c>
      <c r="D947">
        <v>20.136884343810401</v>
      </c>
      <c r="E947">
        <v>25.819055571220801</v>
      </c>
    </row>
    <row r="948" spans="1:5">
      <c r="A948" s="90">
        <v>2.7860635227892099E-12</v>
      </c>
      <c r="B948">
        <v>-26.606391440116901</v>
      </c>
      <c r="C948">
        <v>19.2405620091595</v>
      </c>
      <c r="D948">
        <v>33.268028791062498</v>
      </c>
      <c r="E948">
        <v>27.303775196336201</v>
      </c>
    </row>
    <row r="949" spans="1:5">
      <c r="A949" s="90">
        <v>2.15020160269691E-14</v>
      </c>
      <c r="B949">
        <v>-31.470629695476799</v>
      </c>
      <c r="C949">
        <v>25.9575381292962</v>
      </c>
      <c r="D949">
        <v>33.448548656888299</v>
      </c>
      <c r="E949">
        <v>24.616984748281499</v>
      </c>
    </row>
    <row r="950" spans="1:5">
      <c r="A950" s="90">
        <v>7.0653650297735899E-9</v>
      </c>
      <c r="B950">
        <v>-18.7680611548023</v>
      </c>
      <c r="C950">
        <v>37.757237791083803</v>
      </c>
      <c r="D950">
        <v>32.862098850309799</v>
      </c>
      <c r="E950">
        <v>19.897104883566499</v>
      </c>
    </row>
    <row r="951" spans="1:5">
      <c r="A951" s="90">
        <v>1.09695267449367E-11</v>
      </c>
      <c r="B951">
        <v>-25.235899983416399</v>
      </c>
      <c r="C951">
        <v>21.697139641269999</v>
      </c>
      <c r="D951">
        <v>32.392793130129597</v>
      </c>
      <c r="E951">
        <v>26.321144143491999</v>
      </c>
    </row>
    <row r="952" spans="1:5">
      <c r="A952" s="90">
        <v>3.7583903753839901E-8</v>
      </c>
      <c r="B952">
        <v>-17.096689969861099</v>
      </c>
      <c r="C952">
        <v>36.613550140988103</v>
      </c>
      <c r="D952">
        <v>26.839925302192601</v>
      </c>
      <c r="E952">
        <v>20.354579943604801</v>
      </c>
    </row>
    <row r="953" spans="1:5">
      <c r="A953">
        <v>2.9115266840850398E-4</v>
      </c>
      <c r="B953">
        <v>-8.1416627946587301</v>
      </c>
      <c r="C953">
        <v>15.3955498621799</v>
      </c>
      <c r="D953">
        <v>25.113700176589202</v>
      </c>
      <c r="E953">
        <v>28.841780055128002</v>
      </c>
    </row>
    <row r="954" spans="1:5">
      <c r="A954" s="90">
        <v>5.7758459177281299E-5</v>
      </c>
      <c r="B954">
        <v>-9.7592407400291297</v>
      </c>
      <c r="C954">
        <v>39.750325358007103</v>
      </c>
      <c r="D954">
        <v>31.076360517181499</v>
      </c>
      <c r="E954">
        <v>19.099869856797199</v>
      </c>
    </row>
    <row r="955" spans="1:5">
      <c r="A955" s="90">
        <v>1.20560341515233E-7</v>
      </c>
      <c r="B955">
        <v>-15.931115449891401</v>
      </c>
      <c r="C955">
        <v>14.606628919486001</v>
      </c>
      <c r="D955">
        <v>27.860249807126799</v>
      </c>
      <c r="E955">
        <v>29.157348432205598</v>
      </c>
    </row>
    <row r="956" spans="1:5">
      <c r="A956" s="90">
        <v>4.4423357656237097E-5</v>
      </c>
      <c r="B956">
        <v>-10.0217451535155</v>
      </c>
      <c r="C956">
        <v>24.485583479981901</v>
      </c>
      <c r="D956">
        <v>31.0575358802453</v>
      </c>
      <c r="E956">
        <v>25.205766608007298</v>
      </c>
    </row>
    <row r="957" spans="1:5">
      <c r="A957">
        <v>6.1560935852013901E-2</v>
      </c>
      <c r="B957">
        <v>-2.78772776785258</v>
      </c>
      <c r="C957">
        <v>35.009024919476403</v>
      </c>
      <c r="D957">
        <v>31.981010539457198</v>
      </c>
      <c r="E957">
        <v>20.996390032209501</v>
      </c>
    </row>
    <row r="958" spans="1:5">
      <c r="A958">
        <v>1.26985437405713E-2</v>
      </c>
      <c r="B958">
        <v>-4.3662679581889998</v>
      </c>
      <c r="C958">
        <v>43.559292957652403</v>
      </c>
      <c r="D958">
        <v>28.601229861378702</v>
      </c>
      <c r="E958">
        <v>17.576282816939099</v>
      </c>
    </row>
    <row r="959" spans="1:5">
      <c r="A959" s="90">
        <v>6.1496871770420002E-12</v>
      </c>
      <c r="B959">
        <v>-25.8146199009254</v>
      </c>
      <c r="C959">
        <v>19.964488723315299</v>
      </c>
      <c r="D959">
        <v>19.132094695232801</v>
      </c>
      <c r="E959">
        <v>27.014204510673899</v>
      </c>
    </row>
    <row r="960" spans="1:5">
      <c r="A960" s="90">
        <v>9.3757188899737608E-10</v>
      </c>
      <c r="B960">
        <v>-20.787727679426698</v>
      </c>
      <c r="C960">
        <v>16.596702564973398</v>
      </c>
      <c r="D960">
        <v>34.506558110006203</v>
      </c>
      <c r="E960">
        <v>28.361318974010601</v>
      </c>
    </row>
    <row r="961" spans="1:5">
      <c r="A961">
        <v>2.05612335866738E-4</v>
      </c>
      <c r="B961">
        <v>-8.4895180268313197</v>
      </c>
      <c r="C961">
        <v>17.875520987901801</v>
      </c>
      <c r="D961">
        <v>16.443783449940401</v>
      </c>
      <c r="E961">
        <v>27.8497916048393</v>
      </c>
    </row>
    <row r="962" spans="1:5">
      <c r="A962" s="90">
        <v>3.3151870191642003E-11</v>
      </c>
      <c r="B962">
        <v>-24.129921984850501</v>
      </c>
      <c r="C962">
        <v>23.768547566141901</v>
      </c>
      <c r="D962">
        <v>27.9985364153981</v>
      </c>
      <c r="E962">
        <v>25.492580973543198</v>
      </c>
    </row>
    <row r="963" spans="1:5">
      <c r="A963" s="90">
        <v>2.21053604803534E-11</v>
      </c>
      <c r="B963">
        <v>-24.535200981144602</v>
      </c>
      <c r="C963">
        <v>40.914717474021003</v>
      </c>
      <c r="D963">
        <v>19.210914303548599</v>
      </c>
      <c r="E963">
        <v>18.634113010391602</v>
      </c>
    </row>
    <row r="964" spans="1:5">
      <c r="A964">
        <v>4.1598094398731598E-2</v>
      </c>
      <c r="B964">
        <v>-3.17970092048692</v>
      </c>
      <c r="C964">
        <v>45.3068442493677</v>
      </c>
      <c r="D964">
        <v>20.232041981071202</v>
      </c>
      <c r="E964">
        <v>16.877262300252902</v>
      </c>
    </row>
    <row r="965" spans="1:5">
      <c r="A965">
        <v>7.3802086687958504E-3</v>
      </c>
      <c r="B965">
        <v>-4.9089533658648996</v>
      </c>
      <c r="C965">
        <v>18.550871452316599</v>
      </c>
      <c r="D965">
        <v>18.9393629040569</v>
      </c>
      <c r="E965">
        <v>27.579651419073301</v>
      </c>
    </row>
    <row r="966" spans="1:5">
      <c r="A966" s="90">
        <v>5.5993482351920999E-8</v>
      </c>
      <c r="B966">
        <v>-16.6980305395575</v>
      </c>
      <c r="C966">
        <v>28.797136714682001</v>
      </c>
      <c r="D966">
        <v>31.534311282448499</v>
      </c>
      <c r="E966">
        <v>23.4811453141272</v>
      </c>
    </row>
    <row r="967" spans="1:5">
      <c r="A967" s="90">
        <v>1.2550145610484001E-14</v>
      </c>
      <c r="B967">
        <v>-32.009044126971197</v>
      </c>
      <c r="C967">
        <v>37.327236834913499</v>
      </c>
      <c r="D967">
        <v>18.872611559927499</v>
      </c>
      <c r="E967">
        <v>20.069105266034601</v>
      </c>
    </row>
    <row r="968" spans="1:5">
      <c r="A968" s="90">
        <v>1.4540511650288699E-11</v>
      </c>
      <c r="B968">
        <v>-24.954082455289001</v>
      </c>
      <c r="C968">
        <v>36.562296744901701</v>
      </c>
      <c r="D968">
        <v>24.006406161934098</v>
      </c>
      <c r="E968">
        <v>20.375081302039298</v>
      </c>
    </row>
    <row r="969" spans="1:5">
      <c r="A969" s="90">
        <v>2.3895974743659499E-6</v>
      </c>
      <c r="B969">
        <v>-12.944385626972601</v>
      </c>
      <c r="C969">
        <v>30.314715925138401</v>
      </c>
      <c r="D969">
        <v>22.855812152847601</v>
      </c>
      <c r="E969">
        <v>22.874113629944599</v>
      </c>
    </row>
    <row r="970" spans="1:5">
      <c r="A970" s="90">
        <v>5.1612291454191401E-13</v>
      </c>
      <c r="B970">
        <v>-28.292431451319199</v>
      </c>
      <c r="C970">
        <v>33.569058544933803</v>
      </c>
      <c r="D970">
        <v>34.1622035717592</v>
      </c>
      <c r="E970">
        <v>21.5723765820265</v>
      </c>
    </row>
    <row r="971" spans="1:5">
      <c r="A971" s="90">
        <v>1.42339299077073E-11</v>
      </c>
      <c r="B971">
        <v>-24.97539257135</v>
      </c>
      <c r="C971">
        <v>30.731043122243101</v>
      </c>
      <c r="D971">
        <v>20.354800382629001</v>
      </c>
      <c r="E971">
        <v>22.707582751102699</v>
      </c>
    </row>
    <row r="972" spans="1:5">
      <c r="A972" s="90">
        <v>2.7275217045434201E-11</v>
      </c>
      <c r="B972">
        <v>-24.325042626571602</v>
      </c>
      <c r="C972">
        <v>48.632643797900499</v>
      </c>
      <c r="D972">
        <v>16.277283984236401</v>
      </c>
      <c r="E972">
        <v>15.5469424808398</v>
      </c>
    </row>
    <row r="973" spans="1:5">
      <c r="A973" s="90">
        <v>7.7002240010645E-7</v>
      </c>
      <c r="B973">
        <v>-14.0768462314745</v>
      </c>
      <c r="C973">
        <v>35.354326583445101</v>
      </c>
      <c r="D973">
        <v>16.051620170474099</v>
      </c>
      <c r="E973">
        <v>20.858269366622</v>
      </c>
    </row>
    <row r="974" spans="1:5">
      <c r="A974" s="90">
        <v>1.97275741227521E-10</v>
      </c>
      <c r="B974">
        <v>-22.346418664197301</v>
      </c>
      <c r="C974">
        <v>49.150061403401203</v>
      </c>
      <c r="D974">
        <v>28.210802683606701</v>
      </c>
      <c r="E974">
        <v>15.339975438639501</v>
      </c>
    </row>
    <row r="975" spans="1:5">
      <c r="A975" s="90">
        <v>8.0459386390599397E-11</v>
      </c>
      <c r="B975">
        <v>-23.243268575702501</v>
      </c>
      <c r="C975">
        <v>41.384627916384503</v>
      </c>
      <c r="D975">
        <v>22.998485597781801</v>
      </c>
      <c r="E975">
        <v>18.446148833446198</v>
      </c>
    </row>
    <row r="976" spans="1:5">
      <c r="A976" s="90">
        <v>8.2990731981302797E-13</v>
      </c>
      <c r="B976">
        <v>-27.8174623632307</v>
      </c>
      <c r="C976">
        <v>48.175427543930702</v>
      </c>
      <c r="D976">
        <v>15.136315189302</v>
      </c>
      <c r="E976">
        <v>15.7298289824277</v>
      </c>
    </row>
    <row r="977" spans="1:5">
      <c r="A977" s="90">
        <v>2.7304679930324901E-5</v>
      </c>
      <c r="B977">
        <v>-10.508452444445901</v>
      </c>
      <c r="C977">
        <v>38.126769307535099</v>
      </c>
      <c r="D977">
        <v>33.999419678002603</v>
      </c>
      <c r="E977">
        <v>19.749292276985901</v>
      </c>
    </row>
    <row r="978" spans="1:5">
      <c r="A978" s="90">
        <v>1.90911051718679E-12</v>
      </c>
      <c r="B978">
        <v>-26.984383680148898</v>
      </c>
      <c r="C978">
        <v>15.873828068841201</v>
      </c>
      <c r="D978">
        <v>28.0945414165035</v>
      </c>
      <c r="E978">
        <v>28.650468772463501</v>
      </c>
    </row>
    <row r="979" spans="1:5">
      <c r="A979" s="90">
        <v>7.4551298515879904E-11</v>
      </c>
      <c r="B979">
        <v>-23.319533656816098</v>
      </c>
      <c r="C979">
        <v>25.628303333185599</v>
      </c>
      <c r="D979">
        <v>24.957329421304198</v>
      </c>
      <c r="E979">
        <v>24.748678666725802</v>
      </c>
    </row>
    <row r="980" spans="1:5">
      <c r="A980" s="90">
        <v>1.2723942440655299E-9</v>
      </c>
      <c r="B980">
        <v>-20.482365479746999</v>
      </c>
      <c r="C980">
        <v>49.555467666592399</v>
      </c>
      <c r="D980">
        <v>30.096426322124898</v>
      </c>
      <c r="E980">
        <v>15.177812933363001</v>
      </c>
    </row>
    <row r="981" spans="1:5">
      <c r="A981">
        <v>1.83842611880871E-2</v>
      </c>
      <c r="B981">
        <v>-3.9962603506177001</v>
      </c>
      <c r="C981">
        <v>36.821256605908303</v>
      </c>
      <c r="D981">
        <v>18.047192865051301</v>
      </c>
      <c r="E981">
        <v>20.271497357636701</v>
      </c>
    </row>
    <row r="982" spans="1:5">
      <c r="A982" s="90">
        <v>3.3023764601803597E-8</v>
      </c>
      <c r="B982">
        <v>-17.226038395207301</v>
      </c>
      <c r="C982">
        <v>26.678526913747199</v>
      </c>
      <c r="D982">
        <v>22.482238616794302</v>
      </c>
      <c r="E982">
        <v>24.328589234501099</v>
      </c>
    </row>
    <row r="983" spans="1:5">
      <c r="A983" s="90">
        <v>2.3334506652450399E-8</v>
      </c>
      <c r="B983">
        <v>-17.573332599724399</v>
      </c>
      <c r="C983">
        <v>45.987608853261897</v>
      </c>
      <c r="D983">
        <v>28.492547189816801</v>
      </c>
      <c r="E983">
        <v>16.604956458695199</v>
      </c>
    </row>
    <row r="984" spans="1:5">
      <c r="A984" s="90">
        <v>2.1029221085110299E-13</v>
      </c>
      <c r="B984">
        <v>-29.1902783511614</v>
      </c>
      <c r="C984">
        <v>34.149710560683197</v>
      </c>
      <c r="D984">
        <v>30.402742694132002</v>
      </c>
      <c r="E984">
        <v>21.340115775726701</v>
      </c>
    </row>
    <row r="985" spans="1:5">
      <c r="A985" s="90">
        <v>3.40855426802147E-7</v>
      </c>
      <c r="B985">
        <v>-14.891807417885</v>
      </c>
      <c r="C985">
        <v>34.581948143895701</v>
      </c>
      <c r="D985">
        <v>24.373619980178798</v>
      </c>
      <c r="E985">
        <v>21.1672207424417</v>
      </c>
    </row>
    <row r="986" spans="1:5">
      <c r="A986" s="90">
        <v>1.17464036791171E-8</v>
      </c>
      <c r="B986">
        <v>-18.259718713067599</v>
      </c>
      <c r="C986">
        <v>26.607995938043999</v>
      </c>
      <c r="D986">
        <v>26.559533928520999</v>
      </c>
      <c r="E986">
        <v>24.356801624782399</v>
      </c>
    </row>
    <row r="987" spans="1:5">
      <c r="A987" s="90">
        <v>6.8140565809230802E-5</v>
      </c>
      <c r="B987">
        <v>-9.5939378421376507</v>
      </c>
      <c r="C987">
        <v>15.728089100681199</v>
      </c>
      <c r="D987">
        <v>21.621698206290599</v>
      </c>
      <c r="E987">
        <v>28.7087643597275</v>
      </c>
    </row>
    <row r="988" spans="1:5">
      <c r="A988" s="90">
        <v>4.9085499958575401E-10</v>
      </c>
      <c r="B988">
        <v>-21.434872348274499</v>
      </c>
      <c r="C988">
        <v>31.855092077981698</v>
      </c>
      <c r="D988">
        <v>22.015637746080799</v>
      </c>
      <c r="E988">
        <v>22.257963168807301</v>
      </c>
    </row>
    <row r="989" spans="1:5">
      <c r="A989" s="90">
        <v>5.9656856373942093E-8</v>
      </c>
      <c r="B989">
        <v>-16.634656751605799</v>
      </c>
      <c r="C989">
        <v>44.138966527301797</v>
      </c>
      <c r="D989">
        <v>16.6401717206463</v>
      </c>
      <c r="E989">
        <v>17.3444133890793</v>
      </c>
    </row>
    <row r="990" spans="1:5">
      <c r="A990">
        <v>9.6313202155466401E-3</v>
      </c>
      <c r="B990">
        <v>-4.6427349685347101</v>
      </c>
      <c r="C990">
        <v>33.7619957416318</v>
      </c>
      <c r="D990">
        <v>31.031492352485699</v>
      </c>
      <c r="E990">
        <v>21.495201703347298</v>
      </c>
    </row>
    <row r="991" spans="1:5">
      <c r="A991" s="90">
        <v>1.6014347744171199E-14</v>
      </c>
      <c r="B991">
        <v>-31.765291340485899</v>
      </c>
      <c r="C991">
        <v>19.624225405976201</v>
      </c>
      <c r="D991">
        <v>16.033894256688701</v>
      </c>
      <c r="E991">
        <v>27.150309837609498</v>
      </c>
    </row>
    <row r="992" spans="1:5">
      <c r="A992">
        <v>1.17224665370508E-2</v>
      </c>
      <c r="B992">
        <v>-4.4462480615961297</v>
      </c>
      <c r="C992">
        <v>16.7528086006641</v>
      </c>
      <c r="D992">
        <v>24.686559531837698</v>
      </c>
      <c r="E992">
        <v>28.2988765597343</v>
      </c>
    </row>
    <row r="993" spans="1:5">
      <c r="A993" s="90">
        <v>1.1604376192678701E-5</v>
      </c>
      <c r="B993">
        <v>-11.364128273006299</v>
      </c>
      <c r="C993">
        <v>22.4259789455682</v>
      </c>
      <c r="D993">
        <v>34.035906246863298</v>
      </c>
      <c r="E993">
        <v>26.0296084217727</v>
      </c>
    </row>
    <row r="994" spans="1:5">
      <c r="A994" s="90">
        <v>1.6532501083831099E-8</v>
      </c>
      <c r="B994">
        <v>-17.917937630822099</v>
      </c>
      <c r="C994">
        <v>48.325190162286198</v>
      </c>
      <c r="D994">
        <v>31.235276106745001</v>
      </c>
      <c r="E994">
        <v>15.6699239350855</v>
      </c>
    </row>
    <row r="995" spans="1:5">
      <c r="A995" s="90">
        <v>2.8248183290238999E-5</v>
      </c>
      <c r="B995">
        <v>-10.474481410749799</v>
      </c>
      <c r="C995">
        <v>38.765903448685997</v>
      </c>
      <c r="D995">
        <v>15.400835406035201</v>
      </c>
      <c r="E995">
        <v>19.493638620525601</v>
      </c>
    </row>
    <row r="996" spans="1:5">
      <c r="A996" s="90">
        <v>3.6965149429115699E-7</v>
      </c>
      <c r="B996">
        <v>-14.810705182502801</v>
      </c>
      <c r="C996">
        <v>8.6696446794085205</v>
      </c>
      <c r="D996">
        <v>25.416217958554601</v>
      </c>
      <c r="E996">
        <v>31.5321421282366</v>
      </c>
    </row>
    <row r="997" spans="1:5">
      <c r="A997">
        <v>3.7266905842270001E-3</v>
      </c>
      <c r="B997">
        <v>-5.5922346819938902</v>
      </c>
      <c r="C997">
        <v>39.909971223678397</v>
      </c>
      <c r="D997">
        <v>25.7322066649795</v>
      </c>
      <c r="E997">
        <v>19.036011510528599</v>
      </c>
    </row>
    <row r="998" spans="1:5">
      <c r="A998">
        <v>3.3329366628189101E-4</v>
      </c>
      <c r="B998">
        <v>-8.00648657588577</v>
      </c>
      <c r="C998">
        <v>19.584530263207899</v>
      </c>
      <c r="D998">
        <v>30.8133925497532</v>
      </c>
      <c r="E998">
        <v>27.166187894716899</v>
      </c>
    </row>
    <row r="999" spans="1:5">
      <c r="A999">
        <v>1.21849461940708E-3</v>
      </c>
      <c r="B999">
        <v>-6.7101391006600304</v>
      </c>
      <c r="C999">
        <v>23.295594755560199</v>
      </c>
      <c r="D999">
        <v>18.8193071587011</v>
      </c>
      <c r="E999">
        <v>25.681762097775898</v>
      </c>
    </row>
    <row r="1000" spans="1:5">
      <c r="A1000">
        <v>3.9221263448029099E-2</v>
      </c>
      <c r="B1000">
        <v>-3.2385362443516499</v>
      </c>
      <c r="C1000">
        <v>24.887353923637399</v>
      </c>
      <c r="D1000">
        <v>18.974678711965701</v>
      </c>
      <c r="E1000">
        <v>25.045058430545001</v>
      </c>
    </row>
    <row r="1001" spans="1:5">
      <c r="A1001" s="90">
        <v>2.8187815605783398E-9</v>
      </c>
      <c r="B1001">
        <v>-19.686961116082699</v>
      </c>
      <c r="C1001">
        <v>25.043794162571398</v>
      </c>
      <c r="D1001">
        <v>26.905509675853001</v>
      </c>
      <c r="E1001">
        <v>24.982482334971401</v>
      </c>
    </row>
    <row r="1002" spans="1:5">
      <c r="A1002">
        <v>2.3327203942539301E-2</v>
      </c>
      <c r="B1002">
        <v>-3.75813504828636</v>
      </c>
      <c r="C1002">
        <v>49.2700883038342</v>
      </c>
      <c r="D1002">
        <v>30.797538305632798</v>
      </c>
      <c r="E1002">
        <v>15.2919646784663</v>
      </c>
    </row>
    <row r="1003" spans="1:5">
      <c r="A1003">
        <v>3.3146639999999998E-2</v>
      </c>
      <c r="B1003">
        <v>-3.4068139999999998</v>
      </c>
      <c r="C1003">
        <v>37.958550000000002</v>
      </c>
      <c r="D1003">
        <v>26.30705</v>
      </c>
      <c r="E1003">
        <v>19.816579999999998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sqref="A1:B6"/>
    </sheetView>
  </sheetViews>
  <sheetFormatPr defaultRowHeight="15"/>
  <sheetData>
    <row r="1" spans="1:2">
      <c r="A1" s="70" t="s">
        <v>1312</v>
      </c>
      <c r="B1" s="71" t="s">
        <v>1313</v>
      </c>
    </row>
    <row r="2" spans="1:2">
      <c r="A2" t="s">
        <v>272</v>
      </c>
      <c r="B2" t="s">
        <v>1447</v>
      </c>
    </row>
    <row r="3" spans="1:2">
      <c r="A3" t="s">
        <v>1444</v>
      </c>
      <c r="B3" t="s">
        <v>1445</v>
      </c>
    </row>
    <row r="4" spans="1:2">
      <c r="A4" t="s">
        <v>2</v>
      </c>
      <c r="B4" t="s">
        <v>1448</v>
      </c>
    </row>
    <row r="5" spans="1:2">
      <c r="A5" t="s">
        <v>270</v>
      </c>
      <c r="B5" s="5" t="s">
        <v>1450</v>
      </c>
    </row>
    <row r="6" spans="1:2">
      <c r="A6" t="s">
        <v>269</v>
      </c>
      <c r="B6" s="5" t="s">
        <v>1401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3"/>
  <sheetViews>
    <sheetView workbookViewId="0">
      <selection activeCell="J29" sqref="J29"/>
    </sheetView>
  </sheetViews>
  <sheetFormatPr defaultRowHeight="15"/>
  <sheetData>
    <row r="1" spans="1:5">
      <c r="A1" s="1" t="s">
        <v>1446</v>
      </c>
    </row>
    <row r="3" spans="1:5">
      <c r="A3" t="s">
        <v>272</v>
      </c>
      <c r="B3" t="s">
        <v>1444</v>
      </c>
      <c r="C3" t="s">
        <v>2</v>
      </c>
      <c r="D3" t="s">
        <v>270</v>
      </c>
      <c r="E3" t="s">
        <v>1405</v>
      </c>
    </row>
    <row r="4" spans="1:5">
      <c r="A4" s="90">
        <v>8.17181638686852E-12</v>
      </c>
      <c r="B4">
        <v>-25.530329907792801</v>
      </c>
      <c r="C4">
        <v>20.613510189577902</v>
      </c>
      <c r="D4">
        <v>23.8412346551195</v>
      </c>
      <c r="E4">
        <v>4.2657410741800801</v>
      </c>
    </row>
    <row r="5" spans="1:5">
      <c r="A5">
        <v>2.4767665051080202E-4</v>
      </c>
      <c r="B5">
        <v>-8.3033864911087996</v>
      </c>
      <c r="C5">
        <v>36.968324505258401</v>
      </c>
      <c r="D5">
        <v>26.386766931973401</v>
      </c>
      <c r="E5">
        <v>3.8135817517547501</v>
      </c>
    </row>
    <row r="6" spans="1:5">
      <c r="A6" s="90">
        <v>1.32531619395662E-5</v>
      </c>
      <c r="B6">
        <v>-11.2312743970529</v>
      </c>
      <c r="C6">
        <v>44.547518902923898</v>
      </c>
      <c r="D6">
        <v>25.444489591755001</v>
      </c>
      <c r="E6">
        <v>7.9175684911020596</v>
      </c>
    </row>
    <row r="7" spans="1:5">
      <c r="A7" s="90">
        <v>1.56321320218297E-14</v>
      </c>
      <c r="B7">
        <v>-31.789447854032499</v>
      </c>
      <c r="C7">
        <v>13.4772236272693</v>
      </c>
      <c r="D7">
        <v>33.318525752984002</v>
      </c>
      <c r="E7">
        <v>3.75985835837945</v>
      </c>
    </row>
    <row r="8" spans="1:5">
      <c r="A8">
        <v>1.5366260957271199E-4</v>
      </c>
      <c r="B8">
        <v>-8.7807512058972108</v>
      </c>
      <c r="C8">
        <v>39.7645678962581</v>
      </c>
      <c r="D8">
        <v>18.334778179414599</v>
      </c>
      <c r="E8">
        <v>7.2045682882414797</v>
      </c>
    </row>
    <row r="9" spans="1:5">
      <c r="A9" s="90">
        <v>1.42066792887202E-12</v>
      </c>
      <c r="B9">
        <v>-27.279893982460699</v>
      </c>
      <c r="C9">
        <v>40.6734035755508</v>
      </c>
      <c r="D9">
        <v>24.0500622196123</v>
      </c>
      <c r="E9">
        <v>7.9408568505372799</v>
      </c>
    </row>
    <row r="10" spans="1:5">
      <c r="A10" s="90">
        <v>1.70615585938199E-11</v>
      </c>
      <c r="B10">
        <v>-24.794193218494101</v>
      </c>
      <c r="C10">
        <v>42.241891329642399</v>
      </c>
      <c r="D10">
        <v>15.089004235342101</v>
      </c>
      <c r="E10">
        <v>7.8417979553571699</v>
      </c>
    </row>
    <row r="11" spans="1:5">
      <c r="A11" s="90">
        <v>5.2706471513719203E-7</v>
      </c>
      <c r="B11">
        <v>-14.4559424968224</v>
      </c>
      <c r="C11">
        <v>8.9462675377726608</v>
      </c>
      <c r="D11">
        <v>34.102317295037203</v>
      </c>
      <c r="E11">
        <v>3.37668140757782</v>
      </c>
    </row>
    <row r="12" spans="1:5">
      <c r="A12" s="90">
        <v>2.38089524037458E-14</v>
      </c>
      <c r="B12">
        <v>-31.3687147335426</v>
      </c>
      <c r="C12">
        <v>19.822265597525998</v>
      </c>
      <c r="D12">
        <v>34.962508697062702</v>
      </c>
      <c r="E12">
        <v>3.9381750269160301</v>
      </c>
    </row>
    <row r="13" spans="1:5">
      <c r="A13">
        <v>3.46489700745137E-3</v>
      </c>
      <c r="B13">
        <v>-5.6650723704612904</v>
      </c>
      <c r="C13">
        <v>13.0169038968161</v>
      </c>
      <c r="D13">
        <v>28.230949225835499</v>
      </c>
      <c r="E13">
        <v>2.5119059799415102</v>
      </c>
    </row>
    <row r="14" spans="1:5">
      <c r="A14" s="90">
        <v>2.52592116554974E-8</v>
      </c>
      <c r="B14">
        <v>-17.494074929715499</v>
      </c>
      <c r="C14">
        <v>27.122279038652799</v>
      </c>
      <c r="D14">
        <v>23.588899807073201</v>
      </c>
      <c r="E14">
        <v>5.8342751413093303</v>
      </c>
    </row>
    <row r="15" spans="1:5">
      <c r="A15" s="90">
        <v>8.6527445798604497E-11</v>
      </c>
      <c r="B15">
        <v>-23.170559459847901</v>
      </c>
      <c r="C15">
        <v>15.106970876921</v>
      </c>
      <c r="D15">
        <v>23.860478103160901</v>
      </c>
      <c r="E15">
        <v>3.9579830364903401</v>
      </c>
    </row>
    <row r="16" spans="1:5">
      <c r="A16">
        <v>5.9769415412107502E-4</v>
      </c>
      <c r="B16">
        <v>-7.4224313828058301</v>
      </c>
      <c r="C16">
        <v>15.979057488963001</v>
      </c>
      <c r="D16">
        <v>27.247700104489901</v>
      </c>
      <c r="E16">
        <v>3.59424454529</v>
      </c>
    </row>
    <row r="17" spans="1:5">
      <c r="A17" s="90">
        <v>4.9173336731842603E-5</v>
      </c>
      <c r="B17">
        <v>-9.9201590177112493</v>
      </c>
      <c r="C17">
        <v>17.464538861997401</v>
      </c>
      <c r="D17">
        <v>28.1016451166943</v>
      </c>
      <c r="E17">
        <v>3.8089083461566502</v>
      </c>
    </row>
    <row r="18" spans="1:5">
      <c r="A18">
        <v>5.8103785586538399E-2</v>
      </c>
      <c r="B18">
        <v>-2.84552446085205</v>
      </c>
      <c r="C18">
        <v>21.428422768600299</v>
      </c>
      <c r="D18">
        <v>28.931948589160999</v>
      </c>
      <c r="E18">
        <v>2.9885959604209802</v>
      </c>
    </row>
    <row r="19" spans="1:5">
      <c r="A19" s="90">
        <v>1.13916225441859E-8</v>
      </c>
      <c r="B19">
        <v>-18.290387616236401</v>
      </c>
      <c r="C19">
        <v>26.095309250522401</v>
      </c>
      <c r="D19">
        <v>32.769646486267398</v>
      </c>
      <c r="E19">
        <v>5.7995857072964601</v>
      </c>
    </row>
    <row r="20" spans="1:5">
      <c r="A20">
        <v>1.87683034883735E-3</v>
      </c>
      <c r="B20">
        <v>-6.2781709096729204</v>
      </c>
      <c r="C20">
        <v>49.867986139841399</v>
      </c>
      <c r="D20">
        <v>29.858742589131001</v>
      </c>
      <c r="E20">
        <v>1.5345627102153701</v>
      </c>
    </row>
    <row r="21" spans="1:5">
      <c r="A21" s="90">
        <v>6.8764503641007704E-5</v>
      </c>
      <c r="B21">
        <v>-9.5848228816159402</v>
      </c>
      <c r="C21">
        <v>23.948782340623399</v>
      </c>
      <c r="D21">
        <v>21.255344431847298</v>
      </c>
      <c r="E21">
        <v>5.7943739753631798</v>
      </c>
    </row>
    <row r="22" spans="1:5">
      <c r="A22" s="90">
        <v>5.1375437783243502E-10</v>
      </c>
      <c r="B22">
        <v>-21.389275828826101</v>
      </c>
      <c r="C22">
        <v>42.170420514885301</v>
      </c>
      <c r="D22">
        <v>16.436026575975099</v>
      </c>
      <c r="E22">
        <v>7.8448286959460196</v>
      </c>
    </row>
    <row r="23" spans="1:5">
      <c r="A23">
        <v>7.5709510313416301E-3</v>
      </c>
      <c r="B23">
        <v>-4.8834365878066501</v>
      </c>
      <c r="C23">
        <v>16.626319361850602</v>
      </c>
      <c r="D23">
        <v>20.241088992916001</v>
      </c>
      <c r="E23">
        <v>1.27185709494535</v>
      </c>
    </row>
    <row r="24" spans="1:5">
      <c r="A24">
        <v>3.5694618005053098E-4</v>
      </c>
      <c r="B24">
        <v>-7.9379255437104597</v>
      </c>
      <c r="C24">
        <v>16.182330744341002</v>
      </c>
      <c r="D24">
        <v>21.754597155377301</v>
      </c>
      <c r="E24">
        <v>2.55542565636997</v>
      </c>
    </row>
    <row r="25" spans="1:5">
      <c r="A25" s="90">
        <v>2.7949859312010399E-7</v>
      </c>
      <c r="B25">
        <v>-15.090268577923499</v>
      </c>
      <c r="C25">
        <v>12.6594889103435</v>
      </c>
      <c r="D25">
        <v>26.588711938820801</v>
      </c>
      <c r="E25">
        <v>3.3959343547733698</v>
      </c>
    </row>
    <row r="26" spans="1:5">
      <c r="A26" s="90">
        <v>3.4790688600731803E-14</v>
      </c>
      <c r="B26">
        <v>-30.989426612877701</v>
      </c>
      <c r="C26">
        <v>13.8849832578562</v>
      </c>
      <c r="D26">
        <v>30.131233432330198</v>
      </c>
      <c r="E26">
        <v>3.8978824416786702</v>
      </c>
    </row>
    <row r="27" spans="1:5">
      <c r="A27">
        <v>2.4539746957214999E-2</v>
      </c>
      <c r="B27">
        <v>-3.7074611511944702</v>
      </c>
      <c r="C27">
        <v>32.547547947615399</v>
      </c>
      <c r="D27">
        <v>24.092229027301101</v>
      </c>
      <c r="E27">
        <v>2.0707105433586599</v>
      </c>
    </row>
    <row r="28" spans="1:5">
      <c r="A28" s="90">
        <v>3.2972674635238898E-14</v>
      </c>
      <c r="B28">
        <v>-31.0430972178162</v>
      </c>
      <c r="C28">
        <v>8.6654965537600201</v>
      </c>
      <c r="D28">
        <v>17.7573179034516</v>
      </c>
      <c r="E28">
        <v>3.42916067729008</v>
      </c>
    </row>
    <row r="29" spans="1:5">
      <c r="A29" s="90">
        <v>2.8981590277897001E-8</v>
      </c>
      <c r="B29">
        <v>-17.3566050265458</v>
      </c>
      <c r="C29">
        <v>40.392601113300799</v>
      </c>
      <c r="D29">
        <v>30.673699267208601</v>
      </c>
      <c r="E29">
        <v>7.9660854051691601</v>
      </c>
    </row>
    <row r="30" spans="1:5">
      <c r="A30">
        <v>5.98054726502839E-3</v>
      </c>
      <c r="B30">
        <v>-5.1192431993158802</v>
      </c>
      <c r="C30">
        <v>22.3639074307866</v>
      </c>
      <c r="D30">
        <v>30.990363531745999</v>
      </c>
      <c r="E30">
        <v>1.43687474135532</v>
      </c>
    </row>
    <row r="31" spans="1:5">
      <c r="A31" s="90">
        <v>5.4451961572267403E-10</v>
      </c>
      <c r="B31">
        <v>-21.3311171490021</v>
      </c>
      <c r="C31">
        <v>23.168265275657198</v>
      </c>
      <c r="D31">
        <v>26.2276451243088</v>
      </c>
      <c r="E31">
        <v>5.78907579344573</v>
      </c>
    </row>
    <row r="32" spans="1:5">
      <c r="A32">
        <v>1.8850290208399601E-3</v>
      </c>
      <c r="B32">
        <v>-6.2738120625296103</v>
      </c>
      <c r="C32">
        <v>36.718758076895</v>
      </c>
      <c r="D32">
        <v>30.488423341885198</v>
      </c>
      <c r="E32">
        <v>2.7547159043183802</v>
      </c>
    </row>
    <row r="33" spans="1:5">
      <c r="A33" s="90">
        <v>2.0110087862554598E-8</v>
      </c>
      <c r="B33">
        <v>-17.722044264073698</v>
      </c>
      <c r="C33">
        <v>43.118275566957898</v>
      </c>
      <c r="D33">
        <v>28.7271326780319</v>
      </c>
      <c r="E33">
        <v>7.8199207979351204</v>
      </c>
    </row>
    <row r="34" spans="1:5">
      <c r="A34" s="90">
        <v>2.0746769720612999E-10</v>
      </c>
      <c r="B34">
        <v>-22.296045464491598</v>
      </c>
      <c r="C34">
        <v>25.721328428480799</v>
      </c>
      <c r="D34">
        <v>28.037720890715701</v>
      </c>
      <c r="E34">
        <v>5.7962695319035804</v>
      </c>
    </row>
    <row r="35" spans="1:5">
      <c r="A35" s="90">
        <v>2.8697885261451899E-12</v>
      </c>
      <c r="B35">
        <v>-26.576782773141801</v>
      </c>
      <c r="C35">
        <v>45.7386903543957</v>
      </c>
      <c r="D35">
        <v>22.384728090837601</v>
      </c>
      <c r="E35">
        <v>8.3625901777107305</v>
      </c>
    </row>
    <row r="36" spans="1:5">
      <c r="A36" s="90">
        <v>4.8435560971631899E-13</v>
      </c>
      <c r="B36">
        <v>-28.3559570271578</v>
      </c>
      <c r="C36">
        <v>14.8762605092488</v>
      </c>
      <c r="D36">
        <v>15.6410051928833</v>
      </c>
      <c r="E36">
        <v>3.9802071214703099</v>
      </c>
    </row>
    <row r="37" spans="1:5">
      <c r="A37">
        <v>3.5262781197023101E-4</v>
      </c>
      <c r="B37">
        <v>-7.9500974142811902</v>
      </c>
      <c r="C37">
        <v>31.067931520752602</v>
      </c>
      <c r="D37">
        <v>18.727258155122399</v>
      </c>
      <c r="E37">
        <v>3.7671304574143001</v>
      </c>
    </row>
    <row r="38" spans="1:5">
      <c r="A38" s="90">
        <v>4.9947919097976804E-7</v>
      </c>
      <c r="B38">
        <v>-14.509699899425801</v>
      </c>
      <c r="C38">
        <v>26.4466445464641</v>
      </c>
      <c r="D38">
        <v>21.675975718535501</v>
      </c>
      <c r="E38">
        <v>5.8057159610723801</v>
      </c>
    </row>
    <row r="39" spans="1:5">
      <c r="A39">
        <v>3.5475676591253198E-4</v>
      </c>
      <c r="B39">
        <v>-7.9440781697662297</v>
      </c>
      <c r="C39">
        <v>35.1531902495772</v>
      </c>
      <c r="D39">
        <v>19.735567201860199</v>
      </c>
      <c r="E39">
        <v>3.6795440010816201</v>
      </c>
    </row>
    <row r="40" spans="1:5">
      <c r="A40">
        <v>4.2759952588991199E-4</v>
      </c>
      <c r="B40">
        <v>-7.7573234875840802</v>
      </c>
      <c r="C40">
        <v>40.974914943333701</v>
      </c>
      <c r="D40">
        <v>24.470045464113401</v>
      </c>
      <c r="E40">
        <v>2.9221906611702302</v>
      </c>
    </row>
    <row r="41" spans="1:5">
      <c r="A41">
        <v>1.69586810011309E-4</v>
      </c>
      <c r="B41">
        <v>-8.68214560879054</v>
      </c>
      <c r="C41">
        <v>41.455069395713501</v>
      </c>
      <c r="D41">
        <v>19.319151667878</v>
      </c>
      <c r="E41">
        <v>6.5424951300853396</v>
      </c>
    </row>
    <row r="42" spans="1:5">
      <c r="A42" s="90">
        <v>2.5143048332104502E-9</v>
      </c>
      <c r="B42">
        <v>-19.801269479868701</v>
      </c>
      <c r="C42">
        <v>44.4336769822985</v>
      </c>
      <c r="D42">
        <v>24.059041375294299</v>
      </c>
      <c r="E42">
        <v>7.8979036989510796</v>
      </c>
    </row>
    <row r="43" spans="1:5">
      <c r="A43">
        <v>9.3240353676921003E-3</v>
      </c>
      <c r="B43">
        <v>-4.6751597646270504</v>
      </c>
      <c r="C43">
        <v>29.580859152134501</v>
      </c>
      <c r="D43">
        <v>26.1850414937362</v>
      </c>
      <c r="E43">
        <v>1.5947395159301001</v>
      </c>
    </row>
    <row r="44" spans="1:5">
      <c r="A44">
        <v>2.0311924670408401E-4</v>
      </c>
      <c r="B44">
        <v>-8.5017173291997494</v>
      </c>
      <c r="C44">
        <v>11.169148261658799</v>
      </c>
      <c r="D44">
        <v>23.8044269289821</v>
      </c>
      <c r="E44">
        <v>3.0917212559685301</v>
      </c>
    </row>
    <row r="45" spans="1:5">
      <c r="A45" s="90">
        <v>1.49572953521252E-10</v>
      </c>
      <c r="B45">
        <v>-22.623236858703301</v>
      </c>
      <c r="C45">
        <v>19.974192723631901</v>
      </c>
      <c r="D45">
        <v>26.712435064837301</v>
      </c>
      <c r="E45">
        <v>3.97968304922514</v>
      </c>
    </row>
    <row r="46" spans="1:5">
      <c r="A46">
        <v>1.00082878000103E-2</v>
      </c>
      <c r="B46">
        <v>-4.6043417492355703</v>
      </c>
      <c r="C46">
        <v>47.563474288675899</v>
      </c>
      <c r="D46">
        <v>29.700352880172399</v>
      </c>
      <c r="E46">
        <v>1.4153440516062299</v>
      </c>
    </row>
    <row r="47" spans="1:5">
      <c r="A47" s="90">
        <v>1.6157233540866999E-5</v>
      </c>
      <c r="B47">
        <v>-11.033142711304301</v>
      </c>
      <c r="C47">
        <v>40.294531716033802</v>
      </c>
      <c r="D47">
        <v>22.210819460451599</v>
      </c>
      <c r="E47">
        <v>7.9754930506978301</v>
      </c>
    </row>
    <row r="48" spans="1:5">
      <c r="A48" s="90">
        <v>1.73840432827701E-5</v>
      </c>
      <c r="B48">
        <v>-10.9599578252082</v>
      </c>
      <c r="C48">
        <v>43.6161118508317</v>
      </c>
      <c r="D48">
        <v>21.184584079310302</v>
      </c>
      <c r="E48">
        <v>7.8260608134081204</v>
      </c>
    </row>
    <row r="49" spans="1:5">
      <c r="A49" s="90">
        <v>5.3003514803013098E-12</v>
      </c>
      <c r="B49">
        <v>-25.963247980531399</v>
      </c>
      <c r="C49">
        <v>48.543691227678202</v>
      </c>
      <c r="D49">
        <v>22.8148060757667</v>
      </c>
      <c r="E49">
        <v>9.9215455586765806</v>
      </c>
    </row>
    <row r="50" spans="1:5">
      <c r="A50" s="90">
        <v>9.3974071540678002E-6</v>
      </c>
      <c r="B50">
        <v>-11.5750767414113</v>
      </c>
      <c r="C50">
        <v>22.5464301519096</v>
      </c>
      <c r="D50">
        <v>18.3303649583831</v>
      </c>
      <c r="E50">
        <v>5.6494485475371397</v>
      </c>
    </row>
    <row r="51" spans="1:5">
      <c r="A51" s="90">
        <v>1.4941498606368101E-13</v>
      </c>
      <c r="B51">
        <v>-29.532048818918</v>
      </c>
      <c r="C51">
        <v>36.614260606467703</v>
      </c>
      <c r="D51">
        <v>31.615430396050201</v>
      </c>
      <c r="E51">
        <v>6.8684648375246802</v>
      </c>
    </row>
    <row r="52" spans="1:5">
      <c r="A52" s="90">
        <v>8.2483910725540598E-5</v>
      </c>
      <c r="B52">
        <v>-9.4029073051514107</v>
      </c>
      <c r="C52">
        <v>18.744276940356901</v>
      </c>
      <c r="D52">
        <v>20.6024656025693</v>
      </c>
      <c r="E52">
        <v>3.8059442587056198</v>
      </c>
    </row>
    <row r="53" spans="1:5">
      <c r="A53" s="90">
        <v>2.2199598093673E-13</v>
      </c>
      <c r="B53">
        <v>-29.136117117090901</v>
      </c>
      <c r="C53">
        <v>40.414829951245302</v>
      </c>
      <c r="D53">
        <v>17.1881965873763</v>
      </c>
      <c r="E53">
        <v>7.9639966974873397</v>
      </c>
    </row>
    <row r="54" spans="1:5">
      <c r="A54" s="90">
        <v>1.02843938106773E-11</v>
      </c>
      <c r="B54">
        <v>-25.300393533726599</v>
      </c>
      <c r="C54">
        <v>43.693038668483503</v>
      </c>
      <c r="D54">
        <v>34.1321106394753</v>
      </c>
      <c r="E54">
        <v>7.8285745639508999</v>
      </c>
    </row>
    <row r="55" spans="1:5">
      <c r="A55" s="90">
        <v>2.50319399934396E-12</v>
      </c>
      <c r="B55">
        <v>-26.713453599752899</v>
      </c>
      <c r="C55">
        <v>47.982376071158797</v>
      </c>
      <c r="D55">
        <v>31.9108938146383</v>
      </c>
      <c r="E55">
        <v>9.8747711431099301</v>
      </c>
    </row>
    <row r="56" spans="1:5">
      <c r="A56" s="90">
        <v>5.4030985133684298E-14</v>
      </c>
      <c r="B56">
        <v>-30.549218714134</v>
      </c>
      <c r="C56">
        <v>12.592762479092899</v>
      </c>
      <c r="D56">
        <v>15.4523945692927</v>
      </c>
      <c r="E56">
        <v>3.3667621952537199</v>
      </c>
    </row>
    <row r="57" spans="1:5">
      <c r="A57" s="90">
        <v>4.4939457727611402E-14</v>
      </c>
      <c r="B57">
        <v>-30.733460194812601</v>
      </c>
      <c r="C57">
        <v>16.463188163936099</v>
      </c>
      <c r="D57">
        <v>29.028025679290302</v>
      </c>
      <c r="E57">
        <v>3.8525364761451502</v>
      </c>
    </row>
    <row r="58" spans="1:5">
      <c r="A58" s="90">
        <v>7.1368083228155296E-6</v>
      </c>
      <c r="B58">
        <v>-11.850244895164399</v>
      </c>
      <c r="C58">
        <v>45.849518578499598</v>
      </c>
      <c r="D58">
        <v>21.434915033169101</v>
      </c>
      <c r="E58">
        <v>8.4307684145298492</v>
      </c>
    </row>
    <row r="59" spans="1:5">
      <c r="A59" s="90">
        <v>5.8019408551242395E-10</v>
      </c>
      <c r="B59">
        <v>-21.2676584381704</v>
      </c>
      <c r="C59">
        <v>9.1998501452617294</v>
      </c>
      <c r="D59">
        <v>28.987839333713101</v>
      </c>
      <c r="E59">
        <v>3.3266683824243102</v>
      </c>
    </row>
    <row r="60" spans="1:5">
      <c r="A60" s="90">
        <v>5.6032643014379699E-8</v>
      </c>
      <c r="B60">
        <v>-16.697331405066802</v>
      </c>
      <c r="C60">
        <v>40.967121962457902</v>
      </c>
      <c r="D60">
        <v>32.947158198803699</v>
      </c>
      <c r="E60">
        <v>7.9170603414820597</v>
      </c>
    </row>
    <row r="61" spans="1:5">
      <c r="A61" s="90">
        <v>1.36895305095075E-8</v>
      </c>
      <c r="B61">
        <v>-18.106634492645501</v>
      </c>
      <c r="C61">
        <v>38.6012889794074</v>
      </c>
      <c r="D61">
        <v>25.8924050210044</v>
      </c>
      <c r="E61">
        <v>7.6712161235469498</v>
      </c>
    </row>
    <row r="62" spans="1:5">
      <c r="A62" s="90">
        <v>4.5575501444822698E-6</v>
      </c>
      <c r="B62">
        <v>-12.298725327825</v>
      </c>
      <c r="C62">
        <v>31.1085113105364</v>
      </c>
      <c r="D62">
        <v>28.248431510292001</v>
      </c>
      <c r="E62">
        <v>7.6238065689200196</v>
      </c>
    </row>
    <row r="63" spans="1:5">
      <c r="A63">
        <v>4.1489165453744798E-3</v>
      </c>
      <c r="B63">
        <v>-5.4849080522288602</v>
      </c>
      <c r="C63">
        <v>49.118458895944102</v>
      </c>
      <c r="D63">
        <v>23.4798233443871</v>
      </c>
      <c r="E63">
        <v>2.3465719556471898</v>
      </c>
    </row>
    <row r="64" spans="1:5">
      <c r="A64" s="90">
        <v>1.35099950379262E-8</v>
      </c>
      <c r="B64">
        <v>-18.119836052263299</v>
      </c>
      <c r="C64">
        <v>8.3527955771423894</v>
      </c>
      <c r="D64">
        <v>16.096181226894299</v>
      </c>
      <c r="E64">
        <v>3.4830858519998702</v>
      </c>
    </row>
    <row r="65" spans="1:5">
      <c r="A65" s="90">
        <v>1.6945954425534799E-13</v>
      </c>
      <c r="B65">
        <v>-29.406162173537702</v>
      </c>
      <c r="C65">
        <v>20.463767520152</v>
      </c>
      <c r="D65">
        <v>29.477182077243899</v>
      </c>
      <c r="E65">
        <v>4.1800388619375797</v>
      </c>
    </row>
    <row r="66" spans="1:5">
      <c r="A66" s="90">
        <v>6.6282329906096801E-12</v>
      </c>
      <c r="B66">
        <v>-25.7396828645063</v>
      </c>
      <c r="C66">
        <v>23.0788779850118</v>
      </c>
      <c r="D66">
        <v>17.123061292804799</v>
      </c>
      <c r="E66">
        <v>5.7805069954567498</v>
      </c>
    </row>
    <row r="67" spans="1:5">
      <c r="A67" s="90">
        <v>4.4145481237196299E-7</v>
      </c>
      <c r="B67">
        <v>-14.633190172373901</v>
      </c>
      <c r="C67">
        <v>41.416468901559703</v>
      </c>
      <c r="D67">
        <v>25.8006439451128</v>
      </c>
      <c r="E67">
        <v>7.8854654176775298</v>
      </c>
    </row>
    <row r="68" spans="1:5">
      <c r="A68" s="90">
        <v>2.58732991413083E-5</v>
      </c>
      <c r="B68">
        <v>-10.562299042208499</v>
      </c>
      <c r="C68">
        <v>29.326413958799101</v>
      </c>
      <c r="D68">
        <v>19.833023506216701</v>
      </c>
      <c r="E68">
        <v>6.5308232564636199</v>
      </c>
    </row>
    <row r="69" spans="1:5">
      <c r="A69" s="90">
        <v>3.3065767511884902E-14</v>
      </c>
      <c r="B69">
        <v>-31.0402778618386</v>
      </c>
      <c r="C69">
        <v>33.474771660286898</v>
      </c>
      <c r="D69">
        <v>16.9365536188707</v>
      </c>
      <c r="E69">
        <v>7.3836608220036801</v>
      </c>
    </row>
    <row r="70" spans="1:5">
      <c r="A70" s="90">
        <v>8.1627617461252405E-6</v>
      </c>
      <c r="B70">
        <v>-11.715927996969199</v>
      </c>
      <c r="C70">
        <v>27.895261353813101</v>
      </c>
      <c r="D70">
        <v>33.605165579356303</v>
      </c>
      <c r="E70">
        <v>5.9285388805894801</v>
      </c>
    </row>
    <row r="71" spans="1:5">
      <c r="A71">
        <v>2.9880622495010601E-2</v>
      </c>
      <c r="B71">
        <v>-3.5105450857681801</v>
      </c>
      <c r="C71">
        <v>17.867441700771501</v>
      </c>
      <c r="D71">
        <v>25.4564098408446</v>
      </c>
      <c r="E71">
        <v>1.8310341465772499</v>
      </c>
    </row>
    <row r="72" spans="1:5">
      <c r="A72" s="90">
        <v>1.2020281632174899E-12</v>
      </c>
      <c r="B72">
        <v>-27.447010849792601</v>
      </c>
      <c r="C72">
        <v>13.820267101749801</v>
      </c>
      <c r="D72">
        <v>17.9541514674202</v>
      </c>
      <c r="E72">
        <v>3.8801078304719998</v>
      </c>
    </row>
    <row r="73" spans="1:5">
      <c r="A73">
        <v>2.3979025302970101E-4</v>
      </c>
      <c r="B73">
        <v>-8.3357459624450598</v>
      </c>
      <c r="C73">
        <v>27.954708811827</v>
      </c>
      <c r="D73">
        <v>15.0508259562775</v>
      </c>
      <c r="E73">
        <v>2.8654245252821999</v>
      </c>
    </row>
    <row r="74" spans="1:5">
      <c r="A74" s="90">
        <v>3.6948462642705901E-6</v>
      </c>
      <c r="B74">
        <v>-12.5085716108517</v>
      </c>
      <c r="C74">
        <v>43.799074162263402</v>
      </c>
      <c r="D74">
        <v>23.9081509970129</v>
      </c>
      <c r="E74">
        <v>7.83359084184832</v>
      </c>
    </row>
    <row r="75" spans="1:5">
      <c r="A75" s="90">
        <v>3.8496576039146602E-14</v>
      </c>
      <c r="B75">
        <v>-30.88820709162</v>
      </c>
      <c r="C75">
        <v>10.9166331761517</v>
      </c>
      <c r="D75">
        <v>23.796207616105701</v>
      </c>
      <c r="E75">
        <v>3.02036268615272</v>
      </c>
    </row>
    <row r="76" spans="1:5">
      <c r="A76" s="90">
        <v>4.9107464815321998E-11</v>
      </c>
      <c r="B76">
        <v>-23.737010059785302</v>
      </c>
      <c r="C76">
        <v>28.880676602479099</v>
      </c>
      <c r="D76">
        <v>28.622163897380201</v>
      </c>
      <c r="E76">
        <v>6.2619606191487103</v>
      </c>
    </row>
    <row r="77" spans="1:5">
      <c r="A77" s="90">
        <v>1.10534634354181E-5</v>
      </c>
      <c r="B77">
        <v>-11.4127667460409</v>
      </c>
      <c r="C77">
        <v>45.232768309768304</v>
      </c>
      <c r="D77">
        <v>31.237364681437601</v>
      </c>
      <c r="E77">
        <v>8.1123923986247295</v>
      </c>
    </row>
    <row r="78" spans="1:5">
      <c r="A78" s="90">
        <v>1.5464028232283101E-13</v>
      </c>
      <c r="B78">
        <v>-29.497674734334399</v>
      </c>
      <c r="C78">
        <v>37.783958932384799</v>
      </c>
      <c r="D78">
        <v>21.333358851261401</v>
      </c>
      <c r="E78">
        <v>7.2139987639683696</v>
      </c>
    </row>
    <row r="79" spans="1:5">
      <c r="A79" s="90">
        <v>5.4489462533288098E-5</v>
      </c>
      <c r="B79">
        <v>-9.8175032230022694</v>
      </c>
      <c r="C79">
        <v>12.070117354393</v>
      </c>
      <c r="D79">
        <v>15.0957279046997</v>
      </c>
      <c r="E79">
        <v>3.1524873205698301</v>
      </c>
    </row>
    <row r="80" spans="1:5">
      <c r="A80" s="90">
        <v>2.12893500923727E-14</v>
      </c>
      <c r="B80">
        <v>-31.480569442898101</v>
      </c>
      <c r="C80">
        <v>34.775431599002303</v>
      </c>
      <c r="D80">
        <v>23.839272526092799</v>
      </c>
      <c r="E80">
        <v>7.1008273576132597</v>
      </c>
    </row>
    <row r="81" spans="1:5">
      <c r="A81" s="90">
        <v>5.4726886527210601E-11</v>
      </c>
      <c r="B81">
        <v>-23.6286660002548</v>
      </c>
      <c r="C81">
        <v>45.084663691930501</v>
      </c>
      <c r="D81">
        <v>25.249081244692199</v>
      </c>
      <c r="E81">
        <v>8.0575262767085594</v>
      </c>
    </row>
    <row r="82" spans="1:5">
      <c r="A82">
        <v>1.14407585070699E-2</v>
      </c>
      <c r="B82">
        <v>-4.4705729921628903</v>
      </c>
      <c r="C82">
        <v>39.528492919169402</v>
      </c>
      <c r="D82">
        <v>16.6299425065517</v>
      </c>
      <c r="E82">
        <v>2.9892264766839598</v>
      </c>
    </row>
    <row r="83" spans="1:5">
      <c r="A83" s="90">
        <v>4.14595764642561E-6</v>
      </c>
      <c r="B83">
        <v>-12.3933767595297</v>
      </c>
      <c r="C83">
        <v>47.141147568356203</v>
      </c>
      <c r="D83">
        <v>21.626297943293999</v>
      </c>
      <c r="E83">
        <v>9.4244588229445192</v>
      </c>
    </row>
    <row r="84" spans="1:5">
      <c r="A84" s="90">
        <v>4.77940614284226E-11</v>
      </c>
      <c r="B84">
        <v>-23.764119722048399</v>
      </c>
      <c r="C84">
        <v>37.505942123010797</v>
      </c>
      <c r="D84">
        <v>34.730121488682897</v>
      </c>
      <c r="E84">
        <v>7.0833679211128402</v>
      </c>
    </row>
    <row r="85" spans="1:5">
      <c r="A85" s="90">
        <v>7.7520656842285795E-12</v>
      </c>
      <c r="B85">
        <v>-25.5830617681783</v>
      </c>
      <c r="C85">
        <v>12.4365793368779</v>
      </c>
      <c r="D85">
        <v>17.513959184289</v>
      </c>
      <c r="E85">
        <v>3.2994756821512898</v>
      </c>
    </row>
    <row r="86" spans="1:5">
      <c r="A86">
        <v>1.5884079685000399E-3</v>
      </c>
      <c r="B86">
        <v>-6.4450230420362802</v>
      </c>
      <c r="C86">
        <v>46.090805897954901</v>
      </c>
      <c r="D86">
        <v>26.239963108673699</v>
      </c>
      <c r="E86">
        <v>1.61222212552</v>
      </c>
    </row>
    <row r="87" spans="1:5">
      <c r="A87">
        <v>1.42471807160217E-2</v>
      </c>
      <c r="B87">
        <v>-4.2511962363309896</v>
      </c>
      <c r="C87">
        <v>13.4651203672402</v>
      </c>
      <c r="D87">
        <v>30.992091461084801</v>
      </c>
      <c r="E87">
        <v>1.5328660644584</v>
      </c>
    </row>
    <row r="88" spans="1:5">
      <c r="A88" s="90">
        <v>9.5052932311206301E-12</v>
      </c>
      <c r="B88">
        <v>-25.379172290267199</v>
      </c>
      <c r="C88">
        <v>49.013697464019103</v>
      </c>
      <c r="D88">
        <v>21.6576499631628</v>
      </c>
      <c r="E88">
        <v>9.9209449991828205</v>
      </c>
    </row>
    <row r="89" spans="1:5">
      <c r="A89" s="90">
        <v>3.6230577113001301E-12</v>
      </c>
      <c r="B89">
        <v>-26.3437027749953</v>
      </c>
      <c r="C89">
        <v>18.4418960926123</v>
      </c>
      <c r="D89">
        <v>23.675066516734699</v>
      </c>
      <c r="E89">
        <v>3.7979883000836199</v>
      </c>
    </row>
    <row r="90" spans="1:5">
      <c r="A90">
        <v>2.0430690390640799E-4</v>
      </c>
      <c r="B90">
        <v>-8.4958872637287595</v>
      </c>
      <c r="C90">
        <v>28.857196614611901</v>
      </c>
      <c r="D90">
        <v>22.5115826353431</v>
      </c>
      <c r="E90">
        <v>5.4008924977583703</v>
      </c>
    </row>
    <row r="91" spans="1:5">
      <c r="A91" s="90">
        <v>3.2994126693459497E-11</v>
      </c>
      <c r="B91">
        <v>-24.134691549288299</v>
      </c>
      <c r="C91">
        <v>9.2200815184041893</v>
      </c>
      <c r="D91">
        <v>34.1245951596648</v>
      </c>
      <c r="E91">
        <v>3.32259602238799</v>
      </c>
    </row>
    <row r="92" spans="1:5">
      <c r="A92">
        <v>2.41752594992466E-2</v>
      </c>
      <c r="B92">
        <v>-3.72242550350198</v>
      </c>
      <c r="C92">
        <v>27.023589415475701</v>
      </c>
      <c r="D92">
        <v>25.743399909697501</v>
      </c>
      <c r="E92">
        <v>1.3530844612967801</v>
      </c>
    </row>
    <row r="93" spans="1:5">
      <c r="A93" s="90">
        <v>2.6126377361707902E-13</v>
      </c>
      <c r="B93">
        <v>-28.973245871042199</v>
      </c>
      <c r="C93">
        <v>42.907083212398</v>
      </c>
      <c r="D93">
        <v>32.4743572063744</v>
      </c>
      <c r="E93">
        <v>7.8222617063565796</v>
      </c>
    </row>
    <row r="94" spans="1:5">
      <c r="A94" s="90">
        <v>5.6123539933292603E-9</v>
      </c>
      <c r="B94">
        <v>-18.998295598767999</v>
      </c>
      <c r="C94">
        <v>41.822736508678602</v>
      </c>
      <c r="D94">
        <v>32.307797237299397</v>
      </c>
      <c r="E94">
        <v>7.8616479138724902</v>
      </c>
    </row>
    <row r="95" spans="1:5">
      <c r="A95" s="90">
        <v>1.11044720004189E-7</v>
      </c>
      <c r="B95">
        <v>-16.013332833848999</v>
      </c>
      <c r="C95">
        <v>27.621372721158</v>
      </c>
      <c r="D95">
        <v>16.788849020376801</v>
      </c>
      <c r="E95">
        <v>5.883821514369</v>
      </c>
    </row>
    <row r="96" spans="1:5">
      <c r="A96" s="90">
        <v>4.8000731677634796E-9</v>
      </c>
      <c r="B96">
        <v>-19.154634675864699</v>
      </c>
      <c r="C96">
        <v>16.6450953627937</v>
      </c>
      <c r="D96">
        <v>31.4622153807431</v>
      </c>
      <c r="E96">
        <v>3.8426744725806001</v>
      </c>
    </row>
    <row r="97" spans="1:5">
      <c r="A97" s="90">
        <v>3.29763550628383E-5</v>
      </c>
      <c r="B97">
        <v>-10.3197197665634</v>
      </c>
      <c r="C97">
        <v>29.5990029675886</v>
      </c>
      <c r="D97">
        <v>27.230872674845202</v>
      </c>
      <c r="E97">
        <v>6.7271716492038003</v>
      </c>
    </row>
    <row r="98" spans="1:5">
      <c r="A98" s="90">
        <v>6.99376357397281E-10</v>
      </c>
      <c r="B98">
        <v>-21.080832095992299</v>
      </c>
      <c r="C98">
        <v>13.6350910849869</v>
      </c>
      <c r="D98">
        <v>15.6781300064176</v>
      </c>
      <c r="E98">
        <v>3.8202826295854599</v>
      </c>
    </row>
    <row r="99" spans="1:5">
      <c r="A99" s="90">
        <v>8.9358283246293601E-5</v>
      </c>
      <c r="B99">
        <v>-9.3228566150452892</v>
      </c>
      <c r="C99">
        <v>47.978247513063302</v>
      </c>
      <c r="D99">
        <v>25.800558468326901</v>
      </c>
      <c r="E99">
        <v>9.8736569925999795</v>
      </c>
    </row>
    <row r="100" spans="1:5">
      <c r="A100" s="90">
        <v>4.37416960635996E-7</v>
      </c>
      <c r="B100">
        <v>-14.6423789534244</v>
      </c>
      <c r="C100">
        <v>49.632508496288203</v>
      </c>
      <c r="D100">
        <v>17.484005829319401</v>
      </c>
      <c r="E100">
        <v>9.9206398101481295</v>
      </c>
    </row>
    <row r="101" spans="1:5">
      <c r="A101">
        <v>3.4543016567508801E-3</v>
      </c>
      <c r="B101">
        <v>-5.6681349675903103</v>
      </c>
      <c r="C101">
        <v>47.762872220017002</v>
      </c>
      <c r="D101">
        <v>34.8248997144401</v>
      </c>
      <c r="E101">
        <v>1.41213314986644</v>
      </c>
    </row>
    <row r="102" spans="1:5">
      <c r="A102" s="90">
        <v>1.77587275867283E-7</v>
      </c>
      <c r="B102">
        <v>-15.5438036538464</v>
      </c>
      <c r="C102">
        <v>39.6504295384511</v>
      </c>
      <c r="D102">
        <v>32.864745184779203</v>
      </c>
      <c r="E102">
        <v>8.0112881621866308</v>
      </c>
    </row>
    <row r="103" spans="1:5">
      <c r="A103" s="90">
        <v>2.7680724851572498E-7</v>
      </c>
      <c r="B103">
        <v>-15.099944426711501</v>
      </c>
      <c r="C103">
        <v>11.151427314616701</v>
      </c>
      <c r="D103">
        <v>15.380418412387399</v>
      </c>
      <c r="E103">
        <v>3.0057605861545</v>
      </c>
    </row>
    <row r="104" spans="1:5">
      <c r="A104" s="90">
        <v>5.8778836226808299E-9</v>
      </c>
      <c r="B104">
        <v>-18.9520690679411</v>
      </c>
      <c r="C104">
        <v>13.6379424422048</v>
      </c>
      <c r="D104">
        <v>23.3650250732899</v>
      </c>
      <c r="E104">
        <v>3.82130013027064</v>
      </c>
    </row>
    <row r="105" spans="1:5">
      <c r="A105" s="90">
        <v>1.7403947466487799E-6</v>
      </c>
      <c r="B105">
        <v>-13.2613986045779</v>
      </c>
      <c r="C105">
        <v>31.225596917327501</v>
      </c>
      <c r="D105">
        <v>21.744177178479699</v>
      </c>
      <c r="E105">
        <v>7.6472685207311004</v>
      </c>
    </row>
    <row r="106" spans="1:5">
      <c r="A106" s="90">
        <v>4.8401829770301398E-8</v>
      </c>
      <c r="B106">
        <v>-16.843728218766898</v>
      </c>
      <c r="C106">
        <v>44.186260647606098</v>
      </c>
      <c r="D106">
        <v>31.7002020776272</v>
      </c>
      <c r="E106">
        <v>7.8646693994454999</v>
      </c>
    </row>
    <row r="107" spans="1:5">
      <c r="A107" s="90">
        <v>1.6016868814138699E-7</v>
      </c>
      <c r="B107">
        <v>-15.647038276213801</v>
      </c>
      <c r="C107">
        <v>26.8340301788412</v>
      </c>
      <c r="D107">
        <v>34.955937196500599</v>
      </c>
      <c r="E107">
        <v>5.8184582191226202</v>
      </c>
    </row>
    <row r="108" spans="1:5">
      <c r="A108" s="90">
        <v>5.7268719041189797E-8</v>
      </c>
      <c r="B108">
        <v>-16.675511277803398</v>
      </c>
      <c r="C108">
        <v>46.286757534369798</v>
      </c>
      <c r="D108">
        <v>24.1775630554184</v>
      </c>
      <c r="E108">
        <v>8.7413721367155492</v>
      </c>
    </row>
    <row r="109" spans="1:5">
      <c r="A109" s="90">
        <v>1.6124214451812299E-7</v>
      </c>
      <c r="B109">
        <v>-15.6403585986239</v>
      </c>
      <c r="C109">
        <v>31.636686219833798</v>
      </c>
      <c r="D109">
        <v>25.670583699829901</v>
      </c>
      <c r="E109">
        <v>7.6638084761187599</v>
      </c>
    </row>
    <row r="110" spans="1:5">
      <c r="A110">
        <v>5.0856381295646402E-3</v>
      </c>
      <c r="B110">
        <v>-5.2813347648153899</v>
      </c>
      <c r="C110">
        <v>14.614250026643299</v>
      </c>
      <c r="D110">
        <v>19.579044086858602</v>
      </c>
      <c r="E110">
        <v>1.5813887251287699</v>
      </c>
    </row>
    <row r="111" spans="1:5">
      <c r="A111">
        <v>5.6673649097281305E-4</v>
      </c>
      <c r="B111">
        <v>-7.4756161048151704</v>
      </c>
      <c r="C111">
        <v>18.239006042480501</v>
      </c>
      <c r="D111">
        <v>29.364328156225401</v>
      </c>
      <c r="E111">
        <v>2.6290054818874702</v>
      </c>
    </row>
    <row r="112" spans="1:5">
      <c r="A112">
        <v>1.9351469005391499E-4</v>
      </c>
      <c r="B112">
        <v>-8.5501571307847399</v>
      </c>
      <c r="C112">
        <v>21.892148817889399</v>
      </c>
      <c r="D112">
        <v>18.254310209304101</v>
      </c>
      <c r="E112">
        <v>4.6013199901445798</v>
      </c>
    </row>
    <row r="113" spans="1:5">
      <c r="A113" s="90">
        <v>1.1106539498792E-10</v>
      </c>
      <c r="B113">
        <v>-22.920901944058102</v>
      </c>
      <c r="C113">
        <v>12.640313686337301</v>
      </c>
      <c r="D113">
        <v>16.1034172400832</v>
      </c>
      <c r="E113">
        <v>3.3875264467737298</v>
      </c>
    </row>
    <row r="114" spans="1:5">
      <c r="A114" s="90">
        <v>1.06774732933809E-5</v>
      </c>
      <c r="B114">
        <v>-11.4473743354392</v>
      </c>
      <c r="C114">
        <v>47.250894658267498</v>
      </c>
      <c r="D114">
        <v>23.7361161736771</v>
      </c>
      <c r="E114">
        <v>9.5039570691922997</v>
      </c>
    </row>
    <row r="115" spans="1:5">
      <c r="A115">
        <v>8.4114132712223802E-2</v>
      </c>
      <c r="B115">
        <v>-2.4755806796027602</v>
      </c>
      <c r="C115">
        <v>43.9683436653577</v>
      </c>
      <c r="D115">
        <v>23.9656522963196</v>
      </c>
      <c r="E115">
        <v>1.30151759507605</v>
      </c>
    </row>
    <row r="116" spans="1:5">
      <c r="A116">
        <v>3.39110746249464E-2</v>
      </c>
      <c r="B116">
        <v>-3.38401363284403</v>
      </c>
      <c r="C116">
        <v>11.9565337724052</v>
      </c>
      <c r="D116">
        <v>26.040071034804001</v>
      </c>
      <c r="E116">
        <v>2.8123536290203699</v>
      </c>
    </row>
    <row r="117" spans="1:5">
      <c r="A117">
        <v>6.4775100681325096E-2</v>
      </c>
      <c r="B117">
        <v>-2.7368339982113601</v>
      </c>
      <c r="C117">
        <v>11.1780503052287</v>
      </c>
      <c r="D117">
        <v>18.462690594606102</v>
      </c>
      <c r="E117">
        <v>3.42103119283296</v>
      </c>
    </row>
    <row r="118" spans="1:5">
      <c r="A118" s="90">
        <v>4.6905954036301504E-13</v>
      </c>
      <c r="B118">
        <v>-28.388046682788602</v>
      </c>
      <c r="C118">
        <v>42.637525326106697</v>
      </c>
      <c r="D118">
        <v>16.919647157192198</v>
      </c>
      <c r="E118">
        <v>7.82832357593308</v>
      </c>
    </row>
    <row r="119" spans="1:5">
      <c r="A119">
        <v>1.9694495187311999E-2</v>
      </c>
      <c r="B119">
        <v>-3.9274161144027602</v>
      </c>
      <c r="C119">
        <v>9.3197958418168092</v>
      </c>
      <c r="D119">
        <v>33.680316754616797</v>
      </c>
      <c r="E119">
        <v>2.66904224479685</v>
      </c>
    </row>
    <row r="120" spans="1:5">
      <c r="A120">
        <v>1.6681151473682101E-4</v>
      </c>
      <c r="B120">
        <v>-8.6986460372279399</v>
      </c>
      <c r="C120">
        <v>38.036190361715903</v>
      </c>
      <c r="D120">
        <v>17.261784588918101</v>
      </c>
      <c r="E120">
        <v>6.8903596399205496</v>
      </c>
    </row>
    <row r="121" spans="1:5">
      <c r="A121">
        <v>2.59136265144663E-3</v>
      </c>
      <c r="B121">
        <v>-5.9555714213737598</v>
      </c>
      <c r="C121">
        <v>29.205487351864601</v>
      </c>
      <c r="D121">
        <v>18.300854908302401</v>
      </c>
      <c r="E121">
        <v>2.5259958509787901</v>
      </c>
    </row>
    <row r="122" spans="1:5">
      <c r="A122" s="90">
        <v>4.6835654876000102E-7</v>
      </c>
      <c r="B122">
        <v>-14.574035974769201</v>
      </c>
      <c r="C122">
        <v>47.930941482074601</v>
      </c>
      <c r="D122">
        <v>31.0602457216009</v>
      </c>
      <c r="E122">
        <v>9.8599950519093191</v>
      </c>
    </row>
    <row r="123" spans="1:5">
      <c r="A123">
        <v>4.6840225797287798E-2</v>
      </c>
      <c r="B123">
        <v>-3.0610129196560498</v>
      </c>
      <c r="C123">
        <v>25.4920141925104</v>
      </c>
      <c r="D123">
        <v>28.717334344983101</v>
      </c>
      <c r="E123">
        <v>2.2342993225247501</v>
      </c>
    </row>
    <row r="124" spans="1:5">
      <c r="A124">
        <v>2.7420842699925001E-2</v>
      </c>
      <c r="B124">
        <v>-3.5964518722813801</v>
      </c>
      <c r="C124">
        <v>36.979984859935897</v>
      </c>
      <c r="D124">
        <v>30.135243963450201</v>
      </c>
      <c r="E124">
        <v>1.77320568093621</v>
      </c>
    </row>
    <row r="125" spans="1:5">
      <c r="A125" s="90">
        <v>7.0981927422703302E-13</v>
      </c>
      <c r="B125">
        <v>-27.9737660006192</v>
      </c>
      <c r="C125">
        <v>32.442368614952997</v>
      </c>
      <c r="D125">
        <v>31.7172110406682</v>
      </c>
      <c r="E125">
        <v>7.5638675559042303</v>
      </c>
    </row>
    <row r="126" spans="1:5">
      <c r="A126" s="90">
        <v>5.5905555614993603E-5</v>
      </c>
      <c r="B126">
        <v>-9.7918467978579695</v>
      </c>
      <c r="C126">
        <v>47.954475918784702</v>
      </c>
      <c r="D126">
        <v>26.8981191795319</v>
      </c>
      <c r="E126">
        <v>9.8669969750357698</v>
      </c>
    </row>
    <row r="127" spans="1:5">
      <c r="A127" s="90">
        <v>3.1661072528129002E-7</v>
      </c>
      <c r="B127">
        <v>-14.965592813632099</v>
      </c>
      <c r="C127">
        <v>45.901547821704298</v>
      </c>
      <c r="D127">
        <v>16.5609344700351</v>
      </c>
      <c r="E127">
        <v>8.4643763673921502</v>
      </c>
    </row>
    <row r="128" spans="1:5">
      <c r="A128">
        <v>1.0234507127013801E-3</v>
      </c>
      <c r="B128">
        <v>-6.8845753096635098</v>
      </c>
      <c r="C128">
        <v>8.3189890258945507</v>
      </c>
      <c r="D128">
        <v>17.001769603230098</v>
      </c>
      <c r="E128">
        <v>1.77453005110378</v>
      </c>
    </row>
    <row r="129" spans="1:5">
      <c r="A129" s="90">
        <v>1.9662483825680599E-14</v>
      </c>
      <c r="B129">
        <v>-31.560063949123901</v>
      </c>
      <c r="C129">
        <v>16.0845127427019</v>
      </c>
      <c r="D129">
        <v>29.945883979089601</v>
      </c>
      <c r="E129">
        <v>3.8759126336068199</v>
      </c>
    </row>
    <row r="130" spans="1:5">
      <c r="A130" s="90">
        <v>4.4109994106506299E-13</v>
      </c>
      <c r="B130">
        <v>-28.449504921408799</v>
      </c>
      <c r="C130">
        <v>9.0955444583669305</v>
      </c>
      <c r="D130">
        <v>17.8886893205345</v>
      </c>
      <c r="E130">
        <v>3.3474888769038502</v>
      </c>
    </row>
    <row r="131" spans="1:5">
      <c r="A131" s="90">
        <v>2.1776335045466399E-9</v>
      </c>
      <c r="B131">
        <v>-19.945027098152899</v>
      </c>
      <c r="C131">
        <v>36.125023954082302</v>
      </c>
      <c r="D131">
        <v>18.003106177784499</v>
      </c>
      <c r="E131">
        <v>6.8712225213386704</v>
      </c>
    </row>
    <row r="132" spans="1:5">
      <c r="A132" s="90">
        <v>3.7987100386000499E-6</v>
      </c>
      <c r="B132">
        <v>-12.480849012388999</v>
      </c>
      <c r="C132">
        <v>21.648783142678401</v>
      </c>
      <c r="D132">
        <v>33.902485975995702</v>
      </c>
      <c r="E132">
        <v>5.09631179211559</v>
      </c>
    </row>
    <row r="133" spans="1:5">
      <c r="A133" s="90">
        <v>1.06766674246272E-7</v>
      </c>
      <c r="B133">
        <v>-16.052619998007199</v>
      </c>
      <c r="C133">
        <v>22.072347576729999</v>
      </c>
      <c r="D133">
        <v>33.693932332098498</v>
      </c>
      <c r="E133">
        <v>5.4084774046952102</v>
      </c>
    </row>
    <row r="134" spans="1:5">
      <c r="A134" s="90">
        <v>6.5359854969320103E-6</v>
      </c>
      <c r="B134">
        <v>-11.9381874193607</v>
      </c>
      <c r="C134">
        <v>23.790404209867098</v>
      </c>
      <c r="D134">
        <v>28.154407832771501</v>
      </c>
      <c r="E134">
        <v>5.7945229884625</v>
      </c>
    </row>
    <row r="135" spans="1:5">
      <c r="A135" s="90">
        <v>1.0017083466005901E-5</v>
      </c>
      <c r="B135">
        <v>-11.511218575933899</v>
      </c>
      <c r="C135">
        <v>20.8214122909121</v>
      </c>
      <c r="D135">
        <v>24.693151270039401</v>
      </c>
      <c r="E135">
        <v>4.4051435575771203</v>
      </c>
    </row>
    <row r="136" spans="1:5">
      <c r="A136" s="90">
        <v>1.47768137932861E-14</v>
      </c>
      <c r="B136">
        <v>-31.845717078186102</v>
      </c>
      <c r="C136">
        <v>39.551793200429501</v>
      </c>
      <c r="D136">
        <v>23.0192942544818</v>
      </c>
      <c r="E136">
        <v>8.0013804859049404</v>
      </c>
    </row>
    <row r="137" spans="1:5">
      <c r="A137">
        <v>1.41730749174151E-2</v>
      </c>
      <c r="B137">
        <v>-4.2564112468863398</v>
      </c>
      <c r="C137">
        <v>42.127749871928202</v>
      </c>
      <c r="D137">
        <v>18.6506273038685</v>
      </c>
      <c r="E137">
        <v>1.98447365067974</v>
      </c>
    </row>
    <row r="138" spans="1:5">
      <c r="A138">
        <v>3.4667679967060401E-4</v>
      </c>
      <c r="B138">
        <v>-7.9671176251051001</v>
      </c>
      <c r="C138">
        <v>45.922536872793003</v>
      </c>
      <c r="D138">
        <v>34.832384567707798</v>
      </c>
      <c r="E138">
        <v>2.3747072330966401</v>
      </c>
    </row>
    <row r="139" spans="1:5">
      <c r="A139">
        <v>5.9430148843549802E-2</v>
      </c>
      <c r="B139">
        <v>-2.8229536250879499</v>
      </c>
      <c r="C139">
        <v>45.4968660958111</v>
      </c>
      <c r="D139">
        <v>28.977041379548599</v>
      </c>
      <c r="E139">
        <v>2.3913827012411102</v>
      </c>
    </row>
    <row r="140" spans="1:5">
      <c r="A140">
        <v>1.5532015635851199E-3</v>
      </c>
      <c r="B140">
        <v>-6.4674369534210001</v>
      </c>
      <c r="C140">
        <v>28.894719240721301</v>
      </c>
      <c r="D140">
        <v>27.720008208416399</v>
      </c>
      <c r="E140">
        <v>3.4265693718791401</v>
      </c>
    </row>
    <row r="141" spans="1:5">
      <c r="A141">
        <v>6.44968719500396E-2</v>
      </c>
      <c r="B141">
        <v>-2.7411385532550301</v>
      </c>
      <c r="C141">
        <v>28.248027398716701</v>
      </c>
      <c r="D141">
        <v>17.632997678592801</v>
      </c>
      <c r="E141">
        <v>1.3958357809034301</v>
      </c>
    </row>
    <row r="142" spans="1:5">
      <c r="A142" s="90">
        <v>1.43939986553331E-7</v>
      </c>
      <c r="B142">
        <v>-15.7538693842853</v>
      </c>
      <c r="C142">
        <v>26.1172887170687</v>
      </c>
      <c r="D142">
        <v>19.418340632692001</v>
      </c>
      <c r="E142">
        <v>5.7998653824248301</v>
      </c>
    </row>
    <row r="143" spans="1:5">
      <c r="A143">
        <v>4.4305197061648001E-4</v>
      </c>
      <c r="B143">
        <v>-7.7218234796386698</v>
      </c>
      <c r="C143">
        <v>48.880342879332602</v>
      </c>
      <c r="D143">
        <v>30.000342763960401</v>
      </c>
      <c r="E143">
        <v>2.2485016277893899</v>
      </c>
    </row>
    <row r="144" spans="1:5">
      <c r="A144" s="90">
        <v>3.3545548700172502E-11</v>
      </c>
      <c r="B144">
        <v>-24.118116937910099</v>
      </c>
      <c r="C144">
        <v>21.374820327386299</v>
      </c>
      <c r="D144">
        <v>19.797964715398798</v>
      </c>
      <c r="E144">
        <v>4.8618620303193696</v>
      </c>
    </row>
    <row r="145" spans="1:5">
      <c r="A145" s="90">
        <v>1.36382507067098E-10</v>
      </c>
      <c r="B145">
        <v>-22.715557626052199</v>
      </c>
      <c r="C145">
        <v>22.548620554152901</v>
      </c>
      <c r="D145">
        <v>22.4216475710273</v>
      </c>
      <c r="E145">
        <v>5.6502767056402403</v>
      </c>
    </row>
    <row r="146" spans="1:5">
      <c r="A146" s="90">
        <v>1.50934787174238E-5</v>
      </c>
      <c r="B146">
        <v>-11.1012477804457</v>
      </c>
      <c r="C146">
        <v>49.5438521285541</v>
      </c>
      <c r="D146">
        <v>18.565251599065999</v>
      </c>
      <c r="E146">
        <v>9.9206383352122103</v>
      </c>
    </row>
    <row r="147" spans="1:5">
      <c r="A147" s="90">
        <v>7.92837083493575E-7</v>
      </c>
      <c r="B147">
        <v>-14.047648079679499</v>
      </c>
      <c r="C147">
        <v>38.140845497138798</v>
      </c>
      <c r="D147">
        <v>21.5718095563352</v>
      </c>
      <c r="E147">
        <v>7.4110883359592101</v>
      </c>
    </row>
    <row r="148" spans="1:5">
      <c r="A148" s="90">
        <v>3.0398127753110698E-6</v>
      </c>
      <c r="B148">
        <v>-12.703714631511399</v>
      </c>
      <c r="C148">
        <v>45.315172272268697</v>
      </c>
      <c r="D148">
        <v>34.566437993198598</v>
      </c>
      <c r="E148">
        <v>8.1463852803588299</v>
      </c>
    </row>
    <row r="149" spans="1:5">
      <c r="A149" s="90">
        <v>5.6556822613441404E-7</v>
      </c>
      <c r="B149">
        <v>-14.385434901215</v>
      </c>
      <c r="C149">
        <v>37.185873547103299</v>
      </c>
      <c r="D149">
        <v>18.458525310270499</v>
      </c>
      <c r="E149">
        <v>6.9691350238426404</v>
      </c>
    </row>
    <row r="150" spans="1:5">
      <c r="A150" s="90">
        <v>9.24883649203383E-7</v>
      </c>
      <c r="B150">
        <v>-13.893597891990501</v>
      </c>
      <c r="C150">
        <v>40.986463584005797</v>
      </c>
      <c r="D150">
        <v>21.967050214298101</v>
      </c>
      <c r="E150">
        <v>7.91558280706482</v>
      </c>
    </row>
    <row r="151" spans="1:5">
      <c r="A151" s="90">
        <v>4.6942113664111196E-13</v>
      </c>
      <c r="B151">
        <v>-28.3872760834468</v>
      </c>
      <c r="C151">
        <v>37.727696008049001</v>
      </c>
      <c r="D151">
        <v>28.5334371542558</v>
      </c>
      <c r="E151">
        <v>7.18567009905329</v>
      </c>
    </row>
    <row r="152" spans="1:5">
      <c r="A152">
        <v>3.42766859034484E-4</v>
      </c>
      <c r="B152">
        <v>-7.9784600531764998</v>
      </c>
      <c r="C152">
        <v>34.710355188697598</v>
      </c>
      <c r="D152">
        <v>30.729550826363301</v>
      </c>
      <c r="E152">
        <v>3.7227145309456202</v>
      </c>
    </row>
    <row r="153" spans="1:5">
      <c r="A153" s="90">
        <v>3.0123830381158199E-13</v>
      </c>
      <c r="B153">
        <v>-28.8308747363813</v>
      </c>
      <c r="C153">
        <v>44.382910770364099</v>
      </c>
      <c r="D153">
        <v>21.3514299178496</v>
      </c>
      <c r="E153">
        <v>7.89007293005319</v>
      </c>
    </row>
    <row r="154" spans="1:5">
      <c r="A154" s="90">
        <v>5.2818917628413503E-5</v>
      </c>
      <c r="B154">
        <v>-9.8486411430051</v>
      </c>
      <c r="C154">
        <v>42.608683378901297</v>
      </c>
      <c r="D154">
        <v>25.7736056298018</v>
      </c>
      <c r="E154">
        <v>7.8291475335022502</v>
      </c>
    </row>
    <row r="155" spans="1:5">
      <c r="A155" s="90">
        <v>6.5246136068662098E-13</v>
      </c>
      <c r="B155">
        <v>-28.058024474805801</v>
      </c>
      <c r="C155">
        <v>8.7633239822462201</v>
      </c>
      <c r="D155">
        <v>30.1883524516597</v>
      </c>
      <c r="E155">
        <v>3.4112751954623599</v>
      </c>
    </row>
    <row r="156" spans="1:5">
      <c r="A156" s="90">
        <v>1.28644084625743E-5</v>
      </c>
      <c r="B156">
        <v>-11.261046093655001</v>
      </c>
      <c r="C156">
        <v>27.4557974664494</v>
      </c>
      <c r="D156">
        <v>27.319249929860199</v>
      </c>
      <c r="E156">
        <v>5.8635447723912097</v>
      </c>
    </row>
    <row r="157" spans="1:5">
      <c r="A157" s="90">
        <v>2.3633759821996101E-12</v>
      </c>
      <c r="B157">
        <v>-26.7709300181507</v>
      </c>
      <c r="C157">
        <v>43.360728295054301</v>
      </c>
      <c r="D157">
        <v>20.487239263020498</v>
      </c>
      <c r="E157">
        <v>7.8205322843832903</v>
      </c>
    </row>
    <row r="158" spans="1:5">
      <c r="A158">
        <v>1.37011297510371E-2</v>
      </c>
      <c r="B158">
        <v>-4.2902769859686396</v>
      </c>
      <c r="C158">
        <v>39.6749365441501</v>
      </c>
      <c r="D158">
        <v>27.912544966675298</v>
      </c>
      <c r="E158">
        <v>1.5171599545422401</v>
      </c>
    </row>
    <row r="159" spans="1:5">
      <c r="A159" s="90">
        <v>1.0345589891013501E-13</v>
      </c>
      <c r="B159">
        <v>-29.899630970497199</v>
      </c>
      <c r="C159">
        <v>11.9114819215611</v>
      </c>
      <c r="D159">
        <v>15.6998836155981</v>
      </c>
      <c r="E159">
        <v>3.0996396986558699</v>
      </c>
    </row>
    <row r="160" spans="1:5">
      <c r="A160" s="90">
        <v>1.6501310239742E-6</v>
      </c>
      <c r="B160">
        <v>-13.3146558647353</v>
      </c>
      <c r="C160">
        <v>9.2794651789590699</v>
      </c>
      <c r="D160">
        <v>28.1352539267391</v>
      </c>
      <c r="E160">
        <v>3.3105877300656501</v>
      </c>
    </row>
    <row r="161" spans="1:5">
      <c r="A161" s="90">
        <v>7.1514513892544397E-5</v>
      </c>
      <c r="B161">
        <v>-9.54561013736018</v>
      </c>
      <c r="C161">
        <v>31.944888869300499</v>
      </c>
      <c r="D161">
        <v>28.187882700003701</v>
      </c>
      <c r="E161">
        <v>7.6303454235472001</v>
      </c>
    </row>
    <row r="162" spans="1:5">
      <c r="A162" s="90">
        <v>3.83767742253226E-9</v>
      </c>
      <c r="B162">
        <v>-19.378398491217201</v>
      </c>
      <c r="C162">
        <v>25.5580648537725</v>
      </c>
      <c r="D162">
        <v>25.752320694737101</v>
      </c>
      <c r="E162">
        <v>5.7954499285915198</v>
      </c>
    </row>
    <row r="163" spans="1:5">
      <c r="A163" s="90">
        <v>1.8840894250004699E-7</v>
      </c>
      <c r="B163">
        <v>-15.484651010431399</v>
      </c>
      <c r="C163">
        <v>42.355909749399899</v>
      </c>
      <c r="D163">
        <v>21.455009370110901</v>
      </c>
      <c r="E163">
        <v>7.8372834381920198</v>
      </c>
    </row>
    <row r="164" spans="1:5">
      <c r="A164" s="90">
        <v>1.9996892414218701E-14</v>
      </c>
      <c r="B164">
        <v>-31.543199512718399</v>
      </c>
      <c r="C164">
        <v>20.608156669419301</v>
      </c>
      <c r="D164">
        <v>16.643734038807501</v>
      </c>
      <c r="E164">
        <v>4.2624628965585201</v>
      </c>
    </row>
    <row r="165" spans="1:5">
      <c r="A165" s="90">
        <v>7.3423926904411101E-11</v>
      </c>
      <c r="B165">
        <v>-23.334771253803801</v>
      </c>
      <c r="C165">
        <v>45.359653026331202</v>
      </c>
      <c r="D165">
        <v>20.930045829154601</v>
      </c>
      <c r="E165">
        <v>8.1657991323960495</v>
      </c>
    </row>
    <row r="166" spans="1:5">
      <c r="A166" s="90">
        <v>5.0198699283630102E-9</v>
      </c>
      <c r="B166">
        <v>-19.109861814263098</v>
      </c>
      <c r="C166">
        <v>24.620048956014202</v>
      </c>
      <c r="D166">
        <v>32.884357599541502</v>
      </c>
      <c r="E166">
        <v>5.7940408628784397</v>
      </c>
    </row>
    <row r="167" spans="1:5">
      <c r="A167" s="90">
        <v>5.3322603824318498E-12</v>
      </c>
      <c r="B167">
        <v>-25.95724588089</v>
      </c>
      <c r="C167">
        <v>30.321109977550801</v>
      </c>
      <c r="D167">
        <v>21.6471783816814</v>
      </c>
      <c r="E167">
        <v>7.2616507807440502</v>
      </c>
    </row>
    <row r="168" spans="1:5">
      <c r="A168" s="90">
        <v>4.8120483751062202E-14</v>
      </c>
      <c r="B168">
        <v>-30.665068450840099</v>
      </c>
      <c r="C168">
        <v>23.164391966071001</v>
      </c>
      <c r="D168">
        <v>26.368470122106402</v>
      </c>
      <c r="E168">
        <v>5.7887818423615602</v>
      </c>
    </row>
    <row r="169" spans="1:5">
      <c r="A169">
        <v>1.7461612187725999E-4</v>
      </c>
      <c r="B169">
        <v>-8.6529205827546996</v>
      </c>
      <c r="C169">
        <v>9.5526264677755499</v>
      </c>
      <c r="D169">
        <v>19.968396229669501</v>
      </c>
      <c r="E169">
        <v>3.2858898472860498</v>
      </c>
    </row>
    <row r="170" spans="1:5">
      <c r="A170" s="90">
        <v>9.6511876524647404E-5</v>
      </c>
      <c r="B170">
        <v>-9.2458444843978995</v>
      </c>
      <c r="C170">
        <v>42.500635478179902</v>
      </c>
      <c r="D170">
        <v>29.923472101800101</v>
      </c>
      <c r="E170">
        <v>7.8321522980872</v>
      </c>
    </row>
    <row r="171" spans="1:5">
      <c r="A171" s="90">
        <v>8.2338118626137803E-8</v>
      </c>
      <c r="B171">
        <v>-16.3124316697103</v>
      </c>
      <c r="C171">
        <v>38.7793966992758</v>
      </c>
      <c r="D171">
        <v>30.0080810952932</v>
      </c>
      <c r="E171">
        <v>7.7609655824586898</v>
      </c>
    </row>
    <row r="172" spans="1:5">
      <c r="A172">
        <v>2.4484766847189201E-4</v>
      </c>
      <c r="B172">
        <v>-8.3148743021325</v>
      </c>
      <c r="C172">
        <v>28.250743709504601</v>
      </c>
      <c r="D172">
        <v>23.954497259110202</v>
      </c>
      <c r="E172">
        <v>4.7522748602065903</v>
      </c>
    </row>
    <row r="173" spans="1:5">
      <c r="A173" s="90">
        <v>5.8151060875610397E-7</v>
      </c>
      <c r="B173">
        <v>-14.3576366213775</v>
      </c>
      <c r="C173">
        <v>11.0308013497852</v>
      </c>
      <c r="D173">
        <v>18.4701768960804</v>
      </c>
      <c r="E173">
        <v>3.0115279990767299</v>
      </c>
    </row>
    <row r="174" spans="1:5">
      <c r="A174">
        <v>8.7927551226469405E-2</v>
      </c>
      <c r="B174">
        <v>-2.43124208510367</v>
      </c>
      <c r="C174">
        <v>20.142533633392301</v>
      </c>
      <c r="D174">
        <v>28.898576083593099</v>
      </c>
      <c r="E174">
        <v>2.5895455515068302</v>
      </c>
    </row>
    <row r="175" spans="1:5">
      <c r="A175" s="90">
        <v>1.69784192677265E-6</v>
      </c>
      <c r="B175">
        <v>-13.2861525681821</v>
      </c>
      <c r="C175">
        <v>23.747419537510702</v>
      </c>
      <c r="D175">
        <v>18.9023068267852</v>
      </c>
      <c r="E175">
        <v>5.7945674804208203</v>
      </c>
    </row>
    <row r="176" spans="1:5">
      <c r="A176" s="90">
        <v>1.96286039181573E-5</v>
      </c>
      <c r="B176">
        <v>-10.8385226720136</v>
      </c>
      <c r="C176">
        <v>20.976987509056901</v>
      </c>
      <c r="D176">
        <v>23.603094825521101</v>
      </c>
      <c r="E176">
        <v>4.5237277025167399</v>
      </c>
    </row>
    <row r="177" spans="1:5">
      <c r="A177" s="90">
        <v>3.2663333240035702E-11</v>
      </c>
      <c r="B177">
        <v>-24.144767974805301</v>
      </c>
      <c r="C177">
        <v>26.809195062145601</v>
      </c>
      <c r="D177">
        <v>21.557697462849301</v>
      </c>
      <c r="E177">
        <v>5.81738060736284</v>
      </c>
    </row>
    <row r="178" spans="1:5">
      <c r="A178" s="90">
        <v>6.5718362280335298E-6</v>
      </c>
      <c r="B178">
        <v>-11.932717277753801</v>
      </c>
      <c r="C178">
        <v>13.652023609262001</v>
      </c>
      <c r="D178">
        <v>23.182994807139</v>
      </c>
      <c r="E178">
        <v>3.8262834653227902</v>
      </c>
    </row>
    <row r="179" spans="1:5">
      <c r="A179" s="90">
        <v>3.06522411807749E-13</v>
      </c>
      <c r="B179">
        <v>-28.813485520485798</v>
      </c>
      <c r="C179">
        <v>48.387491226662</v>
      </c>
      <c r="D179">
        <v>30.2611589850858</v>
      </c>
      <c r="E179">
        <v>9.9218063132755798</v>
      </c>
    </row>
    <row r="180" spans="1:5">
      <c r="A180">
        <v>6.60216445133106E-3</v>
      </c>
      <c r="B180">
        <v>-5.0203577365413103</v>
      </c>
      <c r="C180">
        <v>33.857282967306702</v>
      </c>
      <c r="D180">
        <v>18.4207222424448</v>
      </c>
      <c r="E180">
        <v>1.9362755512449401</v>
      </c>
    </row>
    <row r="181" spans="1:5">
      <c r="A181">
        <v>1.1644023032903099E-3</v>
      </c>
      <c r="B181">
        <v>-6.7555473680027802</v>
      </c>
      <c r="C181">
        <v>10.998977145180101</v>
      </c>
      <c r="D181">
        <v>18.567673284560399</v>
      </c>
      <c r="E181">
        <v>2.1147018963983699</v>
      </c>
    </row>
    <row r="182" spans="1:5">
      <c r="A182" s="90">
        <v>2.47770509412483E-5</v>
      </c>
      <c r="B182">
        <v>-10.605592698480301</v>
      </c>
      <c r="C182">
        <v>40.153689202852497</v>
      </c>
      <c r="D182">
        <v>29.945555231533898</v>
      </c>
      <c r="E182">
        <v>7.9895626941814299</v>
      </c>
    </row>
    <row r="183" spans="1:5">
      <c r="A183" s="90">
        <v>5.29173915071191E-14</v>
      </c>
      <c r="B183">
        <v>-30.570044348127499</v>
      </c>
      <c r="C183">
        <v>39.622976056300097</v>
      </c>
      <c r="D183">
        <v>20.796850011684</v>
      </c>
      <c r="E183">
        <v>8.0090348876224304</v>
      </c>
    </row>
    <row r="184" spans="1:5">
      <c r="A184" s="90">
        <v>2.8355298863671399E-14</v>
      </c>
      <c r="B184">
        <v>-31.193962473430702</v>
      </c>
      <c r="C184">
        <v>49.907663973979702</v>
      </c>
      <c r="D184">
        <v>26.210657651536199</v>
      </c>
      <c r="E184">
        <v>9.9207928307019593</v>
      </c>
    </row>
    <row r="185" spans="1:5">
      <c r="A185" s="90">
        <v>9.6759114398306192E-9</v>
      </c>
      <c r="B185">
        <v>-18.453626396800399</v>
      </c>
      <c r="C185">
        <v>27.5574213815853</v>
      </c>
      <c r="D185">
        <v>15.5213584378362</v>
      </c>
      <c r="E185">
        <v>5.8754632691942401</v>
      </c>
    </row>
    <row r="186" spans="1:5">
      <c r="A186" s="90">
        <v>9.3606924574208493E-8</v>
      </c>
      <c r="B186">
        <v>-16.184161475705601</v>
      </c>
      <c r="C186">
        <v>29.1375919622369</v>
      </c>
      <c r="D186">
        <v>17.6701170625165</v>
      </c>
      <c r="E186">
        <v>6.40798908974394</v>
      </c>
    </row>
    <row r="187" spans="1:5">
      <c r="A187">
        <v>1.49494770060851E-3</v>
      </c>
      <c r="B187">
        <v>-6.5056640556219598</v>
      </c>
      <c r="C187">
        <v>46.003542904276401</v>
      </c>
      <c r="D187">
        <v>28.2522526150569</v>
      </c>
      <c r="E187">
        <v>1.5921334493169901</v>
      </c>
    </row>
    <row r="188" spans="1:5">
      <c r="A188" s="90">
        <v>3.8030760795114699E-8</v>
      </c>
      <c r="B188">
        <v>-17.084870510075799</v>
      </c>
      <c r="C188">
        <v>41.561096567660599</v>
      </c>
      <c r="D188">
        <v>34.030540920794003</v>
      </c>
      <c r="E188">
        <v>7.8764780705436097</v>
      </c>
    </row>
    <row r="189" spans="1:5">
      <c r="A189" s="90">
        <v>2.6011379224697502E-6</v>
      </c>
      <c r="B189">
        <v>-12.859561546194801</v>
      </c>
      <c r="C189">
        <v>31.812928411643998</v>
      </c>
      <c r="D189">
        <v>32.660678331740201</v>
      </c>
      <c r="E189">
        <v>7.6454722261329398</v>
      </c>
    </row>
    <row r="190" spans="1:5">
      <c r="A190" s="90">
        <v>1.91846153001623E-12</v>
      </c>
      <c r="B190">
        <v>-26.979497537540301</v>
      </c>
      <c r="C190">
        <v>39.605826978571699</v>
      </c>
      <c r="D190">
        <v>28.969138562679301</v>
      </c>
      <c r="E190">
        <v>8.0074296085074899</v>
      </c>
    </row>
    <row r="191" spans="1:5">
      <c r="A191" s="90">
        <v>1.0005517635434001E-11</v>
      </c>
      <c r="B191">
        <v>-25.3278844115566</v>
      </c>
      <c r="C191">
        <v>44.128394934348798</v>
      </c>
      <c r="D191">
        <v>23.034096509218202</v>
      </c>
      <c r="E191">
        <v>7.8585563584035496</v>
      </c>
    </row>
    <row r="192" spans="1:5">
      <c r="A192">
        <v>7.1284844621585198E-3</v>
      </c>
      <c r="B192">
        <v>-4.9436566250515996</v>
      </c>
      <c r="C192">
        <v>44.898484273347997</v>
      </c>
      <c r="D192">
        <v>29.284434071742002</v>
      </c>
      <c r="E192">
        <v>1.73800242264884</v>
      </c>
    </row>
    <row r="193" spans="1:5">
      <c r="A193" s="90">
        <v>9.6619750652076896E-6</v>
      </c>
      <c r="B193">
        <v>-11.547312472542499</v>
      </c>
      <c r="C193">
        <v>23.7166444901377</v>
      </c>
      <c r="D193">
        <v>28.872955157421501</v>
      </c>
      <c r="E193">
        <v>5.7946004280266603</v>
      </c>
    </row>
    <row r="194" spans="1:5">
      <c r="A194" s="90">
        <v>9.7467654975234803E-14</v>
      </c>
      <c r="B194">
        <v>-29.959255815789799</v>
      </c>
      <c r="C194">
        <v>18.6200590925291</v>
      </c>
      <c r="D194">
        <v>29.9761682795361</v>
      </c>
      <c r="E194">
        <v>3.8018066262641002</v>
      </c>
    </row>
    <row r="195" spans="1:5">
      <c r="A195" s="90">
        <v>1.8093012588727502E-14</v>
      </c>
      <c r="B195">
        <v>-31.643250575995101</v>
      </c>
      <c r="C195">
        <v>40.994139276910602</v>
      </c>
      <c r="D195">
        <v>33.588856561109402</v>
      </c>
      <c r="E195">
        <v>7.9149994358750497</v>
      </c>
    </row>
    <row r="196" spans="1:5">
      <c r="A196" s="90">
        <v>7.0532524303072098E-13</v>
      </c>
      <c r="B196">
        <v>-27.9801173608497</v>
      </c>
      <c r="C196">
        <v>11.0314350412227</v>
      </c>
      <c r="D196">
        <v>16.405916260555401</v>
      </c>
      <c r="E196">
        <v>3.0114874077105198</v>
      </c>
    </row>
    <row r="197" spans="1:5">
      <c r="A197" s="90">
        <v>1.1785534327430199E-14</v>
      </c>
      <c r="B197">
        <v>-32.071903519929698</v>
      </c>
      <c r="C197">
        <v>29.0800040378235</v>
      </c>
      <c r="D197">
        <v>18.954317579045899</v>
      </c>
      <c r="E197">
        <v>6.3730504532118601</v>
      </c>
    </row>
    <row r="198" spans="1:5">
      <c r="A198" s="90">
        <v>8.2413169120231106E-11</v>
      </c>
      <c r="B198">
        <v>-23.219275872362601</v>
      </c>
      <c r="C198">
        <v>9.5048029185272807</v>
      </c>
      <c r="D198">
        <v>29.646996548399301</v>
      </c>
      <c r="E198">
        <v>3.2644899875787901</v>
      </c>
    </row>
    <row r="199" spans="1:5">
      <c r="A199">
        <v>5.2382401210753597E-3</v>
      </c>
      <c r="B199">
        <v>-5.25176969181764</v>
      </c>
      <c r="C199">
        <v>24.543042919598498</v>
      </c>
      <c r="D199">
        <v>23.518573399633201</v>
      </c>
      <c r="E199">
        <v>2.0822458049291699</v>
      </c>
    </row>
    <row r="200" spans="1:5">
      <c r="A200" s="90">
        <v>1.0569115213843299E-5</v>
      </c>
      <c r="B200">
        <v>-11.457574468885401</v>
      </c>
      <c r="C200">
        <v>43.439181792549803</v>
      </c>
      <c r="D200">
        <v>17.108548823744101</v>
      </c>
      <c r="E200">
        <v>7.8216357865369099</v>
      </c>
    </row>
    <row r="201" spans="1:5">
      <c r="A201" s="90">
        <v>1.74437000368878E-13</v>
      </c>
      <c r="B201">
        <v>-29.377212747859701</v>
      </c>
      <c r="C201">
        <v>20.7708417642862</v>
      </c>
      <c r="D201">
        <v>33.702943865209797</v>
      </c>
      <c r="E201">
        <v>4.3691118817285304</v>
      </c>
    </row>
    <row r="202" spans="1:5">
      <c r="A202" s="90">
        <v>3.4229539618222401E-12</v>
      </c>
      <c r="B202">
        <v>-26.400517206128502</v>
      </c>
      <c r="C202">
        <v>36.552987342234701</v>
      </c>
      <c r="D202">
        <v>25.707924477755999</v>
      </c>
      <c r="E202">
        <v>6.8648859835342098</v>
      </c>
    </row>
    <row r="203" spans="1:5">
      <c r="A203" s="90">
        <v>9.0821897376922601E-12</v>
      </c>
      <c r="B203">
        <v>-25.4247057918511</v>
      </c>
      <c r="C203">
        <v>26.556217171251799</v>
      </c>
      <c r="D203">
        <v>16.816505538299701</v>
      </c>
      <c r="E203">
        <v>5.80853715036094</v>
      </c>
    </row>
    <row r="204" spans="1:5">
      <c r="A204" s="90">
        <v>1.60629170914915E-13</v>
      </c>
      <c r="B204">
        <v>-29.459677972812901</v>
      </c>
      <c r="C204">
        <v>30.5769913275726</v>
      </c>
      <c r="D204">
        <v>34.034301801584697</v>
      </c>
      <c r="E204">
        <v>7.41544027224354</v>
      </c>
    </row>
    <row r="205" spans="1:5">
      <c r="A205" s="90">
        <v>4.6563374989731003E-6</v>
      </c>
      <c r="B205">
        <v>-12.277281363269299</v>
      </c>
      <c r="C205">
        <v>40.570959739852697</v>
      </c>
      <c r="D205">
        <v>16.994188148528298</v>
      </c>
      <c r="E205">
        <v>7.9497727468906199</v>
      </c>
    </row>
    <row r="206" spans="1:5">
      <c r="A206">
        <v>3.4384028055285898E-4</v>
      </c>
      <c r="B206">
        <v>-7.9753333091302601</v>
      </c>
      <c r="C206">
        <v>36.439576866105199</v>
      </c>
      <c r="D206">
        <v>18.9494179747999</v>
      </c>
      <c r="E206">
        <v>3.85843601998904</v>
      </c>
    </row>
    <row r="207" spans="1:5">
      <c r="A207" s="90">
        <v>3.0220641122630402E-7</v>
      </c>
      <c r="B207">
        <v>-15.0121555721564</v>
      </c>
      <c r="C207">
        <v>28.785622202325602</v>
      </c>
      <c r="D207">
        <v>23.116796505637499</v>
      </c>
      <c r="E207">
        <v>6.2146658172927198</v>
      </c>
    </row>
    <row r="208" spans="1:5">
      <c r="A208">
        <v>1.14874263024897E-2</v>
      </c>
      <c r="B208">
        <v>-4.4665022067733799</v>
      </c>
      <c r="C208">
        <v>8.25570100778714</v>
      </c>
      <c r="D208">
        <v>32.315047387965002</v>
      </c>
      <c r="E208">
        <v>2.8438528118395001</v>
      </c>
    </row>
    <row r="209" spans="1:5">
      <c r="A209" s="90">
        <v>5.8944894699007302E-14</v>
      </c>
      <c r="B209">
        <v>-30.462173375596102</v>
      </c>
      <c r="C209">
        <v>43.938606265466703</v>
      </c>
      <c r="D209">
        <v>15.053822277113801</v>
      </c>
      <c r="E209">
        <v>7.84228932134444</v>
      </c>
    </row>
    <row r="210" spans="1:5">
      <c r="A210" s="90">
        <v>2.3535374237609101E-13</v>
      </c>
      <c r="B210">
        <v>-29.077686725868102</v>
      </c>
      <c r="C210">
        <v>16.416004173457601</v>
      </c>
      <c r="D210">
        <v>21.6603343980387</v>
      </c>
      <c r="E210">
        <v>3.8551217371811002</v>
      </c>
    </row>
    <row r="211" spans="1:5">
      <c r="A211" s="90">
        <v>2.1047753778337399E-8</v>
      </c>
      <c r="B211">
        <v>-17.676471991379401</v>
      </c>
      <c r="C211">
        <v>21.537487077061101</v>
      </c>
      <c r="D211">
        <v>24.7724332520738</v>
      </c>
      <c r="E211">
        <v>5.0028179439687799</v>
      </c>
    </row>
    <row r="212" spans="1:5">
      <c r="A212" s="90">
        <v>1.70949678333323E-11</v>
      </c>
      <c r="B212">
        <v>-24.7922369744809</v>
      </c>
      <c r="C212">
        <v>36.597166515421101</v>
      </c>
      <c r="D212">
        <v>29.494545734487499</v>
      </c>
      <c r="E212">
        <v>6.8673402184592103</v>
      </c>
    </row>
    <row r="213" spans="1:5">
      <c r="A213">
        <v>1.3024700374865499E-3</v>
      </c>
      <c r="B213">
        <v>-6.6434927884504402</v>
      </c>
      <c r="C213">
        <v>40.979074304923401</v>
      </c>
      <c r="D213">
        <v>19.952336167916702</v>
      </c>
      <c r="E213">
        <v>2.1115509165086102</v>
      </c>
    </row>
    <row r="214" spans="1:5">
      <c r="A214" s="90">
        <v>1.02690997638065E-12</v>
      </c>
      <c r="B214">
        <v>-27.604466845707702</v>
      </c>
      <c r="C214">
        <v>33.042105321772397</v>
      </c>
      <c r="D214">
        <v>18.096779040060898</v>
      </c>
      <c r="E214">
        <v>7.4657618209506103</v>
      </c>
    </row>
    <row r="215" spans="1:5">
      <c r="A215" s="90">
        <v>6.3045009736109099E-12</v>
      </c>
      <c r="B215">
        <v>-25.7897572973663</v>
      </c>
      <c r="C215">
        <v>47.114614533726098</v>
      </c>
      <c r="D215">
        <v>33.341730060055902</v>
      </c>
      <c r="E215">
        <v>9.4046122214382599</v>
      </c>
    </row>
    <row r="216" spans="1:5">
      <c r="A216">
        <v>5.8872354139390598E-2</v>
      </c>
      <c r="B216">
        <v>-2.8323836679629899</v>
      </c>
      <c r="C216">
        <v>11.663433244917501</v>
      </c>
      <c r="D216">
        <v>17.205511601641799</v>
      </c>
      <c r="E216">
        <v>2.7988016045194102</v>
      </c>
    </row>
    <row r="217" spans="1:5">
      <c r="A217" s="90">
        <v>3.8709024508360902E-5</v>
      </c>
      <c r="B217">
        <v>-10.159437793682899</v>
      </c>
      <c r="C217">
        <v>9.9308120743371493</v>
      </c>
      <c r="D217">
        <v>31.474127531983001</v>
      </c>
      <c r="E217">
        <v>3.1776511491161101</v>
      </c>
    </row>
    <row r="218" spans="1:5">
      <c r="A218" s="90">
        <v>4.7723377212566297E-11</v>
      </c>
      <c r="B218">
        <v>-23.765599749774498</v>
      </c>
      <c r="C218">
        <v>28.922565325629002</v>
      </c>
      <c r="D218">
        <v>17.2746702795848</v>
      </c>
      <c r="E218">
        <v>6.2839550804383402</v>
      </c>
    </row>
    <row r="219" spans="1:5">
      <c r="A219" s="90">
        <v>1.3625499038750699E-5</v>
      </c>
      <c r="B219">
        <v>-11.203567591388399</v>
      </c>
      <c r="C219">
        <v>39.296809024177499</v>
      </c>
      <c r="D219">
        <v>19.705194877460599</v>
      </c>
      <c r="E219">
        <v>7.9528273642764304</v>
      </c>
    </row>
    <row r="220" spans="1:5">
      <c r="A220">
        <v>1.4927649118052101E-4</v>
      </c>
      <c r="B220">
        <v>-8.8097103260951304</v>
      </c>
      <c r="C220">
        <v>40.929569373838603</v>
      </c>
      <c r="D220">
        <v>31.020325012505101</v>
      </c>
      <c r="E220">
        <v>5.2436746649533497</v>
      </c>
    </row>
    <row r="221" spans="1:5">
      <c r="A221" s="90">
        <v>1.1862194491073401E-5</v>
      </c>
      <c r="B221">
        <v>-11.342154148537</v>
      </c>
      <c r="C221">
        <v>47.999976571649299</v>
      </c>
      <c r="D221">
        <v>29.5909494441003</v>
      </c>
      <c r="E221">
        <v>9.8793790880544101</v>
      </c>
    </row>
    <row r="222" spans="1:5">
      <c r="A222">
        <v>6.3385748500365E-3</v>
      </c>
      <c r="B222">
        <v>-5.06110132286189</v>
      </c>
      <c r="C222">
        <v>47.596508601214701</v>
      </c>
      <c r="D222">
        <v>32.9398271255195</v>
      </c>
      <c r="E222">
        <v>1.4101157903013599</v>
      </c>
    </row>
    <row r="223" spans="1:5">
      <c r="A223" s="90">
        <v>3.5861254258876703E-14</v>
      </c>
      <c r="B223">
        <v>-30.959118950801098</v>
      </c>
      <c r="C223">
        <v>15.3747714287601</v>
      </c>
      <c r="D223">
        <v>31.753123896196499</v>
      </c>
      <c r="E223">
        <v>3.9320473052959501</v>
      </c>
    </row>
    <row r="224" spans="1:5">
      <c r="A224">
        <v>4.9547808436855895E-4</v>
      </c>
      <c r="B224">
        <v>-7.6099874344991996</v>
      </c>
      <c r="C224">
        <v>33.771010594442501</v>
      </c>
      <c r="D224">
        <v>15.8190017798916</v>
      </c>
      <c r="E224">
        <v>2.7511227048769298</v>
      </c>
    </row>
    <row r="225" spans="1:5">
      <c r="A225">
        <v>1.72121170377701E-4</v>
      </c>
      <c r="B225">
        <v>-8.6673118502395106</v>
      </c>
      <c r="C225">
        <v>49.0431488314644</v>
      </c>
      <c r="D225">
        <v>25.685422574169898</v>
      </c>
      <c r="E225">
        <v>4.4715554698581004</v>
      </c>
    </row>
    <row r="226" spans="1:5">
      <c r="A226" s="90">
        <v>2.8857152343959098E-9</v>
      </c>
      <c r="B226">
        <v>-19.663493052843599</v>
      </c>
      <c r="C226">
        <v>45.163996047340298</v>
      </c>
      <c r="D226">
        <v>15.5856869835407</v>
      </c>
      <c r="E226">
        <v>8.0859402385800898</v>
      </c>
    </row>
    <row r="227" spans="1:5">
      <c r="A227" s="90">
        <v>1.8894383530510801E-6</v>
      </c>
      <c r="B227">
        <v>-13.1792309407536</v>
      </c>
      <c r="C227">
        <v>9.4927052129059994</v>
      </c>
      <c r="D227">
        <v>15.5532322544605</v>
      </c>
      <c r="E227">
        <v>3.2669778859934802</v>
      </c>
    </row>
    <row r="228" spans="1:5">
      <c r="A228" s="90">
        <v>1.0474798846093E-11</v>
      </c>
      <c r="B228">
        <v>-25.282048853541699</v>
      </c>
      <c r="C228">
        <v>16.862236067652699</v>
      </c>
      <c r="D228">
        <v>31.476044999435501</v>
      </c>
      <c r="E228">
        <v>3.83204311758809</v>
      </c>
    </row>
    <row r="229" spans="1:5">
      <c r="A229">
        <v>1.3783844071936699E-3</v>
      </c>
      <c r="B229">
        <v>-6.5868431850652103</v>
      </c>
      <c r="C229">
        <v>44.942791647743398</v>
      </c>
      <c r="D229">
        <v>31.249959920533001</v>
      </c>
      <c r="E229">
        <v>1.6860334254312199</v>
      </c>
    </row>
    <row r="230" spans="1:5">
      <c r="A230" s="90">
        <v>4.1744476655669099E-9</v>
      </c>
      <c r="B230">
        <v>-19.294283783068</v>
      </c>
      <c r="C230">
        <v>24.007168720942001</v>
      </c>
      <c r="D230">
        <v>21.6031313594431</v>
      </c>
      <c r="E230">
        <v>5.7943250504870498</v>
      </c>
    </row>
    <row r="231" spans="1:5">
      <c r="A231">
        <v>5.5981680354404498E-4</v>
      </c>
      <c r="B231">
        <v>-7.4879009642843997</v>
      </c>
      <c r="C231">
        <v>14.123591719660901</v>
      </c>
      <c r="D231">
        <v>16.434978735633202</v>
      </c>
      <c r="E231">
        <v>2.6221694413145098</v>
      </c>
    </row>
    <row r="232" spans="1:5">
      <c r="A232" s="90">
        <v>6.9591475807049297E-5</v>
      </c>
      <c r="B232">
        <v>-9.5728684721611099</v>
      </c>
      <c r="C232">
        <v>32.495544814039</v>
      </c>
      <c r="D232">
        <v>15.7874135160819</v>
      </c>
      <c r="E232">
        <v>7.5559616225927302</v>
      </c>
    </row>
    <row r="233" spans="1:5">
      <c r="A233" s="90">
        <v>3.6507123393652401E-8</v>
      </c>
      <c r="B233">
        <v>-17.125758433929601</v>
      </c>
      <c r="C233">
        <v>30.804167537018699</v>
      </c>
      <c r="D233">
        <v>31.278358125127902</v>
      </c>
      <c r="E233">
        <v>7.5241515714519798</v>
      </c>
    </row>
    <row r="234" spans="1:5">
      <c r="A234" s="90">
        <v>4.3068825890482801E-10</v>
      </c>
      <c r="B234">
        <v>-21.565636584735</v>
      </c>
      <c r="C234">
        <v>34.508290183264798</v>
      </c>
      <c r="D234">
        <v>17.801020899787499</v>
      </c>
      <c r="E234">
        <v>7.1606683543498697</v>
      </c>
    </row>
    <row r="235" spans="1:5">
      <c r="A235">
        <v>6.0615290200652497E-2</v>
      </c>
      <c r="B235">
        <v>-2.80320810419046</v>
      </c>
      <c r="C235">
        <v>13.865623516030601</v>
      </c>
      <c r="D235">
        <v>29.4411655887961</v>
      </c>
      <c r="E235">
        <v>1.35503863549879</v>
      </c>
    </row>
    <row r="236" spans="1:5">
      <c r="A236" s="90">
        <v>4.1001343188148102E-5</v>
      </c>
      <c r="B236">
        <v>-10.10190573111</v>
      </c>
      <c r="C236">
        <v>18.590610306710001</v>
      </c>
      <c r="D236">
        <v>34.213773459196098</v>
      </c>
      <c r="E236">
        <v>3.8008936324430298</v>
      </c>
    </row>
    <row r="237" spans="1:5">
      <c r="A237" s="90">
        <v>6.2703857251459506E-8</v>
      </c>
      <c r="B237">
        <v>-16.584842872037701</v>
      </c>
      <c r="C237">
        <v>37.262561945710303</v>
      </c>
      <c r="D237">
        <v>15.0726960739121</v>
      </c>
      <c r="E237">
        <v>6.9926585116758302</v>
      </c>
    </row>
    <row r="238" spans="1:5">
      <c r="A238" s="90">
        <v>1.0023119187917299E-6</v>
      </c>
      <c r="B238">
        <v>-13.813201307544899</v>
      </c>
      <c r="C238">
        <v>10.343279975000801</v>
      </c>
      <c r="D238">
        <v>26.068432214669901</v>
      </c>
      <c r="E238">
        <v>3.0997766381278402</v>
      </c>
    </row>
    <row r="239" spans="1:5">
      <c r="A239" s="90">
        <v>1.67386900964188E-12</v>
      </c>
      <c r="B239">
        <v>-27.1158833968382</v>
      </c>
      <c r="C239">
        <v>26.794280587229899</v>
      </c>
      <c r="D239">
        <v>34.066720916889601</v>
      </c>
      <c r="E239">
        <v>5.8167534583222098</v>
      </c>
    </row>
    <row r="240" spans="1:5">
      <c r="A240" s="90">
        <v>1.5337977257828401E-6</v>
      </c>
      <c r="B240">
        <v>-13.3877637243506</v>
      </c>
      <c r="C240">
        <v>26.583121696021401</v>
      </c>
      <c r="D240">
        <v>29.103932501748201</v>
      </c>
      <c r="E240">
        <v>5.8093132924244397</v>
      </c>
    </row>
    <row r="241" spans="1:5">
      <c r="A241">
        <v>2.6853100340347701E-4</v>
      </c>
      <c r="B241">
        <v>-8.2225441817671197</v>
      </c>
      <c r="C241">
        <v>24.807947307359399</v>
      </c>
      <c r="D241">
        <v>21.213652915321301</v>
      </c>
      <c r="E241">
        <v>3.5985271827822598</v>
      </c>
    </row>
    <row r="242" spans="1:5">
      <c r="A242" s="90">
        <v>1.32684624780343E-11</v>
      </c>
      <c r="B242">
        <v>-25.045631138801099</v>
      </c>
      <c r="C242">
        <v>13.2244844487868</v>
      </c>
      <c r="D242">
        <v>30.133696454577098</v>
      </c>
      <c r="E242">
        <v>3.6507286623141</v>
      </c>
    </row>
    <row r="243" spans="1:5">
      <c r="A243" s="90">
        <v>2.6340604944749901E-5</v>
      </c>
      <c r="B243">
        <v>-10.5443988951418</v>
      </c>
      <c r="C243">
        <v>29.212396741844699</v>
      </c>
      <c r="D243">
        <v>18.906148839741899</v>
      </c>
      <c r="E243">
        <v>6.45522762919411</v>
      </c>
    </row>
    <row r="244" spans="1:5">
      <c r="A244" s="90">
        <v>5.6246499155288601E-7</v>
      </c>
      <c r="B244">
        <v>-14.390936942044</v>
      </c>
      <c r="C244">
        <v>11.775617116130899</v>
      </c>
      <c r="D244">
        <v>28.803811911493501</v>
      </c>
      <c r="E244">
        <v>3.0629634290060501</v>
      </c>
    </row>
    <row r="245" spans="1:5">
      <c r="A245">
        <v>1.2884297259558E-4</v>
      </c>
      <c r="B245">
        <v>-8.9569161617744104</v>
      </c>
      <c r="C245">
        <v>47.694938497152201</v>
      </c>
      <c r="D245">
        <v>26.539051211439102</v>
      </c>
      <c r="E245">
        <v>7.7622699627641296</v>
      </c>
    </row>
    <row r="246" spans="1:5">
      <c r="A246" s="90">
        <v>1.42941271148656E-8</v>
      </c>
      <c r="B246">
        <v>-18.063417075305399</v>
      </c>
      <c r="C246">
        <v>24.906599770765801</v>
      </c>
      <c r="D246">
        <v>17.5538111710921</v>
      </c>
      <c r="E246">
        <v>5.7941154083979898</v>
      </c>
    </row>
    <row r="247" spans="1:5">
      <c r="A247" s="90">
        <v>2.6145667369587E-5</v>
      </c>
      <c r="B247">
        <v>-10.551827064943801</v>
      </c>
      <c r="C247">
        <v>25.614670430310099</v>
      </c>
      <c r="D247">
        <v>30.425631115213001</v>
      </c>
      <c r="E247">
        <v>5.7957019040851598</v>
      </c>
    </row>
    <row r="248" spans="1:5">
      <c r="A248" s="90">
        <v>4.9110281029042396E-7</v>
      </c>
      <c r="B248">
        <v>-14.5266123414773</v>
      </c>
      <c r="C248">
        <v>32.662800609599799</v>
      </c>
      <c r="D248">
        <v>17.694419985637101</v>
      </c>
      <c r="E248">
        <v>7.5300679670567101</v>
      </c>
    </row>
    <row r="249" spans="1:5">
      <c r="A249">
        <v>1.71058164499952E-2</v>
      </c>
      <c r="B249">
        <v>-4.0683367300345603</v>
      </c>
      <c r="C249">
        <v>45.769901373889297</v>
      </c>
      <c r="D249">
        <v>26.334565314464299</v>
      </c>
      <c r="E249">
        <v>2.0806251547890202</v>
      </c>
    </row>
    <row r="250" spans="1:5">
      <c r="A250">
        <v>3.3136851089676102E-2</v>
      </c>
      <c r="B250">
        <v>-3.4071092899147901</v>
      </c>
      <c r="C250">
        <v>32.406570290215299</v>
      </c>
      <c r="D250">
        <v>33.905111192725599</v>
      </c>
      <c r="E250">
        <v>1.58965474781087</v>
      </c>
    </row>
    <row r="251" spans="1:5">
      <c r="A251" s="90">
        <v>2.0863679897578301E-5</v>
      </c>
      <c r="B251">
        <v>-10.777500714670101</v>
      </c>
      <c r="C251">
        <v>47.998412585351602</v>
      </c>
      <c r="D251">
        <v>20.22336053662</v>
      </c>
      <c r="E251">
        <v>9.8789789650079403</v>
      </c>
    </row>
    <row r="252" spans="1:5">
      <c r="A252">
        <v>1.92012855372364E-3</v>
      </c>
      <c r="B252">
        <v>-6.2553631401194396</v>
      </c>
      <c r="C252">
        <v>43.6221867497079</v>
      </c>
      <c r="D252">
        <v>24.699119711294799</v>
      </c>
      <c r="E252">
        <v>1.9353455142276299</v>
      </c>
    </row>
    <row r="253" spans="1:5">
      <c r="A253">
        <v>3.19953736339462E-4</v>
      </c>
      <c r="B253">
        <v>-8.0473341465615</v>
      </c>
      <c r="C253">
        <v>40.335042183287399</v>
      </c>
      <c r="D253">
        <v>32.299037054181099</v>
      </c>
      <c r="E253">
        <v>2.63898300983307</v>
      </c>
    </row>
    <row r="254" spans="1:5">
      <c r="A254" s="90">
        <v>2.7786802989922002E-12</v>
      </c>
      <c r="B254">
        <v>-26.609045013530402</v>
      </c>
      <c r="C254">
        <v>14.189461295492899</v>
      </c>
      <c r="D254">
        <v>31.473135524429399</v>
      </c>
      <c r="E254">
        <v>3.9593491294601399</v>
      </c>
    </row>
    <row r="255" spans="1:5">
      <c r="A255" s="90">
        <v>1.03535592236069E-9</v>
      </c>
      <c r="B255">
        <v>-20.688520583005602</v>
      </c>
      <c r="C255">
        <v>25.279355141799901</v>
      </c>
      <c r="D255">
        <v>25.4644595133141</v>
      </c>
      <c r="E255">
        <v>5.7945945584823901</v>
      </c>
    </row>
    <row r="256" spans="1:5">
      <c r="A256" s="90">
        <v>5.2121355902622598E-7</v>
      </c>
      <c r="B256">
        <v>-14.467105977018299</v>
      </c>
      <c r="C256">
        <v>12.384727199096201</v>
      </c>
      <c r="D256">
        <v>34.654060411266997</v>
      </c>
      <c r="E256">
        <v>3.2775110008053101</v>
      </c>
    </row>
    <row r="257" spans="1:5">
      <c r="A257" s="90">
        <v>2.9822263847470298E-9</v>
      </c>
      <c r="B257">
        <v>-19.630595706400602</v>
      </c>
      <c r="C257">
        <v>47.720600575208699</v>
      </c>
      <c r="D257">
        <v>27.443885533139099</v>
      </c>
      <c r="E257">
        <v>9.7800116872529195</v>
      </c>
    </row>
    <row r="258" spans="1:5">
      <c r="A258" s="90">
        <v>3.0763226975209699E-6</v>
      </c>
      <c r="B258">
        <v>-12.6917756036566</v>
      </c>
      <c r="C258">
        <v>14.9944432973862</v>
      </c>
      <c r="D258">
        <v>28.099081022664901</v>
      </c>
      <c r="E258">
        <v>3.9697309588101599</v>
      </c>
    </row>
    <row r="259" spans="1:5">
      <c r="A259" s="90">
        <v>2.5966147101827799E-13</v>
      </c>
      <c r="B259">
        <v>-28.979397646823699</v>
      </c>
      <c r="C259">
        <v>19.954783148597901</v>
      </c>
      <c r="D259">
        <v>17.057413239963399</v>
      </c>
      <c r="E259">
        <v>3.9739143730845998</v>
      </c>
    </row>
    <row r="260" spans="1:5">
      <c r="A260" s="90">
        <v>6.9020422358769101E-10</v>
      </c>
      <c r="B260">
        <v>-21.094033585915501</v>
      </c>
      <c r="C260">
        <v>43.019565916620202</v>
      </c>
      <c r="D260">
        <v>23.157836236059701</v>
      </c>
      <c r="E260">
        <v>7.8207190928045902</v>
      </c>
    </row>
    <row r="261" spans="1:5">
      <c r="A261" s="90">
        <v>9.2930115361047595E-6</v>
      </c>
      <c r="B261">
        <v>-11.5862478880141</v>
      </c>
      <c r="C261">
        <v>30.480560275260402</v>
      </c>
      <c r="D261">
        <v>29.356451132334801</v>
      </c>
      <c r="E261">
        <v>7.3610839749825496</v>
      </c>
    </row>
    <row r="262" spans="1:5">
      <c r="A262" s="90">
        <v>3.43358443506147E-6</v>
      </c>
      <c r="B262">
        <v>-12.581905817645501</v>
      </c>
      <c r="C262">
        <v>14.6743539022282</v>
      </c>
      <c r="D262">
        <v>31.887739389203499</v>
      </c>
      <c r="E262">
        <v>3.9891028777547102</v>
      </c>
    </row>
    <row r="263" spans="1:5">
      <c r="A263">
        <v>1.8454805429056999E-2</v>
      </c>
      <c r="B263">
        <v>-3.9924304855491499</v>
      </c>
      <c r="C263">
        <v>20.922866806387901</v>
      </c>
      <c r="D263">
        <v>24.969593808054899</v>
      </c>
      <c r="E263">
        <v>1.46231094408083</v>
      </c>
    </row>
    <row r="264" spans="1:5">
      <c r="A264" s="90">
        <v>5.0329087067471E-10</v>
      </c>
      <c r="B264">
        <v>-21.409852841244401</v>
      </c>
      <c r="C264">
        <v>42.776471537072197</v>
      </c>
      <c r="D264">
        <v>27.319180900231</v>
      </c>
      <c r="E264">
        <v>7.8248117877700096</v>
      </c>
    </row>
    <row r="265" spans="1:5">
      <c r="A265" s="90">
        <v>6.1076298472111103E-12</v>
      </c>
      <c r="B265">
        <v>-25.8214823317164</v>
      </c>
      <c r="C265">
        <v>31.062290139496302</v>
      </c>
      <c r="D265">
        <v>16.215995396487401</v>
      </c>
      <c r="E265">
        <v>7.6119340994820801</v>
      </c>
    </row>
    <row r="266" spans="1:5">
      <c r="A266" s="90">
        <v>2.5596599081914899E-7</v>
      </c>
      <c r="B266">
        <v>-15.178221249654699</v>
      </c>
      <c r="C266">
        <v>37.788817562628502</v>
      </c>
      <c r="D266">
        <v>17.685302295722099</v>
      </c>
      <c r="E266">
        <v>7.2165031440702201</v>
      </c>
    </row>
    <row r="267" spans="1:5">
      <c r="A267">
        <v>1.56339112446436E-4</v>
      </c>
      <c r="B267">
        <v>-8.7634831122610208</v>
      </c>
      <c r="C267">
        <v>29.858838126994701</v>
      </c>
      <c r="D267">
        <v>19.296571277081998</v>
      </c>
      <c r="E267">
        <v>5.9922446101281697</v>
      </c>
    </row>
    <row r="268" spans="1:5">
      <c r="A268" s="90">
        <v>2.3585936355043899E-14</v>
      </c>
      <c r="B268">
        <v>-31.378125777667499</v>
      </c>
      <c r="C268">
        <v>8.3679807707667404</v>
      </c>
      <c r="D268">
        <v>34.420075863599799</v>
      </c>
      <c r="E268">
        <v>3.4805880560175999</v>
      </c>
    </row>
    <row r="269" spans="1:5">
      <c r="A269" s="90">
        <v>2.9534281924436001E-11</v>
      </c>
      <c r="B269">
        <v>-24.245469428163901</v>
      </c>
      <c r="C269">
        <v>10.187816705554701</v>
      </c>
      <c r="D269">
        <v>32.2851467132568</v>
      </c>
      <c r="E269">
        <v>3.12784218596533</v>
      </c>
    </row>
    <row r="270" spans="1:5">
      <c r="A270" s="90">
        <v>2.2471464808552999E-12</v>
      </c>
      <c r="B270">
        <v>-26.821359935328399</v>
      </c>
      <c r="C270">
        <v>37.553166040684999</v>
      </c>
      <c r="D270">
        <v>28.6947252741084</v>
      </c>
      <c r="E270">
        <v>7.1036846913455403</v>
      </c>
    </row>
    <row r="271" spans="1:5">
      <c r="A271">
        <v>7.2243109550077205E-4</v>
      </c>
      <c r="B271">
        <v>-7.2328885120747604</v>
      </c>
      <c r="C271">
        <v>24.807595531456201</v>
      </c>
      <c r="D271">
        <v>32.948624966666102</v>
      </c>
      <c r="E271">
        <v>1.94601264629335</v>
      </c>
    </row>
    <row r="272" spans="1:5">
      <c r="A272" s="90">
        <v>5.0301810108861899E-13</v>
      </c>
      <c r="B272">
        <v>-28.3181502391988</v>
      </c>
      <c r="C272">
        <v>43.031909571029203</v>
      </c>
      <c r="D272">
        <v>18.8018340850249</v>
      </c>
      <c r="E272">
        <v>7.8205896756207398</v>
      </c>
    </row>
    <row r="273" spans="1:5">
      <c r="A273" s="90">
        <v>8.3508613869425798E-14</v>
      </c>
      <c r="B273">
        <v>-30.113826608261601</v>
      </c>
      <c r="C273">
        <v>30.028897803276799</v>
      </c>
      <c r="D273">
        <v>28.017447302117901</v>
      </c>
      <c r="E273">
        <v>7.05471369775423</v>
      </c>
    </row>
    <row r="274" spans="1:5">
      <c r="A274" s="90">
        <v>9.3967920263161598E-7</v>
      </c>
      <c r="B274">
        <v>-13.8777272937257</v>
      </c>
      <c r="C274">
        <v>33.625119809061303</v>
      </c>
      <c r="D274">
        <v>26.7247289139777</v>
      </c>
      <c r="E274">
        <v>7.3531895635443503</v>
      </c>
    </row>
    <row r="275" spans="1:5">
      <c r="A275" s="90">
        <v>7.7475452152430093E-5</v>
      </c>
      <c r="B275">
        <v>-9.46554941819997</v>
      </c>
      <c r="C275">
        <v>22.0800696997903</v>
      </c>
      <c r="D275">
        <v>16.145632821135202</v>
      </c>
      <c r="E275">
        <v>5.4133710883117603</v>
      </c>
    </row>
    <row r="276" spans="1:5">
      <c r="A276" s="90">
        <v>1.0272229141647301E-12</v>
      </c>
      <c r="B276">
        <v>-27.604162154820401</v>
      </c>
      <c r="C276">
        <v>24.670748446602399</v>
      </c>
      <c r="D276">
        <v>18.309930893592501</v>
      </c>
      <c r="E276">
        <v>5.7940412554600602</v>
      </c>
    </row>
    <row r="277" spans="1:5">
      <c r="A277" s="90">
        <v>7.7687969847847403E-8</v>
      </c>
      <c r="B277">
        <v>-16.370565419773001</v>
      </c>
      <c r="C277">
        <v>24.787949620280401</v>
      </c>
      <c r="D277">
        <v>25.3245678404346</v>
      </c>
      <c r="E277">
        <v>5.7940618093535203</v>
      </c>
    </row>
    <row r="278" spans="1:5">
      <c r="A278" s="90">
        <v>1.08381484040921E-7</v>
      </c>
      <c r="B278">
        <v>-16.0376085739614</v>
      </c>
      <c r="C278">
        <v>29.7495415601879</v>
      </c>
      <c r="D278">
        <v>18.597190906293701</v>
      </c>
      <c r="E278">
        <v>6.8415415473588199</v>
      </c>
    </row>
    <row r="279" spans="1:5">
      <c r="A279" s="90">
        <v>9.2560786326456695E-7</v>
      </c>
      <c r="B279">
        <v>-13.892815165786899</v>
      </c>
      <c r="C279">
        <v>30.1852300930768</v>
      </c>
      <c r="D279">
        <v>26.508452203124801</v>
      </c>
      <c r="E279">
        <v>7.1687844189881202</v>
      </c>
    </row>
    <row r="280" spans="1:5">
      <c r="A280" s="90">
        <v>6.1129477730585203E-13</v>
      </c>
      <c r="B280">
        <v>-28.123197101498501</v>
      </c>
      <c r="C280">
        <v>35.233215243555598</v>
      </c>
      <c r="D280">
        <v>23.2403611531481</v>
      </c>
      <c r="E280">
        <v>7.0031486143544601</v>
      </c>
    </row>
    <row r="281" spans="1:5">
      <c r="A281" s="90">
        <v>1.5166072699576201E-12</v>
      </c>
      <c r="B281">
        <v>-27.214545335065999</v>
      </c>
      <c r="C281">
        <v>40.287807068787501</v>
      </c>
      <c r="D281">
        <v>17.846791967749599</v>
      </c>
      <c r="E281">
        <v>7.9761497488020199</v>
      </c>
    </row>
    <row r="282" spans="1:5">
      <c r="A282" s="90">
        <v>3.2982027921131597E-5</v>
      </c>
      <c r="B282">
        <v>-10.3195477533014</v>
      </c>
      <c r="C282">
        <v>22.781633967068</v>
      </c>
      <c r="D282">
        <v>26.1010176269338</v>
      </c>
      <c r="E282">
        <v>5.7245003340666898</v>
      </c>
    </row>
    <row r="283" spans="1:5">
      <c r="A283">
        <v>3.88445556820298E-4</v>
      </c>
      <c r="B283">
        <v>-7.8533575348613498</v>
      </c>
      <c r="C283">
        <v>42.877516248729101</v>
      </c>
      <c r="D283">
        <v>34.240822996944203</v>
      </c>
      <c r="E283">
        <v>2.2537583135017201</v>
      </c>
    </row>
    <row r="284" spans="1:5">
      <c r="A284">
        <v>1.9331551285479999E-3</v>
      </c>
      <c r="B284">
        <v>-6.2486018292352101</v>
      </c>
      <c r="C284">
        <v>39.193279722239801</v>
      </c>
      <c r="D284">
        <v>33.135163397528203</v>
      </c>
      <c r="E284">
        <v>3.3606854558193202</v>
      </c>
    </row>
    <row r="285" spans="1:5">
      <c r="A285" s="90">
        <v>2.12588320377789E-11</v>
      </c>
      <c r="B285">
        <v>-24.574248681599201</v>
      </c>
      <c r="C285">
        <v>32.348287810571499</v>
      </c>
      <c r="D285">
        <v>22.690990800038001</v>
      </c>
      <c r="E285">
        <v>7.5774636709594096</v>
      </c>
    </row>
    <row r="286" spans="1:5">
      <c r="A286" s="90">
        <v>4.23196933696967E-5</v>
      </c>
      <c r="B286">
        <v>-10.070258015958</v>
      </c>
      <c r="C286">
        <v>45.460079771000899</v>
      </c>
      <c r="D286">
        <v>15.5448052519932</v>
      </c>
      <c r="E286">
        <v>8.2124359654449908</v>
      </c>
    </row>
    <row r="287" spans="1:5">
      <c r="A287" s="90">
        <v>6.1679201196456003E-7</v>
      </c>
      <c r="B287">
        <v>-14.298733965552</v>
      </c>
      <c r="C287">
        <v>18.8297057962045</v>
      </c>
      <c r="D287">
        <v>33.098006700165598</v>
      </c>
      <c r="E287">
        <v>3.8096596953048101</v>
      </c>
    </row>
    <row r="288" spans="1:5">
      <c r="A288" s="90">
        <v>1.9501718059859399E-14</v>
      </c>
      <c r="B288">
        <v>-31.5682738275882</v>
      </c>
      <c r="C288">
        <v>44.246103837620502</v>
      </c>
      <c r="D288">
        <v>34.692009380087299</v>
      </c>
      <c r="E288">
        <v>7.8716156122552396</v>
      </c>
    </row>
    <row r="289" spans="1:5">
      <c r="A289" s="90">
        <v>3.9315525603385501E-7</v>
      </c>
      <c r="B289">
        <v>-14.749061249568999</v>
      </c>
      <c r="C289">
        <v>23.385273222345901</v>
      </c>
      <c r="D289">
        <v>20.806585196405599</v>
      </c>
      <c r="E289">
        <v>5.7950129840014997</v>
      </c>
    </row>
    <row r="290" spans="1:5">
      <c r="A290" s="90">
        <v>5.3345209223530804E-6</v>
      </c>
      <c r="B290">
        <v>-12.1413114762393</v>
      </c>
      <c r="C290">
        <v>8.0500813280232304</v>
      </c>
      <c r="D290">
        <v>32.696594903245597</v>
      </c>
      <c r="E290">
        <v>3.5302518181579199</v>
      </c>
    </row>
    <row r="291" spans="1:5">
      <c r="A291">
        <v>2.79306553650572E-4</v>
      </c>
      <c r="B291">
        <v>-8.1832006207321406</v>
      </c>
      <c r="C291">
        <v>37.829495806247003</v>
      </c>
      <c r="D291">
        <v>30.192541545257001</v>
      </c>
      <c r="E291">
        <v>3.22362087388015</v>
      </c>
    </row>
    <row r="292" spans="1:5">
      <c r="A292">
        <v>1.09425507464268E-4</v>
      </c>
      <c r="B292">
        <v>-9.1202665373447793</v>
      </c>
      <c r="C292">
        <v>49.6270082830451</v>
      </c>
      <c r="D292">
        <v>22.853642133995901</v>
      </c>
      <c r="E292">
        <v>9.7189239853491696</v>
      </c>
    </row>
    <row r="293" spans="1:5">
      <c r="A293" s="90">
        <v>5.3640641044142502E-14</v>
      </c>
      <c r="B293">
        <v>-30.5564693857084</v>
      </c>
      <c r="C293">
        <v>30.8066312884912</v>
      </c>
      <c r="D293">
        <v>22.686183061450699</v>
      </c>
      <c r="E293">
        <v>7.5251734285488396</v>
      </c>
    </row>
    <row r="294" spans="1:5">
      <c r="A294" s="90">
        <v>2.5883446945799101E-6</v>
      </c>
      <c r="B294">
        <v>-12.864492000635099</v>
      </c>
      <c r="C294">
        <v>16.5059322169982</v>
      </c>
      <c r="D294">
        <v>17.243486833758698</v>
      </c>
      <c r="E294">
        <v>3.8501393911292698</v>
      </c>
    </row>
    <row r="295" spans="1:5">
      <c r="A295" s="90">
        <v>3.65062292614178E-12</v>
      </c>
      <c r="B295">
        <v>-26.336123298199301</v>
      </c>
      <c r="C295">
        <v>24.818639346864099</v>
      </c>
      <c r="D295">
        <v>29.376685167662799</v>
      </c>
      <c r="E295">
        <v>5.79407223774525</v>
      </c>
    </row>
    <row r="296" spans="1:5">
      <c r="A296" s="90">
        <v>1.3723940862369201E-7</v>
      </c>
      <c r="B296">
        <v>-15.8015389280321</v>
      </c>
      <c r="C296">
        <v>39.883293784223497</v>
      </c>
      <c r="D296">
        <v>31.3869558786973</v>
      </c>
      <c r="E296">
        <v>8.0146349690257601</v>
      </c>
    </row>
    <row r="297" spans="1:5">
      <c r="A297" s="90">
        <v>3.0661340703317603E-8</v>
      </c>
      <c r="B297">
        <v>-17.300263236366199</v>
      </c>
      <c r="C297">
        <v>34.943601163104198</v>
      </c>
      <c r="D297">
        <v>30.4822081420571</v>
      </c>
      <c r="E297">
        <v>7.0638856891597204</v>
      </c>
    </row>
    <row r="298" spans="1:5">
      <c r="A298" s="90">
        <v>1.4632242722852101E-7</v>
      </c>
      <c r="B298">
        <v>-15.7374532445069</v>
      </c>
      <c r="C298">
        <v>35.981914303731202</v>
      </c>
      <c r="D298">
        <v>27.605303749442101</v>
      </c>
      <c r="E298">
        <v>6.8836506569053997</v>
      </c>
    </row>
    <row r="299" spans="1:5">
      <c r="A299">
        <v>5.5197451993695005E-4</v>
      </c>
      <c r="B299">
        <v>-7.5020086722870696</v>
      </c>
      <c r="C299">
        <v>8.4279087926261091</v>
      </c>
      <c r="D299">
        <v>15.3796039707959</v>
      </c>
      <c r="E299">
        <v>2.1142433919772801</v>
      </c>
    </row>
    <row r="300" spans="1:5">
      <c r="A300" s="90">
        <v>4.2067112778398001E-10</v>
      </c>
      <c r="B300">
        <v>-21.589169756676998</v>
      </c>
      <c r="C300">
        <v>30.910540597979001</v>
      </c>
      <c r="D300">
        <v>32.520682597532897</v>
      </c>
      <c r="E300">
        <v>7.5650781516485601</v>
      </c>
    </row>
    <row r="301" spans="1:5">
      <c r="A301" s="90">
        <v>2.6873437556249701E-14</v>
      </c>
      <c r="B301">
        <v>-31.247638047594801</v>
      </c>
      <c r="C301">
        <v>48.054765338543802</v>
      </c>
      <c r="D301">
        <v>27.511546546593301</v>
      </c>
      <c r="E301">
        <v>9.8922403146640097</v>
      </c>
    </row>
    <row r="302" spans="1:5">
      <c r="A302" s="90">
        <v>6.0056534810989601E-8</v>
      </c>
      <c r="B302">
        <v>-16.6279794715104</v>
      </c>
      <c r="C302">
        <v>19.381879081949599</v>
      </c>
      <c r="D302">
        <v>15.598759884014701</v>
      </c>
      <c r="E302">
        <v>3.85674356554326</v>
      </c>
    </row>
    <row r="303" spans="1:5">
      <c r="A303" s="90">
        <v>1.14487071352313E-14</v>
      </c>
      <c r="B303">
        <v>-32.100899585239297</v>
      </c>
      <c r="C303">
        <v>41.100099756848103</v>
      </c>
      <c r="D303">
        <v>19.204448573291302</v>
      </c>
      <c r="E303">
        <v>7.9071192238110504</v>
      </c>
    </row>
    <row r="304" spans="1:5">
      <c r="A304" s="90">
        <v>8.8744820465897005E-7</v>
      </c>
      <c r="B304">
        <v>-13.934915678247499</v>
      </c>
      <c r="C304">
        <v>47.3947906680405</v>
      </c>
      <c r="D304">
        <v>26.0452975705266</v>
      </c>
      <c r="E304">
        <v>9.6007568022007206</v>
      </c>
    </row>
    <row r="305" spans="1:5">
      <c r="A305" s="90">
        <v>9.5980919107623199E-14</v>
      </c>
      <c r="B305">
        <v>-29.9746269824937</v>
      </c>
      <c r="C305">
        <v>23.0505568711087</v>
      </c>
      <c r="D305">
        <v>17.971919048577501</v>
      </c>
      <c r="E305">
        <v>5.7770101052949503</v>
      </c>
    </row>
    <row r="306" spans="1:5">
      <c r="A306" s="90">
        <v>3.6375020026399598E-13</v>
      </c>
      <c r="B306">
        <v>-28.642309025871199</v>
      </c>
      <c r="C306">
        <v>25.811801762320101</v>
      </c>
      <c r="D306">
        <v>26.420359648764101</v>
      </c>
      <c r="E306">
        <v>5.7968614221141701</v>
      </c>
    </row>
    <row r="307" spans="1:5">
      <c r="A307" s="90">
        <v>4.0380426511610499E-13</v>
      </c>
      <c r="B307">
        <v>-28.537846126640702</v>
      </c>
      <c r="C307">
        <v>23.216894683428102</v>
      </c>
      <c r="D307">
        <v>18.1928471988067</v>
      </c>
      <c r="E307">
        <v>5.79217285708667</v>
      </c>
    </row>
    <row r="308" spans="1:5">
      <c r="A308" s="90">
        <v>1.16525409796463E-7</v>
      </c>
      <c r="B308">
        <v>-15.965156477882299</v>
      </c>
      <c r="C308">
        <v>9.2198698152788001</v>
      </c>
      <c r="D308">
        <v>25.045376876369101</v>
      </c>
      <c r="E308">
        <v>3.32263868804205</v>
      </c>
    </row>
    <row r="309" spans="1:5">
      <c r="A309">
        <v>1.8916875602728998E-2</v>
      </c>
      <c r="B309">
        <v>-3.9677008662715498</v>
      </c>
      <c r="C309">
        <v>34.673940539825701</v>
      </c>
      <c r="D309">
        <v>20.599344321526601</v>
      </c>
      <c r="E309">
        <v>1.5539792823681799</v>
      </c>
    </row>
    <row r="310" spans="1:5">
      <c r="A310" s="90">
        <v>2.6561654843986998E-13</v>
      </c>
      <c r="B310">
        <v>-28.956722673376301</v>
      </c>
      <c r="C310">
        <v>30.271511306054901</v>
      </c>
      <c r="D310">
        <v>22.743039787747001</v>
      </c>
      <c r="E310">
        <v>7.2285388080072002</v>
      </c>
    </row>
    <row r="311" spans="1:5">
      <c r="A311" s="90">
        <v>3.1161915403184001E-10</v>
      </c>
      <c r="B311">
        <v>-21.8892393338859</v>
      </c>
      <c r="C311">
        <v>21.144194957800199</v>
      </c>
      <c r="D311">
        <v>20.585925229825101</v>
      </c>
      <c r="E311">
        <v>4.6617857561262799</v>
      </c>
    </row>
    <row r="312" spans="1:5">
      <c r="A312">
        <v>5.3216815620707E-2</v>
      </c>
      <c r="B312">
        <v>-2.9333808494822802</v>
      </c>
      <c r="C312">
        <v>49.614067334216102</v>
      </c>
      <c r="D312">
        <v>17.074473053216899</v>
      </c>
      <c r="E312">
        <v>1.61478802046732</v>
      </c>
    </row>
    <row r="313" spans="1:5">
      <c r="A313" s="90">
        <v>8.01398524772221E-14</v>
      </c>
      <c r="B313">
        <v>-30.155003130517699</v>
      </c>
      <c r="C313">
        <v>25.390306677669301</v>
      </c>
      <c r="D313">
        <v>23.7437843112275</v>
      </c>
      <c r="E313">
        <v>5.7948682598307899</v>
      </c>
    </row>
    <row r="314" spans="1:5">
      <c r="A314" s="90">
        <v>6.9606887337248204E-12</v>
      </c>
      <c r="B314">
        <v>-25.690742690483098</v>
      </c>
      <c r="C314">
        <v>17.360893093515202</v>
      </c>
      <c r="D314">
        <v>22.654063361696899</v>
      </c>
      <c r="E314">
        <v>3.8122911552515002</v>
      </c>
    </row>
    <row r="315" spans="1:5">
      <c r="A315" s="90">
        <v>5.2227446774458197E-13</v>
      </c>
      <c r="B315">
        <v>-28.280583144935601</v>
      </c>
      <c r="C315">
        <v>25.175666923169</v>
      </c>
      <c r="D315">
        <v>34.432742879726</v>
      </c>
      <c r="E315">
        <v>5.7944019472060901</v>
      </c>
    </row>
    <row r="316" spans="1:5">
      <c r="A316" s="90">
        <v>6.3083688635548595E-13</v>
      </c>
      <c r="B316">
        <v>-28.0917290660154</v>
      </c>
      <c r="C316">
        <v>42.122620278503703</v>
      </c>
      <c r="D316">
        <v>15.9395957551897</v>
      </c>
      <c r="E316">
        <v>7.8469393002938403</v>
      </c>
    </row>
    <row r="317" spans="1:5">
      <c r="A317" s="90">
        <v>2.06009376080471E-5</v>
      </c>
      <c r="B317">
        <v>-10.7901739682508</v>
      </c>
      <c r="C317">
        <v>19.546775388531401</v>
      </c>
      <c r="D317">
        <v>18.6342767812312</v>
      </c>
      <c r="E317">
        <v>3.8815155965102499</v>
      </c>
    </row>
    <row r="318" spans="1:5">
      <c r="A318" s="90">
        <v>6.33074769162346E-6</v>
      </c>
      <c r="B318">
        <v>-11.9700922100438</v>
      </c>
      <c r="C318">
        <v>44.165605623740703</v>
      </c>
      <c r="D318">
        <v>27.4863195838407</v>
      </c>
      <c r="E318">
        <v>7.8624209412273203</v>
      </c>
    </row>
    <row r="319" spans="1:5">
      <c r="A319" s="90">
        <v>2.4723453801484299E-10</v>
      </c>
      <c r="B319">
        <v>-22.120683683216001</v>
      </c>
      <c r="C319">
        <v>48.407417928800001</v>
      </c>
      <c r="D319">
        <v>34.866049909032903</v>
      </c>
      <c r="E319">
        <v>9.9217712743973898</v>
      </c>
    </row>
    <row r="320" spans="1:5">
      <c r="A320" s="90">
        <v>4.30102612613086E-13</v>
      </c>
      <c r="B320">
        <v>-28.474752580707701</v>
      </c>
      <c r="C320">
        <v>20.479312977753601</v>
      </c>
      <c r="D320">
        <v>25.2692734682932</v>
      </c>
      <c r="E320">
        <v>4.1883613511492896</v>
      </c>
    </row>
    <row r="321" spans="1:5">
      <c r="A321">
        <v>2.62999775880155E-2</v>
      </c>
      <c r="B321">
        <v>-3.63818719196549</v>
      </c>
      <c r="C321">
        <v>33.5333657050505</v>
      </c>
      <c r="D321">
        <v>24.071957864798598</v>
      </c>
      <c r="E321">
        <v>2.2551451065021402</v>
      </c>
    </row>
    <row r="322" spans="1:5">
      <c r="A322" s="90">
        <v>2.4334896367906899E-9</v>
      </c>
      <c r="B322">
        <v>-19.833939545225601</v>
      </c>
      <c r="C322">
        <v>15.0431408933364</v>
      </c>
      <c r="D322">
        <v>31.230006800033198</v>
      </c>
      <c r="E322">
        <v>3.9645959951365799</v>
      </c>
    </row>
    <row r="323" spans="1:5">
      <c r="A323" s="90">
        <v>3.9527630901564799E-8</v>
      </c>
      <c r="B323">
        <v>-17.0462658930917</v>
      </c>
      <c r="C323">
        <v>38.426668997388298</v>
      </c>
      <c r="D323">
        <v>33.9789421856403</v>
      </c>
      <c r="E323">
        <v>7.5753460609950798</v>
      </c>
    </row>
    <row r="324" spans="1:5">
      <c r="A324" s="90">
        <v>3.5978732838750297E-11</v>
      </c>
      <c r="B324">
        <v>-24.0480931065158</v>
      </c>
      <c r="C324">
        <v>42.109538083430401</v>
      </c>
      <c r="D324">
        <v>26.922665382735399</v>
      </c>
      <c r="E324">
        <v>7.8475284316843403</v>
      </c>
    </row>
    <row r="325" spans="1:5">
      <c r="A325" s="90">
        <v>3.5501338208081803E-10</v>
      </c>
      <c r="B325">
        <v>-21.758865631161299</v>
      </c>
      <c r="C325">
        <v>35.395979175809799</v>
      </c>
      <c r="D325">
        <v>30.417644963599699</v>
      </c>
      <c r="E325">
        <v>6.9713109433906002</v>
      </c>
    </row>
    <row r="326" spans="1:5">
      <c r="A326" s="90">
        <v>6.0518101467458401E-9</v>
      </c>
      <c r="B326">
        <v>-18.922908411845199</v>
      </c>
      <c r="C326">
        <v>31.306206199806201</v>
      </c>
      <c r="D326">
        <v>32.958359615877299</v>
      </c>
      <c r="E326">
        <v>7.6585881496695798</v>
      </c>
    </row>
    <row r="327" spans="1:5">
      <c r="A327" s="90">
        <v>3.0241435958871202E-14</v>
      </c>
      <c r="B327">
        <v>-31.1295633593143</v>
      </c>
      <c r="C327">
        <v>32.242973333690301</v>
      </c>
      <c r="D327">
        <v>21.161611499264801</v>
      </c>
      <c r="E327">
        <v>7.5920842522671599</v>
      </c>
    </row>
    <row r="328" spans="1:5">
      <c r="A328" s="90">
        <v>5.97892610575061E-8</v>
      </c>
      <c r="B328">
        <v>-16.6324397730946</v>
      </c>
      <c r="C328">
        <v>38.661586877889903</v>
      </c>
      <c r="D328">
        <v>21.5901878429577</v>
      </c>
      <c r="E328">
        <v>7.7026441281288198</v>
      </c>
    </row>
    <row r="329" spans="1:5">
      <c r="A329" s="90">
        <v>7.7937189195582597E-10</v>
      </c>
      <c r="B329">
        <v>-20.972532787369602</v>
      </c>
      <c r="C329">
        <v>29.040763857774401</v>
      </c>
      <c r="D329">
        <v>30.115858730860101</v>
      </c>
      <c r="E329">
        <v>6.3499772738622804</v>
      </c>
    </row>
    <row r="330" spans="1:5">
      <c r="A330">
        <v>7.4803654121097295E-4</v>
      </c>
      <c r="B330">
        <v>-7.1980587292966796</v>
      </c>
      <c r="C330">
        <v>44.987713194917902</v>
      </c>
      <c r="D330">
        <v>22.1528794523329</v>
      </c>
      <c r="E330">
        <v>3.4825580122439299</v>
      </c>
    </row>
    <row r="331" spans="1:5">
      <c r="A331" s="90">
        <v>2.63270540278624E-11</v>
      </c>
      <c r="B331">
        <v>-24.360424035202598</v>
      </c>
      <c r="C331">
        <v>34.813417441211598</v>
      </c>
      <c r="D331">
        <v>17.752299648709599</v>
      </c>
      <c r="E331">
        <v>7.0924115321010497</v>
      </c>
    </row>
    <row r="332" spans="1:5">
      <c r="A332" s="90">
        <v>1.7951853206389099E-10</v>
      </c>
      <c r="B332">
        <v>-22.4407426706336</v>
      </c>
      <c r="C332">
        <v>41.500963629223399</v>
      </c>
      <c r="D332">
        <v>27.629704754799601</v>
      </c>
      <c r="E332">
        <v>7.8801462441887002</v>
      </c>
    </row>
    <row r="333" spans="1:5">
      <c r="A333" s="90">
        <v>6.5077334631235405E-7</v>
      </c>
      <c r="B333">
        <v>-14.245104417706999</v>
      </c>
      <c r="C333">
        <v>34.744248977396602</v>
      </c>
      <c r="D333">
        <v>19.222134915180501</v>
      </c>
      <c r="E333">
        <v>7.1077604005568498</v>
      </c>
    </row>
    <row r="334" spans="1:5">
      <c r="A334" s="90">
        <v>2.2990630852645499E-12</v>
      </c>
      <c r="B334">
        <v>-26.7985194302175</v>
      </c>
      <c r="C334">
        <v>34.396358998492403</v>
      </c>
      <c r="D334">
        <v>21.171773625537799</v>
      </c>
      <c r="E334">
        <v>7.1858535692558396</v>
      </c>
    </row>
    <row r="335" spans="1:5">
      <c r="A335" s="90">
        <v>1.30790398279469E-7</v>
      </c>
      <c r="B335">
        <v>-15.8496698082671</v>
      </c>
      <c r="C335">
        <v>21.135579533409299</v>
      </c>
      <c r="D335">
        <v>23.400732609443399</v>
      </c>
      <c r="E335">
        <v>4.6544683461462499</v>
      </c>
    </row>
    <row r="336" spans="1:5">
      <c r="A336" s="90">
        <v>2.40596024614769E-5</v>
      </c>
      <c r="B336">
        <v>-10.634976370352399</v>
      </c>
      <c r="C336">
        <v>16.589288467075701</v>
      </c>
      <c r="D336">
        <v>29.694412127137198</v>
      </c>
      <c r="E336">
        <v>3.8456061462172699</v>
      </c>
    </row>
    <row r="337" spans="1:5">
      <c r="A337" s="90">
        <v>8.1707384705734798E-14</v>
      </c>
      <c r="B337">
        <v>-30.135632009054401</v>
      </c>
      <c r="C337">
        <v>9.8410266949795204</v>
      </c>
      <c r="D337">
        <v>18.122005639597798</v>
      </c>
      <c r="E337">
        <v>3.1956923268815798</v>
      </c>
    </row>
    <row r="338" spans="1:5">
      <c r="A338" s="90">
        <v>6.8651838406208095E-7</v>
      </c>
      <c r="B338">
        <v>-14.1916328326911</v>
      </c>
      <c r="C338">
        <v>19.752728665247599</v>
      </c>
      <c r="D338">
        <v>15.9795828256756</v>
      </c>
      <c r="E338">
        <v>3.9217835440728201</v>
      </c>
    </row>
    <row r="339" spans="1:5">
      <c r="A339">
        <v>5.6707184533113001E-4</v>
      </c>
      <c r="B339">
        <v>-7.4750245509213498</v>
      </c>
      <c r="C339">
        <v>30.704957853071399</v>
      </c>
      <c r="D339">
        <v>34.060392882674897</v>
      </c>
      <c r="E339">
        <v>2.40681506111734</v>
      </c>
    </row>
    <row r="340" spans="1:5">
      <c r="A340" s="90">
        <v>4.0651918932811402E-6</v>
      </c>
      <c r="B340">
        <v>-12.413049609859501</v>
      </c>
      <c r="C340">
        <v>42.102953880559703</v>
      </c>
      <c r="D340">
        <v>17.9391718376428</v>
      </c>
      <c r="E340">
        <v>7.8478268004174101</v>
      </c>
    </row>
    <row r="341" spans="1:5">
      <c r="A341">
        <v>3.9335652679617202E-2</v>
      </c>
      <c r="B341">
        <v>-3.2356239784920899</v>
      </c>
      <c r="C341">
        <v>11.455607340671101</v>
      </c>
      <c r="D341">
        <v>24.222936569713099</v>
      </c>
      <c r="E341">
        <v>3.4871049253077802</v>
      </c>
    </row>
    <row r="342" spans="1:5">
      <c r="A342" s="90">
        <v>3.8696689408442201E-8</v>
      </c>
      <c r="B342">
        <v>-17.067511785571401</v>
      </c>
      <c r="C342">
        <v>35.0071582864039</v>
      </c>
      <c r="D342">
        <v>27.447684896178501</v>
      </c>
      <c r="E342">
        <v>7.0501841261084603</v>
      </c>
    </row>
    <row r="343" spans="1:5">
      <c r="A343" s="90">
        <v>6.24002500992388E-6</v>
      </c>
      <c r="B343">
        <v>-11.9845263675903</v>
      </c>
      <c r="C343">
        <v>12.182740982156201</v>
      </c>
      <c r="D343">
        <v>25.390490591526</v>
      </c>
      <c r="E343">
        <v>3.1949980424912798</v>
      </c>
    </row>
    <row r="344" spans="1:5">
      <c r="A344" s="90">
        <v>4.2454410175004999E-11</v>
      </c>
      <c r="B344">
        <v>-23.882590317519099</v>
      </c>
      <c r="C344">
        <v>27.989265266805901</v>
      </c>
      <c r="D344">
        <v>32.842551190406098</v>
      </c>
      <c r="E344">
        <v>5.9475424493093199</v>
      </c>
    </row>
    <row r="345" spans="1:5">
      <c r="A345">
        <v>7.6824152623829701E-3</v>
      </c>
      <c r="B345">
        <v>-4.8688212939738698</v>
      </c>
      <c r="C345">
        <v>46.867263727355699</v>
      </c>
      <c r="D345">
        <v>30.239408169873101</v>
      </c>
      <c r="E345">
        <v>1.48252009245155</v>
      </c>
    </row>
    <row r="346" spans="1:5">
      <c r="A346">
        <v>4.4336866386199698E-4</v>
      </c>
      <c r="B346">
        <v>-7.7211089356700997</v>
      </c>
      <c r="C346">
        <v>30.1469085710123</v>
      </c>
      <c r="D346">
        <v>28.973345896229102</v>
      </c>
      <c r="E346">
        <v>2.92963316916466</v>
      </c>
    </row>
    <row r="347" spans="1:5">
      <c r="A347">
        <v>8.8597498583657102E-3</v>
      </c>
      <c r="B347">
        <v>-4.7262367474538003</v>
      </c>
      <c r="C347">
        <v>26.383611405268301</v>
      </c>
      <c r="D347">
        <v>25.6730767711997</v>
      </c>
      <c r="E347">
        <v>1.5563914617638099</v>
      </c>
    </row>
    <row r="348" spans="1:5">
      <c r="A348" s="90">
        <v>3.39134599258821E-11</v>
      </c>
      <c r="B348">
        <v>-24.107209132383701</v>
      </c>
      <c r="C348">
        <v>17.039231028407801</v>
      </c>
      <c r="D348">
        <v>34.538602516986401</v>
      </c>
      <c r="E348">
        <v>3.82428148874985</v>
      </c>
    </row>
    <row r="349" spans="1:5">
      <c r="A349" s="90">
        <v>3.3767579651634899E-9</v>
      </c>
      <c r="B349">
        <v>-19.5063497696651</v>
      </c>
      <c r="C349">
        <v>29.428158760536501</v>
      </c>
      <c r="D349">
        <v>33.966704327613101</v>
      </c>
      <c r="E349">
        <v>6.60199143635319</v>
      </c>
    </row>
    <row r="350" spans="1:5">
      <c r="A350" s="90">
        <v>1.3542281648080101E-10</v>
      </c>
      <c r="B350">
        <v>-22.7226192579718</v>
      </c>
      <c r="C350">
        <v>21.120762133505199</v>
      </c>
      <c r="D350">
        <v>22.909169504419001</v>
      </c>
      <c r="E350">
        <v>4.6419265553118798</v>
      </c>
    </row>
    <row r="351" spans="1:5">
      <c r="A351" s="90">
        <v>8.6048942300273805E-14</v>
      </c>
      <c r="B351">
        <v>-30.0838601640164</v>
      </c>
      <c r="C351">
        <v>17.414456878788801</v>
      </c>
      <c r="D351">
        <v>28.241963740438202</v>
      </c>
      <c r="E351">
        <v>3.8105711414118999</v>
      </c>
    </row>
    <row r="352" spans="1:5">
      <c r="A352" s="90">
        <v>7.8362932929392201E-9</v>
      </c>
      <c r="B352">
        <v>-18.664499908654498</v>
      </c>
      <c r="C352">
        <v>14.8610273697414</v>
      </c>
      <c r="D352">
        <v>27.942203832790302</v>
      </c>
      <c r="E352">
        <v>3.9812729345095299</v>
      </c>
    </row>
    <row r="353" spans="1:5">
      <c r="A353" s="90">
        <v>6.2389051659913001E-6</v>
      </c>
      <c r="B353">
        <v>-11.9847058451449</v>
      </c>
      <c r="C353">
        <v>17.132751698140101</v>
      </c>
      <c r="D353">
        <v>31.815636088140302</v>
      </c>
      <c r="E353">
        <v>3.8205097111296902</v>
      </c>
    </row>
    <row r="354" spans="1:5">
      <c r="A354" s="90">
        <v>7.3153150101008899E-8</v>
      </c>
      <c r="B354">
        <v>-16.430710646825698</v>
      </c>
      <c r="C354">
        <v>34.804658785462401</v>
      </c>
      <c r="D354">
        <v>24.7544931946322</v>
      </c>
      <c r="E354">
        <v>7.0943488935415298</v>
      </c>
    </row>
    <row r="355" spans="1:5">
      <c r="A355" s="90">
        <v>1.2397409887997199E-12</v>
      </c>
      <c r="B355">
        <v>-27.4161186381303</v>
      </c>
      <c r="C355">
        <v>38.632011230569297</v>
      </c>
      <c r="D355">
        <v>22.873251386918099</v>
      </c>
      <c r="E355">
        <v>7.6873507280976296</v>
      </c>
    </row>
    <row r="356" spans="1:5">
      <c r="A356" s="90">
        <v>9.1889375264797703E-14</v>
      </c>
      <c r="B356">
        <v>-30.0181909841499</v>
      </c>
      <c r="C356">
        <v>35.094969680067202</v>
      </c>
      <c r="D356">
        <v>27.660193885676598</v>
      </c>
      <c r="E356">
        <v>7.0315629714650596</v>
      </c>
    </row>
    <row r="357" spans="1:5">
      <c r="A357" s="90">
        <v>7.5373780061349197E-13</v>
      </c>
      <c r="B357">
        <v>-27.913731831924299</v>
      </c>
      <c r="C357">
        <v>16.044060528278401</v>
      </c>
      <c r="D357">
        <v>23.086250415071799</v>
      </c>
      <c r="E357">
        <v>3.87866974526428</v>
      </c>
    </row>
    <row r="358" spans="1:5">
      <c r="A358">
        <v>2.17313320077399E-4</v>
      </c>
      <c r="B358">
        <v>-8.4341703744793008</v>
      </c>
      <c r="C358">
        <v>20.3946469435468</v>
      </c>
      <c r="D358">
        <v>32.743614059872897</v>
      </c>
      <c r="E358">
        <v>3.0078400521317699</v>
      </c>
    </row>
    <row r="359" spans="1:5">
      <c r="A359">
        <v>1.5201061723996399E-3</v>
      </c>
      <c r="B359">
        <v>-6.4889750963004502</v>
      </c>
      <c r="C359">
        <v>40.5927100284025</v>
      </c>
      <c r="D359">
        <v>26.783916647546</v>
      </c>
      <c r="E359">
        <v>2.2323116777846099</v>
      </c>
    </row>
    <row r="360" spans="1:5">
      <c r="A360" s="90">
        <v>3.6590662557282601E-8</v>
      </c>
      <c r="B360">
        <v>-17.123472750473798</v>
      </c>
      <c r="C360">
        <v>45.175127158872797</v>
      </c>
      <c r="D360">
        <v>32.783892354928</v>
      </c>
      <c r="E360">
        <v>8.0901054468688791</v>
      </c>
    </row>
    <row r="361" spans="1:5">
      <c r="A361" s="90">
        <v>2.0392088247679001E-8</v>
      </c>
      <c r="B361">
        <v>-17.708118842318299</v>
      </c>
      <c r="C361">
        <v>17.3461289200932</v>
      </c>
      <c r="D361">
        <v>31.456008460372701</v>
      </c>
      <c r="E361">
        <v>3.81277965113782</v>
      </c>
    </row>
    <row r="362" spans="1:5">
      <c r="A362" s="90">
        <v>2.5462672862392401E-12</v>
      </c>
      <c r="B362">
        <v>-26.696392638491702</v>
      </c>
      <c r="C362">
        <v>48.673633567523197</v>
      </c>
      <c r="D362">
        <v>21.991438893601298</v>
      </c>
      <c r="E362">
        <v>9.9213521390064408</v>
      </c>
    </row>
    <row r="363" spans="1:5">
      <c r="A363" s="90">
        <v>7.2869686870340394E-14</v>
      </c>
      <c r="B363">
        <v>-30.250103660337501</v>
      </c>
      <c r="C363">
        <v>18.797407501377201</v>
      </c>
      <c r="D363">
        <v>26.5292993886396</v>
      </c>
      <c r="E363">
        <v>3.8081659025064099</v>
      </c>
    </row>
    <row r="364" spans="1:5">
      <c r="A364">
        <v>1.4584001981394901E-4</v>
      </c>
      <c r="B364">
        <v>-8.8330002917330095</v>
      </c>
      <c r="C364">
        <v>35.318078019190601</v>
      </c>
      <c r="D364">
        <v>16.292930478230101</v>
      </c>
      <c r="E364">
        <v>6.4497429322550399</v>
      </c>
    </row>
    <row r="365" spans="1:5">
      <c r="A365">
        <v>4.3189806639949702E-2</v>
      </c>
      <c r="B365">
        <v>-3.1421507689829702</v>
      </c>
      <c r="C365">
        <v>18.652705564629301</v>
      </c>
      <c r="D365">
        <v>19.2988244071603</v>
      </c>
      <c r="E365">
        <v>1.9292628041331601</v>
      </c>
    </row>
    <row r="366" spans="1:5">
      <c r="A366" s="90">
        <v>2.72596455331344E-9</v>
      </c>
      <c r="B366">
        <v>-19.720443506943202</v>
      </c>
      <c r="C366">
        <v>43.937744540162399</v>
      </c>
      <c r="D366">
        <v>27.565850066021099</v>
      </c>
      <c r="E366">
        <v>7.8422276433213298</v>
      </c>
    </row>
    <row r="367" spans="1:5">
      <c r="A367" s="90">
        <v>4.9089950505989003E-7</v>
      </c>
      <c r="B367">
        <v>-14.527026404112901</v>
      </c>
      <c r="C367">
        <v>32.334285725373803</v>
      </c>
      <c r="D367">
        <v>29.743561921641199</v>
      </c>
      <c r="E367">
        <v>7.5794441698165098</v>
      </c>
    </row>
    <row r="368" spans="1:5">
      <c r="A368">
        <v>5.1122070428513402E-3</v>
      </c>
      <c r="B368">
        <v>-5.2761240613868203</v>
      </c>
      <c r="C368">
        <v>10.073495326098101</v>
      </c>
      <c r="D368">
        <v>16.426029871217899</v>
      </c>
      <c r="E368">
        <v>1.7406970706993801</v>
      </c>
    </row>
    <row r="369" spans="1:5">
      <c r="A369" s="90">
        <v>5.4947882245292702E-6</v>
      </c>
      <c r="B369">
        <v>-12.111710510518501</v>
      </c>
      <c r="C369">
        <v>21.0818610657007</v>
      </c>
      <c r="D369">
        <v>18.658800502307699</v>
      </c>
      <c r="E369">
        <v>4.6092832125582497</v>
      </c>
    </row>
    <row r="370" spans="1:5">
      <c r="A370" s="90">
        <v>2.1381708346337302E-9</v>
      </c>
      <c r="B370">
        <v>-19.963315123590998</v>
      </c>
      <c r="C370">
        <v>37.268783879932002</v>
      </c>
      <c r="D370">
        <v>26.162120918743302</v>
      </c>
      <c r="E370">
        <v>6.9946749023296997</v>
      </c>
    </row>
    <row r="371" spans="1:5">
      <c r="A371" s="90">
        <v>3.6510488881770299E-9</v>
      </c>
      <c r="B371">
        <v>-19.42825134401</v>
      </c>
      <c r="C371">
        <v>32.723140185698902</v>
      </c>
      <c r="D371">
        <v>21.848887447267799</v>
      </c>
      <c r="E371">
        <v>7.5203493248039299</v>
      </c>
    </row>
    <row r="372" spans="1:5">
      <c r="A372">
        <v>4.8736823318444898E-4</v>
      </c>
      <c r="B372">
        <v>-7.6264905949652402</v>
      </c>
      <c r="C372">
        <v>17.9353003804572</v>
      </c>
      <c r="D372">
        <v>22.503831894137001</v>
      </c>
      <c r="E372">
        <v>2.0822485169089799</v>
      </c>
    </row>
    <row r="373" spans="1:5">
      <c r="A373" s="90">
        <v>5.1396431826517798E-7</v>
      </c>
      <c r="B373">
        <v>-14.4811119936185</v>
      </c>
      <c r="C373">
        <v>16.933981180191001</v>
      </c>
      <c r="D373">
        <v>21.573242619633699</v>
      </c>
      <c r="E373">
        <v>3.8287991432048001</v>
      </c>
    </row>
    <row r="374" spans="1:5">
      <c r="A374" s="90">
        <v>5.0271121108797701E-11</v>
      </c>
      <c r="B374">
        <v>-23.713590336726199</v>
      </c>
      <c r="C374">
        <v>19.040778584312601</v>
      </c>
      <c r="D374">
        <v>22.7141690487042</v>
      </c>
      <c r="E374">
        <v>3.82241345602502</v>
      </c>
    </row>
    <row r="375" spans="1:5">
      <c r="A375" s="90">
        <v>5.8601788284465897E-13</v>
      </c>
      <c r="B375">
        <v>-28.165426088999499</v>
      </c>
      <c r="C375">
        <v>24.349687910173099</v>
      </c>
      <c r="D375">
        <v>16.911407313309599</v>
      </c>
      <c r="E375">
        <v>5.7941085925379596</v>
      </c>
    </row>
    <row r="376" spans="1:5">
      <c r="A376" s="90">
        <v>4.8087054341145802E-13</v>
      </c>
      <c r="B376">
        <v>-28.363178301546501</v>
      </c>
      <c r="C376">
        <v>38.829747073817998</v>
      </c>
      <c r="D376">
        <v>31.4917452260852</v>
      </c>
      <c r="E376">
        <v>7.7844896257364198</v>
      </c>
    </row>
    <row r="377" spans="1:5">
      <c r="A377" s="90">
        <v>2.29504293693736E-14</v>
      </c>
      <c r="B377">
        <v>-31.405439749673999</v>
      </c>
      <c r="C377">
        <v>31.173001525457899</v>
      </c>
      <c r="D377">
        <v>26.0486197052523</v>
      </c>
      <c r="E377">
        <v>7.6377564541238003</v>
      </c>
    </row>
    <row r="378" spans="1:5">
      <c r="A378" s="90">
        <v>6.5215407450447704E-11</v>
      </c>
      <c r="B378">
        <v>-23.453325364323199</v>
      </c>
      <c r="C378">
        <v>8.6639416618272698</v>
      </c>
      <c r="D378">
        <v>29.820651570334999</v>
      </c>
      <c r="E378">
        <v>3.4294412634526998</v>
      </c>
    </row>
    <row r="379" spans="1:5">
      <c r="A379" s="90">
        <v>1.8187533156063101E-8</v>
      </c>
      <c r="B379">
        <v>-17.8225294690026</v>
      </c>
      <c r="C379">
        <v>15.538751678541299</v>
      </c>
      <c r="D379">
        <v>31.4313012547791</v>
      </c>
      <c r="E379">
        <v>3.9175313207887101</v>
      </c>
    </row>
    <row r="380" spans="1:5">
      <c r="A380" s="90">
        <v>4.4898860820181598E-10</v>
      </c>
      <c r="B380">
        <v>-21.524023599996301</v>
      </c>
      <c r="C380">
        <v>18.788901414722201</v>
      </c>
      <c r="D380">
        <v>21.8321698345244</v>
      </c>
      <c r="E380">
        <v>3.80779083217783</v>
      </c>
    </row>
    <row r="381" spans="1:5">
      <c r="A381" s="90">
        <v>6.4746576139967201E-7</v>
      </c>
      <c r="B381">
        <v>-14.250199922918</v>
      </c>
      <c r="C381">
        <v>18.205729008186601</v>
      </c>
      <c r="D381">
        <v>16.334627396427098</v>
      </c>
      <c r="E381">
        <v>3.7964769066817099</v>
      </c>
    </row>
    <row r="382" spans="1:5">
      <c r="A382" s="90">
        <v>5.6352993557312304E-13</v>
      </c>
      <c r="B382">
        <v>-28.2045559384885</v>
      </c>
      <c r="C382">
        <v>23.601886678952699</v>
      </c>
      <c r="D382">
        <v>15.818190127611199</v>
      </c>
      <c r="E382">
        <v>5.79473116886476</v>
      </c>
    </row>
    <row r="383" spans="1:5">
      <c r="A383" s="90">
        <v>3.8674834494929501E-13</v>
      </c>
      <c r="B383">
        <v>-28.5810021848479</v>
      </c>
      <c r="C383">
        <v>48.614659534767299</v>
      </c>
      <c r="D383">
        <v>19.7493982827291</v>
      </c>
      <c r="E383">
        <v>9.9214373130962095</v>
      </c>
    </row>
    <row r="384" spans="1:5">
      <c r="A384" s="90">
        <v>3.1731053182838401E-5</v>
      </c>
      <c r="B384">
        <v>-10.358214760898599</v>
      </c>
      <c r="C384">
        <v>40.098194234073198</v>
      </c>
      <c r="D384">
        <v>15.324131855741101</v>
      </c>
      <c r="E384">
        <v>7.9952907353033096</v>
      </c>
    </row>
    <row r="385" spans="1:5">
      <c r="A385" s="90">
        <v>1.19423584523763E-11</v>
      </c>
      <c r="B385">
        <v>-25.150929502145001</v>
      </c>
      <c r="C385">
        <v>16.997311853803701</v>
      </c>
      <c r="D385">
        <v>25.0190875539556</v>
      </c>
      <c r="E385">
        <v>3.82604631552962</v>
      </c>
    </row>
    <row r="386" spans="1:5">
      <c r="A386" s="90">
        <v>1.3043940753403799E-6</v>
      </c>
      <c r="B386">
        <v>-13.549771935098899</v>
      </c>
      <c r="C386">
        <v>16.091665705200299</v>
      </c>
      <c r="D386">
        <v>26.3339590094984</v>
      </c>
      <c r="E386">
        <v>3.8754302491787098</v>
      </c>
    </row>
    <row r="387" spans="1:5">
      <c r="A387" s="90">
        <v>3.5308762285009401E-5</v>
      </c>
      <c r="B387">
        <v>-10.251379401455999</v>
      </c>
      <c r="C387">
        <v>28.829074383713301</v>
      </c>
      <c r="D387">
        <v>27.269320418126899</v>
      </c>
      <c r="E387">
        <v>6.2358361383625596</v>
      </c>
    </row>
    <row r="388" spans="1:5">
      <c r="A388" s="90">
        <v>1.50932648769232E-11</v>
      </c>
      <c r="B388">
        <v>-24.916772506251601</v>
      </c>
      <c r="C388">
        <v>20.332045061048099</v>
      </c>
      <c r="D388">
        <v>29.9525167699903</v>
      </c>
      <c r="E388">
        <v>4.11471043719098</v>
      </c>
    </row>
    <row r="389" spans="1:5">
      <c r="A389">
        <v>8.4614301377455901E-4</v>
      </c>
      <c r="B389">
        <v>-7.0748221656300396</v>
      </c>
      <c r="C389">
        <v>19.7491415347904</v>
      </c>
      <c r="D389">
        <v>16.1530050542206</v>
      </c>
      <c r="E389">
        <v>2.3432735569981098</v>
      </c>
    </row>
    <row r="390" spans="1:5">
      <c r="A390">
        <v>8.7572204666156207E-3</v>
      </c>
      <c r="B390">
        <v>-4.7378767227151499</v>
      </c>
      <c r="C390">
        <v>37.151618633884901</v>
      </c>
      <c r="D390">
        <v>28.279447313398101</v>
      </c>
      <c r="E390">
        <v>2.332393713583</v>
      </c>
    </row>
    <row r="391" spans="1:5">
      <c r="A391" s="90">
        <v>1.8699415105335499E-8</v>
      </c>
      <c r="B391">
        <v>-17.794773591364599</v>
      </c>
      <c r="C391">
        <v>27.9494866025634</v>
      </c>
      <c r="D391">
        <v>30.024908464401999</v>
      </c>
      <c r="E391">
        <v>5.9392426025779397</v>
      </c>
    </row>
    <row r="392" spans="1:5">
      <c r="A392" s="90">
        <v>4.2598920764350697E-8</v>
      </c>
      <c r="B392">
        <v>-16.971436918162201</v>
      </c>
      <c r="C392">
        <v>25.3881260934286</v>
      </c>
      <c r="D392">
        <v>24.547139345668299</v>
      </c>
      <c r="E392">
        <v>5.7948621305875498</v>
      </c>
    </row>
    <row r="393" spans="1:5">
      <c r="A393">
        <v>1.4847133811507401E-4</v>
      </c>
      <c r="B393">
        <v>-8.8151186276763198</v>
      </c>
      <c r="C393">
        <v>35.521101267542697</v>
      </c>
      <c r="D393">
        <v>33.396374988369601</v>
      </c>
      <c r="E393">
        <v>5.8054241071628798</v>
      </c>
    </row>
    <row r="394" spans="1:5">
      <c r="A394">
        <v>9.4398970212207899E-3</v>
      </c>
      <c r="B394">
        <v>-4.6628102076532096</v>
      </c>
      <c r="C394">
        <v>17.999661719426499</v>
      </c>
      <c r="D394">
        <v>32.543457038700602</v>
      </c>
      <c r="E394">
        <v>1.9194964441484299</v>
      </c>
    </row>
    <row r="395" spans="1:5">
      <c r="A395" s="90">
        <v>3.3746935100183001E-7</v>
      </c>
      <c r="B395">
        <v>-14.9017911426039</v>
      </c>
      <c r="C395">
        <v>47.912032791413402</v>
      </c>
      <c r="D395">
        <v>29.010855201631799</v>
      </c>
      <c r="E395">
        <v>9.8540774390598607</v>
      </c>
    </row>
    <row r="396" spans="1:5">
      <c r="A396">
        <v>1.8528500127612101E-4</v>
      </c>
      <c r="B396">
        <v>-8.5936153708733496</v>
      </c>
      <c r="C396">
        <v>12.5817360798828</v>
      </c>
      <c r="D396">
        <v>29.815981751307799</v>
      </c>
      <c r="E396">
        <v>3.36247438009066</v>
      </c>
    </row>
    <row r="397" spans="1:5">
      <c r="A397" s="90">
        <v>2.10758760214539E-14</v>
      </c>
      <c r="B397">
        <v>-31.490647325032398</v>
      </c>
      <c r="C397">
        <v>25.3797017093748</v>
      </c>
      <c r="D397">
        <v>27.882075724191999</v>
      </c>
      <c r="E397">
        <v>5.79483869236656</v>
      </c>
    </row>
    <row r="398" spans="1:5">
      <c r="A398" s="90">
        <v>9.3808447249655394E-14</v>
      </c>
      <c r="B398">
        <v>-29.997521486986798</v>
      </c>
      <c r="C398">
        <v>19.181341949384699</v>
      </c>
      <c r="D398">
        <v>20.881085796281699</v>
      </c>
      <c r="E398">
        <v>3.8341300595089698</v>
      </c>
    </row>
    <row r="399" spans="1:5">
      <c r="A399" s="90">
        <v>2.9741951160381599E-8</v>
      </c>
      <c r="B399">
        <v>-17.330707290790698</v>
      </c>
      <c r="C399">
        <v>49.630264026578502</v>
      </c>
      <c r="D399">
        <v>29.32118229568</v>
      </c>
      <c r="E399">
        <v>9.9206395387600708</v>
      </c>
    </row>
    <row r="400" spans="1:5">
      <c r="A400">
        <v>3.2289227316076801E-4</v>
      </c>
      <c r="B400">
        <v>-8.0381918099977607</v>
      </c>
      <c r="C400">
        <v>39.307243057526598</v>
      </c>
      <c r="D400">
        <v>16.3681465154514</v>
      </c>
      <c r="E400">
        <v>4.0890940068096997</v>
      </c>
    </row>
    <row r="401" spans="1:5">
      <c r="A401" s="90">
        <v>5.1366174445205499E-11</v>
      </c>
      <c r="B401">
        <v>-23.692041244823901</v>
      </c>
      <c r="C401">
        <v>23.619441277347502</v>
      </c>
      <c r="D401">
        <v>16.8833092413843</v>
      </c>
      <c r="E401">
        <v>5.7947103479134201</v>
      </c>
    </row>
    <row r="402" spans="1:5">
      <c r="A402" s="90">
        <v>1.9507319500514199E-6</v>
      </c>
      <c r="B402">
        <v>-13.1473058968175</v>
      </c>
      <c r="C402">
        <v>29.7752295425162</v>
      </c>
      <c r="D402">
        <v>33.3748440770432</v>
      </c>
      <c r="E402">
        <v>6.8612237897747397</v>
      </c>
    </row>
    <row r="403" spans="1:5">
      <c r="A403" s="90">
        <v>3.5580404680454997E-14</v>
      </c>
      <c r="B403">
        <v>-30.9669813389194</v>
      </c>
      <c r="C403">
        <v>13.139211781323</v>
      </c>
      <c r="D403">
        <v>22.662984319031199</v>
      </c>
      <c r="E403">
        <v>3.6120693738358498</v>
      </c>
    </row>
    <row r="404" spans="1:5">
      <c r="A404" s="90">
        <v>9.7441573774065204E-6</v>
      </c>
      <c r="B404">
        <v>-11.5388426959155</v>
      </c>
      <c r="C404">
        <v>42.6411222843453</v>
      </c>
      <c r="D404">
        <v>30.734131075441798</v>
      </c>
      <c r="E404">
        <v>7.8282229969185799</v>
      </c>
    </row>
    <row r="405" spans="1:5">
      <c r="A405" s="90">
        <v>3.3000859274531501E-10</v>
      </c>
      <c r="B405">
        <v>-21.8319024231849</v>
      </c>
      <c r="C405">
        <v>10.3727587820031</v>
      </c>
      <c r="D405">
        <v>18.417662139981999</v>
      </c>
      <c r="E405">
        <v>3.09468147058295</v>
      </c>
    </row>
    <row r="406" spans="1:5">
      <c r="A406" s="90">
        <v>6.5881912461785196E-9</v>
      </c>
      <c r="B406">
        <v>-18.837986995577801</v>
      </c>
      <c r="C406">
        <v>24.191167799755899</v>
      </c>
      <c r="D406">
        <v>23.1024128012359</v>
      </c>
      <c r="E406">
        <v>5.7941930345500898</v>
      </c>
    </row>
    <row r="407" spans="1:5">
      <c r="A407" s="90">
        <v>6.4819523341374997E-6</v>
      </c>
      <c r="B407">
        <v>-11.9464888068453</v>
      </c>
      <c r="C407">
        <v>39.445783786941298</v>
      </c>
      <c r="D407">
        <v>20.827703196555401</v>
      </c>
      <c r="E407">
        <v>7.9851703860152998</v>
      </c>
    </row>
    <row r="408" spans="1:5">
      <c r="A408" s="90">
        <v>4.7140870367459997E-11</v>
      </c>
      <c r="B408">
        <v>-23.777880755131999</v>
      </c>
      <c r="C408">
        <v>31.086699434556099</v>
      </c>
      <c r="D408">
        <v>19.516230733133899</v>
      </c>
      <c r="E408">
        <v>7.6185198752611401</v>
      </c>
    </row>
    <row r="409" spans="1:5">
      <c r="A409" s="90">
        <v>4.8465977762096798E-10</v>
      </c>
      <c r="B409">
        <v>-21.4475739605912</v>
      </c>
      <c r="C409">
        <v>12.254833919927499</v>
      </c>
      <c r="D409">
        <v>18.0356751009822</v>
      </c>
      <c r="E409">
        <v>3.2237362052131999</v>
      </c>
    </row>
    <row r="410" spans="1:5">
      <c r="A410">
        <v>1.14964676744319E-4</v>
      </c>
      <c r="B410">
        <v>-9.07088563552899</v>
      </c>
      <c r="C410">
        <v>32.300536145921797</v>
      </c>
      <c r="D410">
        <v>34.581736102700198</v>
      </c>
      <c r="E410">
        <v>7.4247121531338101</v>
      </c>
    </row>
    <row r="411" spans="1:5">
      <c r="A411" s="90">
        <v>8.0781675949072798E-6</v>
      </c>
      <c r="B411">
        <v>-11.726345493958901</v>
      </c>
      <c r="C411">
        <v>41.026693172287203</v>
      </c>
      <c r="D411">
        <v>15.953326579183299</v>
      </c>
      <c r="E411">
        <v>7.9125441671118297</v>
      </c>
    </row>
    <row r="412" spans="1:5">
      <c r="A412">
        <v>1.2238077600628899E-4</v>
      </c>
      <c r="B412">
        <v>-9.0083732589932204</v>
      </c>
      <c r="C412">
        <v>28.937056609429401</v>
      </c>
      <c r="D412">
        <v>19.5669086510316</v>
      </c>
      <c r="E412">
        <v>6.1138141190088602</v>
      </c>
    </row>
    <row r="413" spans="1:5">
      <c r="A413" s="90">
        <v>1.9076873522838699E-8</v>
      </c>
      <c r="B413">
        <v>-17.774789045839501</v>
      </c>
      <c r="C413">
        <v>32.511365126818397</v>
      </c>
      <c r="D413">
        <v>31.756365369074</v>
      </c>
      <c r="E413">
        <v>7.5535789008941299</v>
      </c>
    </row>
    <row r="414" spans="1:5">
      <c r="A414" s="90">
        <v>2.0518353361453799E-7</v>
      </c>
      <c r="B414">
        <v>-15.399360972412801</v>
      </c>
      <c r="C414">
        <v>34.223923091776697</v>
      </c>
      <c r="D414">
        <v>23.2885810220614</v>
      </c>
      <c r="E414">
        <v>7.2244789209150202</v>
      </c>
    </row>
    <row r="415" spans="1:5">
      <c r="A415" s="90">
        <v>1.80047071438444E-13</v>
      </c>
      <c r="B415">
        <v>-29.345558070216399</v>
      </c>
      <c r="C415">
        <v>12.7278017606586</v>
      </c>
      <c r="D415">
        <v>30.035807299427699</v>
      </c>
      <c r="E415">
        <v>3.4260517975246199</v>
      </c>
    </row>
    <row r="416" spans="1:5">
      <c r="A416" s="90">
        <v>1.8887979785828799E-6</v>
      </c>
      <c r="B416">
        <v>-13.179569921388</v>
      </c>
      <c r="C416">
        <v>31.4403932318091</v>
      </c>
      <c r="D416">
        <v>28.065607598982801</v>
      </c>
      <c r="E416">
        <v>7.6686801020001303</v>
      </c>
    </row>
    <row r="417" spans="1:5">
      <c r="A417" s="90">
        <v>8.4364848894675901E-11</v>
      </c>
      <c r="B417">
        <v>-23.195870283369999</v>
      </c>
      <c r="C417">
        <v>48.109040469396902</v>
      </c>
      <c r="D417">
        <v>31.7263277247548</v>
      </c>
      <c r="E417">
        <v>9.90274154455218</v>
      </c>
    </row>
    <row r="418" spans="1:5">
      <c r="A418" s="90">
        <v>4.20787846299689E-10</v>
      </c>
      <c r="B418">
        <v>-21.588892337289799</v>
      </c>
      <c r="C418">
        <v>40.592401533853298</v>
      </c>
      <c r="D418">
        <v>29.7188008157536</v>
      </c>
      <c r="E418">
        <v>7.9478795943751299</v>
      </c>
    </row>
    <row r="419" spans="1:5">
      <c r="A419" s="90">
        <v>5.2460769400783299E-14</v>
      </c>
      <c r="B419">
        <v>-30.578710754152102</v>
      </c>
      <c r="C419">
        <v>22.901551001705201</v>
      </c>
      <c r="D419">
        <v>34.869928951375201</v>
      </c>
      <c r="E419">
        <v>5.7523306416948499</v>
      </c>
    </row>
    <row r="420" spans="1:5">
      <c r="A420" s="90">
        <v>1.4872669999301701E-9</v>
      </c>
      <c r="B420">
        <v>-20.326325629480301</v>
      </c>
      <c r="C420">
        <v>8.0822106632403994</v>
      </c>
      <c r="D420">
        <v>20.3686635289341</v>
      </c>
      <c r="E420">
        <v>3.5255052291742599</v>
      </c>
    </row>
    <row r="421" spans="1:5">
      <c r="A421" s="90">
        <v>7.8547789022954499E-8</v>
      </c>
      <c r="B421">
        <v>-16.3595586200253</v>
      </c>
      <c r="C421">
        <v>12.4349215710536</v>
      </c>
      <c r="D421">
        <v>25.700909639708701</v>
      </c>
      <c r="E421">
        <v>3.2987700640462601</v>
      </c>
    </row>
    <row r="422" spans="1:5">
      <c r="A422" s="90">
        <v>1.7150945112462599E-10</v>
      </c>
      <c r="B422">
        <v>-22.486382742242601</v>
      </c>
      <c r="C422">
        <v>14.9719785437919</v>
      </c>
      <c r="D422">
        <v>29.951709685847199</v>
      </c>
      <c r="E422">
        <v>3.9720239287886701</v>
      </c>
    </row>
    <row r="423" spans="1:5">
      <c r="A423" s="90">
        <v>1.69099875671428E-12</v>
      </c>
      <c r="B423">
        <v>-27.105701781249302</v>
      </c>
      <c r="C423">
        <v>25.8538290522993</v>
      </c>
      <c r="D423">
        <v>17.989997877739398</v>
      </c>
      <c r="E423">
        <v>5.7971759129916496</v>
      </c>
    </row>
    <row r="424" spans="1:5">
      <c r="A424" s="90">
        <v>2.2627718727731998E-5</v>
      </c>
      <c r="B424">
        <v>-10.696334910835899</v>
      </c>
      <c r="C424">
        <v>43.895153683144599</v>
      </c>
      <c r="D424">
        <v>31.084826076403299</v>
      </c>
      <c r="E424">
        <v>7.8393068546558196</v>
      </c>
    </row>
    <row r="425" spans="1:5">
      <c r="A425" s="90">
        <v>9.0087990468908205E-5</v>
      </c>
      <c r="B425">
        <v>-9.3147236933671298</v>
      </c>
      <c r="C425">
        <v>46.343979757744798</v>
      </c>
      <c r="D425">
        <v>25.628924001939598</v>
      </c>
      <c r="E425">
        <v>8.7860217551726407</v>
      </c>
    </row>
    <row r="426" spans="1:5">
      <c r="A426" s="90">
        <v>1.51384297842553E-14</v>
      </c>
      <c r="B426">
        <v>-31.821539865340998</v>
      </c>
      <c r="C426">
        <v>26.055181558243898</v>
      </c>
      <c r="D426">
        <v>32.812228309921899</v>
      </c>
      <c r="E426">
        <v>5.79910396308044</v>
      </c>
    </row>
    <row r="427" spans="1:5">
      <c r="A427" s="90">
        <v>2.35155389308627E-12</v>
      </c>
      <c r="B427">
        <v>-26.775944775188901</v>
      </c>
      <c r="C427">
        <v>41.574824863579103</v>
      </c>
      <c r="D427">
        <v>21.445903829298899</v>
      </c>
      <c r="E427">
        <v>7.8756542386916601</v>
      </c>
    </row>
    <row r="428" spans="1:5">
      <c r="A428" s="90">
        <v>3.0604295555518799E-7</v>
      </c>
      <c r="B428">
        <v>-14.999540367214699</v>
      </c>
      <c r="C428">
        <v>28.9419109467417</v>
      </c>
      <c r="D428">
        <v>24.1180995851755</v>
      </c>
      <c r="E428">
        <v>6.2945505412124296</v>
      </c>
    </row>
    <row r="429" spans="1:5">
      <c r="A429" s="90">
        <v>1.0265786218050999E-10</v>
      </c>
      <c r="B429">
        <v>-22.999619383282599</v>
      </c>
      <c r="C429">
        <v>18.344984408002301</v>
      </c>
      <c r="D429">
        <v>33.627481036819503</v>
      </c>
      <c r="E429">
        <v>3.7969478893331199</v>
      </c>
    </row>
    <row r="430" spans="1:5">
      <c r="A430">
        <v>9.8432134588643892E-3</v>
      </c>
      <c r="B430">
        <v>-4.6209730502078799</v>
      </c>
      <c r="C430">
        <v>13.049016725271899</v>
      </c>
      <c r="D430">
        <v>25.105635467916699</v>
      </c>
      <c r="E430">
        <v>1.9343141655529199</v>
      </c>
    </row>
    <row r="431" spans="1:5">
      <c r="A431" s="90">
        <v>4.8118812947671903E-14</v>
      </c>
      <c r="B431">
        <v>-30.6651031726939</v>
      </c>
      <c r="C431">
        <v>36.069619273766897</v>
      </c>
      <c r="D431">
        <v>21.165009266696899</v>
      </c>
      <c r="E431">
        <v>6.8755071007627402</v>
      </c>
    </row>
    <row r="432" spans="1:5">
      <c r="A432" s="90">
        <v>1.6576088171960499E-11</v>
      </c>
      <c r="B432">
        <v>-24.823059930611301</v>
      </c>
      <c r="C432">
        <v>45.685326019302003</v>
      </c>
      <c r="D432">
        <v>33.492525992914999</v>
      </c>
      <c r="E432">
        <v>8.3314582573862808</v>
      </c>
    </row>
    <row r="433" spans="1:5">
      <c r="A433" s="90">
        <v>1.27048281475999E-5</v>
      </c>
      <c r="B433">
        <v>-11.273528467643301</v>
      </c>
      <c r="C433">
        <v>26.9236511751078</v>
      </c>
      <c r="D433">
        <v>34.321096572093701</v>
      </c>
      <c r="E433">
        <v>5.8224715107520302</v>
      </c>
    </row>
    <row r="434" spans="1:5">
      <c r="A434" s="90">
        <v>2.1302822150072698E-6</v>
      </c>
      <c r="B434">
        <v>-13.0592560917111</v>
      </c>
      <c r="C434">
        <v>22.7880861843005</v>
      </c>
      <c r="D434">
        <v>19.421187224797901</v>
      </c>
      <c r="E434">
        <v>5.7261645697672598</v>
      </c>
    </row>
    <row r="435" spans="1:5">
      <c r="A435" s="90">
        <v>3.7794632534605603E-8</v>
      </c>
      <c r="B435">
        <v>-17.091098740842298</v>
      </c>
      <c r="C435">
        <v>19.4634793079458</v>
      </c>
      <c r="D435">
        <v>16.5523691475391</v>
      </c>
      <c r="E435">
        <v>3.8681884488370102</v>
      </c>
    </row>
    <row r="436" spans="1:5">
      <c r="A436" s="90">
        <v>5.3597435202267498E-13</v>
      </c>
      <c r="B436">
        <v>-28.254690085688701</v>
      </c>
      <c r="C436">
        <v>31.517900357954201</v>
      </c>
      <c r="D436">
        <v>30.778739731758801</v>
      </c>
      <c r="E436">
        <v>7.66953588347259</v>
      </c>
    </row>
    <row r="437" spans="1:5">
      <c r="A437" s="90">
        <v>3.1376007105500002E-6</v>
      </c>
      <c r="B437">
        <v>-12.6720521550415</v>
      </c>
      <c r="C437">
        <v>11.975803978741199</v>
      </c>
      <c r="D437">
        <v>33.702101185917897</v>
      </c>
      <c r="E437">
        <v>3.11989995981676</v>
      </c>
    </row>
    <row r="438" spans="1:5">
      <c r="A438" s="90">
        <v>5.9618339287992702E-11</v>
      </c>
      <c r="B438">
        <v>-23.543057883014701</v>
      </c>
      <c r="C438">
        <v>47.179448867682403</v>
      </c>
      <c r="D438">
        <v>30.357290063984699</v>
      </c>
      <c r="E438">
        <v>9.4526973674006403</v>
      </c>
    </row>
    <row r="439" spans="1:5">
      <c r="A439">
        <v>1.19064560957516E-3</v>
      </c>
      <c r="B439">
        <v>-6.7332595899196201</v>
      </c>
      <c r="C439">
        <v>10.9899182384834</v>
      </c>
      <c r="D439">
        <v>33.914527697488701</v>
      </c>
      <c r="E439">
        <v>2.82248386097621</v>
      </c>
    </row>
    <row r="440" spans="1:5">
      <c r="A440" s="90">
        <v>1.07835303605327E-9</v>
      </c>
      <c r="B440">
        <v>-20.647830926372698</v>
      </c>
      <c r="C440">
        <v>26.1506895814091</v>
      </c>
      <c r="D440">
        <v>27.537662195973098</v>
      </c>
      <c r="E440">
        <v>5.8003128944534197</v>
      </c>
    </row>
    <row r="441" spans="1:5">
      <c r="A441">
        <v>2.4933330933910302E-4</v>
      </c>
      <c r="B441">
        <v>-8.2967199648914498</v>
      </c>
      <c r="C441">
        <v>36.5828334637918</v>
      </c>
      <c r="D441">
        <v>31.1837948672473</v>
      </c>
      <c r="E441">
        <v>3.6885499821110401</v>
      </c>
    </row>
    <row r="442" spans="1:5">
      <c r="A442" s="90">
        <v>1.4379719559946701E-5</v>
      </c>
      <c r="B442">
        <v>-11.149691707951501</v>
      </c>
      <c r="C442">
        <v>18.851517085451601</v>
      </c>
      <c r="D442">
        <v>27.570269922725899</v>
      </c>
      <c r="E442">
        <v>3.81073228022843</v>
      </c>
    </row>
    <row r="443" spans="1:5">
      <c r="A443">
        <v>8.9305805812873604E-2</v>
      </c>
      <c r="B443">
        <v>-2.4156887785112202</v>
      </c>
      <c r="C443">
        <v>41.969127679709302</v>
      </c>
      <c r="D443">
        <v>30.740895639173701</v>
      </c>
      <c r="E443">
        <v>1.5219650171258601</v>
      </c>
    </row>
    <row r="444" spans="1:5">
      <c r="A444" s="90">
        <v>2.23092219836731E-14</v>
      </c>
      <c r="B444">
        <v>-31.4337762600607</v>
      </c>
      <c r="C444">
        <v>48.677120581734897</v>
      </c>
      <c r="D444">
        <v>32.351017273031196</v>
      </c>
      <c r="E444">
        <v>9.9213472325751209</v>
      </c>
    </row>
    <row r="445" spans="1:5">
      <c r="A445">
        <v>6.1378872415145898E-2</v>
      </c>
      <c r="B445">
        <v>-2.79068960051735</v>
      </c>
      <c r="C445">
        <v>40.483303243759998</v>
      </c>
      <c r="D445">
        <v>20.698154345154801</v>
      </c>
      <c r="E445">
        <v>1.2757435208338599</v>
      </c>
    </row>
    <row r="446" spans="1:5">
      <c r="A446" s="90">
        <v>5.8102066839683201E-13</v>
      </c>
      <c r="B446">
        <v>-28.1739900648587</v>
      </c>
      <c r="C446">
        <v>48.542785399593399</v>
      </c>
      <c r="D446">
        <v>23.8807158451527</v>
      </c>
      <c r="E446">
        <v>9.9215469657728601</v>
      </c>
    </row>
    <row r="447" spans="1:5">
      <c r="A447" s="90">
        <v>5.4271328583439702E-5</v>
      </c>
      <c r="B447">
        <v>-9.8215144891965505</v>
      </c>
      <c r="C447">
        <v>30.719553790520902</v>
      </c>
      <c r="D447">
        <v>20.189243801869502</v>
      </c>
      <c r="E447">
        <v>7.4869716024946502</v>
      </c>
    </row>
    <row r="448" spans="1:5">
      <c r="A448">
        <v>7.2637950851843502E-4</v>
      </c>
      <c r="B448">
        <v>-7.2274379407138101</v>
      </c>
      <c r="C448">
        <v>18.613364085089401</v>
      </c>
      <c r="D448">
        <v>24.5947981672361</v>
      </c>
      <c r="E448">
        <v>2.1273643161434999</v>
      </c>
    </row>
    <row r="449" spans="1:5">
      <c r="A449" s="90">
        <v>1.5438435635814101E-6</v>
      </c>
      <c r="B449">
        <v>-13.381235430418799</v>
      </c>
      <c r="C449">
        <v>38.747118441387997</v>
      </c>
      <c r="D449">
        <v>21.370863574556999</v>
      </c>
      <c r="E449">
        <v>7.7454257242062603</v>
      </c>
    </row>
    <row r="450" spans="1:5">
      <c r="A450" s="90">
        <v>4.1365898443424698E-7</v>
      </c>
      <c r="B450">
        <v>-14.698223911651899</v>
      </c>
      <c r="C450">
        <v>49.874567418824903</v>
      </c>
      <c r="D450">
        <v>24.074832992628199</v>
      </c>
      <c r="E450">
        <v>9.92076007926849</v>
      </c>
    </row>
    <row r="451" spans="1:5">
      <c r="A451" s="90">
        <v>2.0429396558399599E-13</v>
      </c>
      <c r="B451">
        <v>-29.2192164305571</v>
      </c>
      <c r="C451">
        <v>28.016367814037899</v>
      </c>
      <c r="D451">
        <v>16.7922667553648</v>
      </c>
      <c r="E451">
        <v>5.95342233384347</v>
      </c>
    </row>
    <row r="452" spans="1:5">
      <c r="A452" s="90">
        <v>5.4199023306977801E-8</v>
      </c>
      <c r="B452">
        <v>-16.730602948829599</v>
      </c>
      <c r="C452">
        <v>14.1571552068926</v>
      </c>
      <c r="D452">
        <v>34.7951678559184</v>
      </c>
      <c r="E452">
        <v>3.9545316911702</v>
      </c>
    </row>
    <row r="453" spans="1:5">
      <c r="A453" s="90">
        <v>3.2944380984644698E-7</v>
      </c>
      <c r="B453">
        <v>-14.9258600291198</v>
      </c>
      <c r="C453">
        <v>39.338395843748003</v>
      </c>
      <c r="D453">
        <v>33.753963867202401</v>
      </c>
      <c r="E453">
        <v>7.9629641935009001</v>
      </c>
    </row>
    <row r="454" spans="1:5">
      <c r="A454" s="90">
        <v>6.0411550231988902E-10</v>
      </c>
      <c r="B454">
        <v>-21.227255707269201</v>
      </c>
      <c r="C454">
        <v>46.419774199835999</v>
      </c>
      <c r="D454">
        <v>30.4852358950302</v>
      </c>
      <c r="E454">
        <v>8.8461614079458109</v>
      </c>
    </row>
    <row r="455" spans="1:5">
      <c r="A455" s="90">
        <v>2.04926438763979E-7</v>
      </c>
      <c r="B455">
        <v>-15.400614757502501</v>
      </c>
      <c r="C455">
        <v>38.813401165418298</v>
      </c>
      <c r="D455">
        <v>26.835879022255501</v>
      </c>
      <c r="E455">
        <v>7.7769510772857702</v>
      </c>
    </row>
    <row r="456" spans="1:5">
      <c r="A456" s="90">
        <v>6.9800376949683701E-10</v>
      </c>
      <c r="B456">
        <v>-21.082796612755502</v>
      </c>
      <c r="C456">
        <v>31.338156366255099</v>
      </c>
      <c r="D456">
        <v>25.4057717695832</v>
      </c>
      <c r="E456">
        <v>7.6619826277764096</v>
      </c>
    </row>
    <row r="457" spans="1:5">
      <c r="A457">
        <v>3.4024068140373598E-3</v>
      </c>
      <c r="B457">
        <v>-5.6832722113119001</v>
      </c>
      <c r="C457">
        <v>13.312756897416</v>
      </c>
      <c r="D457">
        <v>32.633629799820497</v>
      </c>
      <c r="E457">
        <v>3.5238222917568498</v>
      </c>
    </row>
    <row r="458" spans="1:5">
      <c r="A458" s="90">
        <v>6.9763651618347601E-14</v>
      </c>
      <c r="B458">
        <v>-30.293663271233399</v>
      </c>
      <c r="C458">
        <v>27.9819037988782</v>
      </c>
      <c r="D458">
        <v>30.3506010817364</v>
      </c>
      <c r="E458">
        <v>5.9459771330475197</v>
      </c>
    </row>
    <row r="459" spans="1:5">
      <c r="A459">
        <v>1.3964453450860399E-2</v>
      </c>
      <c r="B459">
        <v>-4.2712402174177999</v>
      </c>
      <c r="C459">
        <v>13.0587350712158</v>
      </c>
      <c r="D459">
        <v>27.301122751087</v>
      </c>
      <c r="E459">
        <v>2.5504293481902298</v>
      </c>
    </row>
    <row r="460" spans="1:5">
      <c r="A460" s="90">
        <v>1.23482172688414E-9</v>
      </c>
      <c r="B460">
        <v>-20.512339227987098</v>
      </c>
      <c r="C460">
        <v>9.3187190298922395</v>
      </c>
      <c r="D460">
        <v>26.885470142588002</v>
      </c>
      <c r="E460">
        <v>3.3026097574848401</v>
      </c>
    </row>
    <row r="461" spans="1:5">
      <c r="A461" s="90">
        <v>3.8046121037415997E-9</v>
      </c>
      <c r="B461">
        <v>-19.387051794655498</v>
      </c>
      <c r="C461">
        <v>18.497510882094499</v>
      </c>
      <c r="D461">
        <v>34.672726453281904</v>
      </c>
      <c r="E461">
        <v>3.79887873843305</v>
      </c>
    </row>
    <row r="462" spans="1:5">
      <c r="A462" s="90">
        <v>1.0118891516218199E-6</v>
      </c>
      <c r="B462">
        <v>-13.8036915270688</v>
      </c>
      <c r="C462">
        <v>26.532824205700301</v>
      </c>
      <c r="D462">
        <v>30.4670852376148</v>
      </c>
      <c r="E462">
        <v>5.8078901693919196</v>
      </c>
    </row>
    <row r="463" spans="1:5">
      <c r="A463" s="90">
        <v>2.2752269251437199E-7</v>
      </c>
      <c r="B463">
        <v>-15.2960158562139</v>
      </c>
      <c r="C463">
        <v>22.3622992830351</v>
      </c>
      <c r="D463">
        <v>22.491467185318498</v>
      </c>
      <c r="E463">
        <v>5.5703662526143498</v>
      </c>
    </row>
    <row r="464" spans="1:5">
      <c r="A464" s="90">
        <v>1.2221998210861401E-10</v>
      </c>
      <c r="B464">
        <v>-22.825198562848499</v>
      </c>
      <c r="C464">
        <v>37.409368797671</v>
      </c>
      <c r="D464">
        <v>28.274020277895001</v>
      </c>
      <c r="E464">
        <v>7.0445069589706497</v>
      </c>
    </row>
    <row r="465" spans="1:5">
      <c r="A465" s="90">
        <v>5.3381269449359398E-10</v>
      </c>
      <c r="B465">
        <v>-21.350976097874099</v>
      </c>
      <c r="C465">
        <v>44.879961418453597</v>
      </c>
      <c r="D465">
        <v>19.316251710988599</v>
      </c>
      <c r="E465">
        <v>7.9940211759028603</v>
      </c>
    </row>
    <row r="466" spans="1:5">
      <c r="A466" s="90">
        <v>4.8748513239975903E-9</v>
      </c>
      <c r="B466">
        <v>-19.139176230603201</v>
      </c>
      <c r="C466">
        <v>33.962406530976303</v>
      </c>
      <c r="D466">
        <v>23.787294728681399</v>
      </c>
      <c r="E466">
        <v>7.2818068245417704</v>
      </c>
    </row>
    <row r="467" spans="1:5">
      <c r="A467" s="90">
        <v>1.4121025606682401E-10</v>
      </c>
      <c r="B467">
        <v>-22.680771158473</v>
      </c>
      <c r="C467">
        <v>16.740988634992402</v>
      </c>
      <c r="D467">
        <v>32.664474397897699</v>
      </c>
      <c r="E467">
        <v>3.8378281639668801</v>
      </c>
    </row>
    <row r="468" spans="1:5">
      <c r="A468" s="90">
        <v>4.2146960088479202E-6</v>
      </c>
      <c r="B468">
        <v>-12.376933090381099</v>
      </c>
      <c r="C468">
        <v>30.014475773554299</v>
      </c>
      <c r="D468">
        <v>17.646296168677502</v>
      </c>
      <c r="E468">
        <v>7.0438854925793102</v>
      </c>
    </row>
    <row r="469" spans="1:5">
      <c r="A469" s="90">
        <v>2.7485295561554599E-11</v>
      </c>
      <c r="B469">
        <v>-24.3173699611153</v>
      </c>
      <c r="C469">
        <v>46.623832191340597</v>
      </c>
      <c r="D469">
        <v>29.3543185666203</v>
      </c>
      <c r="E469">
        <v>9.0118945473538794</v>
      </c>
    </row>
    <row r="470" spans="1:5">
      <c r="A470" s="90">
        <v>2.462064808325E-14</v>
      </c>
      <c r="B470">
        <v>-31.3351909510545</v>
      </c>
      <c r="C470">
        <v>41.186195806600203</v>
      </c>
      <c r="D470">
        <v>19.736640970222702</v>
      </c>
      <c r="E470">
        <v>7.9009510371109899</v>
      </c>
    </row>
    <row r="471" spans="1:5">
      <c r="A471">
        <v>2.1718437113184001E-4</v>
      </c>
      <c r="B471">
        <v>-8.4347639286083798</v>
      </c>
      <c r="C471">
        <v>41.146917342208297</v>
      </c>
      <c r="D471">
        <v>24.300138978287599</v>
      </c>
      <c r="E471">
        <v>4.07544990544862</v>
      </c>
    </row>
    <row r="472" spans="1:5">
      <c r="A472">
        <v>1.61818815363085E-2</v>
      </c>
      <c r="B472">
        <v>-4.1238630863309496</v>
      </c>
      <c r="C472">
        <v>8.8105480857193506</v>
      </c>
      <c r="D472">
        <v>25.061576352454701</v>
      </c>
      <c r="E472">
        <v>1.32976453725522</v>
      </c>
    </row>
    <row r="473" spans="1:5">
      <c r="A473">
        <v>1.09813297502068E-4</v>
      </c>
      <c r="B473">
        <v>-9.1167289296454399</v>
      </c>
      <c r="C473">
        <v>24.481256136670702</v>
      </c>
      <c r="D473">
        <v>25.164037942886399</v>
      </c>
      <c r="E473">
        <v>5.7768840668555903</v>
      </c>
    </row>
    <row r="474" spans="1:5">
      <c r="A474" s="90">
        <v>4.91824914382537E-8</v>
      </c>
      <c r="B474">
        <v>-16.8277281418593</v>
      </c>
      <c r="C474">
        <v>28.442333854734901</v>
      </c>
      <c r="D474">
        <v>21.9551310595125</v>
      </c>
      <c r="E474">
        <v>6.0730873960218403</v>
      </c>
    </row>
    <row r="475" spans="1:5">
      <c r="A475">
        <v>3.8472816975588499E-2</v>
      </c>
      <c r="B475">
        <v>-3.2578033396430301</v>
      </c>
      <c r="C475">
        <v>30.391252438072101</v>
      </c>
      <c r="D475">
        <v>30.208988375961798</v>
      </c>
      <c r="E475">
        <v>2.38524674705585</v>
      </c>
    </row>
    <row r="476" spans="1:5">
      <c r="A476" s="90">
        <v>1.72381806172313E-7</v>
      </c>
      <c r="B476">
        <v>-15.573554016929</v>
      </c>
      <c r="C476">
        <v>30.795254902914198</v>
      </c>
      <c r="D476">
        <v>17.082838113419701</v>
      </c>
      <c r="E476">
        <v>7.5204260823918601</v>
      </c>
    </row>
    <row r="477" spans="1:5">
      <c r="A477" s="90">
        <v>2.6435577423390602E-9</v>
      </c>
      <c r="B477">
        <v>-19.7511401973522</v>
      </c>
      <c r="C477">
        <v>33.100651919376098</v>
      </c>
      <c r="D477">
        <v>30.571209802292302</v>
      </c>
      <c r="E477">
        <v>7.4551742102494103</v>
      </c>
    </row>
    <row r="478" spans="1:5">
      <c r="A478" s="90">
        <v>2.87180022232619E-5</v>
      </c>
      <c r="B478">
        <v>-10.4579863766751</v>
      </c>
      <c r="C478">
        <v>16.5125550855882</v>
      </c>
      <c r="D478">
        <v>31.462104064412401</v>
      </c>
      <c r="E478">
        <v>3.8497723976033398</v>
      </c>
    </row>
    <row r="479" spans="1:5">
      <c r="A479">
        <v>6.3152682670066601E-2</v>
      </c>
      <c r="B479">
        <v>-2.7621999501684198</v>
      </c>
      <c r="C479">
        <v>11.0774315716699</v>
      </c>
      <c r="D479">
        <v>34.602115997113302</v>
      </c>
      <c r="E479">
        <v>3.4422425117147002</v>
      </c>
    </row>
    <row r="480" spans="1:5">
      <c r="A480" s="90">
        <v>1.26234468274271E-10</v>
      </c>
      <c r="B480">
        <v>-22.7928800789112</v>
      </c>
      <c r="C480">
        <v>13.763042629230799</v>
      </c>
      <c r="D480">
        <v>34.835758125409498</v>
      </c>
      <c r="E480">
        <v>3.8630566001356001</v>
      </c>
    </row>
    <row r="481" spans="1:5">
      <c r="A481" s="90">
        <v>6.6263352646109104E-7</v>
      </c>
      <c r="B481">
        <v>-14.227043750019099</v>
      </c>
      <c r="C481">
        <v>32.461671160068398</v>
      </c>
      <c r="D481">
        <v>28.1784741161391</v>
      </c>
      <c r="E481">
        <v>7.5610161638053803</v>
      </c>
    </row>
    <row r="482" spans="1:5">
      <c r="A482">
        <v>5.3220687023420796E-3</v>
      </c>
      <c r="B482">
        <v>-5.2358931973889398</v>
      </c>
      <c r="C482">
        <v>16.2057278463617</v>
      </c>
      <c r="D482">
        <v>31.272845230996602</v>
      </c>
      <c r="E482">
        <v>1.9072478628690099</v>
      </c>
    </row>
    <row r="483" spans="1:5">
      <c r="A483">
        <v>1.09698599852577E-2</v>
      </c>
      <c r="B483">
        <v>-4.5126037681987201</v>
      </c>
      <c r="C483">
        <v>40.062588660977802</v>
      </c>
      <c r="D483">
        <v>27.556574097834499</v>
      </c>
      <c r="E483">
        <v>1.57052075916881</v>
      </c>
    </row>
    <row r="484" spans="1:5">
      <c r="A484" s="90">
        <v>5.8079280315897102E-11</v>
      </c>
      <c r="B484">
        <v>-23.569212136744</v>
      </c>
      <c r="C484">
        <v>45.379540916066603</v>
      </c>
      <c r="D484">
        <v>28.1561914552003</v>
      </c>
      <c r="E484">
        <v>8.17472448344264</v>
      </c>
    </row>
    <row r="485" spans="1:5">
      <c r="A485" s="90">
        <v>1.37269243078113E-9</v>
      </c>
      <c r="B485">
        <v>-20.406491747796199</v>
      </c>
      <c r="C485">
        <v>29.354922533966601</v>
      </c>
      <c r="D485">
        <v>22.288159965537499</v>
      </c>
      <c r="E485">
        <v>6.5504562956107302</v>
      </c>
    </row>
    <row r="486" spans="1:5">
      <c r="A486" s="90">
        <v>6.2020492782055404E-12</v>
      </c>
      <c r="B486">
        <v>-25.8061413497473</v>
      </c>
      <c r="C486">
        <v>23.308201716281499</v>
      </c>
      <c r="D486">
        <v>19.9535794463009</v>
      </c>
      <c r="E486">
        <v>5.7950270232954697</v>
      </c>
    </row>
    <row r="487" spans="1:5">
      <c r="A487">
        <v>4.8490948107238002E-2</v>
      </c>
      <c r="B487">
        <v>-3.0263781354217101</v>
      </c>
      <c r="C487">
        <v>24.175255086273001</v>
      </c>
      <c r="D487">
        <v>17.092291661538201</v>
      </c>
      <c r="E487">
        <v>1.52033943789496</v>
      </c>
    </row>
    <row r="488" spans="1:5">
      <c r="A488">
        <v>9.5733902512998598E-2</v>
      </c>
      <c r="B488">
        <v>-2.3461827850238102</v>
      </c>
      <c r="C488">
        <v>49.061407490167802</v>
      </c>
      <c r="D488">
        <v>30.3852426167578</v>
      </c>
      <c r="E488">
        <v>2.5048617010180001</v>
      </c>
    </row>
    <row r="489" spans="1:5">
      <c r="A489" s="90">
        <v>6.0973513367593806E-11</v>
      </c>
      <c r="B489">
        <v>-23.520581553139099</v>
      </c>
      <c r="C489">
        <v>27.952670979779199</v>
      </c>
      <c r="D489">
        <v>32.664482626132703</v>
      </c>
      <c r="E489">
        <v>5.93989281252514</v>
      </c>
    </row>
    <row r="490" spans="1:5">
      <c r="A490" s="90">
        <v>1.42543203451054E-5</v>
      </c>
      <c r="B490">
        <v>-11.1584505150874</v>
      </c>
      <c r="C490">
        <v>12.789620999712501</v>
      </c>
      <c r="D490">
        <v>15.596996946260299</v>
      </c>
      <c r="E490">
        <v>3.4535260522107101</v>
      </c>
    </row>
    <row r="491" spans="1:5">
      <c r="A491">
        <v>1.58101084034388E-2</v>
      </c>
      <c r="B491">
        <v>-4.1471057711467596</v>
      </c>
      <c r="C491">
        <v>11.2136857234873</v>
      </c>
      <c r="D491">
        <v>23.626372003927798</v>
      </c>
      <c r="E491">
        <v>2.9711262167516499</v>
      </c>
    </row>
    <row r="492" spans="1:5">
      <c r="A492" s="90">
        <v>9.1841669904524104E-8</v>
      </c>
      <c r="B492">
        <v>-16.203199721782099</v>
      </c>
      <c r="C492">
        <v>36.707234577741502</v>
      </c>
      <c r="D492">
        <v>29.568338785320499</v>
      </c>
      <c r="E492">
        <v>6.8763473070898602</v>
      </c>
    </row>
    <row r="493" spans="1:5">
      <c r="A493" s="90">
        <v>5.3958733146162495E-13</v>
      </c>
      <c r="B493">
        <v>-28.247971748499801</v>
      </c>
      <c r="C493">
        <v>23.958144158124899</v>
      </c>
      <c r="D493">
        <v>20.602312753908301</v>
      </c>
      <c r="E493">
        <v>5.7943659101622096</v>
      </c>
    </row>
    <row r="494" spans="1:5">
      <c r="A494" s="90">
        <v>1.05864829651175E-12</v>
      </c>
      <c r="B494">
        <v>-27.5740282135238</v>
      </c>
      <c r="C494">
        <v>34.699050237890297</v>
      </c>
      <c r="D494">
        <v>24.655281710438398</v>
      </c>
      <c r="E494">
        <v>7.1178431661959696</v>
      </c>
    </row>
    <row r="495" spans="1:5">
      <c r="A495">
        <v>3.39756056917399E-3</v>
      </c>
      <c r="B495">
        <v>-5.6846975845264396</v>
      </c>
      <c r="C495">
        <v>24.7747222478501</v>
      </c>
      <c r="D495">
        <v>22.1295918291435</v>
      </c>
      <c r="E495">
        <v>2.9984675536895402</v>
      </c>
    </row>
    <row r="496" spans="1:5">
      <c r="A496" s="90">
        <v>2.6603751940321698E-7</v>
      </c>
      <c r="B496">
        <v>-15.1396284877233</v>
      </c>
      <c r="C496">
        <v>19.326291673351101</v>
      </c>
      <c r="D496">
        <v>18.835610169917299</v>
      </c>
      <c r="E496">
        <v>3.8497303491558199</v>
      </c>
    </row>
    <row r="497" spans="1:5">
      <c r="A497" s="90">
        <v>1.27907554277286E-13</v>
      </c>
      <c r="B497">
        <v>-29.6874686241351</v>
      </c>
      <c r="C497">
        <v>19.1188269425184</v>
      </c>
      <c r="D497">
        <v>17.448881031014</v>
      </c>
      <c r="E497">
        <v>3.8284877898759602</v>
      </c>
    </row>
    <row r="498" spans="1:5">
      <c r="A498" s="90">
        <v>7.6998123989624401E-13</v>
      </c>
      <c r="B498">
        <v>-27.8924102441309</v>
      </c>
      <c r="C498">
        <v>20.952311974018802</v>
      </c>
      <c r="D498">
        <v>23.835468641482301</v>
      </c>
      <c r="E498">
        <v>4.5042001805738003</v>
      </c>
    </row>
    <row r="499" spans="1:5">
      <c r="A499" s="90">
        <v>7.01747585835111E-6</v>
      </c>
      <c r="B499">
        <v>-11.867106968922799</v>
      </c>
      <c r="C499">
        <v>13.306112984661</v>
      </c>
      <c r="D499">
        <v>22.949542440474001</v>
      </c>
      <c r="E499">
        <v>3.6871416901102698</v>
      </c>
    </row>
    <row r="500" spans="1:5">
      <c r="A500" s="90">
        <v>1.19260274811344E-11</v>
      </c>
      <c r="B500">
        <v>-25.1522979209259</v>
      </c>
      <c r="C500">
        <v>44.839104045182502</v>
      </c>
      <c r="D500">
        <v>16.321259406395299</v>
      </c>
      <c r="E500">
        <v>7.9829395497539197</v>
      </c>
    </row>
    <row r="501" spans="1:5">
      <c r="A501" s="90">
        <v>1.9122139485514899E-14</v>
      </c>
      <c r="B501">
        <v>-31.587929595769499</v>
      </c>
      <c r="C501">
        <v>36.2670676764101</v>
      </c>
      <c r="D501">
        <v>20.972264464944601</v>
      </c>
      <c r="E501">
        <v>6.8635680795915004</v>
      </c>
    </row>
    <row r="502" spans="1:5">
      <c r="A502">
        <v>1.3437258327069399E-3</v>
      </c>
      <c r="B502">
        <v>-6.6123090512123097</v>
      </c>
      <c r="C502">
        <v>37.910812307614798</v>
      </c>
      <c r="D502">
        <v>19.3993398919702</v>
      </c>
      <c r="E502">
        <v>2.1691311671683802</v>
      </c>
    </row>
    <row r="503" spans="1:5">
      <c r="A503" s="90">
        <v>3.0127092340544701E-9</v>
      </c>
      <c r="B503">
        <v>-19.620426085253801</v>
      </c>
      <c r="C503">
        <v>15.527815802488499</v>
      </c>
      <c r="D503">
        <v>15.457391371019201</v>
      </c>
      <c r="E503">
        <v>3.9184686360295098</v>
      </c>
    </row>
    <row r="504" spans="1:5">
      <c r="A504">
        <v>1.00308290717388E-2</v>
      </c>
      <c r="B504">
        <v>-4.6020920212280902</v>
      </c>
      <c r="C504">
        <v>25.5230106632225</v>
      </c>
      <c r="D504">
        <v>33.115825699642301</v>
      </c>
      <c r="E504">
        <v>1.24405580452368</v>
      </c>
    </row>
    <row r="505" spans="1:5">
      <c r="A505" s="90">
        <v>3.5497334923024898E-9</v>
      </c>
      <c r="B505">
        <v>-19.456393308868002</v>
      </c>
      <c r="C505">
        <v>24.818137709517</v>
      </c>
      <c r="D505">
        <v>24.489065590314599</v>
      </c>
      <c r="E505">
        <v>5.7940720434520196</v>
      </c>
    </row>
    <row r="506" spans="1:5">
      <c r="A506" s="90">
        <v>3.00089525317253E-6</v>
      </c>
      <c r="B506">
        <v>-12.716599896089701</v>
      </c>
      <c r="C506">
        <v>35.5059405406937</v>
      </c>
      <c r="D506">
        <v>29.264291319996101</v>
      </c>
      <c r="E506">
        <v>6.9513572783177597</v>
      </c>
    </row>
    <row r="507" spans="1:5">
      <c r="A507" s="90">
        <v>1.85007492376894E-6</v>
      </c>
      <c r="B507">
        <v>-13.200284420359599</v>
      </c>
      <c r="C507">
        <v>45.382800316903698</v>
      </c>
      <c r="D507">
        <v>34.303196957334897</v>
      </c>
      <c r="E507">
        <v>8.1762017363915795</v>
      </c>
    </row>
    <row r="508" spans="1:5">
      <c r="A508" s="90">
        <v>2.15332249824301E-12</v>
      </c>
      <c r="B508">
        <v>-26.864009118590499</v>
      </c>
      <c r="C508">
        <v>24.338049245066902</v>
      </c>
      <c r="D508">
        <v>33.1668596109375</v>
      </c>
      <c r="E508">
        <v>5.7941137909424798</v>
      </c>
    </row>
    <row r="509" spans="1:5">
      <c r="A509" s="90">
        <v>2.0034167001913299E-13</v>
      </c>
      <c r="B509">
        <v>-29.238752135837199</v>
      </c>
      <c r="C509">
        <v>32.935125647112699</v>
      </c>
      <c r="D509">
        <v>34.605700518004603</v>
      </c>
      <c r="E509">
        <v>7.48466099822432</v>
      </c>
    </row>
    <row r="510" spans="1:5">
      <c r="A510" s="90">
        <v>1.81579662695975E-7</v>
      </c>
      <c r="B510">
        <v>-15.5215713666101</v>
      </c>
      <c r="C510">
        <v>47.112569289282</v>
      </c>
      <c r="D510">
        <v>25.586593532934799</v>
      </c>
      <c r="E510">
        <v>9.4030732031838102</v>
      </c>
    </row>
    <row r="511" spans="1:5">
      <c r="A511" s="90">
        <v>1.2530841584891901E-13</v>
      </c>
      <c r="B511">
        <v>-29.7079983696702</v>
      </c>
      <c r="C511">
        <v>15.267909178976</v>
      </c>
      <c r="D511">
        <v>26.044356487691399</v>
      </c>
      <c r="E511">
        <v>3.9420549130620501</v>
      </c>
    </row>
    <row r="512" spans="1:5">
      <c r="A512">
        <v>5.4151363630572803E-4</v>
      </c>
      <c r="B512">
        <v>-7.5211423093735803</v>
      </c>
      <c r="C512">
        <v>8.9256766829639709</v>
      </c>
      <c r="D512">
        <v>32.314450307749198</v>
      </c>
      <c r="E512">
        <v>3.6218999994056902</v>
      </c>
    </row>
    <row r="513" spans="1:5">
      <c r="A513" s="90">
        <v>1.00534851159285E-7</v>
      </c>
      <c r="B513">
        <v>-16.112761391856399</v>
      </c>
      <c r="C513">
        <v>12.524641255848101</v>
      </c>
      <c r="D513">
        <v>18.404050255194299</v>
      </c>
      <c r="E513">
        <v>3.3372322683267499</v>
      </c>
    </row>
    <row r="514" spans="1:5">
      <c r="A514" s="90">
        <v>7.0842060781990503E-6</v>
      </c>
      <c r="B514">
        <v>-11.8576427478119</v>
      </c>
      <c r="C514">
        <v>36.164772293996101</v>
      </c>
      <c r="D514">
        <v>27.759698689915201</v>
      </c>
      <c r="E514">
        <v>6.8685836245298297</v>
      </c>
    </row>
    <row r="515" spans="1:5">
      <c r="A515" s="90">
        <v>4.17968128350048E-9</v>
      </c>
      <c r="B515">
        <v>-19.293030841283201</v>
      </c>
      <c r="C515">
        <v>29.1324924877845</v>
      </c>
      <c r="D515">
        <v>22.433206299319899</v>
      </c>
      <c r="E515">
        <v>6.4048442725849002</v>
      </c>
    </row>
    <row r="516" spans="1:5">
      <c r="A516" s="90">
        <v>7.8970242540906296E-10</v>
      </c>
      <c r="B516">
        <v>-20.959364918125399</v>
      </c>
      <c r="C516">
        <v>40.181660271715401</v>
      </c>
      <c r="D516">
        <v>27.012298000045099</v>
      </c>
      <c r="E516">
        <v>7.9867153613424202</v>
      </c>
    </row>
    <row r="517" spans="1:5">
      <c r="A517">
        <v>2.4361933215966002E-3</v>
      </c>
      <c r="B517">
        <v>-6.0173185720220097</v>
      </c>
      <c r="C517">
        <v>14.7019330235198</v>
      </c>
      <c r="D517">
        <v>32.195847723633101</v>
      </c>
      <c r="E517">
        <v>2.5792526493889998</v>
      </c>
    </row>
    <row r="518" spans="1:5">
      <c r="A518" s="90">
        <v>1.0850226114866299E-6</v>
      </c>
      <c r="B518">
        <v>-13.7339097311092</v>
      </c>
      <c r="C518">
        <v>28.753635883331299</v>
      </c>
      <c r="D518">
        <v>32.772788116708398</v>
      </c>
      <c r="E518">
        <v>6.1995627209867497</v>
      </c>
    </row>
    <row r="519" spans="1:5">
      <c r="A519" s="90">
        <v>1.45909971248865E-9</v>
      </c>
      <c r="B519">
        <v>-20.345446226705601</v>
      </c>
      <c r="C519">
        <v>47.3207107288763</v>
      </c>
      <c r="D519">
        <v>27.945592598989599</v>
      </c>
      <c r="E519">
        <v>9.5520744428921898</v>
      </c>
    </row>
    <row r="520" spans="1:5">
      <c r="A520" s="90">
        <v>2.85198870649033E-13</v>
      </c>
      <c r="B520">
        <v>-28.885589666234502</v>
      </c>
      <c r="C520">
        <v>45.820819627959303</v>
      </c>
      <c r="D520">
        <v>24.0428702346981</v>
      </c>
      <c r="E520">
        <v>8.4126634866129901</v>
      </c>
    </row>
    <row r="521" spans="1:5">
      <c r="A521" s="90">
        <v>4.14568190975811E-6</v>
      </c>
      <c r="B521">
        <v>-12.393443269094201</v>
      </c>
      <c r="C521">
        <v>14.7666565431282</v>
      </c>
      <c r="D521">
        <v>19.326622653752601</v>
      </c>
      <c r="E521">
        <v>3.9864236304153402</v>
      </c>
    </row>
    <row r="522" spans="1:5">
      <c r="A522" s="90">
        <v>3.1026927797419099E-14</v>
      </c>
      <c r="B522">
        <v>-31.103920928847302</v>
      </c>
      <c r="C522">
        <v>27.454724360722999</v>
      </c>
      <c r="D522">
        <v>31.144579094834601</v>
      </c>
      <c r="E522">
        <v>5.8634273327714803</v>
      </c>
    </row>
    <row r="523" spans="1:5">
      <c r="A523">
        <v>8.7818044992512695E-3</v>
      </c>
      <c r="B523">
        <v>-4.7350733686195197</v>
      </c>
      <c r="C523">
        <v>29.5353264342993</v>
      </c>
      <c r="D523">
        <v>34.086151067167499</v>
      </c>
      <c r="E523">
        <v>1.3877453244134501</v>
      </c>
    </row>
    <row r="524" spans="1:5">
      <c r="A524" s="90">
        <v>3.6086230420180302E-11</v>
      </c>
      <c r="B524">
        <v>-24.045109752156101</v>
      </c>
      <c r="C524">
        <v>41.611248421017102</v>
      </c>
      <c r="D524">
        <v>21.9535554386675</v>
      </c>
      <c r="E524">
        <v>7.8734930524189997</v>
      </c>
    </row>
    <row r="525" spans="1:5">
      <c r="A525" s="90">
        <v>2.8965968428798699E-5</v>
      </c>
      <c r="B525">
        <v>-10.4493889195262</v>
      </c>
      <c r="C525">
        <v>28.130003957543501</v>
      </c>
      <c r="D525">
        <v>33.8464463781565</v>
      </c>
      <c r="E525">
        <v>5.9801651672667004</v>
      </c>
    </row>
    <row r="526" spans="1:5">
      <c r="A526" s="90">
        <v>7.3139290016751499E-14</v>
      </c>
      <c r="B526">
        <v>-30.246410689417999</v>
      </c>
      <c r="C526">
        <v>46.503051250707401</v>
      </c>
      <c r="D526">
        <v>31.254739398136699</v>
      </c>
      <c r="E526">
        <v>8.9132850507015693</v>
      </c>
    </row>
    <row r="527" spans="1:5">
      <c r="A527" s="90">
        <v>1.4009561856952801E-13</v>
      </c>
      <c r="B527">
        <v>-29.596451215650401</v>
      </c>
      <c r="C527">
        <v>28.549349417910001</v>
      </c>
      <c r="D527">
        <v>23.5898745199665</v>
      </c>
      <c r="E527">
        <v>6.1124942173624204</v>
      </c>
    </row>
    <row r="528" spans="1:5">
      <c r="A528" s="90">
        <v>1.0758355950885201E-7</v>
      </c>
      <c r="B528">
        <v>-16.044997993561399</v>
      </c>
      <c r="C528">
        <v>33.378878759685897</v>
      </c>
      <c r="D528">
        <v>25.943884071894001</v>
      </c>
      <c r="E528">
        <v>7.4025999177305399</v>
      </c>
    </row>
    <row r="529" spans="1:5">
      <c r="A529" s="90">
        <v>2.2298586582978E-6</v>
      </c>
      <c r="B529">
        <v>-13.013572356430201</v>
      </c>
      <c r="C529">
        <v>38.951436512172201</v>
      </c>
      <c r="D529">
        <v>25.610528937540899</v>
      </c>
      <c r="E529">
        <v>7.8374436691628198</v>
      </c>
    </row>
    <row r="530" spans="1:5">
      <c r="A530" s="90">
        <v>1.3754931308289201E-6</v>
      </c>
      <c r="B530">
        <v>-13.496698250539101</v>
      </c>
      <c r="C530">
        <v>11.4339377279393</v>
      </c>
      <c r="D530">
        <v>33.0034896498546</v>
      </c>
      <c r="E530">
        <v>3.0108075796053799</v>
      </c>
    </row>
    <row r="531" spans="1:5">
      <c r="A531" s="90">
        <v>1.9125389021375799E-8</v>
      </c>
      <c r="B531">
        <v>-17.7722491164537</v>
      </c>
      <c r="C531">
        <v>14.9886413076892</v>
      </c>
      <c r="D531">
        <v>29.062696788459998</v>
      </c>
      <c r="E531">
        <v>3.9703367669133001</v>
      </c>
    </row>
    <row r="532" spans="1:5">
      <c r="A532" s="90">
        <v>1.00353462779618E-10</v>
      </c>
      <c r="B532">
        <v>-23.022322534259999</v>
      </c>
      <c r="C532">
        <v>38.069005979224997</v>
      </c>
      <c r="D532">
        <v>23.842716305516699</v>
      </c>
      <c r="E532">
        <v>7.36986685902811</v>
      </c>
    </row>
    <row r="533" spans="1:5">
      <c r="A533">
        <v>1.27861210190382E-3</v>
      </c>
      <c r="B533">
        <v>-6.6619800847117796</v>
      </c>
      <c r="C533">
        <v>13.7914560362697</v>
      </c>
      <c r="D533">
        <v>15.734307081438599</v>
      </c>
      <c r="E533">
        <v>2.26059794654843</v>
      </c>
    </row>
    <row r="534" spans="1:5">
      <c r="A534" s="90">
        <v>2.0359368075662901E-5</v>
      </c>
      <c r="B534">
        <v>-10.8019694043047</v>
      </c>
      <c r="C534">
        <v>35.0709425439127</v>
      </c>
      <c r="D534">
        <v>16.012486917898102</v>
      </c>
      <c r="E534">
        <v>7.0366188335151696</v>
      </c>
    </row>
    <row r="535" spans="1:5">
      <c r="A535" s="90">
        <v>6.1204826021184095E-11</v>
      </c>
      <c r="B535">
        <v>-23.516795072964001</v>
      </c>
      <c r="C535">
        <v>42.6320704771206</v>
      </c>
      <c r="D535">
        <v>20.1749235624447</v>
      </c>
      <c r="E535">
        <v>7.8284769967740999</v>
      </c>
    </row>
    <row r="536" spans="1:5">
      <c r="A536">
        <v>9.0257350794595806E-2</v>
      </c>
      <c r="B536">
        <v>-2.4050902358383599</v>
      </c>
      <c r="C536">
        <v>14.2369077512994</v>
      </c>
      <c r="D536">
        <v>33.990098149515703</v>
      </c>
      <c r="E536">
        <v>1.7430870131302401</v>
      </c>
    </row>
    <row r="537" spans="1:5">
      <c r="A537">
        <v>4.06562898666151E-4</v>
      </c>
      <c r="B537">
        <v>-7.8077719086801602</v>
      </c>
      <c r="C537">
        <v>13.047242336440799</v>
      </c>
      <c r="D537">
        <v>17.4688980774954</v>
      </c>
      <c r="E537">
        <v>3.7914665652144599</v>
      </c>
    </row>
    <row r="538" spans="1:5">
      <c r="A538">
        <v>4.6508244893409802E-2</v>
      </c>
      <c r="B538">
        <v>-3.0681256725706101</v>
      </c>
      <c r="C538">
        <v>26.545106947421999</v>
      </c>
      <c r="D538">
        <v>31.5464096702635</v>
      </c>
      <c r="E538">
        <v>2.0707187807345</v>
      </c>
    </row>
    <row r="539" spans="1:5">
      <c r="A539">
        <v>2.5144566520016599E-4</v>
      </c>
      <c r="B539">
        <v>-8.2882836347068096</v>
      </c>
      <c r="C539">
        <v>31.350678632035901</v>
      </c>
      <c r="D539">
        <v>26.239278917200899</v>
      </c>
      <c r="E539">
        <v>4.5490133928434897</v>
      </c>
    </row>
    <row r="540" spans="1:5">
      <c r="A540" s="90">
        <v>3.1474579725629698E-6</v>
      </c>
      <c r="B540">
        <v>-12.6689154237579</v>
      </c>
      <c r="C540">
        <v>43.897139794658898</v>
      </c>
      <c r="D540">
        <v>20.253801015205699</v>
      </c>
      <c r="E540">
        <v>7.8394376001569803</v>
      </c>
    </row>
    <row r="541" spans="1:5">
      <c r="A541" s="90">
        <v>9.3309458531697599E-7</v>
      </c>
      <c r="B541">
        <v>-13.884759263620101</v>
      </c>
      <c r="C541">
        <v>45.862845089286601</v>
      </c>
      <c r="D541">
        <v>31.9546491233632</v>
      </c>
      <c r="E541">
        <v>8.4392808270006494</v>
      </c>
    </row>
    <row r="542" spans="1:5">
      <c r="A542" s="90">
        <v>2.1009635582795599E-6</v>
      </c>
      <c r="B542">
        <v>-13.0731144811925</v>
      </c>
      <c r="C542">
        <v>46.015664147678798</v>
      </c>
      <c r="D542">
        <v>29.668726092204501</v>
      </c>
      <c r="E542">
        <v>8.5415081684602701</v>
      </c>
    </row>
    <row r="543" spans="1:5">
      <c r="A543" s="90">
        <v>9.5022334491326999E-9</v>
      </c>
      <c r="B543">
        <v>-18.471738966062901</v>
      </c>
      <c r="C543">
        <v>15.0569300628267</v>
      </c>
      <c r="D543">
        <v>31.206687856465599</v>
      </c>
      <c r="E543">
        <v>3.9631528466699901</v>
      </c>
    </row>
    <row r="544" spans="1:5">
      <c r="A544" s="90">
        <v>4.8180050861825996E-10</v>
      </c>
      <c r="B544">
        <v>-21.453490970085699</v>
      </c>
      <c r="C544">
        <v>11.391418012324699</v>
      </c>
      <c r="D544">
        <v>29.050088971853299</v>
      </c>
      <c r="E544">
        <v>3.00812745675004</v>
      </c>
    </row>
    <row r="545" spans="1:5">
      <c r="A545" s="90">
        <v>1.5682736596551401E-9</v>
      </c>
      <c r="B545">
        <v>-20.273290402405099</v>
      </c>
      <c r="C545">
        <v>28.6740941521712</v>
      </c>
      <c r="D545">
        <v>19.134808345697799</v>
      </c>
      <c r="E545">
        <v>6.1637535644835104</v>
      </c>
    </row>
    <row r="546" spans="1:5">
      <c r="A546" s="90">
        <v>1.2181177001841199E-12</v>
      </c>
      <c r="B546">
        <v>-27.433714317332502</v>
      </c>
      <c r="C546">
        <v>42.358283447101698</v>
      </c>
      <c r="D546">
        <v>33.362190737389</v>
      </c>
      <c r="E546">
        <v>7.8371937487143102</v>
      </c>
    </row>
    <row r="547" spans="1:5">
      <c r="A547" s="90">
        <v>1.30021216577837E-7</v>
      </c>
      <c r="B547">
        <v>-15.8555681953623</v>
      </c>
      <c r="C547">
        <v>43.542116332799203</v>
      </c>
      <c r="D547">
        <v>24.3601746996865</v>
      </c>
      <c r="E547">
        <v>7.8238624033874897</v>
      </c>
    </row>
    <row r="548" spans="1:5">
      <c r="A548" s="90">
        <v>9.9199377237496899E-8</v>
      </c>
      <c r="B548">
        <v>-16.1261341005231</v>
      </c>
      <c r="C548">
        <v>20.2189835933968</v>
      </c>
      <c r="D548">
        <v>15.115772942081099</v>
      </c>
      <c r="E548">
        <v>4.0657225522455702</v>
      </c>
    </row>
    <row r="549" spans="1:5">
      <c r="A549" s="90">
        <v>1.3886776200737199E-14</v>
      </c>
      <c r="B549">
        <v>-31.907839360061999</v>
      </c>
      <c r="C549">
        <v>24.743291408754899</v>
      </c>
      <c r="D549">
        <v>33.348996290005701</v>
      </c>
      <c r="E549">
        <v>5.7940505283707697</v>
      </c>
    </row>
    <row r="550" spans="1:5">
      <c r="A550" s="90">
        <v>3.40063881349204E-9</v>
      </c>
      <c r="B550">
        <v>-19.499302536651498</v>
      </c>
      <c r="C550">
        <v>24.925394928548499</v>
      </c>
      <c r="D550">
        <v>22.65064639505</v>
      </c>
      <c r="E550">
        <v>5.7941273588258904</v>
      </c>
    </row>
    <row r="551" spans="1:5">
      <c r="A551" s="90">
        <v>3.5310854052762003E-5</v>
      </c>
      <c r="B551">
        <v>-10.2513201610392</v>
      </c>
      <c r="C551">
        <v>15.3314929399639</v>
      </c>
      <c r="D551">
        <v>17.938089454546599</v>
      </c>
      <c r="E551">
        <v>3.9360470074605902</v>
      </c>
    </row>
    <row r="552" spans="1:5">
      <c r="A552" s="90">
        <v>1.18677502156827E-7</v>
      </c>
      <c r="B552">
        <v>-15.9468560886207</v>
      </c>
      <c r="C552">
        <v>41.570115527603797</v>
      </c>
      <c r="D552">
        <v>33.877932196483002</v>
      </c>
      <c r="E552">
        <v>7.8759362953172101</v>
      </c>
    </row>
    <row r="553" spans="1:5">
      <c r="A553" s="90">
        <v>5.5512920907734898E-8</v>
      </c>
      <c r="B553">
        <v>-16.7066500341415</v>
      </c>
      <c r="C553">
        <v>14.777532875537901</v>
      </c>
      <c r="D553">
        <v>24.566415138542698</v>
      </c>
      <c r="E553">
        <v>3.9859580243045598</v>
      </c>
    </row>
    <row r="554" spans="1:5">
      <c r="A554">
        <v>5.0698083381889303E-2</v>
      </c>
      <c r="B554">
        <v>-2.9818671722181098</v>
      </c>
      <c r="C554">
        <v>31.955162157304599</v>
      </c>
      <c r="D554">
        <v>33.6764393094927</v>
      </c>
      <c r="E554">
        <v>2.0459090631375698</v>
      </c>
    </row>
    <row r="555" spans="1:5">
      <c r="A555" s="90">
        <v>1.5607341982923701E-13</v>
      </c>
      <c r="B555">
        <v>-29.488449858446401</v>
      </c>
      <c r="C555">
        <v>8.6068293042480892</v>
      </c>
      <c r="D555">
        <v>17.834150427952402</v>
      </c>
      <c r="E555">
        <v>3.4396644184330998</v>
      </c>
    </row>
    <row r="556" spans="1:5">
      <c r="A556" s="90">
        <v>1.81885686756702E-11</v>
      </c>
      <c r="B556">
        <v>-24.7302278139233</v>
      </c>
      <c r="C556">
        <v>26.426620886661102</v>
      </c>
      <c r="D556">
        <v>33.1623763218522</v>
      </c>
      <c r="E556">
        <v>5.8052550165922501</v>
      </c>
    </row>
    <row r="557" spans="1:5">
      <c r="A557" s="90">
        <v>1.1929658947007599E-5</v>
      </c>
      <c r="B557">
        <v>-11.336482910108201</v>
      </c>
      <c r="C557">
        <v>15.621415632311299</v>
      </c>
      <c r="D557">
        <v>27.585613601841001</v>
      </c>
      <c r="E557">
        <v>3.9105844639901899</v>
      </c>
    </row>
    <row r="558" spans="1:5">
      <c r="A558" s="90">
        <v>4.0282485574064499E-12</v>
      </c>
      <c r="B558">
        <v>-26.2376894355762</v>
      </c>
      <c r="C558">
        <v>35.994577678851797</v>
      </c>
      <c r="D558">
        <v>29.9146644724533</v>
      </c>
      <c r="E558">
        <v>6.8823761522702398</v>
      </c>
    </row>
    <row r="559" spans="1:5">
      <c r="A559" s="90">
        <v>3.2837139704353297E-8</v>
      </c>
      <c r="B559">
        <v>-17.231705654073998</v>
      </c>
      <c r="C559">
        <v>42.859597787726699</v>
      </c>
      <c r="D559">
        <v>23.602668377570801</v>
      </c>
      <c r="E559">
        <v>7.8230990748882503</v>
      </c>
    </row>
    <row r="560" spans="1:5">
      <c r="A560" s="90">
        <v>1.4241205286387599E-12</v>
      </c>
      <c r="B560">
        <v>-27.277466665622601</v>
      </c>
      <c r="C560">
        <v>15.253111004363699</v>
      </c>
      <c r="D560">
        <v>17.944546854123502</v>
      </c>
      <c r="E560">
        <v>3.94347593735437</v>
      </c>
    </row>
    <row r="561" spans="1:5">
      <c r="A561" s="90">
        <v>9.1406062716300306E-14</v>
      </c>
      <c r="B561">
        <v>-30.023464586962199</v>
      </c>
      <c r="C561">
        <v>24.4479924016632</v>
      </c>
      <c r="D561">
        <v>16.8478461354971</v>
      </c>
      <c r="E561">
        <v>5.7940716956953002</v>
      </c>
    </row>
    <row r="562" spans="1:5">
      <c r="A562">
        <v>2.3110028965323302E-2</v>
      </c>
      <c r="B562">
        <v>-3.76748860132912</v>
      </c>
      <c r="C562">
        <v>9.0115107172168791</v>
      </c>
      <c r="D562">
        <v>33.623730158433297</v>
      </c>
      <c r="E562">
        <v>2.76184086748852</v>
      </c>
    </row>
    <row r="563" spans="1:5">
      <c r="A563" s="90">
        <v>1.7192397475902899E-10</v>
      </c>
      <c r="B563">
        <v>-22.483968744043999</v>
      </c>
      <c r="C563">
        <v>43.728162132669198</v>
      </c>
      <c r="D563">
        <v>18.995035681873599</v>
      </c>
      <c r="E563">
        <v>7.8300945043142702</v>
      </c>
    </row>
    <row r="564" spans="1:5">
      <c r="A564" s="90">
        <v>3.1625714620111903E-14</v>
      </c>
      <c r="B564">
        <v>-31.084805851434901</v>
      </c>
      <c r="C564">
        <v>16.2331568128429</v>
      </c>
      <c r="D564">
        <v>24.490598384290902</v>
      </c>
      <c r="E564">
        <v>3.8661996472093501</v>
      </c>
    </row>
    <row r="565" spans="1:5">
      <c r="A565">
        <v>5.7536588935329499E-4</v>
      </c>
      <c r="B565">
        <v>-7.4605043902285004</v>
      </c>
      <c r="C565">
        <v>47.830928795039704</v>
      </c>
      <c r="D565">
        <v>27.4367197742686</v>
      </c>
      <c r="E565">
        <v>2.0135357961915901</v>
      </c>
    </row>
    <row r="566" spans="1:5">
      <c r="A566">
        <v>3.5278599319495298E-4</v>
      </c>
      <c r="B566">
        <v>-7.9496489364481402</v>
      </c>
      <c r="C566">
        <v>8.6637075552716905</v>
      </c>
      <c r="D566">
        <v>20.536791286431299</v>
      </c>
      <c r="E566">
        <v>2.4617562191820901</v>
      </c>
    </row>
    <row r="567" spans="1:5">
      <c r="A567" s="90">
        <v>2.1612916294443399E-6</v>
      </c>
      <c r="B567">
        <v>-13.0448045383904</v>
      </c>
      <c r="C567">
        <v>8.6060362462885696</v>
      </c>
      <c r="D567">
        <v>31.2199912080541</v>
      </c>
      <c r="E567">
        <v>3.4398052334182898</v>
      </c>
    </row>
    <row r="568" spans="1:5">
      <c r="A568">
        <v>1.1777786370070801E-3</v>
      </c>
      <c r="B568">
        <v>-6.7441251256662902</v>
      </c>
      <c r="C568">
        <v>35.883353243582</v>
      </c>
      <c r="D568">
        <v>22.6811050018296</v>
      </c>
      <c r="E568">
        <v>3.5370195726418898</v>
      </c>
    </row>
    <row r="569" spans="1:5">
      <c r="A569" s="90">
        <v>2.4205150213254199E-7</v>
      </c>
      <c r="B569">
        <v>-15.234115314702899</v>
      </c>
      <c r="C569">
        <v>42.070009709801496</v>
      </c>
      <c r="D569">
        <v>25.870291288010801</v>
      </c>
      <c r="E569">
        <v>7.8493382919226899</v>
      </c>
    </row>
    <row r="570" spans="1:5">
      <c r="A570" s="90">
        <v>2.21918887380197E-12</v>
      </c>
      <c r="B570">
        <v>-26.8338793589703</v>
      </c>
      <c r="C570">
        <v>14.0446755341254</v>
      </c>
      <c r="D570">
        <v>25.631701736711001</v>
      </c>
      <c r="E570">
        <v>3.9347159807683498</v>
      </c>
    </row>
    <row r="571" spans="1:5">
      <c r="A571" s="90">
        <v>1.89596088279256E-9</v>
      </c>
      <c r="B571">
        <v>-20.0835400647649</v>
      </c>
      <c r="C571">
        <v>34.623520930763299</v>
      </c>
      <c r="D571">
        <v>30.476133944466699</v>
      </c>
      <c r="E571">
        <v>7.13476073848748</v>
      </c>
    </row>
    <row r="572" spans="1:5">
      <c r="A572" s="90">
        <v>5.34438851943319E-14</v>
      </c>
      <c r="B572">
        <v>-30.560144166335199</v>
      </c>
      <c r="C572">
        <v>49.984383909497403</v>
      </c>
      <c r="D572">
        <v>16.977600767277199</v>
      </c>
      <c r="E572">
        <v>9.9208871419839593</v>
      </c>
    </row>
    <row r="573" spans="1:5">
      <c r="A573" s="90">
        <v>4.2489272556096497E-11</v>
      </c>
      <c r="B573">
        <v>-23.881769482303799</v>
      </c>
      <c r="C573">
        <v>44.172457230277402</v>
      </c>
      <c r="D573">
        <v>22.460285229608399</v>
      </c>
      <c r="E573">
        <v>7.8631585125106103</v>
      </c>
    </row>
    <row r="574" spans="1:5">
      <c r="A574" s="90">
        <v>5.4582914617097402E-9</v>
      </c>
      <c r="B574">
        <v>-19.026130015259799</v>
      </c>
      <c r="C574">
        <v>39.020461373031097</v>
      </c>
      <c r="D574">
        <v>23.6370232468471</v>
      </c>
      <c r="E574">
        <v>7.8648337125055896</v>
      </c>
    </row>
    <row r="575" spans="1:5">
      <c r="A575" s="90">
        <v>6.0509331250795298E-12</v>
      </c>
      <c r="B575">
        <v>-25.830808620228499</v>
      </c>
      <c r="C575">
        <v>8.5812215185724199</v>
      </c>
      <c r="D575">
        <v>26.453066230751599</v>
      </c>
      <c r="E575">
        <v>3.44419514177903</v>
      </c>
    </row>
    <row r="576" spans="1:5">
      <c r="A576" s="90">
        <v>1.9425857428812899E-14</v>
      </c>
      <c r="B576">
        <v>-31.572171359151699</v>
      </c>
      <c r="C576">
        <v>19.476052766200201</v>
      </c>
      <c r="D576">
        <v>33.695461782626801</v>
      </c>
      <c r="E576">
        <v>3.8700805414287101</v>
      </c>
    </row>
    <row r="577" spans="1:5">
      <c r="A577" s="90">
        <v>6.9947799493847399E-9</v>
      </c>
      <c r="B577">
        <v>-18.778101687596202</v>
      </c>
      <c r="C577">
        <v>32.419035085476899</v>
      </c>
      <c r="D577">
        <v>30.726385917514602</v>
      </c>
      <c r="E577">
        <v>7.5672864076744801</v>
      </c>
    </row>
    <row r="578" spans="1:5">
      <c r="A578">
        <v>4.44100043434369E-3</v>
      </c>
      <c r="B578">
        <v>-5.4168756048690501</v>
      </c>
      <c r="C578">
        <v>16.818339817225901</v>
      </c>
      <c r="D578">
        <v>27.209159703925302</v>
      </c>
      <c r="E578">
        <v>3.16562848696275</v>
      </c>
    </row>
    <row r="579" spans="1:5">
      <c r="A579" s="90">
        <v>1.7775312685078899E-13</v>
      </c>
      <c r="B579">
        <v>-29.3583807350977</v>
      </c>
      <c r="C579">
        <v>9.5293678641319293</v>
      </c>
      <c r="D579">
        <v>27.580554569140102</v>
      </c>
      <c r="E579">
        <v>3.25943647919371</v>
      </c>
    </row>
    <row r="580" spans="1:5">
      <c r="A580" s="90">
        <v>7.2775860987605095E-13</v>
      </c>
      <c r="B580">
        <v>-27.948806981539299</v>
      </c>
      <c r="C580">
        <v>9.7775536407716608</v>
      </c>
      <c r="D580">
        <v>21.044231969863201</v>
      </c>
      <c r="E580">
        <v>3.2085200620933398</v>
      </c>
    </row>
    <row r="581" spans="1:5">
      <c r="A581" s="90">
        <v>1.4602316455235001E-14</v>
      </c>
      <c r="B581">
        <v>-31.857596217464302</v>
      </c>
      <c r="C581">
        <v>16.6269174092449</v>
      </c>
      <c r="D581">
        <v>28.731109774671499</v>
      </c>
      <c r="E581">
        <v>3.84362037599319</v>
      </c>
    </row>
    <row r="582" spans="1:5">
      <c r="A582" s="90">
        <v>1.14856137375052E-7</v>
      </c>
      <c r="B582">
        <v>-15.9795854710584</v>
      </c>
      <c r="C582">
        <v>27.733212111517801</v>
      </c>
      <c r="D582">
        <v>22.672730232588901</v>
      </c>
      <c r="E582">
        <v>5.90019208600431</v>
      </c>
    </row>
    <row r="583" spans="1:5">
      <c r="A583" s="90">
        <v>1.46610492117169E-12</v>
      </c>
      <c r="B583">
        <v>-27.248411945330901</v>
      </c>
      <c r="C583">
        <v>33.963397112674997</v>
      </c>
      <c r="D583">
        <v>19.984199530445</v>
      </c>
      <c r="E583">
        <v>7.2815918676129803</v>
      </c>
    </row>
    <row r="584" spans="1:5">
      <c r="A584" s="90">
        <v>3.1236179574752899E-10</v>
      </c>
      <c r="B584">
        <v>-21.886858998183001</v>
      </c>
      <c r="C584">
        <v>49.634673326741897</v>
      </c>
      <c r="D584">
        <v>26.599795198999299</v>
      </c>
      <c r="E584">
        <v>9.9206401082776505</v>
      </c>
    </row>
    <row r="585" spans="1:5">
      <c r="A585" s="90">
        <v>3.8581754789052104E-12</v>
      </c>
      <c r="B585">
        <v>-26.280826718056101</v>
      </c>
      <c r="C585">
        <v>31.4529706798494</v>
      </c>
      <c r="D585">
        <v>19.981400691904099</v>
      </c>
      <c r="E585">
        <v>7.6690661741957404</v>
      </c>
    </row>
    <row r="586" spans="1:5">
      <c r="A586" s="90">
        <v>2.01171556640671E-11</v>
      </c>
      <c r="B586">
        <v>-24.6294481492756</v>
      </c>
      <c r="C586">
        <v>14.714380989316901</v>
      </c>
      <c r="D586">
        <v>30.7352593215182</v>
      </c>
      <c r="E586">
        <v>3.9881918889743599</v>
      </c>
    </row>
    <row r="587" spans="1:5">
      <c r="A587" s="90">
        <v>2.0396366695610901E-5</v>
      </c>
      <c r="B587">
        <v>-10.800153776132699</v>
      </c>
      <c r="C587">
        <v>10.6031238278374</v>
      </c>
      <c r="D587">
        <v>30.585439256392402</v>
      </c>
      <c r="E587">
        <v>3.0580036560172199</v>
      </c>
    </row>
    <row r="588" spans="1:5">
      <c r="A588" s="90">
        <v>1.5064512872947101E-10</v>
      </c>
      <c r="B588">
        <v>-22.616094185893498</v>
      </c>
      <c r="C588">
        <v>37.128736957442001</v>
      </c>
      <c r="D588">
        <v>23.2876502163708</v>
      </c>
      <c r="E588">
        <v>6.9532085629834297</v>
      </c>
    </row>
    <row r="589" spans="1:5">
      <c r="A589" s="90">
        <v>4.2687345033633798E-5</v>
      </c>
      <c r="B589">
        <v>-10.0616080508915</v>
      </c>
      <c r="C589">
        <v>48.618594549130599</v>
      </c>
      <c r="D589">
        <v>25.8590782526881</v>
      </c>
      <c r="E589">
        <v>9.9214314533735894</v>
      </c>
    </row>
    <row r="590" spans="1:5">
      <c r="A590" s="90">
        <v>3.7410933802859799E-12</v>
      </c>
      <c r="B590">
        <v>-26.311643199557299</v>
      </c>
      <c r="C590">
        <v>42.576763458549998</v>
      </c>
      <c r="D590">
        <v>26.0754432436079</v>
      </c>
      <c r="E590">
        <v>7.83009557390033</v>
      </c>
    </row>
    <row r="591" spans="1:5">
      <c r="A591" s="90">
        <v>6.2015943690283006E-14</v>
      </c>
      <c r="B591">
        <v>-30.411384886629701</v>
      </c>
      <c r="C591">
        <v>42.583434781525298</v>
      </c>
      <c r="D591">
        <v>17.856752104125899</v>
      </c>
      <c r="E591">
        <v>7.8298943358636599</v>
      </c>
    </row>
    <row r="592" spans="1:5">
      <c r="A592" s="90">
        <v>5.6244067071042197E-8</v>
      </c>
      <c r="B592">
        <v>-16.693565275717301</v>
      </c>
      <c r="C592">
        <v>11.455885471776099</v>
      </c>
      <c r="D592">
        <v>22.890814077109098</v>
      </c>
      <c r="E592">
        <v>3.0125033746030301</v>
      </c>
    </row>
    <row r="593" spans="1:5">
      <c r="A593" s="90">
        <v>4.8138597294327702E-8</v>
      </c>
      <c r="B593">
        <v>-16.849181543064901</v>
      </c>
      <c r="C593">
        <v>35.9442328684963</v>
      </c>
      <c r="D593">
        <v>33.961244598031001</v>
      </c>
      <c r="E593">
        <v>6.8876317516660004</v>
      </c>
    </row>
    <row r="594" spans="1:5">
      <c r="A594" s="90">
        <v>4.1113935019500399E-11</v>
      </c>
      <c r="B594">
        <v>-23.914674000322002</v>
      </c>
      <c r="C594">
        <v>9.2447491716593504</v>
      </c>
      <c r="D594">
        <v>21.836080537177601</v>
      </c>
      <c r="E594">
        <v>3.3176174161224399</v>
      </c>
    </row>
    <row r="595" spans="1:5">
      <c r="A595" s="90">
        <v>5.7439530980103E-13</v>
      </c>
      <c r="B595">
        <v>-28.185458542598202</v>
      </c>
      <c r="C595">
        <v>18.921382030937799</v>
      </c>
      <c r="D595">
        <v>24.208329739049098</v>
      </c>
      <c r="E595">
        <v>3.8145311684049701</v>
      </c>
    </row>
    <row r="596" spans="1:5">
      <c r="A596" s="90">
        <v>2.4328052164673102E-7</v>
      </c>
      <c r="B596">
        <v>-15.2290506493559</v>
      </c>
      <c r="C596">
        <v>16.245006535667901</v>
      </c>
      <c r="D596">
        <v>23.1033369340003</v>
      </c>
      <c r="E596">
        <v>3.8654530752616099</v>
      </c>
    </row>
    <row r="597" spans="1:5">
      <c r="A597" s="90">
        <v>2.1647139364184399E-5</v>
      </c>
      <c r="B597">
        <v>-10.740637243230401</v>
      </c>
      <c r="C597">
        <v>34.278916188515701</v>
      </c>
      <c r="D597">
        <v>17.363961348310099</v>
      </c>
      <c r="E597">
        <v>7.2121980534945402</v>
      </c>
    </row>
    <row r="598" spans="1:5">
      <c r="A598" s="90">
        <v>3.6713835400319097E-11</v>
      </c>
      <c r="B598">
        <v>-24.027867445524802</v>
      </c>
      <c r="C598">
        <v>38.533077800180799</v>
      </c>
      <c r="D598">
        <v>19.308549491688598</v>
      </c>
      <c r="E598">
        <v>7.6343546087719902</v>
      </c>
    </row>
    <row r="599" spans="1:5">
      <c r="A599" s="90">
        <v>3.5783868781142998E-13</v>
      </c>
      <c r="B599">
        <v>-28.658694102762901</v>
      </c>
      <c r="C599">
        <v>46.828498390503199</v>
      </c>
      <c r="D599">
        <v>21.298804054968102</v>
      </c>
      <c r="E599">
        <v>9.1794255556922408</v>
      </c>
    </row>
    <row r="600" spans="1:5">
      <c r="A600" s="90">
        <v>8.9878660194891407E-9</v>
      </c>
      <c r="B600">
        <v>-18.527390389333299</v>
      </c>
      <c r="C600">
        <v>25.0384586062282</v>
      </c>
      <c r="D600">
        <v>34.347519264556503</v>
      </c>
      <c r="E600">
        <v>5.7942227510641997</v>
      </c>
    </row>
    <row r="601" spans="1:5">
      <c r="A601" s="90">
        <v>2.8825994001168701E-5</v>
      </c>
      <c r="B601">
        <v>-10.4542330084083</v>
      </c>
      <c r="C601">
        <v>27.517544116824901</v>
      </c>
      <c r="D601">
        <v>15.0044655101374</v>
      </c>
      <c r="E601">
        <v>5.8705941969837001</v>
      </c>
    </row>
    <row r="602" spans="1:5">
      <c r="A602" s="90">
        <v>6.2602152583479599E-9</v>
      </c>
      <c r="B602">
        <v>-18.889051266108002</v>
      </c>
      <c r="C602">
        <v>46.241666704881901</v>
      </c>
      <c r="D602">
        <v>20.6762339407578</v>
      </c>
      <c r="E602">
        <v>8.7067158496706707</v>
      </c>
    </row>
    <row r="603" spans="1:5">
      <c r="A603" s="90">
        <v>1.5989158902083699E-8</v>
      </c>
      <c r="B603">
        <v>-17.951354912979799</v>
      </c>
      <c r="C603">
        <v>16.862031992059201</v>
      </c>
      <c r="D603">
        <v>31.909532928839301</v>
      </c>
      <c r="E603">
        <v>3.83205253602193</v>
      </c>
    </row>
    <row r="604" spans="1:5">
      <c r="A604" s="90">
        <v>3.0597332464998399E-7</v>
      </c>
      <c r="B604">
        <v>-14.999767913140399</v>
      </c>
      <c r="C604">
        <v>35.675719465129099</v>
      </c>
      <c r="D604">
        <v>15.379470898769799</v>
      </c>
      <c r="E604">
        <v>6.9233042129087501</v>
      </c>
    </row>
    <row r="605" spans="1:5">
      <c r="A605" s="90">
        <v>6.2546702271685005E-14</v>
      </c>
      <c r="B605">
        <v>-30.402862880863498</v>
      </c>
      <c r="C605">
        <v>40.405218136496799</v>
      </c>
      <c r="D605">
        <v>22.646983228623899</v>
      </c>
      <c r="E605">
        <v>7.9648979013050196</v>
      </c>
    </row>
    <row r="606" spans="1:5">
      <c r="A606">
        <v>1.2361986013276E-2</v>
      </c>
      <c r="B606">
        <v>-4.39312915917459</v>
      </c>
      <c r="C606">
        <v>28.4563962756656</v>
      </c>
      <c r="D606">
        <v>28.593850452452902</v>
      </c>
      <c r="E606">
        <v>3.29987436979463</v>
      </c>
    </row>
    <row r="607" spans="1:5">
      <c r="A607" s="90">
        <v>2.5670010210305101E-10</v>
      </c>
      <c r="B607">
        <v>-22.083112630299102</v>
      </c>
      <c r="C607">
        <v>22.5433892016299</v>
      </c>
      <c r="D607">
        <v>21.421558619476901</v>
      </c>
      <c r="E607">
        <v>5.6482945975042096</v>
      </c>
    </row>
    <row r="608" spans="1:5">
      <c r="A608">
        <v>4.6284813578496999E-4</v>
      </c>
      <c r="B608">
        <v>-7.6781115581463899</v>
      </c>
      <c r="C608">
        <v>41.8184836218134</v>
      </c>
      <c r="D608">
        <v>24.451091685332401</v>
      </c>
      <c r="E608">
        <v>2.80344877184901</v>
      </c>
    </row>
    <row r="609" spans="1:5">
      <c r="A609" s="90">
        <v>1.3112307998087299E-14</v>
      </c>
      <c r="B609">
        <v>-31.965225063957998</v>
      </c>
      <c r="C609">
        <v>15.5893151154742</v>
      </c>
      <c r="D609">
        <v>33.710074452683301</v>
      </c>
      <c r="E609">
        <v>3.9132532868801402</v>
      </c>
    </row>
    <row r="610" spans="1:5">
      <c r="A610" s="90">
        <v>2.4249871614188601E-5</v>
      </c>
      <c r="B610">
        <v>-10.6270992348551</v>
      </c>
      <c r="C610">
        <v>27.821491884533302</v>
      </c>
      <c r="D610">
        <v>21.361450799740901</v>
      </c>
      <c r="E610">
        <v>5.9150523917087403</v>
      </c>
    </row>
    <row r="611" spans="1:5">
      <c r="A611">
        <v>5.7471084969219104E-4</v>
      </c>
      <c r="B611">
        <v>-7.4616435137490296</v>
      </c>
      <c r="C611">
        <v>29.597717278636999</v>
      </c>
      <c r="D611">
        <v>29.535492458380801</v>
      </c>
      <c r="E611">
        <v>2.50325530291112</v>
      </c>
    </row>
    <row r="612" spans="1:5">
      <c r="A612" s="90">
        <v>4.1683432077181702E-14</v>
      </c>
      <c r="B612">
        <v>-30.808672657353199</v>
      </c>
      <c r="C612">
        <v>47.033859408926197</v>
      </c>
      <c r="D612">
        <v>26.5658972924575</v>
      </c>
      <c r="E612">
        <v>9.3429186917690696</v>
      </c>
    </row>
    <row r="613" spans="1:5">
      <c r="A613">
        <v>1.7937341617305601E-4</v>
      </c>
      <c r="B613">
        <v>-8.6260408011866208</v>
      </c>
      <c r="C613">
        <v>9.4492409839294904</v>
      </c>
      <c r="D613">
        <v>32.9503429401666</v>
      </c>
      <c r="E613">
        <v>3.3763140547805799</v>
      </c>
    </row>
    <row r="614" spans="1:5">
      <c r="A614" s="90">
        <v>7.4561710993853393E-12</v>
      </c>
      <c r="B614">
        <v>-25.621979090929599</v>
      </c>
      <c r="C614">
        <v>48.258606453891801</v>
      </c>
      <c r="D614">
        <v>22.838661181740498</v>
      </c>
      <c r="E614">
        <v>9.9199332311024193</v>
      </c>
    </row>
    <row r="615" spans="1:5">
      <c r="A615" s="90">
        <v>1.9772523449984799E-14</v>
      </c>
      <c r="B615">
        <v>-31.554483125510099</v>
      </c>
      <c r="C615">
        <v>22.488558141049001</v>
      </c>
      <c r="D615">
        <v>34.428469999693299</v>
      </c>
      <c r="E615">
        <v>5.6263864195780098</v>
      </c>
    </row>
    <row r="616" spans="1:5">
      <c r="A616" s="90">
        <v>1.90168908314087E-9</v>
      </c>
      <c r="B616">
        <v>-20.080523354565798</v>
      </c>
      <c r="C616">
        <v>45.684047116898</v>
      </c>
      <c r="D616">
        <v>19.695755112916199</v>
      </c>
      <c r="E616">
        <v>8.3307258622605893</v>
      </c>
    </row>
    <row r="617" spans="1:5">
      <c r="A617">
        <v>2.9087709663850702E-4</v>
      </c>
      <c r="B617">
        <v>-8.1426097283282406</v>
      </c>
      <c r="C617">
        <v>28.1508762389421</v>
      </c>
      <c r="D617">
        <v>28.2617284171283</v>
      </c>
      <c r="E617">
        <v>3.7678459003396401</v>
      </c>
    </row>
    <row r="618" spans="1:5">
      <c r="A618" s="90">
        <v>4.8816008647024401E-12</v>
      </c>
      <c r="B618">
        <v>-26.045547903813201</v>
      </c>
      <c r="C618">
        <v>28.7016970850527</v>
      </c>
      <c r="D618">
        <v>33.711081705987503</v>
      </c>
      <c r="E618">
        <v>6.1758997610889903</v>
      </c>
    </row>
    <row r="619" spans="1:5">
      <c r="A619" s="90">
        <v>2.00240875849906E-7</v>
      </c>
      <c r="B619">
        <v>-15.4237448158317</v>
      </c>
      <c r="C619">
        <v>49.607831641100297</v>
      </c>
      <c r="D619">
        <v>21.2837460450828</v>
      </c>
      <c r="E619">
        <v>9.9206374428265995</v>
      </c>
    </row>
    <row r="620" spans="1:5">
      <c r="A620">
        <v>2.0814712840600799E-4</v>
      </c>
      <c r="B620">
        <v>-8.4772653802099107</v>
      </c>
      <c r="C620">
        <v>10.661799575202201</v>
      </c>
      <c r="D620">
        <v>22.438248749822399</v>
      </c>
      <c r="E620">
        <v>3.00924710287063</v>
      </c>
    </row>
    <row r="621" spans="1:5">
      <c r="A621" s="90">
        <v>9.3716696712918899E-8</v>
      </c>
      <c r="B621">
        <v>-16.182989470269</v>
      </c>
      <c r="C621">
        <v>34.899866567459</v>
      </c>
      <c r="D621">
        <v>25.168288541026399</v>
      </c>
      <c r="E621">
        <v>7.0734065851040802</v>
      </c>
    </row>
    <row r="622" spans="1:5">
      <c r="A622">
        <v>1.61465728884853E-3</v>
      </c>
      <c r="B622">
        <v>-6.4286325498735399</v>
      </c>
      <c r="C622">
        <v>23.4840908804908</v>
      </c>
      <c r="D622">
        <v>16.125893662683701</v>
      </c>
      <c r="E622">
        <v>1.8044471915889699</v>
      </c>
    </row>
    <row r="623" spans="1:5">
      <c r="A623" s="90">
        <v>6.2154774536535197E-8</v>
      </c>
      <c r="B623">
        <v>-16.593638199148199</v>
      </c>
      <c r="C623">
        <v>27.622240274678902</v>
      </c>
      <c r="D623">
        <v>25.5780430743471</v>
      </c>
      <c r="E623">
        <v>5.8839397323255298</v>
      </c>
    </row>
    <row r="624" spans="1:5">
      <c r="A624" s="90">
        <v>3.5000914279260801E-11</v>
      </c>
      <c r="B624">
        <v>-24.075646932515699</v>
      </c>
      <c r="C624">
        <v>26.6359392446466</v>
      </c>
      <c r="D624">
        <v>19.1099805105478</v>
      </c>
      <c r="E624">
        <v>5.8109415804797502</v>
      </c>
    </row>
    <row r="625" spans="1:5">
      <c r="A625" s="90">
        <v>1.66733351182584E-8</v>
      </c>
      <c r="B625">
        <v>-17.909455093112399</v>
      </c>
      <c r="C625">
        <v>25.7709289579652</v>
      </c>
      <c r="D625">
        <v>18.368304334580898</v>
      </c>
      <c r="E625">
        <v>5.7965803297334704</v>
      </c>
    </row>
    <row r="626" spans="1:5">
      <c r="A626" s="90">
        <v>6.5172133933210702E-6</v>
      </c>
      <c r="B626">
        <v>-11.9410636670468</v>
      </c>
      <c r="C626">
        <v>26.2023291457444</v>
      </c>
      <c r="D626">
        <v>26.049383911304201</v>
      </c>
      <c r="E626">
        <v>5.8010615018674203</v>
      </c>
    </row>
    <row r="627" spans="1:5">
      <c r="A627" s="90">
        <v>1.0723359280232201E-10</v>
      </c>
      <c r="B627">
        <v>-22.9560115506873</v>
      </c>
      <c r="C627">
        <v>18.935036369133702</v>
      </c>
      <c r="D627">
        <v>22.264779019169499</v>
      </c>
      <c r="E627">
        <v>3.8153409396043201</v>
      </c>
    </row>
    <row r="628" spans="1:5">
      <c r="A628" s="90">
        <v>2.90351956026645E-11</v>
      </c>
      <c r="B628">
        <v>-24.2625123803384</v>
      </c>
      <c r="C628">
        <v>32.088410054333501</v>
      </c>
      <c r="D628">
        <v>19.390494534745802</v>
      </c>
      <c r="E628">
        <v>7.6127263848247502</v>
      </c>
    </row>
    <row r="629" spans="1:5">
      <c r="A629" s="90">
        <v>4.0046766773999598E-7</v>
      </c>
      <c r="B629">
        <v>-14.7306328034347</v>
      </c>
      <c r="C629">
        <v>11.4783135643229</v>
      </c>
      <c r="D629">
        <v>31.3191772578284</v>
      </c>
      <c r="E629">
        <v>3.01445393555084</v>
      </c>
    </row>
    <row r="630" spans="1:5">
      <c r="A630" s="90">
        <v>1.9739275182136098E-6</v>
      </c>
      <c r="B630">
        <v>-13.1354853358573</v>
      </c>
      <c r="C630">
        <v>36.683707563206603</v>
      </c>
      <c r="D630">
        <v>23.9490790106356</v>
      </c>
      <c r="E630">
        <v>6.8740658440642504</v>
      </c>
    </row>
    <row r="631" spans="1:5">
      <c r="A631" s="90">
        <v>2.98812817314512E-10</v>
      </c>
      <c r="B631">
        <v>-21.9312037676243</v>
      </c>
      <c r="C631">
        <v>46.471061773132497</v>
      </c>
      <c r="D631">
        <v>34.647200754843702</v>
      </c>
      <c r="E631">
        <v>8.8873911884603203</v>
      </c>
    </row>
    <row r="632" spans="1:5">
      <c r="A632" s="90">
        <v>2.26237093265421E-5</v>
      </c>
      <c r="B632">
        <v>-10.6965121163462</v>
      </c>
      <c r="C632">
        <v>34.1047782665119</v>
      </c>
      <c r="D632">
        <v>21.9266793318093</v>
      </c>
      <c r="E632">
        <v>7.2509116124682196</v>
      </c>
    </row>
    <row r="633" spans="1:5">
      <c r="A633" s="90">
        <v>1.2128126031897099E-14</v>
      </c>
      <c r="B633">
        <v>-32.043249174252601</v>
      </c>
      <c r="C633">
        <v>38.386933477595399</v>
      </c>
      <c r="D633">
        <v>17.640426545403901</v>
      </c>
      <c r="E633">
        <v>7.5528507800075504</v>
      </c>
    </row>
    <row r="634" spans="1:5">
      <c r="A634" s="90">
        <v>1.20708352966444E-5</v>
      </c>
      <c r="B634">
        <v>-11.324718320887801</v>
      </c>
      <c r="C634">
        <v>37.082124562468401</v>
      </c>
      <c r="D634">
        <v>27.4654639372602</v>
      </c>
      <c r="E634">
        <v>6.9412237872909603</v>
      </c>
    </row>
    <row r="635" spans="1:5">
      <c r="A635" s="90">
        <v>2.6462176082419402E-10</v>
      </c>
      <c r="B635">
        <v>-22.052719627175001</v>
      </c>
      <c r="C635">
        <v>39.213963456917597</v>
      </c>
      <c r="D635">
        <v>25.368928066454799</v>
      </c>
      <c r="E635">
        <v>7.9301283355236398</v>
      </c>
    </row>
    <row r="636" spans="1:5">
      <c r="A636" s="90">
        <v>6.3976491066716198E-12</v>
      </c>
      <c r="B636">
        <v>-25.7750905201266</v>
      </c>
      <c r="C636">
        <v>9.6877861372195202</v>
      </c>
      <c r="D636">
        <v>25.492304023355199</v>
      </c>
      <c r="E636">
        <v>3.2268690481050801</v>
      </c>
    </row>
    <row r="637" spans="1:5">
      <c r="A637" s="90">
        <v>8.4043361456842703E-10</v>
      </c>
      <c r="B637">
        <v>-20.897103149461099</v>
      </c>
      <c r="C637">
        <v>48.372003317810602</v>
      </c>
      <c r="D637">
        <v>27.054861458018401</v>
      </c>
      <c r="E637">
        <v>9.9218339010528993</v>
      </c>
    </row>
    <row r="638" spans="1:5">
      <c r="A638" s="90">
        <v>9.6718574110541799E-7</v>
      </c>
      <c r="B638">
        <v>-13.8488752802013</v>
      </c>
      <c r="C638">
        <v>16.902445413637899</v>
      </c>
      <c r="D638">
        <v>28.195585594512501</v>
      </c>
      <c r="E638">
        <v>3.8302086527661898</v>
      </c>
    </row>
    <row r="639" spans="1:5">
      <c r="A639" s="90">
        <v>5.9184071411949299E-5</v>
      </c>
      <c r="B639">
        <v>-9.7348581162658707</v>
      </c>
      <c r="C639">
        <v>44.418163169175401</v>
      </c>
      <c r="D639">
        <v>21.5593446278945</v>
      </c>
      <c r="E639">
        <v>7.8954514538076204</v>
      </c>
    </row>
    <row r="640" spans="1:5">
      <c r="A640" s="90">
        <v>2.1988648243481599E-6</v>
      </c>
      <c r="B640">
        <v>-13.027569319700801</v>
      </c>
      <c r="C640">
        <v>49.8246466894634</v>
      </c>
      <c r="D640">
        <v>30.213703517802099</v>
      </c>
      <c r="E640">
        <v>9.9207190027114898</v>
      </c>
    </row>
    <row r="641" spans="1:5">
      <c r="A641" s="90">
        <v>3.5397518174489597E-5</v>
      </c>
      <c r="B641">
        <v>-10.248868848347501</v>
      </c>
      <c r="C641">
        <v>13.4287565685809</v>
      </c>
      <c r="D641">
        <v>34.451481155119801</v>
      </c>
      <c r="E641">
        <v>3.7398957697332</v>
      </c>
    </row>
    <row r="642" spans="1:5">
      <c r="A642" s="90">
        <v>4.0755557393873398E-6</v>
      </c>
      <c r="B642">
        <v>-12.4105034428063</v>
      </c>
      <c r="C642">
        <v>35.103548150043899</v>
      </c>
      <c r="D642">
        <v>25.951789915561701</v>
      </c>
      <c r="E642">
        <v>7.0297655419067402</v>
      </c>
    </row>
    <row r="643" spans="1:5">
      <c r="A643" s="90">
        <v>3.3078625572237498E-6</v>
      </c>
      <c r="B643">
        <v>-12.619208330268201</v>
      </c>
      <c r="C643">
        <v>40.434088716283398</v>
      </c>
      <c r="D643">
        <v>33.046089620329397</v>
      </c>
      <c r="E643">
        <v>7.9621999900759697</v>
      </c>
    </row>
    <row r="644" spans="1:5">
      <c r="A644">
        <v>1.36983223025676E-4</v>
      </c>
      <c r="B644">
        <v>-8.8956520993015502</v>
      </c>
      <c r="C644">
        <v>34.188960118684903</v>
      </c>
      <c r="D644">
        <v>16.969109768979301</v>
      </c>
      <c r="E644">
        <v>6.9328960662653198</v>
      </c>
    </row>
    <row r="645" spans="1:5">
      <c r="A645" s="90">
        <v>2.32457837062574E-9</v>
      </c>
      <c r="B645">
        <v>-19.8797271603197</v>
      </c>
      <c r="C645">
        <v>46.158858228940502</v>
      </c>
      <c r="D645">
        <v>25.042912713252001</v>
      </c>
      <c r="E645">
        <v>8.6444347219091693</v>
      </c>
    </row>
    <row r="646" spans="1:5">
      <c r="A646" s="90">
        <v>8.3229542969302295E-14</v>
      </c>
      <c r="B646">
        <v>-30.1171740263452</v>
      </c>
      <c r="C646">
        <v>19.8134702416137</v>
      </c>
      <c r="D646">
        <v>34.510537548922002</v>
      </c>
      <c r="E646">
        <v>3.9360162371101302</v>
      </c>
    </row>
    <row r="647" spans="1:5">
      <c r="A647" s="90">
        <v>1.48831623210905E-8</v>
      </c>
      <c r="B647">
        <v>-18.023035308542301</v>
      </c>
      <c r="C647">
        <v>10.491722365375599</v>
      </c>
      <c r="D647">
        <v>30.763835087418599</v>
      </c>
      <c r="E647">
        <v>3.07502770801708</v>
      </c>
    </row>
    <row r="648" spans="1:5">
      <c r="A648" s="90">
        <v>2.0556282867624401E-7</v>
      </c>
      <c r="B648">
        <v>-15.397514114086899</v>
      </c>
      <c r="C648">
        <v>44.733607905916898</v>
      </c>
      <c r="D648">
        <v>27.2048198850825</v>
      </c>
      <c r="E648">
        <v>7.9566048311694502</v>
      </c>
    </row>
    <row r="649" spans="1:5">
      <c r="A649" s="90">
        <v>6.0587809729335497E-12</v>
      </c>
      <c r="B649">
        <v>-25.829512495664499</v>
      </c>
      <c r="C649">
        <v>18.0306047974154</v>
      </c>
      <c r="D649">
        <v>29.207823569886401</v>
      </c>
      <c r="E649">
        <v>3.7973697084224498</v>
      </c>
    </row>
    <row r="650" spans="1:5">
      <c r="A650" s="90">
        <v>2.6428302166404E-9</v>
      </c>
      <c r="B650">
        <v>-19.7514154422676</v>
      </c>
      <c r="C650">
        <v>11.7429085089825</v>
      </c>
      <c r="D650">
        <v>17.917630719020998</v>
      </c>
      <c r="E650">
        <v>3.0554737164066998</v>
      </c>
    </row>
    <row r="651" spans="1:5">
      <c r="A651" s="90">
        <v>9.5780433392264899E-8</v>
      </c>
      <c r="B651">
        <v>-16.161207417169901</v>
      </c>
      <c r="C651">
        <v>43.013916956726497</v>
      </c>
      <c r="D651">
        <v>33.032902497798197</v>
      </c>
      <c r="E651">
        <v>7.8207810355345497</v>
      </c>
    </row>
    <row r="652" spans="1:5">
      <c r="A652" s="90">
        <v>8.7398851562744399E-12</v>
      </c>
      <c r="B652">
        <v>-25.4631240663618</v>
      </c>
      <c r="C652">
        <v>21.2812403095886</v>
      </c>
      <c r="D652">
        <v>32.385958689265003</v>
      </c>
      <c r="E652">
        <v>4.7800664642940003</v>
      </c>
    </row>
    <row r="653" spans="1:5">
      <c r="A653" s="90">
        <v>1.2910918291810401E-6</v>
      </c>
      <c r="B653">
        <v>-13.5600223183575</v>
      </c>
      <c r="C653">
        <v>11.793232001364199</v>
      </c>
      <c r="D653">
        <v>34.413236645050297</v>
      </c>
      <c r="E653">
        <v>3.0672174772883198</v>
      </c>
    </row>
    <row r="654" spans="1:5">
      <c r="A654" s="90">
        <v>2.4709551714304802E-6</v>
      </c>
      <c r="B654">
        <v>-12.9109057729959</v>
      </c>
      <c r="C654">
        <v>30.3492701700889</v>
      </c>
      <c r="D654">
        <v>30.587377040646999</v>
      </c>
      <c r="E654">
        <v>7.2800141578618804</v>
      </c>
    </row>
    <row r="655" spans="1:5">
      <c r="A655" s="90">
        <v>5.2765787929615E-5</v>
      </c>
      <c r="B655">
        <v>-9.8496475331447009</v>
      </c>
      <c r="C655">
        <v>32.934749130625299</v>
      </c>
      <c r="D655">
        <v>15.4681871226057</v>
      </c>
      <c r="E655">
        <v>7.4847264717010002</v>
      </c>
    </row>
    <row r="656" spans="1:5">
      <c r="A656" s="90">
        <v>7.4367313989084404E-6</v>
      </c>
      <c r="B656">
        <v>-11.8090791337558</v>
      </c>
      <c r="C656">
        <v>34.0973327783868</v>
      </c>
      <c r="D656">
        <v>29.426029180176599</v>
      </c>
      <c r="E656">
        <v>7.2525540839027096</v>
      </c>
    </row>
    <row r="657" spans="1:5">
      <c r="A657" s="90">
        <v>1.48360951658516E-12</v>
      </c>
      <c r="B657">
        <v>-27.2365431347936</v>
      </c>
      <c r="C657">
        <v>37.5277140620165</v>
      </c>
      <c r="D657">
        <v>33.118125167675302</v>
      </c>
      <c r="E657">
        <v>7.0926300898649197</v>
      </c>
    </row>
    <row r="658" spans="1:5">
      <c r="A658" s="90">
        <v>7.3085756694523101E-14</v>
      </c>
      <c r="B658">
        <v>-30.247142894000199</v>
      </c>
      <c r="C658">
        <v>21.9024626687169</v>
      </c>
      <c r="D658">
        <v>27.652957960963199</v>
      </c>
      <c r="E658">
        <v>5.2930703043425797</v>
      </c>
    </row>
    <row r="659" spans="1:5">
      <c r="A659" s="90">
        <v>6.1385254597092896E-13</v>
      </c>
      <c r="B659">
        <v>-28.119021648746699</v>
      </c>
      <c r="C659">
        <v>31.6691523301415</v>
      </c>
      <c r="D659">
        <v>19.118433222174598</v>
      </c>
      <c r="E659">
        <v>7.66077313143927</v>
      </c>
    </row>
    <row r="660" spans="1:5">
      <c r="A660" s="90">
        <v>2.9659021921482802E-10</v>
      </c>
      <c r="B660">
        <v>-21.938669663117601</v>
      </c>
      <c r="C660">
        <v>15.553805003874</v>
      </c>
      <c r="D660">
        <v>17.6792715117335</v>
      </c>
      <c r="E660">
        <v>3.91624813974023</v>
      </c>
    </row>
    <row r="661" spans="1:5">
      <c r="A661">
        <v>2.7574164260205802E-4</v>
      </c>
      <c r="B661">
        <v>-8.1960462081700705</v>
      </c>
      <c r="C661">
        <v>18.880790565162901</v>
      </c>
      <c r="D661">
        <v>29.338067355565698</v>
      </c>
      <c r="E661">
        <v>3.2489727894144802</v>
      </c>
    </row>
    <row r="662" spans="1:5">
      <c r="A662">
        <v>1.8280438165481699E-3</v>
      </c>
      <c r="B662">
        <v>-6.3045088365721504</v>
      </c>
      <c r="C662">
        <v>23.5214355406351</v>
      </c>
      <c r="D662">
        <v>22.016370217315899</v>
      </c>
      <c r="E662">
        <v>2.9886110295549702</v>
      </c>
    </row>
    <row r="663" spans="1:5">
      <c r="A663" s="90">
        <v>6.0220915482433402E-8</v>
      </c>
      <c r="B663">
        <v>-16.6252461117096</v>
      </c>
      <c r="C663">
        <v>46.649520379025503</v>
      </c>
      <c r="D663">
        <v>27.890918678604098</v>
      </c>
      <c r="E663">
        <v>9.0329672822965907</v>
      </c>
    </row>
    <row r="664" spans="1:5">
      <c r="A664">
        <v>1.3195202758395799E-3</v>
      </c>
      <c r="B664">
        <v>-6.6304870358338599</v>
      </c>
      <c r="C664">
        <v>21.6709651201963</v>
      </c>
      <c r="D664">
        <v>28.0304975062609</v>
      </c>
      <c r="E664">
        <v>3.0458671239961399</v>
      </c>
    </row>
    <row r="665" spans="1:5">
      <c r="A665" s="90">
        <v>5.92798121375985E-12</v>
      </c>
      <c r="B665">
        <v>-25.851337397008599</v>
      </c>
      <c r="C665">
        <v>25.783908318262501</v>
      </c>
      <c r="D665">
        <v>18.677240191027501</v>
      </c>
      <c r="E665">
        <v>5.7966670489059799</v>
      </c>
    </row>
    <row r="666" spans="1:5">
      <c r="A666" s="90">
        <v>3.7521643468511298E-10</v>
      </c>
      <c r="B666">
        <v>-21.7035180972901</v>
      </c>
      <c r="C666">
        <v>8.8968461672775394</v>
      </c>
      <c r="D666">
        <v>28.4024753514677</v>
      </c>
      <c r="E666">
        <v>3.3861646328035802</v>
      </c>
    </row>
    <row r="667" spans="1:5">
      <c r="A667" s="90">
        <v>4.6538850536858497E-6</v>
      </c>
      <c r="B667">
        <v>-12.2778081917807</v>
      </c>
      <c r="C667">
        <v>36.296590165700799</v>
      </c>
      <c r="D667">
        <v>17.6811436424032</v>
      </c>
      <c r="E667">
        <v>6.8626209254442596</v>
      </c>
    </row>
    <row r="668" spans="1:5">
      <c r="A668" s="90">
        <v>3.50024612712504E-9</v>
      </c>
      <c r="B668">
        <v>-19.4704325488878</v>
      </c>
      <c r="C668">
        <v>23.682490123435901</v>
      </c>
      <c r="D668">
        <v>16.240895437076698</v>
      </c>
      <c r="E668">
        <v>5.7946380224258203</v>
      </c>
    </row>
    <row r="669" spans="1:5">
      <c r="A669" s="90">
        <v>1.1586306807376699E-6</v>
      </c>
      <c r="B669">
        <v>-13.668271697763</v>
      </c>
      <c r="C669">
        <v>14.6740671461448</v>
      </c>
      <c r="D669">
        <v>28.699428318068399</v>
      </c>
      <c r="E669">
        <v>3.9891070123747698</v>
      </c>
    </row>
    <row r="670" spans="1:5">
      <c r="A670" s="90">
        <v>4.2927609784362702E-14</v>
      </c>
      <c r="B670">
        <v>-30.779261191271502</v>
      </c>
      <c r="C670">
        <v>21.025537590496199</v>
      </c>
      <c r="D670">
        <v>23.763353480026101</v>
      </c>
      <c r="E670">
        <v>4.5628488244484604</v>
      </c>
    </row>
    <row r="671" spans="1:5">
      <c r="A671" s="90">
        <v>7.2065269819555403E-6</v>
      </c>
      <c r="B671">
        <v>-11.840523417316501</v>
      </c>
      <c r="C671">
        <v>42.687819481827297</v>
      </c>
      <c r="D671">
        <v>26.564318537712101</v>
      </c>
      <c r="E671">
        <v>7.8269630400309804</v>
      </c>
    </row>
    <row r="672" spans="1:5">
      <c r="A672" s="90">
        <v>2.9799564454409101E-11</v>
      </c>
      <c r="B672">
        <v>-24.236527338147901</v>
      </c>
      <c r="C672">
        <v>33.8557249265723</v>
      </c>
      <c r="D672">
        <v>33.635251512750997</v>
      </c>
      <c r="E672">
        <v>7.3047895037082498</v>
      </c>
    </row>
    <row r="673" spans="1:5">
      <c r="A673">
        <v>3.9470501999850098E-4</v>
      </c>
      <c r="B673">
        <v>-7.8373718568597504</v>
      </c>
      <c r="C673">
        <v>12.268689204473</v>
      </c>
      <c r="D673">
        <v>19.988736663945001</v>
      </c>
      <c r="E673">
        <v>2.9416954512269098</v>
      </c>
    </row>
    <row r="674" spans="1:5">
      <c r="A674" s="90">
        <v>3.53149211636102E-10</v>
      </c>
      <c r="B674">
        <v>-21.764130452452999</v>
      </c>
      <c r="C674">
        <v>41.636474898550702</v>
      </c>
      <c r="D674">
        <v>30.302867684513298</v>
      </c>
      <c r="E674">
        <v>7.8720170705911396</v>
      </c>
    </row>
    <row r="675" spans="1:5">
      <c r="A675" s="90">
        <v>7.1972692490229699E-14</v>
      </c>
      <c r="B675">
        <v>-30.262489618805098</v>
      </c>
      <c r="C675">
        <v>49.841915010940298</v>
      </c>
      <c r="D675">
        <v>31.122608697041901</v>
      </c>
      <c r="E675">
        <v>9.9207322070729393</v>
      </c>
    </row>
    <row r="676" spans="1:5">
      <c r="A676" s="90">
        <v>3.6339340425372002E-10</v>
      </c>
      <c r="B676">
        <v>-21.735535110231002</v>
      </c>
      <c r="C676">
        <v>35.650517698842997</v>
      </c>
      <c r="D676">
        <v>32.520281891338499</v>
      </c>
      <c r="E676">
        <v>6.9272313433602797</v>
      </c>
    </row>
    <row r="677" spans="1:5">
      <c r="A677" s="90">
        <v>2.8616902899138298E-10</v>
      </c>
      <c r="B677">
        <v>-21.974438469227199</v>
      </c>
      <c r="C677">
        <v>49.776245765387998</v>
      </c>
      <c r="D677">
        <v>25.3242151625454</v>
      </c>
      <c r="E677">
        <v>9.9206879424248804</v>
      </c>
    </row>
    <row r="678" spans="1:5">
      <c r="A678" s="90">
        <v>1.4847526414563701E-7</v>
      </c>
      <c r="B678">
        <v>-15.722847463988099</v>
      </c>
      <c r="C678">
        <v>28.170776684768501</v>
      </c>
      <c r="D678">
        <v>27.0743721304461</v>
      </c>
      <c r="E678">
        <v>5.99062506036302</v>
      </c>
    </row>
    <row r="679" spans="1:5">
      <c r="A679">
        <v>9.8635124145535505E-2</v>
      </c>
      <c r="B679">
        <v>-2.3163278521513599</v>
      </c>
      <c r="C679">
        <v>37.276877375785297</v>
      </c>
      <c r="D679">
        <v>22.040876406244902</v>
      </c>
      <c r="E679">
        <v>1.4692699543801899</v>
      </c>
    </row>
    <row r="680" spans="1:5">
      <c r="A680">
        <v>2.30128165420164E-3</v>
      </c>
      <c r="B680">
        <v>-6.0742890702908898</v>
      </c>
      <c r="C680">
        <v>36.523902868851998</v>
      </c>
      <c r="D680">
        <v>31.992374458350199</v>
      </c>
      <c r="E680">
        <v>2.5707130187763001</v>
      </c>
    </row>
    <row r="681" spans="1:5">
      <c r="A681" s="90">
        <v>6.0959203757821004E-9</v>
      </c>
      <c r="B681">
        <v>-18.915646080362901</v>
      </c>
      <c r="C681">
        <v>26.6734886649065</v>
      </c>
      <c r="D681">
        <v>25.655426965095099</v>
      </c>
      <c r="E681">
        <v>5.8121883079848402</v>
      </c>
    </row>
    <row r="682" spans="1:5">
      <c r="A682" s="90">
        <v>4.6765507607664598E-5</v>
      </c>
      <c r="B682">
        <v>-9.9703646437014193</v>
      </c>
      <c r="C682">
        <v>49.035945390351102</v>
      </c>
      <c r="D682">
        <v>29.338870546780502</v>
      </c>
      <c r="E682">
        <v>9.9209234716958896</v>
      </c>
    </row>
    <row r="683" spans="1:5">
      <c r="A683">
        <v>9.4934906513835103E-4</v>
      </c>
      <c r="B683">
        <v>-6.9597340028139998</v>
      </c>
      <c r="C683">
        <v>49.029707457870202</v>
      </c>
      <c r="D683">
        <v>19.033518009819101</v>
      </c>
      <c r="E683">
        <v>2.4947853953443699</v>
      </c>
    </row>
    <row r="684" spans="1:5">
      <c r="A684" s="90">
        <v>6.9908932407640798E-5</v>
      </c>
      <c r="B684">
        <v>-9.5683171285104809</v>
      </c>
      <c r="C684">
        <v>16.516876160632801</v>
      </c>
      <c r="D684">
        <v>31.955780107528</v>
      </c>
      <c r="E684">
        <v>3.8495335973848799</v>
      </c>
    </row>
    <row r="685" spans="1:5">
      <c r="A685" s="90">
        <v>4.8184708247543303E-9</v>
      </c>
      <c r="B685">
        <v>-19.1508092154954</v>
      </c>
      <c r="C685">
        <v>46.3661408182234</v>
      </c>
      <c r="D685">
        <v>29.050758141092999</v>
      </c>
      <c r="E685">
        <v>8.8034963116368807</v>
      </c>
    </row>
    <row r="686" spans="1:5">
      <c r="A686" s="90">
        <v>3.0262886070978397E-8</v>
      </c>
      <c r="B686">
        <v>-17.3133437573583</v>
      </c>
      <c r="C686">
        <v>34.783873585052802</v>
      </c>
      <c r="D686">
        <v>31.6699183546007</v>
      </c>
      <c r="E686">
        <v>7.0989540516320799</v>
      </c>
    </row>
    <row r="687" spans="1:5">
      <c r="A687">
        <v>2.5246259885259598E-3</v>
      </c>
      <c r="B687">
        <v>-5.9816623505822202</v>
      </c>
      <c r="C687">
        <v>13.759652670472899</v>
      </c>
      <c r="D687">
        <v>32.262182757258401</v>
      </c>
      <c r="E687">
        <v>2.8882778825604101</v>
      </c>
    </row>
    <row r="688" spans="1:5">
      <c r="A688" s="90">
        <v>3.7344274549459702E-12</v>
      </c>
      <c r="B688">
        <v>-26.313426600942599</v>
      </c>
      <c r="C688">
        <v>35.569223933387498</v>
      </c>
      <c r="D688">
        <v>18.827758939005399</v>
      </c>
      <c r="E688">
        <v>6.94047792878359</v>
      </c>
    </row>
    <row r="689" spans="1:5">
      <c r="A689" s="90">
        <v>9.5283017929996897E-11</v>
      </c>
      <c r="B689">
        <v>-23.074169517054901</v>
      </c>
      <c r="C689">
        <v>25.901002080645402</v>
      </c>
      <c r="D689">
        <v>27.929726536385701</v>
      </c>
      <c r="E689">
        <v>5.7975619540145704</v>
      </c>
    </row>
    <row r="690" spans="1:5">
      <c r="A690" s="90">
        <v>5.8588834228948197E-9</v>
      </c>
      <c r="B690">
        <v>-18.9553067936811</v>
      </c>
      <c r="C690">
        <v>30.081029891036501</v>
      </c>
      <c r="D690">
        <v>22.130405222997101</v>
      </c>
      <c r="E690">
        <v>7.0934681480698201</v>
      </c>
    </row>
    <row r="691" spans="1:5">
      <c r="A691" s="90">
        <v>4.4755068397308799E-11</v>
      </c>
      <c r="B691">
        <v>-23.829816417346098</v>
      </c>
      <c r="C691">
        <v>45.992174400482298</v>
      </c>
      <c r="D691">
        <v>22.660588007420301</v>
      </c>
      <c r="E691">
        <v>8.52525925838893</v>
      </c>
    </row>
    <row r="692" spans="1:5">
      <c r="A692" s="90">
        <v>1.0850538686845601E-8</v>
      </c>
      <c r="B692">
        <v>-18.3390511096352</v>
      </c>
      <c r="C692">
        <v>13.802051959093699</v>
      </c>
      <c r="D692">
        <v>15.2174094552174</v>
      </c>
      <c r="E692">
        <v>3.8748044031869799</v>
      </c>
    </row>
    <row r="693" spans="1:5">
      <c r="A693" s="90">
        <v>6.5102529473855903E-10</v>
      </c>
      <c r="B693">
        <v>-21.152472619269702</v>
      </c>
      <c r="C693">
        <v>37.436225493904203</v>
      </c>
      <c r="D693">
        <v>27.329740501008899</v>
      </c>
      <c r="E693">
        <v>7.0549437507366397</v>
      </c>
    </row>
    <row r="694" spans="1:5">
      <c r="A694" s="90">
        <v>6.3315937448163399E-9</v>
      </c>
      <c r="B694">
        <v>-18.877713856048398</v>
      </c>
      <c r="C694">
        <v>21.262067588977501</v>
      </c>
      <c r="D694">
        <v>23.0882526794448</v>
      </c>
      <c r="E694">
        <v>4.7633609015116303</v>
      </c>
    </row>
    <row r="695" spans="1:5">
      <c r="A695" s="90">
        <v>7.8258005522862702E-11</v>
      </c>
      <c r="B695">
        <v>-23.271009984739901</v>
      </c>
      <c r="C695">
        <v>22.816624115686899</v>
      </c>
      <c r="D695">
        <v>25.197915541939398</v>
      </c>
      <c r="E695">
        <v>5.7332773792895502</v>
      </c>
    </row>
    <row r="696" spans="1:5">
      <c r="A696" s="90">
        <v>1.39085726898065E-9</v>
      </c>
      <c r="B696">
        <v>-20.393345539636101</v>
      </c>
      <c r="C696">
        <v>22.435901640914398</v>
      </c>
      <c r="D696">
        <v>31.112081031315</v>
      </c>
      <c r="E696">
        <v>5.6039456184258203</v>
      </c>
    </row>
    <row r="697" spans="1:5">
      <c r="A697" s="90">
        <v>2.80616988749533E-14</v>
      </c>
      <c r="B697">
        <v>-31.204370777701602</v>
      </c>
      <c r="C697">
        <v>29.546847508288899</v>
      </c>
      <c r="D697">
        <v>29.193357466719998</v>
      </c>
      <c r="E697">
        <v>6.6883876763966397</v>
      </c>
    </row>
    <row r="698" spans="1:5">
      <c r="A698" s="90">
        <v>5.0942594629239104E-9</v>
      </c>
      <c r="B698">
        <v>-19.095151526679601</v>
      </c>
      <c r="C698">
        <v>17.910524758510299</v>
      </c>
      <c r="D698">
        <v>33.337543425150201</v>
      </c>
      <c r="E698">
        <v>3.79880855055583</v>
      </c>
    </row>
    <row r="699" spans="1:5">
      <c r="A699">
        <v>6.1998060702235503E-4</v>
      </c>
      <c r="B699">
        <v>-7.3858223594105397</v>
      </c>
      <c r="C699">
        <v>25.900156539399202</v>
      </c>
      <c r="D699">
        <v>33.6976712895557</v>
      </c>
      <c r="E699">
        <v>2.08692354830379</v>
      </c>
    </row>
    <row r="700" spans="1:5">
      <c r="A700">
        <v>5.0905260039410802E-2</v>
      </c>
      <c r="B700">
        <v>-2.9777890201085402</v>
      </c>
      <c r="C700">
        <v>34.238495041616297</v>
      </c>
      <c r="D700">
        <v>33.639658750034897</v>
      </c>
      <c r="E700">
        <v>2.73917397130431</v>
      </c>
    </row>
    <row r="701" spans="1:5">
      <c r="A701">
        <v>4.0032093103123598E-3</v>
      </c>
      <c r="B701">
        <v>-5.5206589119768701</v>
      </c>
      <c r="C701">
        <v>14.2525946213864</v>
      </c>
      <c r="D701">
        <v>15.3164346283302</v>
      </c>
      <c r="E701">
        <v>1.71799924858334</v>
      </c>
    </row>
    <row r="702" spans="1:5">
      <c r="A702" s="90">
        <v>4.5713001864279398E-12</v>
      </c>
      <c r="B702">
        <v>-26.1112234467974</v>
      </c>
      <c r="C702">
        <v>32.34543789085</v>
      </c>
      <c r="D702">
        <v>26.097180056385699</v>
      </c>
      <c r="E702">
        <v>7.5778677076572496</v>
      </c>
    </row>
    <row r="703" spans="1:5">
      <c r="A703" s="90">
        <v>3.9611700174982402E-12</v>
      </c>
      <c r="B703">
        <v>-26.254481675337399</v>
      </c>
      <c r="C703">
        <v>21.3058197181672</v>
      </c>
      <c r="D703">
        <v>33.948657242581199</v>
      </c>
      <c r="E703">
        <v>4.8015239825498801</v>
      </c>
    </row>
    <row r="704" spans="1:5">
      <c r="A704">
        <v>1.6545404624155E-4</v>
      </c>
      <c r="B704">
        <v>-8.7068170679177506</v>
      </c>
      <c r="C704">
        <v>49.332868915051201</v>
      </c>
      <c r="D704">
        <v>28.609722019173201</v>
      </c>
      <c r="E704">
        <v>4.6045951514764196</v>
      </c>
    </row>
    <row r="705" spans="1:5">
      <c r="A705">
        <v>5.4963173139772198E-3</v>
      </c>
      <c r="B705">
        <v>-5.2036769902889004</v>
      </c>
      <c r="C705">
        <v>16.819466452579899</v>
      </c>
      <c r="D705">
        <v>23.3221482392401</v>
      </c>
      <c r="E705">
        <v>1.3097115600729601</v>
      </c>
    </row>
    <row r="706" spans="1:5">
      <c r="A706" s="90">
        <v>3.9544266058366399E-8</v>
      </c>
      <c r="B706">
        <v>-17.0458451328042</v>
      </c>
      <c r="C706">
        <v>13.2182816225104</v>
      </c>
      <c r="D706">
        <v>33.292315718717902</v>
      </c>
      <c r="E706">
        <v>3.6479332559180202</v>
      </c>
    </row>
    <row r="707" spans="1:5">
      <c r="A707" s="90">
        <v>6.43367346762286E-11</v>
      </c>
      <c r="B707">
        <v>-23.466890346474401</v>
      </c>
      <c r="C707">
        <v>26.317857943940901</v>
      </c>
      <c r="D707">
        <v>33.948639715090401</v>
      </c>
      <c r="E707">
        <v>5.80301341618107</v>
      </c>
    </row>
    <row r="708" spans="1:5">
      <c r="A708">
        <v>1.4847745433998799E-2</v>
      </c>
      <c r="B708">
        <v>-4.209907247886</v>
      </c>
      <c r="C708">
        <v>16.801831168588301</v>
      </c>
      <c r="D708">
        <v>15.8562087081373</v>
      </c>
      <c r="E708">
        <v>1.25900830994063</v>
      </c>
    </row>
    <row r="709" spans="1:5">
      <c r="A709">
        <v>5.1215441364374599E-3</v>
      </c>
      <c r="B709">
        <v>-5.2742992962516402</v>
      </c>
      <c r="C709">
        <v>13.6359725929797</v>
      </c>
      <c r="D709">
        <v>34.611224723048501</v>
      </c>
      <c r="E709">
        <v>3.0260371692005701</v>
      </c>
    </row>
    <row r="710" spans="1:5">
      <c r="A710" s="90">
        <v>1.5799708779320801E-8</v>
      </c>
      <c r="B710">
        <v>-17.963274328771899</v>
      </c>
      <c r="C710">
        <v>32.443719040136799</v>
      </c>
      <c r="D710">
        <v>27.595606651157102</v>
      </c>
      <c r="E710">
        <v>7.5636687690827697</v>
      </c>
    </row>
    <row r="711" spans="1:5">
      <c r="A711" s="90">
        <v>2.7890072132005002E-9</v>
      </c>
      <c r="B711">
        <v>-19.697580142000898</v>
      </c>
      <c r="C711">
        <v>21.825557002797702</v>
      </c>
      <c r="D711">
        <v>16.187371537089302</v>
      </c>
      <c r="E711">
        <v>5.2363611482190704</v>
      </c>
    </row>
    <row r="712" spans="1:5">
      <c r="A712" s="90">
        <v>4.4076449249231497E-6</v>
      </c>
      <c r="B712">
        <v>-12.3321700417803</v>
      </c>
      <c r="C712">
        <v>27.433435860555601</v>
      </c>
      <c r="D712">
        <v>26.4563318993896</v>
      </c>
      <c r="E712">
        <v>5.8611322854279404</v>
      </c>
    </row>
    <row r="713" spans="1:5">
      <c r="A713" s="90">
        <v>1.36713002541356E-14</v>
      </c>
      <c r="B713">
        <v>-31.923477631350998</v>
      </c>
      <c r="C713">
        <v>11.1091744354926</v>
      </c>
      <c r="D713">
        <v>31.8222091114148</v>
      </c>
      <c r="E713">
        <v>3.0073164389308902</v>
      </c>
    </row>
    <row r="714" spans="1:5">
      <c r="A714" s="90">
        <v>1.0777486508873201E-11</v>
      </c>
      <c r="B714">
        <v>-25.253561740076499</v>
      </c>
      <c r="C714">
        <v>27.541871259454599</v>
      </c>
      <c r="D714">
        <v>32.239460516721003</v>
      </c>
      <c r="E714">
        <v>5.8735341419185696</v>
      </c>
    </row>
    <row r="715" spans="1:5">
      <c r="A715">
        <v>1.4919844444724399E-2</v>
      </c>
      <c r="B715">
        <v>-4.2050631102176803</v>
      </c>
      <c r="C715">
        <v>37.962587084621198</v>
      </c>
      <c r="D715">
        <v>24.750337093137201</v>
      </c>
      <c r="E715">
        <v>2.11159507025936</v>
      </c>
    </row>
    <row r="716" spans="1:5">
      <c r="A716" s="90">
        <v>4.7999959927597203E-12</v>
      </c>
      <c r="B716">
        <v>-26.062406032856799</v>
      </c>
      <c r="C716">
        <v>34.439207138028003</v>
      </c>
      <c r="D716">
        <v>31.016920912079499</v>
      </c>
      <c r="E716">
        <v>7.1762164215822697</v>
      </c>
    </row>
    <row r="717" spans="1:5">
      <c r="A717" s="90">
        <v>1.3180028883246099E-6</v>
      </c>
      <c r="B717">
        <v>-13.5393929304413</v>
      </c>
      <c r="C717">
        <v>30.0073365797289</v>
      </c>
      <c r="D717">
        <v>16.5434025926515</v>
      </c>
      <c r="E717">
        <v>7.0385095243002302</v>
      </c>
    </row>
    <row r="718" spans="1:5">
      <c r="A718" s="90">
        <v>1.6428869880030201E-13</v>
      </c>
      <c r="B718">
        <v>-29.4371511561632</v>
      </c>
      <c r="C718">
        <v>35.559476319234797</v>
      </c>
      <c r="D718">
        <v>32.482871734537198</v>
      </c>
      <c r="E718">
        <v>6.9421226515310703</v>
      </c>
    </row>
    <row r="719" spans="1:5">
      <c r="A719" s="90">
        <v>4.1514167702704001E-13</v>
      </c>
      <c r="B719">
        <v>-28.510156542513801</v>
      </c>
      <c r="C719">
        <v>10.7593878218904</v>
      </c>
      <c r="D719">
        <v>34.129469390027197</v>
      </c>
      <c r="E719">
        <v>3.0371668782352601</v>
      </c>
    </row>
    <row r="720" spans="1:5">
      <c r="A720" s="90">
        <v>1.8092338216593099E-11</v>
      </c>
      <c r="B720">
        <v>-24.735532570225399</v>
      </c>
      <c r="C720">
        <v>29.7840815084055</v>
      </c>
      <c r="D720">
        <v>26.660347515717099</v>
      </c>
      <c r="E720">
        <v>6.8680117013817004</v>
      </c>
    </row>
    <row r="721" spans="1:5">
      <c r="A721" s="90">
        <v>1.4571167509589698E-11</v>
      </c>
      <c r="B721">
        <v>-24.9519763678686</v>
      </c>
      <c r="C721">
        <v>33.583211058750699</v>
      </c>
      <c r="D721">
        <v>26.718005565926401</v>
      </c>
      <c r="E721">
        <v>7.3617749632897302</v>
      </c>
    </row>
    <row r="722" spans="1:5">
      <c r="A722" s="90">
        <v>2.0053518821220299E-12</v>
      </c>
      <c r="B722">
        <v>-26.935201568263501</v>
      </c>
      <c r="C722">
        <v>44.662756172940099</v>
      </c>
      <c r="D722">
        <v>34.055751231499002</v>
      </c>
      <c r="E722">
        <v>7.9406733302717702</v>
      </c>
    </row>
    <row r="723" spans="1:5">
      <c r="A723" s="90">
        <v>2.0751275040633401E-13</v>
      </c>
      <c r="B723">
        <v>-29.203583609386399</v>
      </c>
      <c r="C723">
        <v>21.523808790370801</v>
      </c>
      <c r="D723">
        <v>33.8611679477617</v>
      </c>
      <c r="E723">
        <v>4.9911184192570603</v>
      </c>
    </row>
    <row r="724" spans="1:5">
      <c r="A724" s="90">
        <v>1.5960015010070099E-6</v>
      </c>
      <c r="B724">
        <v>-13.348009118456501</v>
      </c>
      <c r="C724">
        <v>10.023723450955</v>
      </c>
      <c r="D724">
        <v>20.522363628260798</v>
      </c>
      <c r="E724">
        <v>3.15928654182802</v>
      </c>
    </row>
    <row r="725" spans="1:5">
      <c r="A725" s="90">
        <v>4.9188415956727E-5</v>
      </c>
      <c r="B725">
        <v>-9.9198524102222496</v>
      </c>
      <c r="C725">
        <v>28.367308932822201</v>
      </c>
      <c r="D725">
        <v>21.649204706773201</v>
      </c>
      <c r="E725">
        <v>6.0478458259933303</v>
      </c>
    </row>
    <row r="726" spans="1:5">
      <c r="A726" s="90">
        <v>9.7009039966167299E-8</v>
      </c>
      <c r="B726">
        <v>-16.148461667258001</v>
      </c>
      <c r="C726">
        <v>38.380754247773403</v>
      </c>
      <c r="D726">
        <v>18.184480471536499</v>
      </c>
      <c r="E726">
        <v>7.5493348497386696</v>
      </c>
    </row>
    <row r="727" spans="1:5">
      <c r="A727" s="90">
        <v>2.53805952277168E-14</v>
      </c>
      <c r="B727">
        <v>-31.304791480270701</v>
      </c>
      <c r="C727">
        <v>48.6436994653195</v>
      </c>
      <c r="D727">
        <v>19.244472892023602</v>
      </c>
      <c r="E727">
        <v>9.9213948107054506</v>
      </c>
    </row>
    <row r="728" spans="1:5">
      <c r="A728">
        <v>2.1569374099286698E-3</v>
      </c>
      <c r="B728">
        <v>-6.1390659291826504</v>
      </c>
      <c r="C728">
        <v>41.712908909190404</v>
      </c>
      <c r="D728">
        <v>33.344823420047803</v>
      </c>
      <c r="E728">
        <v>2.2770530977751</v>
      </c>
    </row>
    <row r="729" spans="1:5">
      <c r="A729" s="90">
        <v>4.18371719288746E-13</v>
      </c>
      <c r="B729">
        <v>-28.502406076966601</v>
      </c>
      <c r="C729">
        <v>35.126139765139698</v>
      </c>
      <c r="D729">
        <v>26.215777066536202</v>
      </c>
      <c r="E729">
        <v>7.0250521362388598</v>
      </c>
    </row>
    <row r="730" spans="1:5">
      <c r="A730" s="90">
        <v>7.3352763002820907E-8</v>
      </c>
      <c r="B730">
        <v>-16.4279856643168</v>
      </c>
      <c r="C730">
        <v>23.619767236988999</v>
      </c>
      <c r="D730">
        <v>23.963970826007401</v>
      </c>
      <c r="E730">
        <v>5.7947099709807297</v>
      </c>
    </row>
    <row r="731" spans="1:5">
      <c r="A731" s="90">
        <v>1.2073539940066499E-12</v>
      </c>
      <c r="B731">
        <v>-27.4425899326314</v>
      </c>
      <c r="C731">
        <v>39.171985198278001</v>
      </c>
      <c r="D731">
        <v>18.041861196979902</v>
      </c>
      <c r="E731">
        <v>7.9176629586075702</v>
      </c>
    </row>
    <row r="732" spans="1:5">
      <c r="A732" s="90">
        <v>9.6062915558734092E-10</v>
      </c>
      <c r="B732">
        <v>-20.763432675724601</v>
      </c>
      <c r="C732">
        <v>11.587902539409701</v>
      </c>
      <c r="D732">
        <v>26.382910595275501</v>
      </c>
      <c r="E732">
        <v>3.0273109129102198</v>
      </c>
    </row>
    <row r="733" spans="1:5">
      <c r="A733">
        <v>1.2381119886611299E-4</v>
      </c>
      <c r="B733">
        <v>-8.9967527424664198</v>
      </c>
      <c r="C733">
        <v>32.2188055673614</v>
      </c>
      <c r="D733">
        <v>26.286777844652502</v>
      </c>
      <c r="E733">
        <v>7.3308089860941497</v>
      </c>
    </row>
    <row r="734" spans="1:5">
      <c r="A734" s="90">
        <v>2.61654491719155E-14</v>
      </c>
      <c r="B734">
        <v>-31.274336588334702</v>
      </c>
      <c r="C734">
        <v>26.743246013298599</v>
      </c>
      <c r="D734">
        <v>24.3737960979342</v>
      </c>
      <c r="E734">
        <v>5.8147162929723404</v>
      </c>
    </row>
    <row r="735" spans="1:5">
      <c r="A735" s="90">
        <v>3.8570742771769098E-5</v>
      </c>
      <c r="B735">
        <v>-10.163016528170401</v>
      </c>
      <c r="C735">
        <v>19.456295277923299</v>
      </c>
      <c r="D735">
        <v>23.319224421866199</v>
      </c>
      <c r="E735">
        <v>3.8671232301572598</v>
      </c>
    </row>
    <row r="736" spans="1:5">
      <c r="A736">
        <v>3.7790289932425801E-2</v>
      </c>
      <c r="B736">
        <v>-3.2757030894504902</v>
      </c>
      <c r="C736">
        <v>13.0016693784855</v>
      </c>
      <c r="D736">
        <v>16.3027393724769</v>
      </c>
      <c r="E736">
        <v>1.7299074023615699</v>
      </c>
    </row>
    <row r="737" spans="1:5">
      <c r="A737">
        <v>7.9641419143002004E-2</v>
      </c>
      <c r="B737">
        <v>-2.53022098046974</v>
      </c>
      <c r="C737">
        <v>22.937708231154801</v>
      </c>
      <c r="D737">
        <v>29.1910974029452</v>
      </c>
      <c r="E737">
        <v>3.3892334344135402</v>
      </c>
    </row>
    <row r="738" spans="1:5">
      <c r="A738">
        <v>2.2321282609639299E-2</v>
      </c>
      <c r="B738">
        <v>-3.80221467853048</v>
      </c>
      <c r="C738">
        <v>31.692332810256602</v>
      </c>
      <c r="D738">
        <v>15.7417869567871</v>
      </c>
      <c r="E738">
        <v>2.3552003594164899</v>
      </c>
    </row>
    <row r="739" spans="1:5">
      <c r="A739">
        <v>8.5185044205340302E-4</v>
      </c>
      <c r="B739">
        <v>-7.0680995840394703</v>
      </c>
      <c r="C739">
        <v>35.482277697417899</v>
      </c>
      <c r="D739">
        <v>25.845718951895801</v>
      </c>
      <c r="E739">
        <v>2.5262781231123199</v>
      </c>
    </row>
    <row r="740" spans="1:5">
      <c r="A740" s="90">
        <v>5.0747471093350496E-10</v>
      </c>
      <c r="B740">
        <v>-21.4015742369271</v>
      </c>
      <c r="C740">
        <v>39.033193141687697</v>
      </c>
      <c r="D740">
        <v>32.6022840850055</v>
      </c>
      <c r="E740">
        <v>7.8696650946463604</v>
      </c>
    </row>
    <row r="741" spans="1:5">
      <c r="A741">
        <v>1.3009665712188699E-3</v>
      </c>
      <c r="B741">
        <v>-6.6446477744637704</v>
      </c>
      <c r="C741">
        <v>12.585488268174201</v>
      </c>
      <c r="D741">
        <v>32.556447410024703</v>
      </c>
      <c r="E741">
        <v>3.2478509641690598</v>
      </c>
    </row>
    <row r="742" spans="1:5">
      <c r="A742" s="90">
        <v>2.1203634363196402E-6</v>
      </c>
      <c r="B742">
        <v>-13.063923051746899</v>
      </c>
      <c r="C742">
        <v>46.491226933430902</v>
      </c>
      <c r="D742">
        <v>24.7207405092195</v>
      </c>
      <c r="E742">
        <v>8.9036996662857</v>
      </c>
    </row>
    <row r="743" spans="1:5">
      <c r="A743" s="90">
        <v>5.1351478118341402E-10</v>
      </c>
      <c r="B743">
        <v>-21.389742301806901</v>
      </c>
      <c r="C743">
        <v>16.434488763567099</v>
      </c>
      <c r="D743">
        <v>28.7835856294259</v>
      </c>
      <c r="E743">
        <v>3.8541738398270202</v>
      </c>
    </row>
    <row r="744" spans="1:5">
      <c r="A744" s="90">
        <v>8.1335032343707396E-10</v>
      </c>
      <c r="B744">
        <v>-20.929859197055801</v>
      </c>
      <c r="C744">
        <v>45.697520095854998</v>
      </c>
      <c r="D744">
        <v>15.227345582097801</v>
      </c>
      <c r="E744">
        <v>8.3384737161041809</v>
      </c>
    </row>
    <row r="745" spans="1:5">
      <c r="A745" s="90">
        <v>1.07399302295614E-6</v>
      </c>
      <c r="B745">
        <v>-13.744127058215099</v>
      </c>
      <c r="C745">
        <v>49.370916765183203</v>
      </c>
      <c r="D745">
        <v>19.7930049151182</v>
      </c>
      <c r="E745">
        <v>9.9206855087009806</v>
      </c>
    </row>
    <row r="746" spans="1:5">
      <c r="A746" s="90">
        <v>2.0147059159167399E-9</v>
      </c>
      <c r="B746">
        <v>-20.022792599635</v>
      </c>
      <c r="C746">
        <v>46.668467940762604</v>
      </c>
      <c r="D746">
        <v>33.044099849648802</v>
      </c>
      <c r="E746">
        <v>9.0485175988529001</v>
      </c>
    </row>
    <row r="747" spans="1:5">
      <c r="A747">
        <v>4.9966271082324404E-3</v>
      </c>
      <c r="B747">
        <v>-5.2989921725319</v>
      </c>
      <c r="C747">
        <v>18.3513971478678</v>
      </c>
      <c r="D747">
        <v>30.513956318609399</v>
      </c>
      <c r="E747">
        <v>1.6462663045041199</v>
      </c>
    </row>
    <row r="748" spans="1:5">
      <c r="A748" s="90">
        <v>1.71558621476907E-5</v>
      </c>
      <c r="B748">
        <v>-10.973170626566301</v>
      </c>
      <c r="C748">
        <v>17.569191611371899</v>
      </c>
      <c r="D748">
        <v>31.423376863822298</v>
      </c>
      <c r="E748">
        <v>3.80594116236405</v>
      </c>
    </row>
    <row r="749" spans="1:5">
      <c r="A749" s="90">
        <v>1.9539321744193701E-10</v>
      </c>
      <c r="B749">
        <v>-22.356007088068999</v>
      </c>
      <c r="C749">
        <v>22.137567854020698</v>
      </c>
      <c r="D749">
        <v>23.9105692924932</v>
      </c>
      <c r="E749">
        <v>5.4488142870419702</v>
      </c>
    </row>
    <row r="750" spans="1:5">
      <c r="A750" s="90">
        <v>1.7771702899848399E-14</v>
      </c>
      <c r="B750">
        <v>-31.661168927293399</v>
      </c>
      <c r="C750">
        <v>34.800228040199698</v>
      </c>
      <c r="D750">
        <v>20.8416283037513</v>
      </c>
      <c r="E750">
        <v>7.0953296748504897</v>
      </c>
    </row>
    <row r="751" spans="1:5">
      <c r="A751">
        <v>4.4072093806768698E-3</v>
      </c>
      <c r="B751">
        <v>-5.4245135833190004</v>
      </c>
      <c r="C751">
        <v>41.492852932307898</v>
      </c>
      <c r="D751">
        <v>30.085115004330898</v>
      </c>
      <c r="E751">
        <v>2.5036342219491101</v>
      </c>
    </row>
    <row r="752" spans="1:5">
      <c r="A752">
        <v>5.3644593263235101E-3</v>
      </c>
      <c r="B752">
        <v>-5.22795968592321</v>
      </c>
      <c r="C752">
        <v>38.058455469552399</v>
      </c>
      <c r="D752">
        <v>25.567376576364001</v>
      </c>
      <c r="E752">
        <v>1.59189891949804</v>
      </c>
    </row>
    <row r="753" spans="1:5">
      <c r="A753" s="90">
        <v>3.5439160719079102E-5</v>
      </c>
      <c r="B753">
        <v>-10.247693114249399</v>
      </c>
      <c r="C753">
        <v>47.1787430862896</v>
      </c>
      <c r="D753">
        <v>20.1968077942729</v>
      </c>
      <c r="E753">
        <v>9.4521816148888202</v>
      </c>
    </row>
    <row r="754" spans="1:5">
      <c r="A754" s="90">
        <v>4.2010430735207998E-11</v>
      </c>
      <c r="B754">
        <v>-23.893103177640899</v>
      </c>
      <c r="C754">
        <v>41.493708760943299</v>
      </c>
      <c r="D754">
        <v>17.169601945206502</v>
      </c>
      <c r="E754">
        <v>7.8805953741477204</v>
      </c>
    </row>
    <row r="755" spans="1:5">
      <c r="A755" s="90">
        <v>1.5083740020441199E-11</v>
      </c>
      <c r="B755">
        <v>-24.917403772133</v>
      </c>
      <c r="C755">
        <v>12.966899235267199</v>
      </c>
      <c r="D755">
        <v>24.626503498293498</v>
      </c>
      <c r="E755">
        <v>3.5334497253630501</v>
      </c>
    </row>
    <row r="756" spans="1:5">
      <c r="A756">
        <v>5.7123491505942101E-3</v>
      </c>
      <c r="B756">
        <v>-5.1651249300086501</v>
      </c>
      <c r="C756">
        <v>49.189869815018</v>
      </c>
      <c r="D756">
        <v>22.230679653585</v>
      </c>
      <c r="E756">
        <v>2.2414565041233101</v>
      </c>
    </row>
    <row r="757" spans="1:5">
      <c r="A757" s="90">
        <v>6.0608924742096105E-7</v>
      </c>
      <c r="B757">
        <v>-14.316238588748799</v>
      </c>
      <c r="C757">
        <v>33.605113780591601</v>
      </c>
      <c r="D757">
        <v>17.795194503851199</v>
      </c>
      <c r="E757">
        <v>7.3572965740859297</v>
      </c>
    </row>
    <row r="758" spans="1:5">
      <c r="A758" s="90">
        <v>3.2659610725044999E-5</v>
      </c>
      <c r="B758">
        <v>-10.329371389505701</v>
      </c>
      <c r="C758">
        <v>35.522883264347897</v>
      </c>
      <c r="D758">
        <v>15.087081827223299</v>
      </c>
      <c r="E758">
        <v>6.9483986534683702</v>
      </c>
    </row>
    <row r="759" spans="1:5">
      <c r="A759">
        <v>3.5341532440687202E-4</v>
      </c>
      <c r="B759">
        <v>-7.94786663623763</v>
      </c>
      <c r="C759">
        <v>39.178936158306897</v>
      </c>
      <c r="D759">
        <v>29.831191580742601</v>
      </c>
      <c r="E759">
        <v>2.7428330812408901</v>
      </c>
    </row>
    <row r="760" spans="1:5">
      <c r="A760" s="90">
        <v>1.5747923777670501E-13</v>
      </c>
      <c r="B760">
        <v>-29.479482768974499</v>
      </c>
      <c r="C760">
        <v>34.869219476822799</v>
      </c>
      <c r="D760">
        <v>19.1264239186421</v>
      </c>
      <c r="E760">
        <v>7.0801179837371597</v>
      </c>
    </row>
    <row r="761" spans="1:5">
      <c r="A761" s="90">
        <v>5.65764879260527E-8</v>
      </c>
      <c r="B761">
        <v>-16.687672345709899</v>
      </c>
      <c r="C761">
        <v>37.159200909081797</v>
      </c>
      <c r="D761">
        <v>31.583570493385199</v>
      </c>
      <c r="E761">
        <v>6.9615303864384801</v>
      </c>
    </row>
    <row r="762" spans="1:5">
      <c r="A762" s="90">
        <v>2.21995985102247E-14</v>
      </c>
      <c r="B762">
        <v>-31.438702191320999</v>
      </c>
      <c r="C762">
        <v>28.033263061195601</v>
      </c>
      <c r="D762">
        <v>16.157189509831401</v>
      </c>
      <c r="E762">
        <v>5.9571822665902401</v>
      </c>
    </row>
    <row r="763" spans="1:5">
      <c r="A763">
        <v>9.0929421152010099E-3</v>
      </c>
      <c r="B763">
        <v>-4.70025675812236</v>
      </c>
      <c r="C763">
        <v>44.761830908246303</v>
      </c>
      <c r="D763">
        <v>25.056294151581799</v>
      </c>
      <c r="E763">
        <v>2.0375803459017101</v>
      </c>
    </row>
    <row r="764" spans="1:5">
      <c r="A764">
        <v>3.2488917402210399E-4</v>
      </c>
      <c r="B764">
        <v>-8.0320264367981906</v>
      </c>
      <c r="C764">
        <v>18.7250605276786</v>
      </c>
      <c r="D764">
        <v>19.618248092010599</v>
      </c>
      <c r="E764">
        <v>2.4069306963601802</v>
      </c>
    </row>
    <row r="765" spans="1:5">
      <c r="A765" s="90">
        <v>2.7436632393772302E-9</v>
      </c>
      <c r="B765">
        <v>-19.7139718607887</v>
      </c>
      <c r="C765">
        <v>45.685931312851601</v>
      </c>
      <c r="D765">
        <v>33.257294385694003</v>
      </c>
      <c r="E765">
        <v>8.3318051208026507</v>
      </c>
    </row>
    <row r="766" spans="1:5">
      <c r="A766">
        <v>8.9606875358340197E-3</v>
      </c>
      <c r="B766">
        <v>-4.7149083210291503</v>
      </c>
      <c r="C766">
        <v>28.316638280171901</v>
      </c>
      <c r="D766">
        <v>21.557042938657101</v>
      </c>
      <c r="E766">
        <v>2.5219678178907801</v>
      </c>
    </row>
    <row r="767" spans="1:5">
      <c r="A767" s="90">
        <v>1.39342634329976E-14</v>
      </c>
      <c r="B767">
        <v>-31.904425592711601</v>
      </c>
      <c r="C767">
        <v>49.689019735902498</v>
      </c>
      <c r="D767">
        <v>26.585055598989101</v>
      </c>
      <c r="E767">
        <v>9.9206514542138002</v>
      </c>
    </row>
    <row r="768" spans="1:5">
      <c r="A768">
        <v>9.1255553956703803E-2</v>
      </c>
      <c r="B768">
        <v>-2.3940914230928101</v>
      </c>
      <c r="C768">
        <v>32.674386517610401</v>
      </c>
      <c r="D768">
        <v>21.962167373858399</v>
      </c>
      <c r="E768">
        <v>2.2223817876410799</v>
      </c>
    </row>
    <row r="769" spans="1:5">
      <c r="A769" s="90">
        <v>1.62111963270335E-8</v>
      </c>
      <c r="B769">
        <v>-17.937563702131001</v>
      </c>
      <c r="C769">
        <v>19.472497788723601</v>
      </c>
      <c r="D769">
        <v>19.517242130823401</v>
      </c>
      <c r="E769">
        <v>3.86954197327336</v>
      </c>
    </row>
    <row r="770" spans="1:5">
      <c r="A770" s="90">
        <v>2.04026204034602E-10</v>
      </c>
      <c r="B770">
        <v>-22.312772679183499</v>
      </c>
      <c r="C770">
        <v>17.354000102728602</v>
      </c>
      <c r="D770">
        <v>16.333774328231801</v>
      </c>
      <c r="E770">
        <v>3.8125184447511402</v>
      </c>
    </row>
    <row r="771" spans="1:5">
      <c r="A771" s="90">
        <v>2.56343188728155E-8</v>
      </c>
      <c r="B771">
        <v>-17.479333802267899</v>
      </c>
      <c r="C771">
        <v>26.872361069079499</v>
      </c>
      <c r="D771">
        <v>21.868077525869001</v>
      </c>
      <c r="E771">
        <v>5.8199577747655296</v>
      </c>
    </row>
    <row r="772" spans="1:5">
      <c r="A772" s="90">
        <v>4.36413906831419E-11</v>
      </c>
      <c r="B772">
        <v>-23.855015088304999</v>
      </c>
      <c r="C772">
        <v>11.128106439020501</v>
      </c>
      <c r="D772">
        <v>17.6323215430602</v>
      </c>
      <c r="E772">
        <v>3.0065546043897799</v>
      </c>
    </row>
    <row r="773" spans="1:5">
      <c r="A773" s="90">
        <v>5.6477976352396299E-5</v>
      </c>
      <c r="B773">
        <v>-9.7816597948759192</v>
      </c>
      <c r="C773">
        <v>47.821072468999802</v>
      </c>
      <c r="D773">
        <v>18.2799025718123</v>
      </c>
      <c r="E773">
        <v>9.82204103533374</v>
      </c>
    </row>
    <row r="774" spans="1:5">
      <c r="A774" s="90">
        <v>3.1452743384255001E-12</v>
      </c>
      <c r="B774">
        <v>-26.485119999556499</v>
      </c>
      <c r="C774">
        <v>22.583888726308899</v>
      </c>
      <c r="D774">
        <v>28.743724487721899</v>
      </c>
      <c r="E774">
        <v>5.6633106699679301</v>
      </c>
    </row>
    <row r="775" spans="1:5">
      <c r="A775">
        <v>2.7649590898259501E-3</v>
      </c>
      <c r="B775">
        <v>-5.8907294398402801</v>
      </c>
      <c r="C775">
        <v>41.616960963234298</v>
      </c>
      <c r="D775">
        <v>20.3150729788467</v>
      </c>
      <c r="E775">
        <v>1.80347177948052</v>
      </c>
    </row>
    <row r="776" spans="1:5">
      <c r="A776" s="90">
        <v>4.8384988206393502E-5</v>
      </c>
      <c r="B776">
        <v>-9.9363209533764891</v>
      </c>
      <c r="C776">
        <v>45.854613994713901</v>
      </c>
      <c r="D776">
        <v>30.1975912274793</v>
      </c>
      <c r="E776">
        <v>8.4340153132146902</v>
      </c>
    </row>
    <row r="777" spans="1:5">
      <c r="A777" s="90">
        <v>7.8090782896055496E-6</v>
      </c>
      <c r="B777">
        <v>-11.760223617773001</v>
      </c>
      <c r="C777">
        <v>15.2588848993182</v>
      </c>
      <c r="D777">
        <v>30.290073198266299</v>
      </c>
      <c r="E777">
        <v>3.9429204576756298</v>
      </c>
    </row>
    <row r="778" spans="1:5">
      <c r="A778">
        <v>1.48669714577682E-2</v>
      </c>
      <c r="B778">
        <v>-4.2086132071907798</v>
      </c>
      <c r="C778">
        <v>38.533750176895403</v>
      </c>
      <c r="D778">
        <v>31.746130697429201</v>
      </c>
      <c r="E778">
        <v>2.4875147618361502</v>
      </c>
    </row>
    <row r="779" spans="1:5">
      <c r="A779">
        <v>1.06802099517586E-4</v>
      </c>
      <c r="B779">
        <v>-9.1445329732270402</v>
      </c>
      <c r="C779">
        <v>31.317021971568501</v>
      </c>
      <c r="D779">
        <v>23.669689297676101</v>
      </c>
      <c r="E779">
        <v>7.6601511172567101</v>
      </c>
    </row>
    <row r="780" spans="1:5">
      <c r="A780" s="90">
        <v>1.11094094688367E-14</v>
      </c>
      <c r="B780">
        <v>-32.130983945791797</v>
      </c>
      <c r="C780">
        <v>33.599571195431103</v>
      </c>
      <c r="D780">
        <v>31.270841467194298</v>
      </c>
      <c r="E780">
        <v>7.3584316556298601</v>
      </c>
    </row>
    <row r="781" spans="1:5">
      <c r="A781" s="90">
        <v>1.74705455810008E-9</v>
      </c>
      <c r="B781">
        <v>-20.165334576688501</v>
      </c>
      <c r="C781">
        <v>14.081717195454999</v>
      </c>
      <c r="D781">
        <v>17.40166392643</v>
      </c>
      <c r="E781">
        <v>3.9417434970549099</v>
      </c>
    </row>
    <row r="782" spans="1:5">
      <c r="A782">
        <v>4.6202188597746097E-3</v>
      </c>
      <c r="B782">
        <v>-5.3773132027649302</v>
      </c>
      <c r="C782">
        <v>45.998452592641101</v>
      </c>
      <c r="D782">
        <v>26.081441892310998</v>
      </c>
      <c r="E782">
        <v>1.5235218134012301</v>
      </c>
    </row>
    <row r="783" spans="1:5">
      <c r="A783" s="90">
        <v>9.5211378509006502E-10</v>
      </c>
      <c r="B783">
        <v>-20.772336566126</v>
      </c>
      <c r="C783">
        <v>17.8024312197231</v>
      </c>
      <c r="D783">
        <v>34.580102246254697</v>
      </c>
      <c r="E783">
        <v>3.8006107609255002</v>
      </c>
    </row>
    <row r="784" spans="1:5">
      <c r="A784" s="90">
        <v>4.0007506663808401E-9</v>
      </c>
      <c r="B784">
        <v>-19.336783826838499</v>
      </c>
      <c r="C784">
        <v>19.4216433418915</v>
      </c>
      <c r="D784">
        <v>16.291141440160601</v>
      </c>
      <c r="E784">
        <v>3.8621437194880701</v>
      </c>
    </row>
    <row r="785" spans="1:5">
      <c r="A785">
        <v>1.12219741905436E-4</v>
      </c>
      <c r="B785">
        <v>-9.0950516275421904</v>
      </c>
      <c r="C785">
        <v>41.555915116798097</v>
      </c>
      <c r="D785">
        <v>15.6207305891439</v>
      </c>
      <c r="E785">
        <v>7.8020151318659297</v>
      </c>
    </row>
    <row r="786" spans="1:5">
      <c r="A786" s="90">
        <v>9.9693496921734997E-7</v>
      </c>
      <c r="B786">
        <v>-13.8185802955739</v>
      </c>
      <c r="C786">
        <v>46.877964685205399</v>
      </c>
      <c r="D786">
        <v>18.772029732354</v>
      </c>
      <c r="E786">
        <v>9.2194593452947693</v>
      </c>
    </row>
    <row r="787" spans="1:5">
      <c r="A787" s="90">
        <v>5.3141764684739499E-12</v>
      </c>
      <c r="B787">
        <v>-25.960643060923601</v>
      </c>
      <c r="C787">
        <v>12.4940730319358</v>
      </c>
      <c r="D787">
        <v>24.097627028822899</v>
      </c>
      <c r="E787">
        <v>3.3240688361402202</v>
      </c>
    </row>
    <row r="788" spans="1:5">
      <c r="A788">
        <v>5.1070452509052403E-3</v>
      </c>
      <c r="B788">
        <v>-5.2771342707909303</v>
      </c>
      <c r="C788">
        <v>45.842869424261202</v>
      </c>
      <c r="D788">
        <v>21.9854763522744</v>
      </c>
      <c r="E788">
        <v>2.2966845184268698</v>
      </c>
    </row>
    <row r="789" spans="1:5">
      <c r="A789" s="90">
        <v>1.52877771908052E-12</v>
      </c>
      <c r="B789">
        <v>-27.206552576214001</v>
      </c>
      <c r="C789">
        <v>39.517549894750097</v>
      </c>
      <c r="D789">
        <v>31.264397101476799</v>
      </c>
      <c r="E789">
        <v>7.9967708554385597</v>
      </c>
    </row>
    <row r="790" spans="1:5">
      <c r="A790" s="90">
        <v>5.1552544749347797E-7</v>
      </c>
      <c r="B790">
        <v>-14.478079170026</v>
      </c>
      <c r="C790">
        <v>24.0457405238412</v>
      </c>
      <c r="D790">
        <v>15.5967672448605</v>
      </c>
      <c r="E790">
        <v>5.7942945587431796</v>
      </c>
    </row>
    <row r="791" spans="1:5">
      <c r="A791" s="90">
        <v>2.2699493583682E-10</v>
      </c>
      <c r="B791">
        <v>-22.206093407784898</v>
      </c>
      <c r="C791">
        <v>35.820583037100697</v>
      </c>
      <c r="D791">
        <v>24.852125258185001</v>
      </c>
      <c r="E791">
        <v>6.9025621141675098</v>
      </c>
    </row>
    <row r="792" spans="1:5">
      <c r="A792">
        <v>6.57379044903358E-2</v>
      </c>
      <c r="B792">
        <v>-2.7220795869715402</v>
      </c>
      <c r="C792">
        <v>10.954951999243301</v>
      </c>
      <c r="D792">
        <v>15.5850654141977</v>
      </c>
      <c r="E792">
        <v>2.8304320870252799</v>
      </c>
    </row>
    <row r="793" spans="1:5">
      <c r="A793" s="90">
        <v>3.2492628230904801E-9</v>
      </c>
      <c r="B793">
        <v>-19.5448376899976</v>
      </c>
      <c r="C793">
        <v>22.779381234198802</v>
      </c>
      <c r="D793">
        <v>26.804607980884601</v>
      </c>
      <c r="E793">
        <v>5.72391439622099</v>
      </c>
    </row>
    <row r="794" spans="1:5">
      <c r="A794" s="90">
        <v>6.15581469147287E-10</v>
      </c>
      <c r="B794">
        <v>-21.208453816516801</v>
      </c>
      <c r="C794">
        <v>17.804042017553002</v>
      </c>
      <c r="D794">
        <v>32.750164940953297</v>
      </c>
      <c r="E794">
        <v>3.8005805932282102</v>
      </c>
    </row>
    <row r="795" spans="1:5">
      <c r="A795" s="90">
        <v>3.9663504458095897E-12</v>
      </c>
      <c r="B795">
        <v>-26.253174727200701</v>
      </c>
      <c r="C795">
        <v>48.1412998344749</v>
      </c>
      <c r="D795">
        <v>17.604239759966699</v>
      </c>
      <c r="E795">
        <v>9.9079150529564401</v>
      </c>
    </row>
    <row r="796" spans="1:5">
      <c r="A796" s="90">
        <v>5.6973267544490698E-11</v>
      </c>
      <c r="B796">
        <v>-23.5884389485519</v>
      </c>
      <c r="C796">
        <v>48.875548476818899</v>
      </c>
      <c r="D796">
        <v>25.358080789446799</v>
      </c>
      <c r="E796">
        <v>9.9210929859651902</v>
      </c>
    </row>
    <row r="797" spans="1:5">
      <c r="A797">
        <v>7.7608545846368504E-3</v>
      </c>
      <c r="B797">
        <v>-4.8586628239643401</v>
      </c>
      <c r="C797">
        <v>38.451141767203801</v>
      </c>
      <c r="D797">
        <v>20.013286112807702</v>
      </c>
      <c r="E797">
        <v>1.5089335188736499</v>
      </c>
    </row>
    <row r="798" spans="1:5">
      <c r="A798" s="90">
        <v>1.89400461624211E-7</v>
      </c>
      <c r="B798">
        <v>-15.479402218899599</v>
      </c>
      <c r="C798">
        <v>12.4560351073742</v>
      </c>
      <c r="D798">
        <v>30.0911503518</v>
      </c>
      <c r="E798">
        <v>3.3077721878224202</v>
      </c>
    </row>
    <row r="799" spans="1:5">
      <c r="A799" s="90">
        <v>6.0645764922525399E-12</v>
      </c>
      <c r="B799">
        <v>-25.828556404123599</v>
      </c>
      <c r="C799">
        <v>9.3286499003879708</v>
      </c>
      <c r="D799">
        <v>19.833519319072401</v>
      </c>
      <c r="E799">
        <v>3.3005869221915698</v>
      </c>
    </row>
    <row r="800" spans="1:5">
      <c r="A800">
        <v>1.42150753964952E-2</v>
      </c>
      <c r="B800">
        <v>-4.2534522298837301</v>
      </c>
      <c r="C800">
        <v>40.761775299441098</v>
      </c>
      <c r="D800">
        <v>29.795630038715899</v>
      </c>
      <c r="E800">
        <v>2.1909953389252101</v>
      </c>
    </row>
    <row r="801" spans="1:5">
      <c r="A801">
        <v>5.3604825844276699E-4</v>
      </c>
      <c r="B801">
        <v>-7.53128636653818</v>
      </c>
      <c r="C801">
        <v>26.090892342384901</v>
      </c>
      <c r="D801">
        <v>23.320171353407201</v>
      </c>
      <c r="E801">
        <v>3.3295903042393098</v>
      </c>
    </row>
    <row r="802" spans="1:5">
      <c r="A802" s="90">
        <v>2.0438363348730999E-9</v>
      </c>
      <c r="B802">
        <v>-20.008437238812199</v>
      </c>
      <c r="C802">
        <v>47.750663572922299</v>
      </c>
      <c r="D802">
        <v>27.7928679157048</v>
      </c>
      <c r="E802">
        <v>9.7932979073722599</v>
      </c>
    </row>
    <row r="803" spans="1:5">
      <c r="A803" s="90">
        <v>2.4192269549849998E-11</v>
      </c>
      <c r="B803">
        <v>-24.444987973886601</v>
      </c>
      <c r="C803">
        <v>23.870381727348999</v>
      </c>
      <c r="D803">
        <v>20.695393020287199</v>
      </c>
      <c r="E803">
        <v>5.7944447573350901</v>
      </c>
    </row>
    <row r="804" spans="1:5">
      <c r="A804" s="90">
        <v>1.84220024809348E-7</v>
      </c>
      <c r="B804">
        <v>-15.5071350067139</v>
      </c>
      <c r="C804">
        <v>22.5769890761003</v>
      </c>
      <c r="D804">
        <v>22.067974759265802</v>
      </c>
      <c r="E804">
        <v>5.6607786261862998</v>
      </c>
    </row>
    <row r="805" spans="1:5">
      <c r="A805" s="90">
        <v>2.3669130042430401E-9</v>
      </c>
      <c r="B805">
        <v>-19.861679260683999</v>
      </c>
      <c r="C805">
        <v>40.971003994811298</v>
      </c>
      <c r="D805">
        <v>33.748877383768601</v>
      </c>
      <c r="E805">
        <v>7.9167629479575998</v>
      </c>
    </row>
    <row r="806" spans="1:5">
      <c r="A806" s="90">
        <v>1.13164219668202E-7</v>
      </c>
      <c r="B806">
        <v>-15.9944258018109</v>
      </c>
      <c r="C806">
        <v>31.554448654875198</v>
      </c>
      <c r="D806">
        <v>28.686421853490199</v>
      </c>
      <c r="E806">
        <v>7.6686794293462901</v>
      </c>
    </row>
    <row r="807" spans="1:5">
      <c r="A807" s="90">
        <v>4.2086913700528903E-12</v>
      </c>
      <c r="B807">
        <v>-26.1938693550218</v>
      </c>
      <c r="C807">
        <v>28.476659792009698</v>
      </c>
      <c r="D807">
        <v>25.7282056985423</v>
      </c>
      <c r="E807">
        <v>6.0852826181833199</v>
      </c>
    </row>
    <row r="808" spans="1:5">
      <c r="A808" s="90">
        <v>4.7228552149788598E-11</v>
      </c>
      <c r="B808">
        <v>-23.776022487798699</v>
      </c>
      <c r="C808">
        <v>25.389415028970699</v>
      </c>
      <c r="D808">
        <v>23.1189277069643</v>
      </c>
      <c r="E808">
        <v>5.7948657507555197</v>
      </c>
    </row>
    <row r="809" spans="1:5">
      <c r="A809" s="90">
        <v>4.0419142501581002E-13</v>
      </c>
      <c r="B809">
        <v>-28.5368878048723</v>
      </c>
      <c r="C809">
        <v>22.293804134707901</v>
      </c>
      <c r="D809">
        <v>16.713090692646801</v>
      </c>
      <c r="E809">
        <v>5.5362981844466397</v>
      </c>
    </row>
    <row r="810" spans="1:5">
      <c r="A810">
        <v>3.14103802886622E-2</v>
      </c>
      <c r="B810">
        <v>-3.46061685825679</v>
      </c>
      <c r="C810">
        <v>49.780820387415602</v>
      </c>
      <c r="D810">
        <v>28.273874749429499</v>
      </c>
      <c r="E810">
        <v>2.5392496505730202</v>
      </c>
    </row>
    <row r="811" spans="1:5">
      <c r="A811">
        <v>9.2271456733856796E-3</v>
      </c>
      <c r="B811">
        <v>-4.6856055227802402</v>
      </c>
      <c r="C811">
        <v>14.187414525542399</v>
      </c>
      <c r="D811">
        <v>23.767881677485999</v>
      </c>
      <c r="E811">
        <v>1.56087044284946</v>
      </c>
    </row>
    <row r="812" spans="1:5">
      <c r="A812" s="90">
        <v>2.48919853173688E-7</v>
      </c>
      <c r="B812">
        <v>-15.206134867098999</v>
      </c>
      <c r="C812">
        <v>23.209557848516901</v>
      </c>
      <c r="D812">
        <v>34.116716315038502</v>
      </c>
      <c r="E812">
        <v>5.7917759441535104</v>
      </c>
    </row>
    <row r="813" spans="1:5">
      <c r="A813" s="90">
        <v>1.86419873079511E-12</v>
      </c>
      <c r="B813">
        <v>-27.008189790114699</v>
      </c>
      <c r="C813">
        <v>43.5105166221038</v>
      </c>
      <c r="D813">
        <v>34.553134748712203</v>
      </c>
      <c r="E813">
        <v>7.8230797417559703</v>
      </c>
    </row>
    <row r="814" spans="1:5">
      <c r="A814">
        <v>4.8089383987336099E-3</v>
      </c>
      <c r="B814">
        <v>-5.3372789263478602</v>
      </c>
      <c r="C814">
        <v>36.401240059640301</v>
      </c>
      <c r="D814">
        <v>34.225462460890398</v>
      </c>
      <c r="E814">
        <v>2.2287756162405099</v>
      </c>
    </row>
    <row r="815" spans="1:5">
      <c r="A815" s="90">
        <v>4.3224001901052497E-12</v>
      </c>
      <c r="B815">
        <v>-26.167210268399401</v>
      </c>
      <c r="C815">
        <v>27.578782832249999</v>
      </c>
      <c r="D815">
        <v>31.6520939674228</v>
      </c>
      <c r="E815">
        <v>5.8781782363408599</v>
      </c>
    </row>
    <row r="816" spans="1:5">
      <c r="A816" s="90">
        <v>2.7722252841612799E-13</v>
      </c>
      <c r="B816">
        <v>-28.9139558595548</v>
      </c>
      <c r="C816">
        <v>14.9030782952905</v>
      </c>
      <c r="D816">
        <v>30.4557323968038</v>
      </c>
      <c r="E816">
        <v>3.9781730201849199</v>
      </c>
    </row>
    <row r="817" spans="1:5">
      <c r="A817" s="90">
        <v>7.3723487995692597E-6</v>
      </c>
      <c r="B817">
        <v>-11.8177742051727</v>
      </c>
      <c r="C817">
        <v>41.086605694610597</v>
      </c>
      <c r="D817">
        <v>31.536363409832099</v>
      </c>
      <c r="E817">
        <v>7.9081049426007404</v>
      </c>
    </row>
    <row r="818" spans="1:5">
      <c r="A818">
        <v>8.5128920045473005E-4</v>
      </c>
      <c r="B818">
        <v>-7.0687586511000697</v>
      </c>
      <c r="C818">
        <v>31.0588468466885</v>
      </c>
      <c r="D818">
        <v>22.603180501610002</v>
      </c>
      <c r="E818">
        <v>3.6826843819019399</v>
      </c>
    </row>
    <row r="819" spans="1:5">
      <c r="A819" s="90">
        <v>6.9201918939155496E-10</v>
      </c>
      <c r="B819">
        <v>-21.0914074303607</v>
      </c>
      <c r="C819">
        <v>24.2371350717731</v>
      </c>
      <c r="D819">
        <v>21.701370021328302</v>
      </c>
      <c r="E819">
        <v>5.7941656038379499</v>
      </c>
    </row>
    <row r="820" spans="1:5">
      <c r="A820" s="90">
        <v>2.03331938376396E-9</v>
      </c>
      <c r="B820">
        <v>-20.013596214902702</v>
      </c>
      <c r="C820">
        <v>43.8900247253478</v>
      </c>
      <c r="D820">
        <v>25.111755714751801</v>
      </c>
      <c r="E820">
        <v>7.83897165153319</v>
      </c>
    </row>
    <row r="821" spans="1:5">
      <c r="A821">
        <v>4.61780968192744E-2</v>
      </c>
      <c r="B821">
        <v>-3.0752496881338298</v>
      </c>
      <c r="C821">
        <v>47.192699494305998</v>
      </c>
      <c r="D821">
        <v>25.393174765631599</v>
      </c>
      <c r="E821">
        <v>1.61195622162514</v>
      </c>
    </row>
    <row r="822" spans="1:5">
      <c r="A822" s="90">
        <v>3.09762567720581E-5</v>
      </c>
      <c r="B822">
        <v>-10.3822895575173</v>
      </c>
      <c r="C822">
        <v>8.0829565282911098</v>
      </c>
      <c r="D822">
        <v>25.795971928164398</v>
      </c>
      <c r="E822">
        <v>3.5253943236907102</v>
      </c>
    </row>
    <row r="823" spans="1:5">
      <c r="A823" s="90">
        <v>8.4112248544527901E-12</v>
      </c>
      <c r="B823">
        <v>-25.501454009926299</v>
      </c>
      <c r="C823">
        <v>14.9851399576291</v>
      </c>
      <c r="D823">
        <v>32.117442116141298</v>
      </c>
      <c r="E823">
        <v>3.97069777613526</v>
      </c>
    </row>
    <row r="824" spans="1:5">
      <c r="A824" s="90">
        <v>3.23239886873656E-9</v>
      </c>
      <c r="B824">
        <v>-19.5500412915456</v>
      </c>
      <c r="C824">
        <v>39.808344110846498</v>
      </c>
      <c r="D824">
        <v>23.707962110638601</v>
      </c>
      <c r="E824">
        <v>8.0166457221157206</v>
      </c>
    </row>
    <row r="825" spans="1:5">
      <c r="A825" s="90">
        <v>3.23305813695726E-8</v>
      </c>
      <c r="B825">
        <v>-17.247252263014701</v>
      </c>
      <c r="C825">
        <v>12.381748843472501</v>
      </c>
      <c r="D825">
        <v>34.401715355925298</v>
      </c>
      <c r="E825">
        <v>3.27625649017391</v>
      </c>
    </row>
    <row r="826" spans="1:5">
      <c r="A826" s="90">
        <v>1.3386503457059299E-6</v>
      </c>
      <c r="B826">
        <v>-13.523848656269999</v>
      </c>
      <c r="C826">
        <v>44.079280151519903</v>
      </c>
      <c r="D826">
        <v>20.8092912426218</v>
      </c>
      <c r="E826">
        <v>7.8538096715778103</v>
      </c>
    </row>
    <row r="827" spans="1:5">
      <c r="A827" s="90">
        <v>1.7530375503299499E-5</v>
      </c>
      <c r="B827">
        <v>-10.951575438650201</v>
      </c>
      <c r="C827">
        <v>31.2073683189228</v>
      </c>
      <c r="D827">
        <v>31.336534013971701</v>
      </c>
      <c r="E827">
        <v>7.6441617881731396</v>
      </c>
    </row>
    <row r="828" spans="1:5">
      <c r="A828" s="90">
        <v>2.7307228985913201E-7</v>
      </c>
      <c r="B828">
        <v>-15.1135292787955</v>
      </c>
      <c r="C828">
        <v>9.7494203597307205</v>
      </c>
      <c r="D828">
        <v>16.130007789470302</v>
      </c>
      <c r="E828">
        <v>3.2142566749568</v>
      </c>
    </row>
    <row r="829" spans="1:5">
      <c r="A829" s="90">
        <v>2.53923410109969E-12</v>
      </c>
      <c r="B829">
        <v>-26.699158615369001</v>
      </c>
      <c r="C829">
        <v>25.471576651092601</v>
      </c>
      <c r="D829">
        <v>32.551887338049703</v>
      </c>
      <c r="E829">
        <v>5.79512180222582</v>
      </c>
    </row>
    <row r="830" spans="1:5">
      <c r="A830" s="90">
        <v>1.4955404071443501E-13</v>
      </c>
      <c r="B830">
        <v>-29.531118591045999</v>
      </c>
      <c r="C830">
        <v>39.728573768865303</v>
      </c>
      <c r="D830">
        <v>30.6810899591073</v>
      </c>
      <c r="E830">
        <v>8.0155620408397592</v>
      </c>
    </row>
    <row r="831" spans="1:5">
      <c r="A831">
        <v>2.9406491129293502E-4</v>
      </c>
      <c r="B831">
        <v>-8.1317100282847292</v>
      </c>
      <c r="C831">
        <v>30.759608131367699</v>
      </c>
      <c r="D831">
        <v>25.399143132381099</v>
      </c>
      <c r="E831">
        <v>4.1463430604520797</v>
      </c>
    </row>
    <row r="832" spans="1:5">
      <c r="A832" s="90">
        <v>3.4234725143748101E-12</v>
      </c>
      <c r="B832">
        <v>-26.400365724897998</v>
      </c>
      <c r="C832">
        <v>20.745278198737701</v>
      </c>
      <c r="D832">
        <v>22.613536347635101</v>
      </c>
      <c r="E832">
        <v>4.3514045990985704</v>
      </c>
    </row>
    <row r="833" spans="1:5">
      <c r="A833" s="90">
        <v>6.8514521018853006E-8</v>
      </c>
      <c r="B833">
        <v>-16.4962201284673</v>
      </c>
      <c r="C833">
        <v>23.579568950925001</v>
      </c>
      <c r="D833">
        <v>26.765196556225401</v>
      </c>
      <c r="E833">
        <v>5.7947580666979803</v>
      </c>
    </row>
    <row r="834" spans="1:5">
      <c r="A834">
        <v>6.3564773211292804E-3</v>
      </c>
      <c r="B834">
        <v>-5.0582809354040599</v>
      </c>
      <c r="C834">
        <v>42.027929193340199</v>
      </c>
      <c r="D834">
        <v>29.072609529830501</v>
      </c>
      <c r="E834">
        <v>2.38792168189112</v>
      </c>
    </row>
    <row r="835" spans="1:5">
      <c r="A835" s="90">
        <v>1.6448018736394E-13</v>
      </c>
      <c r="B835">
        <v>-29.4359862735155</v>
      </c>
      <c r="C835">
        <v>29.1068586218171</v>
      </c>
      <c r="D835">
        <v>18.505437304265801</v>
      </c>
      <c r="E835">
        <v>6.3891853633782896</v>
      </c>
    </row>
    <row r="836" spans="1:5">
      <c r="A836" s="90">
        <v>2.18548424476536E-6</v>
      </c>
      <c r="B836">
        <v>-13.033673131653099</v>
      </c>
      <c r="C836">
        <v>40.302046252880203</v>
      </c>
      <c r="D836">
        <v>27.1250953432173</v>
      </c>
      <c r="E836">
        <v>7.9747610073206001</v>
      </c>
    </row>
    <row r="837" spans="1:5">
      <c r="A837" s="90">
        <v>1.19688818758467E-11</v>
      </c>
      <c r="B837">
        <v>-25.148711011260801</v>
      </c>
      <c r="C837">
        <v>35.047985951416202</v>
      </c>
      <c r="D837">
        <v>33.224681382998803</v>
      </c>
      <c r="E837">
        <v>7.0414779185561001</v>
      </c>
    </row>
    <row r="838" spans="1:5">
      <c r="A838" s="90">
        <v>3.1549470884787898E-7</v>
      </c>
      <c r="B838">
        <v>-14.969123925793999</v>
      </c>
      <c r="C838">
        <v>27.494166416116101</v>
      </c>
      <c r="D838">
        <v>34.773312713950901</v>
      </c>
      <c r="E838">
        <v>5.8678567868871401</v>
      </c>
    </row>
    <row r="839" spans="1:5">
      <c r="A839" s="90">
        <v>2.9419273306253801E-12</v>
      </c>
      <c r="B839">
        <v>-26.551956194725602</v>
      </c>
      <c r="C839">
        <v>26.3510660664178</v>
      </c>
      <c r="D839">
        <v>32.232589605264401</v>
      </c>
      <c r="E839">
        <v>5.8036530836326801</v>
      </c>
    </row>
    <row r="840" spans="1:5">
      <c r="A840">
        <v>2.3126638097773801E-2</v>
      </c>
      <c r="B840">
        <v>-3.76677016143196</v>
      </c>
      <c r="C840">
        <v>29.7681909929961</v>
      </c>
      <c r="D840">
        <v>22.925715572200701</v>
      </c>
      <c r="E840">
        <v>2.4654318236873798</v>
      </c>
    </row>
    <row r="841" spans="1:5">
      <c r="A841" s="90">
        <v>1.44787191970162E-11</v>
      </c>
      <c r="B841">
        <v>-24.9583411861279</v>
      </c>
      <c r="C841">
        <v>19.780986597761501</v>
      </c>
      <c r="D841">
        <v>25.181191121228</v>
      </c>
      <c r="E841">
        <v>3.9282600012489</v>
      </c>
    </row>
    <row r="842" spans="1:5">
      <c r="A842" s="90">
        <v>9.0310424747703004E-7</v>
      </c>
      <c r="B842">
        <v>-13.9174278444818</v>
      </c>
      <c r="C842">
        <v>20.282801803201401</v>
      </c>
      <c r="D842">
        <v>16.5737924445421</v>
      </c>
      <c r="E842">
        <v>4.0925982409412196</v>
      </c>
    </row>
    <row r="843" spans="1:5">
      <c r="A843" s="90">
        <v>7.3659317618768496E-9</v>
      </c>
      <c r="B843">
        <v>-18.726400282898499</v>
      </c>
      <c r="C843">
        <v>40.333199410699301</v>
      </c>
      <c r="D843">
        <v>24.095741268247401</v>
      </c>
      <c r="E843">
        <v>7.9717460330463004</v>
      </c>
    </row>
    <row r="844" spans="1:5">
      <c r="A844">
        <v>5.4214879753444105E-4</v>
      </c>
      <c r="B844">
        <v>-7.5199700600058597</v>
      </c>
      <c r="C844">
        <v>8.0725776869803703</v>
      </c>
      <c r="D844">
        <v>29.129427708685402</v>
      </c>
      <c r="E844">
        <v>2.1727716997608901</v>
      </c>
    </row>
    <row r="845" spans="1:5">
      <c r="A845" s="90">
        <v>2.21546215042793E-13</v>
      </c>
      <c r="B845">
        <v>-29.138145181397601</v>
      </c>
      <c r="C845">
        <v>10.4890816845</v>
      </c>
      <c r="D845">
        <v>34.527012440375998</v>
      </c>
      <c r="E845">
        <v>3.0754486092575899</v>
      </c>
    </row>
    <row r="846" spans="1:5">
      <c r="A846" s="90">
        <v>6.0794518861490206E-8</v>
      </c>
      <c r="B846">
        <v>-16.615766202342499</v>
      </c>
      <c r="C846">
        <v>17.5332693783566</v>
      </c>
      <c r="D846">
        <v>19.974456718191501</v>
      </c>
      <c r="E846">
        <v>3.8069217462494098</v>
      </c>
    </row>
    <row r="847" spans="1:5">
      <c r="A847" s="90">
        <v>5.2109419055357797E-8</v>
      </c>
      <c r="B847">
        <v>-16.769920116516602</v>
      </c>
      <c r="C847">
        <v>38.601127451751402</v>
      </c>
      <c r="D847">
        <v>17.683008816093199</v>
      </c>
      <c r="E847">
        <v>7.6711306686096599</v>
      </c>
    </row>
    <row r="848" spans="1:5">
      <c r="A848" s="90">
        <v>1.33864331187006E-9</v>
      </c>
      <c r="B848">
        <v>-20.4316091896895</v>
      </c>
      <c r="C848">
        <v>37.825230813119603</v>
      </c>
      <c r="D848">
        <v>15.1940068136901</v>
      </c>
      <c r="E848">
        <v>7.2354752520368404</v>
      </c>
    </row>
    <row r="849" spans="1:5">
      <c r="A849" s="90">
        <v>2.1676793091622399E-10</v>
      </c>
      <c r="B849">
        <v>-22.252193777432399</v>
      </c>
      <c r="C849">
        <v>25.201776443980599</v>
      </c>
      <c r="D849">
        <v>28.269691355526401</v>
      </c>
      <c r="E849">
        <v>5.7944453284478001</v>
      </c>
    </row>
    <row r="850" spans="1:5">
      <c r="A850" s="90">
        <v>1.4937276785864001E-6</v>
      </c>
      <c r="B850">
        <v>-13.414235764583999</v>
      </c>
      <c r="C850">
        <v>27.909695656038799</v>
      </c>
      <c r="D850">
        <v>30.790682979859401</v>
      </c>
      <c r="E850">
        <v>5.9313209515483596</v>
      </c>
    </row>
    <row r="851" spans="1:5">
      <c r="A851" s="90">
        <v>1.2404708804544701E-5</v>
      </c>
      <c r="B851">
        <v>-11.2974344151352</v>
      </c>
      <c r="C851">
        <v>34.023983703460502</v>
      </c>
      <c r="D851">
        <v>23.2965228706598</v>
      </c>
      <c r="E851">
        <v>7.2683950201723899</v>
      </c>
    </row>
    <row r="852" spans="1:5">
      <c r="A852" s="90">
        <v>1.1341682695720601E-11</v>
      </c>
      <c r="B852">
        <v>-25.202536442770999</v>
      </c>
      <c r="C852">
        <v>27.5893542296253</v>
      </c>
      <c r="D852">
        <v>30.9162096260116</v>
      </c>
      <c r="E852">
        <v>5.8795500385375599</v>
      </c>
    </row>
    <row r="853" spans="1:5">
      <c r="A853" s="90">
        <v>2.19324979435354E-5</v>
      </c>
      <c r="B853">
        <v>-10.727541096707199</v>
      </c>
      <c r="C853">
        <v>39.640043910592802</v>
      </c>
      <c r="D853">
        <v>33.899731896817698</v>
      </c>
      <c r="E853">
        <v>8.0104816233774994</v>
      </c>
    </row>
    <row r="854" spans="1:5">
      <c r="A854" s="90">
        <v>1.1602919304807601E-8</v>
      </c>
      <c r="B854">
        <v>-18.272009106288699</v>
      </c>
      <c r="C854">
        <v>18.279613614082301</v>
      </c>
      <c r="D854">
        <v>24.308889945969</v>
      </c>
      <c r="E854">
        <v>3.7965850192094202</v>
      </c>
    </row>
    <row r="855" spans="1:5">
      <c r="A855">
        <v>1.1809929914512001E-3</v>
      </c>
      <c r="B855">
        <v>-6.74139967620349</v>
      </c>
      <c r="C855">
        <v>18.926306424196799</v>
      </c>
      <c r="D855">
        <v>16.7661181511357</v>
      </c>
      <c r="E855">
        <v>1.9037637506854299</v>
      </c>
    </row>
    <row r="856" spans="1:5">
      <c r="A856" s="90">
        <v>6.1971169075819002E-8</v>
      </c>
      <c r="B856">
        <v>-16.596596574960401</v>
      </c>
      <c r="C856">
        <v>34.782612216193201</v>
      </c>
      <c r="D856">
        <v>16.2564130593091</v>
      </c>
      <c r="E856">
        <v>7.0992338380609201</v>
      </c>
    </row>
    <row r="857" spans="1:5">
      <c r="A857">
        <v>1.6339433898749301E-2</v>
      </c>
      <c r="B857">
        <v>-4.1141738352698196</v>
      </c>
      <c r="C857">
        <v>18.365178279113</v>
      </c>
      <c r="D857">
        <v>28.043902665376699</v>
      </c>
      <c r="E857">
        <v>2.608532617826</v>
      </c>
    </row>
    <row r="858" spans="1:5">
      <c r="A858">
        <v>1.55470637939489E-3</v>
      </c>
      <c r="B858">
        <v>-6.4664685747206097</v>
      </c>
      <c r="C858">
        <v>12.884443571791101</v>
      </c>
      <c r="D858">
        <v>22.2164273494855</v>
      </c>
      <c r="E858">
        <v>2.7515174129743798</v>
      </c>
    </row>
    <row r="859" spans="1:5">
      <c r="A859" s="90">
        <v>1.80696931233859E-10</v>
      </c>
      <c r="B859">
        <v>-22.434199901131699</v>
      </c>
      <c r="C859">
        <v>49.533335131127401</v>
      </c>
      <c r="D859">
        <v>31.034933500923199</v>
      </c>
      <c r="E859">
        <v>9.9206394059855807</v>
      </c>
    </row>
    <row r="860" spans="1:5">
      <c r="A860">
        <v>4.5273127072866897E-4</v>
      </c>
      <c r="B860">
        <v>-7.7002118298561602</v>
      </c>
      <c r="C860">
        <v>19.958349117543499</v>
      </c>
      <c r="D860">
        <v>15.551530192606201</v>
      </c>
      <c r="E860">
        <v>2.46176131493324</v>
      </c>
    </row>
    <row r="861" spans="1:5">
      <c r="A861">
        <v>3.72861687773081E-3</v>
      </c>
      <c r="B861">
        <v>-5.5917179243533699</v>
      </c>
      <c r="C861">
        <v>36.174309427384301</v>
      </c>
      <c r="D861">
        <v>15.1865460723639</v>
      </c>
      <c r="E861">
        <v>1.6912333556019801</v>
      </c>
    </row>
    <row r="862" spans="1:5">
      <c r="A862" s="90">
        <v>5.0499452232725399E-8</v>
      </c>
      <c r="B862">
        <v>-16.801303347600701</v>
      </c>
      <c r="C862">
        <v>40.1246755677275</v>
      </c>
      <c r="D862">
        <v>26.9324930477887</v>
      </c>
      <c r="E862">
        <v>7.9925442607136601</v>
      </c>
    </row>
    <row r="863" spans="1:5">
      <c r="A863" s="90">
        <v>3.4149980301703101E-13</v>
      </c>
      <c r="B863">
        <v>-28.7054292927169</v>
      </c>
      <c r="C863">
        <v>43.718577239196698</v>
      </c>
      <c r="D863">
        <v>22.961595319211501</v>
      </c>
      <c r="E863">
        <v>7.8296662039228098</v>
      </c>
    </row>
    <row r="864" spans="1:5">
      <c r="A864" s="90">
        <v>6.35237147827584E-13</v>
      </c>
      <c r="B864">
        <v>-28.084778004591399</v>
      </c>
      <c r="C864">
        <v>26.108500137925098</v>
      </c>
      <c r="D864">
        <v>17.049251431599298</v>
      </c>
      <c r="E864">
        <v>5.7997521682300599</v>
      </c>
    </row>
    <row r="865" spans="1:5">
      <c r="A865" s="90">
        <v>1.09111878430575E-12</v>
      </c>
      <c r="B865">
        <v>-27.543817538463699</v>
      </c>
      <c r="C865">
        <v>22.300888889469199</v>
      </c>
      <c r="D865">
        <v>17.483604378067</v>
      </c>
      <c r="E865">
        <v>5.5399403201111097</v>
      </c>
    </row>
    <row r="866" spans="1:5">
      <c r="A866" s="90">
        <v>1.1196306667750501E-12</v>
      </c>
      <c r="B866">
        <v>-27.518022246812901</v>
      </c>
      <c r="C866">
        <v>27.9835460358299</v>
      </c>
      <c r="D866">
        <v>24.999396177008698</v>
      </c>
      <c r="E866">
        <v>5.9463251814262001</v>
      </c>
    </row>
    <row r="867" spans="1:5">
      <c r="A867" s="90">
        <v>1.0949477668237201E-11</v>
      </c>
      <c r="B867">
        <v>-25.237729362334601</v>
      </c>
      <c r="C867">
        <v>40.607118768617497</v>
      </c>
      <c r="D867">
        <v>31.778067136183399</v>
      </c>
      <c r="E867">
        <v>7.9465884818736798</v>
      </c>
    </row>
    <row r="868" spans="1:5">
      <c r="A868" s="90">
        <v>4.9684584014432396E-10</v>
      </c>
      <c r="B868">
        <v>-21.422741318744102</v>
      </c>
      <c r="C868">
        <v>29.097959326114498</v>
      </c>
      <c r="D868">
        <v>32.1058355411515</v>
      </c>
      <c r="E868">
        <v>6.3838076684692098</v>
      </c>
    </row>
    <row r="869" spans="1:5">
      <c r="A869">
        <v>9.6852781308772796E-4</v>
      </c>
      <c r="B869">
        <v>-6.9397333578344398</v>
      </c>
      <c r="C869">
        <v>21.487758053000999</v>
      </c>
      <c r="D869">
        <v>21.130639952607499</v>
      </c>
      <c r="E869">
        <v>2.84999028124281</v>
      </c>
    </row>
    <row r="870" spans="1:5">
      <c r="A870" s="90">
        <v>8.1931683309878499E-13</v>
      </c>
      <c r="B870">
        <v>-27.830305532265701</v>
      </c>
      <c r="C870">
        <v>46.576795236207502</v>
      </c>
      <c r="D870">
        <v>28.219885942526201</v>
      </c>
      <c r="E870">
        <v>8.9733723196941799</v>
      </c>
    </row>
    <row r="871" spans="1:5">
      <c r="A871" s="90">
        <v>2.88516157189929E-5</v>
      </c>
      <c r="B871">
        <v>-10.4533445624538</v>
      </c>
      <c r="C871">
        <v>19.396170915570099</v>
      </c>
      <c r="D871">
        <v>32.669839342124803</v>
      </c>
      <c r="E871">
        <v>3.8586466798874701</v>
      </c>
    </row>
    <row r="872" spans="1:5">
      <c r="A872" s="90">
        <v>3.30352344728E-14</v>
      </c>
      <c r="B872">
        <v>-31.041201691745499</v>
      </c>
      <c r="C872">
        <v>47.371205967850997</v>
      </c>
      <c r="D872">
        <v>22.069097263738499</v>
      </c>
      <c r="E872">
        <v>9.5855376925521991</v>
      </c>
    </row>
    <row r="873" spans="1:5">
      <c r="A873" s="90">
        <v>6.6130088785274297E-7</v>
      </c>
      <c r="B873">
        <v>-14.229056899679801</v>
      </c>
      <c r="C873">
        <v>39.0938065657392</v>
      </c>
      <c r="D873">
        <v>28.3566068019718</v>
      </c>
      <c r="E873">
        <v>7.8916936560562698</v>
      </c>
    </row>
    <row r="874" spans="1:5">
      <c r="A874" s="90">
        <v>5.2404602826209702E-14</v>
      </c>
      <c r="B874">
        <v>-30.5797819672466</v>
      </c>
      <c r="C874">
        <v>27.962039955426</v>
      </c>
      <c r="D874">
        <v>15.1351170893759</v>
      </c>
      <c r="E874">
        <v>5.9418201125666004</v>
      </c>
    </row>
    <row r="875" spans="1:5">
      <c r="A875" s="90">
        <v>5.9785746786280597E-14</v>
      </c>
      <c r="B875">
        <v>-30.448009110419001</v>
      </c>
      <c r="C875">
        <v>21.7066062004305</v>
      </c>
      <c r="D875">
        <v>28.590696337632799</v>
      </c>
      <c r="E875">
        <v>5.14341679892049</v>
      </c>
    </row>
    <row r="876" spans="1:5">
      <c r="A876">
        <v>1.7334466339934899E-2</v>
      </c>
      <c r="B876">
        <v>-4.0550584854395897</v>
      </c>
      <c r="C876">
        <v>45.388383005279998</v>
      </c>
      <c r="D876">
        <v>20.8371136011556</v>
      </c>
      <c r="E876">
        <v>1.44187530900179</v>
      </c>
    </row>
    <row r="877" spans="1:5">
      <c r="A877" s="90">
        <v>4.4124475769542898E-10</v>
      </c>
      <c r="B877">
        <v>-21.541421388328502</v>
      </c>
      <c r="C877">
        <v>22.044030540622799</v>
      </c>
      <c r="D877">
        <v>15.113612418062999</v>
      </c>
      <c r="E877">
        <v>5.39026428476408</v>
      </c>
    </row>
    <row r="878" spans="1:5">
      <c r="A878" s="90">
        <v>6.4952368746136803E-13</v>
      </c>
      <c r="B878">
        <v>-28.062537089162699</v>
      </c>
      <c r="C878">
        <v>10.888377766590599</v>
      </c>
      <c r="D878">
        <v>33.410735861398301</v>
      </c>
      <c r="E878">
        <v>3.0230445814101299</v>
      </c>
    </row>
    <row r="879" spans="1:5">
      <c r="A879" s="90">
        <v>2.41858542399711E-14</v>
      </c>
      <c r="B879">
        <v>-31.353008468193899</v>
      </c>
      <c r="C879">
        <v>46.951242217794103</v>
      </c>
      <c r="D879">
        <v>15.8644613670185</v>
      </c>
      <c r="E879">
        <v>9.2780907150477496</v>
      </c>
    </row>
    <row r="880" spans="1:5">
      <c r="A880" s="90">
        <v>3.5109413506061597E-8</v>
      </c>
      <c r="B880">
        <v>-17.164796551375499</v>
      </c>
      <c r="C880">
        <v>8.22534164134413</v>
      </c>
      <c r="D880">
        <v>33.192851669155097</v>
      </c>
      <c r="E880">
        <v>3.5035422960318501</v>
      </c>
    </row>
    <row r="881" spans="1:5">
      <c r="A881" s="90">
        <v>1.3615375421445499E-9</v>
      </c>
      <c r="B881">
        <v>-20.4146512300895</v>
      </c>
      <c r="C881">
        <v>9.8034237842075491</v>
      </c>
      <c r="D881">
        <v>28.6163253663108</v>
      </c>
      <c r="E881">
        <v>3.20331525990431</v>
      </c>
    </row>
    <row r="882" spans="1:5">
      <c r="A882">
        <v>3.0106938127949799E-4</v>
      </c>
      <c r="B882">
        <v>-8.1081698171873402</v>
      </c>
      <c r="C882">
        <v>33.3491811305285</v>
      </c>
      <c r="D882">
        <v>21.2744999816641</v>
      </c>
      <c r="E882">
        <v>4.2618512437482101</v>
      </c>
    </row>
    <row r="883" spans="1:5">
      <c r="A883" s="90">
        <v>1.9013479102919801E-12</v>
      </c>
      <c r="B883">
        <v>-26.9884580548107</v>
      </c>
      <c r="C883">
        <v>16.096762871835399</v>
      </c>
      <c r="D883">
        <v>25.539981955662402</v>
      </c>
      <c r="E883">
        <v>3.875087444629</v>
      </c>
    </row>
    <row r="884" spans="1:5">
      <c r="A884" s="90">
        <v>8.1836203007068101E-12</v>
      </c>
      <c r="B884">
        <v>-25.5288864836748</v>
      </c>
      <c r="C884">
        <v>34.546953643672197</v>
      </c>
      <c r="D884">
        <v>18.612762051634501</v>
      </c>
      <c r="E884">
        <v>7.1519680963318404</v>
      </c>
    </row>
    <row r="885" spans="1:5">
      <c r="A885" s="90">
        <v>7.5764281694231802E-6</v>
      </c>
      <c r="B885">
        <v>-11.7904686871222</v>
      </c>
      <c r="C885">
        <v>43.833761791233002</v>
      </c>
      <c r="D885">
        <v>23.0835182499141</v>
      </c>
      <c r="E885">
        <v>7.8355198308723697</v>
      </c>
    </row>
    <row r="886" spans="1:5">
      <c r="A886">
        <v>2.24157573812278E-4</v>
      </c>
      <c r="B886">
        <v>-8.40316129889829</v>
      </c>
      <c r="C886">
        <v>12.1277355737984</v>
      </c>
      <c r="D886">
        <v>16.095087635330898</v>
      </c>
      <c r="E886">
        <v>3.3209001080927099</v>
      </c>
    </row>
    <row r="887" spans="1:5">
      <c r="A887" s="90">
        <v>1.3977390899624199E-11</v>
      </c>
      <c r="B887">
        <v>-24.993580027468798</v>
      </c>
      <c r="C887">
        <v>25.0194352483377</v>
      </c>
      <c r="D887">
        <v>21.385821551084501</v>
      </c>
      <c r="E887">
        <v>5.7942037158931896</v>
      </c>
    </row>
    <row r="888" spans="1:5">
      <c r="A888" s="90">
        <v>3.0489486708994601E-11</v>
      </c>
      <c r="B888">
        <v>-24.213639189803001</v>
      </c>
      <c r="C888">
        <v>23.447421041782899</v>
      </c>
      <c r="D888">
        <v>28.255934980697901</v>
      </c>
      <c r="E888">
        <v>5.7949273015920202</v>
      </c>
    </row>
    <row r="889" spans="1:5">
      <c r="A889" s="90">
        <v>1.10489026021922E-7</v>
      </c>
      <c r="B889">
        <v>-16.018349632939199</v>
      </c>
      <c r="C889">
        <v>11.025874550919999</v>
      </c>
      <c r="D889">
        <v>21.8880274472758</v>
      </c>
      <c r="E889">
        <v>3.0118163769633002</v>
      </c>
    </row>
    <row r="890" spans="1:5">
      <c r="A890">
        <v>7.6860342348976504E-3</v>
      </c>
      <c r="B890">
        <v>-4.8683503326602704</v>
      </c>
      <c r="C890">
        <v>45.915585414040798</v>
      </c>
      <c r="D890">
        <v>29.735250170342599</v>
      </c>
      <c r="E890">
        <v>1.5949402903613701</v>
      </c>
    </row>
    <row r="891" spans="1:5">
      <c r="A891" s="90">
        <v>2.0455499179053499E-9</v>
      </c>
      <c r="B891">
        <v>-20.007599175089901</v>
      </c>
      <c r="C891">
        <v>24.415233755949899</v>
      </c>
      <c r="D891">
        <v>23.571593929082201</v>
      </c>
      <c r="E891">
        <v>5.7940825747399298</v>
      </c>
    </row>
    <row r="892" spans="1:5">
      <c r="A892" s="90">
        <v>1.1295970539924801E-11</v>
      </c>
      <c r="B892">
        <v>-25.2065750431906</v>
      </c>
      <c r="C892">
        <v>18.870172620285299</v>
      </c>
      <c r="D892">
        <v>29.874618779867902</v>
      </c>
      <c r="E892">
        <v>3.8116916617319001</v>
      </c>
    </row>
    <row r="893" spans="1:5">
      <c r="A893">
        <v>1.04748099258143E-2</v>
      </c>
      <c r="B893">
        <v>-4.55878195884556</v>
      </c>
      <c r="C893">
        <v>11.790711297653599</v>
      </c>
      <c r="D893">
        <v>25.1349020702764</v>
      </c>
      <c r="E893">
        <v>3.2898300297509202</v>
      </c>
    </row>
    <row r="894" spans="1:5">
      <c r="A894" s="90">
        <v>6.0147526309199798E-10</v>
      </c>
      <c r="B894">
        <v>-21.231635706726099</v>
      </c>
      <c r="C894">
        <v>22.4770986838266</v>
      </c>
      <c r="D894">
        <v>15.951695246622</v>
      </c>
      <c r="E894">
        <v>5.6216285309977296</v>
      </c>
    </row>
    <row r="895" spans="1:5">
      <c r="A895" s="90">
        <v>1.00099958969067E-12</v>
      </c>
      <c r="B895">
        <v>-27.630022025494998</v>
      </c>
      <c r="C895">
        <v>11.6381892925128</v>
      </c>
      <c r="D895">
        <v>19.290623473934801</v>
      </c>
      <c r="E895">
        <v>3.0351312781277899</v>
      </c>
    </row>
    <row r="896" spans="1:5">
      <c r="A896" s="90">
        <v>2.7824752339824699E-9</v>
      </c>
      <c r="B896">
        <v>-19.699924933453701</v>
      </c>
      <c r="C896">
        <v>28.354651698842599</v>
      </c>
      <c r="D896">
        <v>28.750342479907001</v>
      </c>
      <c r="E896">
        <v>6.0437739109814403</v>
      </c>
    </row>
    <row r="897" spans="1:5">
      <c r="A897">
        <v>4.1737756026601402E-2</v>
      </c>
      <c r="B897">
        <v>-3.1763491395208998</v>
      </c>
      <c r="C897">
        <v>32.267304583452599</v>
      </c>
      <c r="D897">
        <v>16.438265517354001</v>
      </c>
      <c r="E897">
        <v>1.5781462817309999</v>
      </c>
    </row>
    <row r="898" spans="1:5">
      <c r="A898" s="90">
        <v>1.39951174985109E-5</v>
      </c>
      <c r="B898">
        <v>-11.1768020392828</v>
      </c>
      <c r="C898">
        <v>31.9357189722359</v>
      </c>
      <c r="D898">
        <v>23.671148493886001</v>
      </c>
      <c r="E898">
        <v>7.6314299223186701</v>
      </c>
    </row>
    <row r="899" spans="1:5">
      <c r="A899" s="90">
        <v>1.23903374993978E-14</v>
      </c>
      <c r="B899">
        <v>-32.021859459979801</v>
      </c>
      <c r="C899">
        <v>16.703389068599801</v>
      </c>
      <c r="D899">
        <v>15.9903831593692</v>
      </c>
      <c r="E899">
        <v>3.8396997341659702</v>
      </c>
    </row>
    <row r="900" spans="1:5">
      <c r="A900" s="90">
        <v>2.3197320712950899E-9</v>
      </c>
      <c r="B900">
        <v>-19.881814144448001</v>
      </c>
      <c r="C900">
        <v>43.201857435516999</v>
      </c>
      <c r="D900">
        <v>31.245163641870001</v>
      </c>
      <c r="E900">
        <v>7.8196925717925696</v>
      </c>
    </row>
    <row r="901" spans="1:5">
      <c r="A901" s="90">
        <v>5.48073857621404E-14</v>
      </c>
      <c r="B901">
        <v>-30.534951433356898</v>
      </c>
      <c r="C901">
        <v>45.307027789298402</v>
      </c>
      <c r="D901">
        <v>25.120945270173301</v>
      </c>
      <c r="E901">
        <v>8.1429120786925999</v>
      </c>
    </row>
    <row r="902" spans="1:5">
      <c r="A902">
        <v>1.3546395915360599E-4</v>
      </c>
      <c r="B902">
        <v>-8.90680493713079</v>
      </c>
      <c r="C902">
        <v>27.187546499073498</v>
      </c>
      <c r="D902">
        <v>26.229086224921002</v>
      </c>
      <c r="E902">
        <v>5.6667122585982801</v>
      </c>
    </row>
    <row r="903" spans="1:5">
      <c r="A903" s="90">
        <v>1.2337824348411901E-12</v>
      </c>
      <c r="B903">
        <v>-27.420936514870299</v>
      </c>
      <c r="C903">
        <v>43.251060609705704</v>
      </c>
      <c r="D903">
        <v>34.244448821991703</v>
      </c>
      <c r="E903">
        <v>7.8197659301537499</v>
      </c>
    </row>
    <row r="904" spans="1:5">
      <c r="A904" s="90">
        <v>5.1340812389332796E-12</v>
      </c>
      <c r="B904">
        <v>-25.995120209893599</v>
      </c>
      <c r="C904">
        <v>33.889373509678997</v>
      </c>
      <c r="D904">
        <v>15.747365755960301</v>
      </c>
      <c r="E904">
        <v>7.2975772487659603</v>
      </c>
    </row>
    <row r="905" spans="1:5">
      <c r="A905" s="90">
        <v>8.3825851735306298E-7</v>
      </c>
      <c r="B905">
        <v>-13.9919392907772</v>
      </c>
      <c r="C905">
        <v>18.9642120110802</v>
      </c>
      <c r="D905">
        <v>33.007482634857297</v>
      </c>
      <c r="E905">
        <v>3.81714821080462</v>
      </c>
    </row>
    <row r="906" spans="1:5">
      <c r="A906" s="90">
        <v>1.83179704432792E-7</v>
      </c>
      <c r="B906">
        <v>-15.5127981745071</v>
      </c>
      <c r="C906">
        <v>16.5212705284357</v>
      </c>
      <c r="D906">
        <v>27.637703223153899</v>
      </c>
      <c r="E906">
        <v>3.8492912503624299</v>
      </c>
    </row>
    <row r="907" spans="1:5">
      <c r="A907" s="90">
        <v>5.2766772686003501E-9</v>
      </c>
      <c r="B907">
        <v>-19.059969242513201</v>
      </c>
      <c r="C907">
        <v>24.432018843945102</v>
      </c>
      <c r="D907">
        <v>25.129843116737899</v>
      </c>
      <c r="E907">
        <v>5.7940768081618197</v>
      </c>
    </row>
    <row r="908" spans="1:5">
      <c r="A908" s="90">
        <v>3.35227919889983E-6</v>
      </c>
      <c r="B908">
        <v>-12.6058700855853</v>
      </c>
      <c r="C908">
        <v>24.306423395406501</v>
      </c>
      <c r="D908">
        <v>24.619257124140901</v>
      </c>
      <c r="E908">
        <v>5.7941287197991302</v>
      </c>
    </row>
    <row r="909" spans="1:5">
      <c r="A909">
        <v>4.3904538499183197E-4</v>
      </c>
      <c r="B909">
        <v>-7.7309077675633997</v>
      </c>
      <c r="C909">
        <v>18.531976960599401</v>
      </c>
      <c r="D909">
        <v>27.939833533018799</v>
      </c>
      <c r="E909">
        <v>3.5776601855523</v>
      </c>
    </row>
    <row r="910" spans="1:5">
      <c r="A910" s="90">
        <v>5.9719722393703699E-8</v>
      </c>
      <c r="B910">
        <v>-16.6336035127507</v>
      </c>
      <c r="C910">
        <v>8.8859157478436792</v>
      </c>
      <c r="D910">
        <v>15.3507737768814</v>
      </c>
      <c r="E910">
        <v>3.38824877556717</v>
      </c>
    </row>
    <row r="911" spans="1:5">
      <c r="A911" s="90">
        <v>1.0437825657057101E-12</v>
      </c>
      <c r="B911">
        <v>-27.588169918556201</v>
      </c>
      <c r="C911">
        <v>20.811561411712301</v>
      </c>
      <c r="D911">
        <v>18.754708552733099</v>
      </c>
      <c r="E911">
        <v>4.39802209183431</v>
      </c>
    </row>
    <row r="912" spans="1:5">
      <c r="A912" s="90">
        <v>1.42342449869708E-14</v>
      </c>
      <c r="B912">
        <v>-31.883125714788498</v>
      </c>
      <c r="C912">
        <v>38.859382597263902</v>
      </c>
      <c r="D912">
        <v>34.758228813297997</v>
      </c>
      <c r="E912">
        <v>7.7979082994092304</v>
      </c>
    </row>
    <row r="913" spans="1:5">
      <c r="A913" s="90">
        <v>4.1734599926055503E-6</v>
      </c>
      <c r="B913">
        <v>-12.3867651317551</v>
      </c>
      <c r="C913">
        <v>36.0858488231897</v>
      </c>
      <c r="D913">
        <v>16.115635312162301</v>
      </c>
      <c r="E913">
        <v>6.87418071916776</v>
      </c>
    </row>
    <row r="914" spans="1:5">
      <c r="A914" s="90">
        <v>4.11898667037659E-5</v>
      </c>
      <c r="B914">
        <v>-10.0973182856525</v>
      </c>
      <c r="C914">
        <v>38.722886642906801</v>
      </c>
      <c r="D914">
        <v>18.102525025606202</v>
      </c>
      <c r="E914">
        <v>7.73353499784736</v>
      </c>
    </row>
    <row r="915" spans="1:5">
      <c r="A915" s="90">
        <v>9.75626467331022E-10</v>
      </c>
      <c r="B915">
        <v>-20.747941320669199</v>
      </c>
      <c r="C915">
        <v>44.385069401003399</v>
      </c>
      <c r="D915">
        <v>27.417334560304901</v>
      </c>
      <c r="E915">
        <v>7.89039466257758</v>
      </c>
    </row>
    <row r="916" spans="1:5">
      <c r="A916">
        <v>8.6709074592109501E-4</v>
      </c>
      <c r="B916">
        <v>-7.0503669200852404</v>
      </c>
      <c r="C916">
        <v>37.758716485928701</v>
      </c>
      <c r="D916">
        <v>27.594730891287298</v>
      </c>
      <c r="E916">
        <v>3.0356154146550698</v>
      </c>
    </row>
    <row r="917" spans="1:5">
      <c r="A917" s="90">
        <v>7.6470495130065401E-6</v>
      </c>
      <c r="B917">
        <v>-11.781190669095601</v>
      </c>
      <c r="C917">
        <v>12.011178154032701</v>
      </c>
      <c r="D917">
        <v>16.134724747389601</v>
      </c>
      <c r="E917">
        <v>3.13174906336952</v>
      </c>
    </row>
    <row r="918" spans="1:5">
      <c r="A918" s="90">
        <v>3.4162318833098302E-14</v>
      </c>
      <c r="B918">
        <v>-31.0076531467632</v>
      </c>
      <c r="C918">
        <v>39.194101608358302</v>
      </c>
      <c r="D918">
        <v>25.416182745248101</v>
      </c>
      <c r="E918">
        <v>7.9241982972451703</v>
      </c>
    </row>
    <row r="919" spans="1:5">
      <c r="A919" s="90">
        <v>3.5330077159554799E-10</v>
      </c>
      <c r="B919">
        <v>-21.7637013775988</v>
      </c>
      <c r="C919">
        <v>49.942432396113901</v>
      </c>
      <c r="D919">
        <v>30.775130135007199</v>
      </c>
      <c r="E919">
        <v>9.9208322337487491</v>
      </c>
    </row>
    <row r="920" spans="1:5">
      <c r="A920" s="90">
        <v>2.6813468484732398E-13</v>
      </c>
      <c r="B920">
        <v>-28.947286985238001</v>
      </c>
      <c r="C920">
        <v>13.0314206155017</v>
      </c>
      <c r="D920">
        <v>24.208404701203101</v>
      </c>
      <c r="E920">
        <v>3.5628574000501798</v>
      </c>
    </row>
    <row r="921" spans="1:5">
      <c r="A921" s="90">
        <v>2.73545729373245E-8</v>
      </c>
      <c r="B921">
        <v>-17.4143821214215</v>
      </c>
      <c r="C921">
        <v>19.682356293313202</v>
      </c>
      <c r="D921">
        <v>29.840621924959098</v>
      </c>
      <c r="E921">
        <v>3.9067008428519499</v>
      </c>
    </row>
    <row r="922" spans="1:5">
      <c r="A922">
        <v>4.6601684490931198E-4</v>
      </c>
      <c r="B922">
        <v>-7.6712887766178897</v>
      </c>
      <c r="C922">
        <v>36.143866334110498</v>
      </c>
      <c r="D922">
        <v>18.7625674437732</v>
      </c>
      <c r="E922">
        <v>3.30574185243468</v>
      </c>
    </row>
    <row r="923" spans="1:5">
      <c r="A923" s="90">
        <v>2.7421087290479599E-9</v>
      </c>
      <c r="B923">
        <v>-19.714538603402101</v>
      </c>
      <c r="C923">
        <v>20.749838093761401</v>
      </c>
      <c r="D923">
        <v>19.0040461346507</v>
      </c>
      <c r="E923">
        <v>4.3545377713513602</v>
      </c>
    </row>
    <row r="924" spans="1:5">
      <c r="A924" s="90">
        <v>9.3713644117864904E-7</v>
      </c>
      <c r="B924">
        <v>-13.880436950390299</v>
      </c>
      <c r="C924">
        <v>30.4680805085227</v>
      </c>
      <c r="D924">
        <v>34.413966177962699</v>
      </c>
      <c r="E924">
        <v>7.3537169346838596</v>
      </c>
    </row>
    <row r="925" spans="1:5">
      <c r="A925" s="90">
        <v>1.7121759705159901E-14</v>
      </c>
      <c r="B925">
        <v>-31.698426242962899</v>
      </c>
      <c r="C925">
        <v>17.561117614619398</v>
      </c>
      <c r="D925">
        <v>28.6177882598713</v>
      </c>
      <c r="E925">
        <v>3.8061580463787101</v>
      </c>
    </row>
    <row r="926" spans="1:5">
      <c r="A926" s="90">
        <v>2.6945996980676999E-6</v>
      </c>
      <c r="B926">
        <v>-12.8242608996756</v>
      </c>
      <c r="C926">
        <v>31.4921848676167</v>
      </c>
      <c r="D926">
        <v>27.790253688581299</v>
      </c>
      <c r="E926">
        <v>7.6696548652648699</v>
      </c>
    </row>
    <row r="927" spans="1:5">
      <c r="A927" s="90">
        <v>1.40413561143212E-5</v>
      </c>
      <c r="B927">
        <v>-11.1735035746919</v>
      </c>
      <c r="C927">
        <v>49.455218320712397</v>
      </c>
      <c r="D927">
        <v>28.996859015896899</v>
      </c>
      <c r="E927">
        <v>9.9206549216044202</v>
      </c>
    </row>
    <row r="928" spans="1:5">
      <c r="A928" s="90">
        <v>1.1473786551823801E-8</v>
      </c>
      <c r="B928">
        <v>-18.283200833709198</v>
      </c>
      <c r="C928">
        <v>36.767205802723801</v>
      </c>
      <c r="D928">
        <v>33.975397734902799</v>
      </c>
      <c r="E928">
        <v>6.8830675006729303</v>
      </c>
    </row>
    <row r="929" spans="1:5">
      <c r="A929" s="90">
        <v>9.17674464332976E-9</v>
      </c>
      <c r="B929">
        <v>-18.506593309220801</v>
      </c>
      <c r="C929">
        <v>47.864758483134203</v>
      </c>
      <c r="D929">
        <v>18.545470559038201</v>
      </c>
      <c r="E929">
        <v>9.8381578579798905</v>
      </c>
    </row>
    <row r="930" spans="1:5">
      <c r="A930">
        <v>7.7116931856540893E-2</v>
      </c>
      <c r="B930">
        <v>-2.5624324134891299</v>
      </c>
      <c r="C930">
        <v>33.864084701519502</v>
      </c>
      <c r="D930">
        <v>33.239371846429997</v>
      </c>
      <c r="E930">
        <v>2.3863955577787701</v>
      </c>
    </row>
    <row r="931" spans="1:5">
      <c r="A931" s="90">
        <v>1.06299826504537E-6</v>
      </c>
      <c r="B931">
        <v>-13.754417090736199</v>
      </c>
      <c r="C931">
        <v>30.598246501293001</v>
      </c>
      <c r="D931">
        <v>19.1599001549184</v>
      </c>
      <c r="E931">
        <v>7.4267895042216097</v>
      </c>
    </row>
    <row r="932" spans="1:5">
      <c r="A932" s="90">
        <v>1.90053187855101E-6</v>
      </c>
      <c r="B932">
        <v>-13.173376774887201</v>
      </c>
      <c r="C932">
        <v>39.431692068465097</v>
      </c>
      <c r="D932">
        <v>31.9589999923483</v>
      </c>
      <c r="E932">
        <v>7.9825859390385698</v>
      </c>
    </row>
    <row r="933" spans="1:5">
      <c r="A933">
        <v>7.2250391779138404E-2</v>
      </c>
      <c r="B933">
        <v>-2.6276175294556698</v>
      </c>
      <c r="C933">
        <v>44.9761652485467</v>
      </c>
      <c r="D933">
        <v>24.094122522510599</v>
      </c>
      <c r="E933">
        <v>1.3047702890487001</v>
      </c>
    </row>
    <row r="934" spans="1:5">
      <c r="A934" s="90">
        <v>3.7749757296123997E-5</v>
      </c>
      <c r="B934">
        <v>-10.1845315115317</v>
      </c>
      <c r="C934">
        <v>26.163114860188202</v>
      </c>
      <c r="D934">
        <v>28.3870871085674</v>
      </c>
      <c r="E934">
        <v>5.8004865873340599</v>
      </c>
    </row>
    <row r="935" spans="1:5">
      <c r="A935" s="90">
        <v>6.1880925405648399E-9</v>
      </c>
      <c r="B935">
        <v>-18.900638949505002</v>
      </c>
      <c r="C935">
        <v>16.2060222690925</v>
      </c>
      <c r="D935">
        <v>17.264186060056101</v>
      </c>
      <c r="E935">
        <v>3.8679244644487198</v>
      </c>
    </row>
    <row r="936" spans="1:5">
      <c r="A936" s="90">
        <v>2.3647616110967598E-14</v>
      </c>
      <c r="B936">
        <v>-31.375514083743901</v>
      </c>
      <c r="C936">
        <v>21.852132908068601</v>
      </c>
      <c r="D936">
        <v>28.191898283548699</v>
      </c>
      <c r="E936">
        <v>5.2561652739732097</v>
      </c>
    </row>
    <row r="937" spans="1:5">
      <c r="A937" s="90">
        <v>2.5484601297959101E-14</v>
      </c>
      <c r="B937">
        <v>-31.300701995817899</v>
      </c>
      <c r="C937">
        <v>45.505921002943097</v>
      </c>
      <c r="D937">
        <v>23.425079225562499</v>
      </c>
      <c r="E937">
        <v>8.2350338552733895</v>
      </c>
    </row>
    <row r="938" spans="1:5">
      <c r="A938">
        <v>7.5013895861642203E-3</v>
      </c>
      <c r="B938">
        <v>-4.8926669974465202</v>
      </c>
      <c r="C938">
        <v>9.9931086013093608</v>
      </c>
      <c r="D938">
        <v>30.758556206710601</v>
      </c>
      <c r="E938">
        <v>1.7104938818181199</v>
      </c>
    </row>
    <row r="939" spans="1:5">
      <c r="A939">
        <v>1.41561905364988E-3</v>
      </c>
      <c r="B939">
        <v>-6.5601883498139202</v>
      </c>
      <c r="C939">
        <v>15.913646758068399</v>
      </c>
      <c r="D939">
        <v>18.0481637269258</v>
      </c>
      <c r="E939">
        <v>1.7347701178983399</v>
      </c>
    </row>
    <row r="940" spans="1:5">
      <c r="A940" s="90">
        <v>9.9264849991166801E-7</v>
      </c>
      <c r="B940">
        <v>-13.822889213500099</v>
      </c>
      <c r="C940">
        <v>27.064178534317801</v>
      </c>
      <c r="D940">
        <v>23.5168694145977</v>
      </c>
      <c r="E940">
        <v>5.83045389895788</v>
      </c>
    </row>
    <row r="941" spans="1:5">
      <c r="A941" s="90">
        <v>6.6104144397371702E-13</v>
      </c>
      <c r="B941">
        <v>-28.044959858123299</v>
      </c>
      <c r="C941">
        <v>48.306238014251001</v>
      </c>
      <c r="D941">
        <v>19.991650325246201</v>
      </c>
      <c r="E941">
        <v>9.9217468781998992</v>
      </c>
    </row>
    <row r="942" spans="1:5">
      <c r="A942" s="90">
        <v>1.7657834749214299E-12</v>
      </c>
      <c r="B942">
        <v>-27.062426628895999</v>
      </c>
      <c r="C942">
        <v>35.209124583750999</v>
      </c>
      <c r="D942">
        <v>20.012758560478701</v>
      </c>
      <c r="E942">
        <v>7.0080094076875001</v>
      </c>
    </row>
    <row r="943" spans="1:5">
      <c r="A943" s="90">
        <v>5.9983564025398094E-8</v>
      </c>
      <c r="B943">
        <v>-16.629195245160801</v>
      </c>
      <c r="C943">
        <v>25.866757513489599</v>
      </c>
      <c r="D943">
        <v>24.582770918495999</v>
      </c>
      <c r="E943">
        <v>5.7972781211203799</v>
      </c>
    </row>
    <row r="944" spans="1:5">
      <c r="A944" s="90">
        <v>2.4407882701150901E-12</v>
      </c>
      <c r="B944">
        <v>-26.738700067273999</v>
      </c>
      <c r="C944">
        <v>32.796862589195399</v>
      </c>
      <c r="D944">
        <v>21.454441659152501</v>
      </c>
      <c r="E944">
        <v>7.5082083474244996</v>
      </c>
    </row>
    <row r="945" spans="1:5">
      <c r="A945" s="90">
        <v>2.2046217355400302E-8</v>
      </c>
      <c r="B945">
        <v>-17.630124798277599</v>
      </c>
      <c r="C945">
        <v>24.926066884771</v>
      </c>
      <c r="D945">
        <v>17.262778580188801</v>
      </c>
      <c r="E945">
        <v>5.7941278020899496</v>
      </c>
    </row>
    <row r="946" spans="1:5">
      <c r="A946" s="90">
        <v>8.2387622611555306E-14</v>
      </c>
      <c r="B946">
        <v>-30.127341180302899</v>
      </c>
      <c r="C946">
        <v>32.368188266176702</v>
      </c>
      <c r="D946">
        <v>28.038811627775399</v>
      </c>
      <c r="E946">
        <v>7.5746296644467401</v>
      </c>
    </row>
    <row r="947" spans="1:5">
      <c r="A947" s="90">
        <v>2.2692888781028801E-13</v>
      </c>
      <c r="B947">
        <v>-29.114139696066601</v>
      </c>
      <c r="C947">
        <v>35.203334651421798</v>
      </c>
      <c r="D947">
        <v>29.3473373260349</v>
      </c>
      <c r="E947">
        <v>7.00918375907409</v>
      </c>
    </row>
    <row r="948" spans="1:5">
      <c r="A948" s="90">
        <v>9.5680836682128903E-7</v>
      </c>
      <c r="B948">
        <v>-13.8596627092008</v>
      </c>
      <c r="C948">
        <v>47.193632087204598</v>
      </c>
      <c r="D948">
        <v>29.461612896993799</v>
      </c>
      <c r="E948">
        <v>9.4630246315658297</v>
      </c>
    </row>
    <row r="949" spans="1:5">
      <c r="A949">
        <v>2.6774084433988402E-4</v>
      </c>
      <c r="B949">
        <v>-8.2254910440301003</v>
      </c>
      <c r="C949">
        <v>9.6217346643097699</v>
      </c>
      <c r="D949">
        <v>16.5698949014768</v>
      </c>
      <c r="E949">
        <v>2.67912229644767</v>
      </c>
    </row>
    <row r="950" spans="1:5">
      <c r="A950" s="90">
        <v>1.7437650136409899E-10</v>
      </c>
      <c r="B950">
        <v>-22.469804353416698</v>
      </c>
      <c r="C950">
        <v>41.0870439745486</v>
      </c>
      <c r="D950">
        <v>28.728082682937401</v>
      </c>
      <c r="E950">
        <v>7.9080728483797804</v>
      </c>
    </row>
    <row r="951" spans="1:5">
      <c r="A951" s="90">
        <v>3.48987192790243E-8</v>
      </c>
      <c r="B951">
        <v>-17.170815705287499</v>
      </c>
      <c r="C951">
        <v>38.817047477699802</v>
      </c>
      <c r="D951">
        <v>28.647306868806499</v>
      </c>
      <c r="E951">
        <v>7.7786410348280501</v>
      </c>
    </row>
    <row r="952" spans="1:5">
      <c r="A952" s="90">
        <v>1.7098507572189101E-11</v>
      </c>
      <c r="B952">
        <v>-24.7920299327089</v>
      </c>
      <c r="C952">
        <v>33.348533865995698</v>
      </c>
      <c r="D952">
        <v>25.105137210339301</v>
      </c>
      <c r="E952">
        <v>7.4085087259487201</v>
      </c>
    </row>
    <row r="953" spans="1:5">
      <c r="A953" s="90">
        <v>5.8811367910432297E-12</v>
      </c>
      <c r="B953">
        <v>-25.8592710408941</v>
      </c>
      <c r="C953">
        <v>9.7161969821900094</v>
      </c>
      <c r="D953">
        <v>17.661567986942799</v>
      </c>
      <c r="E953">
        <v>3.2210485550021901</v>
      </c>
    </row>
    <row r="954" spans="1:5">
      <c r="A954" s="90">
        <v>1.6379027848515601E-6</v>
      </c>
      <c r="B954">
        <v>-13.3220939242021</v>
      </c>
      <c r="C954">
        <v>29.2714019496925</v>
      </c>
      <c r="D954">
        <v>24.921875274740199</v>
      </c>
      <c r="E954">
        <v>6.4939000056222902</v>
      </c>
    </row>
    <row r="955" spans="1:5">
      <c r="A955" s="90">
        <v>2.2664162527821401E-10</v>
      </c>
      <c r="B955">
        <v>-22.207651089243299</v>
      </c>
      <c r="C955">
        <v>21.6370850219391</v>
      </c>
      <c r="D955">
        <v>15.1428954442963</v>
      </c>
      <c r="E955">
        <v>5.0866481103639298</v>
      </c>
    </row>
    <row r="956" spans="1:5">
      <c r="A956" s="90">
        <v>3.5752349393553501E-8</v>
      </c>
      <c r="B956">
        <v>-17.146649852663501</v>
      </c>
      <c r="C956">
        <v>49.491861238144303</v>
      </c>
      <c r="D956">
        <v>18.980617607012402</v>
      </c>
      <c r="E956">
        <v>9.9206460445656894</v>
      </c>
    </row>
    <row r="957" spans="1:5">
      <c r="A957" s="90">
        <v>5.4743767443732198E-9</v>
      </c>
      <c r="B957">
        <v>-19.023187404367899</v>
      </c>
      <c r="C957">
        <v>27.171008279081398</v>
      </c>
      <c r="D957">
        <v>27.414361266419299</v>
      </c>
      <c r="E957">
        <v>5.8377400012352503</v>
      </c>
    </row>
    <row r="958" spans="1:5">
      <c r="A958">
        <v>1.6084919187154401E-4</v>
      </c>
      <c r="B958">
        <v>-8.7350433284041102</v>
      </c>
      <c r="C958">
        <v>25.2128695254214</v>
      </c>
      <c r="D958">
        <v>22.809797576628601</v>
      </c>
      <c r="E958">
        <v>5.3729473633920604</v>
      </c>
    </row>
    <row r="959" spans="1:5">
      <c r="A959" s="90">
        <v>4.3783978796186798E-9</v>
      </c>
      <c r="B959">
        <v>-19.2465829603812</v>
      </c>
      <c r="C959">
        <v>28.9800838101655</v>
      </c>
      <c r="D959">
        <v>32.895404957234902</v>
      </c>
      <c r="E959">
        <v>6.3154922124074098</v>
      </c>
    </row>
    <row r="960" spans="1:5">
      <c r="A960">
        <v>1.4647022554945301E-3</v>
      </c>
      <c r="B960">
        <v>-6.5261032957391496</v>
      </c>
      <c r="C960">
        <v>39.767495274543798</v>
      </c>
      <c r="D960">
        <v>32.999828848987804</v>
      </c>
      <c r="E960">
        <v>2.8449259894408998</v>
      </c>
    </row>
    <row r="961" spans="1:5">
      <c r="A961" s="90">
        <v>1.22561773039984E-14</v>
      </c>
      <c r="B961">
        <v>-32.032746315307001</v>
      </c>
      <c r="C961">
        <v>24.382616874761901</v>
      </c>
      <c r="D961">
        <v>20.4025324014947</v>
      </c>
      <c r="E961">
        <v>5.7940948310953599</v>
      </c>
    </row>
    <row r="962" spans="1:5">
      <c r="A962" s="90">
        <v>1.9076826293004798E-12</v>
      </c>
      <c r="B962">
        <v>-26.985131893582601</v>
      </c>
      <c r="C962">
        <v>35.727145077194997</v>
      </c>
      <c r="D962">
        <v>17.4965726304799</v>
      </c>
      <c r="E962">
        <v>6.9155724456655996</v>
      </c>
    </row>
    <row r="963" spans="1:5">
      <c r="A963" s="90">
        <v>8.8672006146263004E-10</v>
      </c>
      <c r="B963">
        <v>-20.8434917849393</v>
      </c>
      <c r="C963">
        <v>25.670903225895</v>
      </c>
      <c r="D963">
        <v>28.278819755651099</v>
      </c>
      <c r="E963">
        <v>5.7959850339923698</v>
      </c>
    </row>
    <row r="964" spans="1:5">
      <c r="A964" s="90">
        <v>8.2827386997863205E-14</v>
      </c>
      <c r="B964">
        <v>-30.122017627365</v>
      </c>
      <c r="C964">
        <v>16.660603073891298</v>
      </c>
      <c r="D964">
        <v>29.226836916059298</v>
      </c>
      <c r="E964">
        <v>3.8418744079588301</v>
      </c>
    </row>
    <row r="965" spans="1:5">
      <c r="A965" s="90">
        <v>2.7144724486290601E-12</v>
      </c>
      <c r="B965">
        <v>-26.632423491320498</v>
      </c>
      <c r="C965">
        <v>45.083772297482902</v>
      </c>
      <c r="D965">
        <v>20.187492449767898</v>
      </c>
      <c r="E965">
        <v>8.0572195034946592</v>
      </c>
    </row>
    <row r="966" spans="1:5">
      <c r="A966" s="90">
        <v>1.16252833534057E-10</v>
      </c>
      <c r="B966">
        <v>-22.875253697271599</v>
      </c>
      <c r="C966">
        <v>21.3858152581379</v>
      </c>
      <c r="D966">
        <v>32.638059896416998</v>
      </c>
      <c r="E966">
        <v>4.8714722104657104</v>
      </c>
    </row>
    <row r="967" spans="1:5">
      <c r="A967" s="90">
        <v>1.2276486111821699E-9</v>
      </c>
      <c r="B967">
        <v>-20.5181651954152</v>
      </c>
      <c r="C967">
        <v>40.059960976242998</v>
      </c>
      <c r="D967">
        <v>28.191964137367901</v>
      </c>
      <c r="E967">
        <v>7.9992985571645301</v>
      </c>
    </row>
    <row r="968" spans="1:5">
      <c r="A968">
        <v>5.7255555796190804E-3</v>
      </c>
      <c r="B968">
        <v>-5.1628156897753996</v>
      </c>
      <c r="C968">
        <v>29.9981795907952</v>
      </c>
      <c r="D968">
        <v>34.110138374380803</v>
      </c>
      <c r="E968">
        <v>1.4868744151030899</v>
      </c>
    </row>
    <row r="969" spans="1:5">
      <c r="A969" s="90">
        <v>1.00943151808254E-8</v>
      </c>
      <c r="B969">
        <v>-18.411293424944301</v>
      </c>
      <c r="C969">
        <v>25.8706974857487</v>
      </c>
      <c r="D969">
        <v>19.883171049878001</v>
      </c>
      <c r="E969">
        <v>5.7973098012980699</v>
      </c>
    </row>
    <row r="970" spans="1:5">
      <c r="A970" s="90">
        <v>4.60441612430948E-12</v>
      </c>
      <c r="B970">
        <v>-26.1040052459409</v>
      </c>
      <c r="C970">
        <v>36.233339972328402</v>
      </c>
      <c r="D970">
        <v>34.370223330333801</v>
      </c>
      <c r="E970">
        <v>6.8649298635642699</v>
      </c>
    </row>
    <row r="971" spans="1:5">
      <c r="A971" s="90">
        <v>1.28630334583592E-8</v>
      </c>
      <c r="B971">
        <v>-18.168908262721299</v>
      </c>
      <c r="C971">
        <v>25.838332342449601</v>
      </c>
      <c r="D971">
        <v>26.695149871520702</v>
      </c>
      <c r="E971">
        <v>5.79705682014571</v>
      </c>
    </row>
    <row r="972" spans="1:5">
      <c r="A972" s="90">
        <v>2.7427006317879601E-14</v>
      </c>
      <c r="B972">
        <v>-31.227248234893601</v>
      </c>
      <c r="C972">
        <v>17.443829086143499</v>
      </c>
      <c r="D972">
        <v>21.379246362484999</v>
      </c>
      <c r="E972">
        <v>3.8096631637998599</v>
      </c>
    </row>
    <row r="973" spans="1:5">
      <c r="A973" s="90">
        <v>1.4230896929260099E-7</v>
      </c>
      <c r="B973">
        <v>-15.7652653029684</v>
      </c>
      <c r="C973">
        <v>45.062067011371298</v>
      </c>
      <c r="D973">
        <v>27.5988651905209</v>
      </c>
      <c r="E973">
        <v>8.0498339727141701</v>
      </c>
    </row>
    <row r="974" spans="1:5">
      <c r="A974" s="90">
        <v>2.19316119159843E-10</v>
      </c>
      <c r="B974">
        <v>-22.240506960425002</v>
      </c>
      <c r="C974">
        <v>48.974974821787299</v>
      </c>
      <c r="D974">
        <v>22.537325564771901</v>
      </c>
      <c r="E974">
        <v>9.9209839772082606</v>
      </c>
    </row>
    <row r="975" spans="1:5">
      <c r="A975" s="90">
        <v>3.74068490254997E-13</v>
      </c>
      <c r="B975">
        <v>-28.614337485238199</v>
      </c>
      <c r="C975">
        <v>18.343511394690701</v>
      </c>
      <c r="D975">
        <v>29.2542306799442</v>
      </c>
      <c r="E975">
        <v>3.79693680533456</v>
      </c>
    </row>
    <row r="976" spans="1:5">
      <c r="A976" s="90">
        <v>5.0091803606796001E-6</v>
      </c>
      <c r="B976">
        <v>-12.2042382569143</v>
      </c>
      <c r="C976">
        <v>9.2530292584560794</v>
      </c>
      <c r="D976">
        <v>19.089441346004602</v>
      </c>
      <c r="E976">
        <v>3.3159431354378901</v>
      </c>
    </row>
    <row r="977" spans="1:5">
      <c r="A977" s="90">
        <v>1.9588876261525301E-13</v>
      </c>
      <c r="B977">
        <v>-29.2612294344679</v>
      </c>
      <c r="C977">
        <v>40.7111869752407</v>
      </c>
      <c r="D977">
        <v>29.4635691074654</v>
      </c>
      <c r="E977">
        <v>7.9376502644537599</v>
      </c>
    </row>
    <row r="978" spans="1:5">
      <c r="A978" s="90">
        <v>2.7636811405392599E-11</v>
      </c>
      <c r="B978">
        <v>-24.3118724852831</v>
      </c>
      <c r="C978">
        <v>44.215460189152502</v>
      </c>
      <c r="D978">
        <v>15.4155619349331</v>
      </c>
      <c r="E978">
        <v>7.8679772664652798</v>
      </c>
    </row>
    <row r="979" spans="1:5">
      <c r="A979" s="90">
        <v>1.00864914480383E-10</v>
      </c>
      <c r="B979">
        <v>-23.017238974704799</v>
      </c>
      <c r="C979">
        <v>48.436644724104603</v>
      </c>
      <c r="D979">
        <v>27.880753539502599</v>
      </c>
      <c r="E979">
        <v>9.9217208232060692</v>
      </c>
    </row>
    <row r="980" spans="1:5">
      <c r="A980" s="90">
        <v>4.6356633732772703E-13</v>
      </c>
      <c r="B980">
        <v>-28.399826897540201</v>
      </c>
      <c r="C980">
        <v>17.8168505993672</v>
      </c>
      <c r="D980">
        <v>25.093761654570699</v>
      </c>
      <c r="E980">
        <v>3.8003442670137502</v>
      </c>
    </row>
    <row r="981" spans="1:5">
      <c r="A981" s="90">
        <v>2.2141285669069601E-9</v>
      </c>
      <c r="B981">
        <v>-19.928406934378899</v>
      </c>
      <c r="C981">
        <v>38.335497069638201</v>
      </c>
      <c r="D981">
        <v>18.098540129140002</v>
      </c>
      <c r="E981">
        <v>7.5234625018414496</v>
      </c>
    </row>
    <row r="982" spans="1:5">
      <c r="A982">
        <v>1.0859949552774399E-3</v>
      </c>
      <c r="B982">
        <v>-6.8252587027137501</v>
      </c>
      <c r="C982">
        <v>13.6024532183073</v>
      </c>
      <c r="D982">
        <v>23.530563609674601</v>
      </c>
      <c r="E982">
        <v>2.4368124780526901</v>
      </c>
    </row>
    <row r="983" spans="1:5">
      <c r="A983" s="90">
        <v>3.6935970268583499E-10</v>
      </c>
      <c r="B983">
        <v>-21.719250142674301</v>
      </c>
      <c r="C983">
        <v>8.7693083775229805</v>
      </c>
      <c r="D983">
        <v>26.265171165578099</v>
      </c>
      <c r="E983">
        <v>3.4101665723867098</v>
      </c>
    </row>
    <row r="984" spans="1:5">
      <c r="A984" s="90">
        <v>7.37708056646553E-7</v>
      </c>
      <c r="B984">
        <v>-14.119717677811</v>
      </c>
      <c r="C984">
        <v>14.2216295311227</v>
      </c>
      <c r="D984">
        <v>31.967116300948</v>
      </c>
      <c r="E984">
        <v>3.9638438879951399</v>
      </c>
    </row>
    <row r="985" spans="1:5">
      <c r="A985">
        <v>1.4069158451402301E-4</v>
      </c>
      <c r="B985">
        <v>-8.8689404071890507</v>
      </c>
      <c r="C985">
        <v>48.646109090652303</v>
      </c>
      <c r="D985">
        <v>25.9406553581357</v>
      </c>
      <c r="E985">
        <v>6.5086825367946401</v>
      </c>
    </row>
    <row r="986" spans="1:5">
      <c r="A986" s="90">
        <v>9.6021555850466298E-9</v>
      </c>
      <c r="B986">
        <v>-18.461278223569</v>
      </c>
      <c r="C986">
        <v>26.640485439449499</v>
      </c>
      <c r="D986">
        <v>25.4660309897736</v>
      </c>
      <c r="E986">
        <v>5.8110884535295897</v>
      </c>
    </row>
    <row r="987" spans="1:5">
      <c r="A987" s="90">
        <v>1.91202670068596E-7</v>
      </c>
      <c r="B987">
        <v>-15.469931871632699</v>
      </c>
      <c r="C987">
        <v>41.413376827258602</v>
      </c>
      <c r="D987">
        <v>32.035762905143201</v>
      </c>
      <c r="E987">
        <v>7.8856637178082396</v>
      </c>
    </row>
    <row r="988" spans="1:5">
      <c r="A988" s="90">
        <v>3.25662921576353E-6</v>
      </c>
      <c r="B988">
        <v>-12.6348178804094</v>
      </c>
      <c r="C988">
        <v>19.4535376415588</v>
      </c>
      <c r="D988">
        <v>29.7570649627596</v>
      </c>
      <c r="E988">
        <v>3.8667173868320401</v>
      </c>
    </row>
    <row r="989" spans="1:5">
      <c r="A989" s="90">
        <v>1.72203554333887E-13</v>
      </c>
      <c r="B989">
        <v>-29.390099162399</v>
      </c>
      <c r="C989">
        <v>19.905964431352899</v>
      </c>
      <c r="D989">
        <v>21.082991627045001</v>
      </c>
      <c r="E989">
        <v>3.9600249176984899</v>
      </c>
    </row>
    <row r="990" spans="1:5">
      <c r="A990" s="90">
        <v>3.0566762988485898E-14</v>
      </c>
      <c r="B990">
        <v>-31.118863153116799</v>
      </c>
      <c r="C990">
        <v>10.328230600338401</v>
      </c>
      <c r="D990">
        <v>19.461047463119002</v>
      </c>
      <c r="E990">
        <v>3.1024079987004498</v>
      </c>
    </row>
    <row r="991" spans="1:5">
      <c r="A991" s="90">
        <v>3.9465094243768997E-6</v>
      </c>
      <c r="B991">
        <v>-12.442679059766601</v>
      </c>
      <c r="C991">
        <v>46.9342839261517</v>
      </c>
      <c r="D991">
        <v>29.3214411567897</v>
      </c>
      <c r="E991">
        <v>9.2646053446667604</v>
      </c>
    </row>
    <row r="992" spans="1:5">
      <c r="A992" s="90">
        <v>4.3137689921879899E-6</v>
      </c>
      <c r="B992">
        <v>-12.353698559834401</v>
      </c>
      <c r="C992">
        <v>41.322676202747999</v>
      </c>
      <c r="D992">
        <v>32.0222144806758</v>
      </c>
      <c r="E992">
        <v>7.8915969183765498</v>
      </c>
    </row>
    <row r="993" spans="1:5">
      <c r="A993">
        <v>1.28879457631076E-4</v>
      </c>
      <c r="B993">
        <v>-8.9566330274293904</v>
      </c>
      <c r="C993">
        <v>9.3495822143741005</v>
      </c>
      <c r="D993">
        <v>33.854622119106402</v>
      </c>
      <c r="E993">
        <v>3.3312824715102498</v>
      </c>
    </row>
    <row r="994" spans="1:5">
      <c r="A994" s="90">
        <v>2.7691156725007402E-12</v>
      </c>
      <c r="B994">
        <v>-26.612493098505801</v>
      </c>
      <c r="C994">
        <v>49.965216234792003</v>
      </c>
      <c r="D994">
        <v>24.490922247059601</v>
      </c>
      <c r="E994">
        <v>9.92086098476749</v>
      </c>
    </row>
    <row r="995" spans="1:5">
      <c r="A995" s="90">
        <v>1.9273678294206599E-5</v>
      </c>
      <c r="B995">
        <v>-10.856770211854</v>
      </c>
      <c r="C995">
        <v>16.341170536354198</v>
      </c>
      <c r="D995">
        <v>23.0844073230401</v>
      </c>
      <c r="E995">
        <v>3.8595422412079201</v>
      </c>
    </row>
    <row r="996" spans="1:5">
      <c r="A996" s="90">
        <v>3.5257343174246499E-10</v>
      </c>
      <c r="B996">
        <v>-21.765762198371299</v>
      </c>
      <c r="C996">
        <v>12.3462234865874</v>
      </c>
      <c r="D996">
        <v>28.97471614182</v>
      </c>
      <c r="E996">
        <v>3.2613604992249399</v>
      </c>
    </row>
    <row r="997" spans="1:5">
      <c r="A997">
        <v>6.5693382059313798E-2</v>
      </c>
      <c r="B997">
        <v>-2.72275708825596</v>
      </c>
      <c r="C997">
        <v>38.947432419750797</v>
      </c>
      <c r="D997">
        <v>22.232519369572401</v>
      </c>
      <c r="E997">
        <v>1.4385232345148999</v>
      </c>
    </row>
    <row r="998" spans="1:5">
      <c r="A998" s="90">
        <v>2.3265033095004099E-14</v>
      </c>
      <c r="B998">
        <v>-31.391824887091801</v>
      </c>
      <c r="C998">
        <v>36.136543766595402</v>
      </c>
      <c r="D998">
        <v>33.877607593312902</v>
      </c>
      <c r="E998">
        <v>6.8704195340982199</v>
      </c>
    </row>
    <row r="999" spans="1:5">
      <c r="A999" s="90">
        <v>2.76913318290785E-11</v>
      </c>
      <c r="B999">
        <v>-24.3099016820664</v>
      </c>
      <c r="C999">
        <v>41.311892681755097</v>
      </c>
      <c r="D999">
        <v>15.2711525838822</v>
      </c>
      <c r="E999">
        <v>7.89231730860081</v>
      </c>
    </row>
    <row r="1000" spans="1:5">
      <c r="A1000">
        <v>9.62831963303726E-4</v>
      </c>
      <c r="B1000">
        <v>-6.9456316543266796</v>
      </c>
      <c r="C1000">
        <v>12.4505543736741</v>
      </c>
      <c r="D1000">
        <v>32.412504456005998</v>
      </c>
      <c r="E1000">
        <v>3.0878017898083501</v>
      </c>
    </row>
    <row r="1001" spans="1:5">
      <c r="A1001" s="90">
        <v>1.43672130200585E-10</v>
      </c>
      <c r="B1001">
        <v>-22.663487285977599</v>
      </c>
      <c r="C1001">
        <v>10.364048600196799</v>
      </c>
      <c r="D1001">
        <v>19.160281070508098</v>
      </c>
      <c r="E1001">
        <v>3.0961786267268501</v>
      </c>
    </row>
    <row r="1002" spans="1:5">
      <c r="A1002" s="90">
        <v>2.3703333511601302E-9</v>
      </c>
      <c r="B1002">
        <v>-19.860235237192299</v>
      </c>
      <c r="C1002">
        <v>22.1996206911281</v>
      </c>
      <c r="D1002">
        <v>30.720993662253001</v>
      </c>
      <c r="E1002">
        <v>5.4850766140973102</v>
      </c>
    </row>
    <row r="1003" spans="1:5">
      <c r="A1003" s="90">
        <v>3.39393E-7</v>
      </c>
      <c r="B1003">
        <v>-14.89611</v>
      </c>
      <c r="C1003">
        <v>41.519550000000002</v>
      </c>
      <c r="D1003">
        <v>32.553269999999998</v>
      </c>
      <c r="E1003">
        <v>7.8790019999999998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A23" sqref="A23"/>
    </sheetView>
  </sheetViews>
  <sheetFormatPr defaultRowHeight="15"/>
  <sheetData>
    <row r="1" spans="1:2">
      <c r="A1" s="70" t="s">
        <v>1312</v>
      </c>
      <c r="B1" s="71" t="s">
        <v>1313</v>
      </c>
    </row>
    <row r="2" spans="1:2">
      <c r="A2" t="s">
        <v>272</v>
      </c>
      <c r="B2" t="s">
        <v>1447</v>
      </c>
    </row>
    <row r="3" spans="1:2">
      <c r="A3" t="s">
        <v>1444</v>
      </c>
      <c r="B3" t="s">
        <v>1445</v>
      </c>
    </row>
    <row r="4" spans="1:2">
      <c r="A4" t="s">
        <v>2</v>
      </c>
      <c r="B4" t="s">
        <v>1448</v>
      </c>
    </row>
    <row r="5" spans="1:2">
      <c r="A5" t="s">
        <v>270</v>
      </c>
      <c r="B5" s="5" t="s">
        <v>1450</v>
      </c>
    </row>
    <row r="6" spans="1:2">
      <c r="A6" t="s">
        <v>1405</v>
      </c>
      <c r="B6" s="5" t="s">
        <v>1406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4"/>
  <sheetViews>
    <sheetView tabSelected="1" zoomScale="120" zoomScaleNormal="120" workbookViewId="0">
      <selection activeCell="O23" sqref="O23"/>
    </sheetView>
  </sheetViews>
  <sheetFormatPr defaultRowHeight="15"/>
  <cols>
    <col min="9" max="9" width="11.85546875" bestFit="1" customWidth="1"/>
    <col min="10" max="10" width="12" bestFit="1" customWidth="1"/>
    <col min="11" max="11" width="13.42578125" bestFit="1" customWidth="1"/>
    <col min="12" max="12" width="12.42578125" bestFit="1" customWidth="1"/>
  </cols>
  <sheetData>
    <row r="1" spans="1:1">
      <c r="A1" s="1" t="s">
        <v>1465</v>
      </c>
    </row>
    <row r="3" spans="1:1">
      <c r="A3" t="s">
        <v>1377</v>
      </c>
    </row>
    <row r="4" spans="1:1">
      <c r="A4" t="s">
        <v>1378</v>
      </c>
    </row>
    <row r="5" spans="1:1">
      <c r="A5" t="s">
        <v>1379</v>
      </c>
    </row>
    <row r="6" spans="1:1">
      <c r="A6" t="s">
        <v>1380</v>
      </c>
    </row>
    <row r="7" spans="1:1">
      <c r="A7" t="s">
        <v>1381</v>
      </c>
    </row>
    <row r="8" spans="1:1">
      <c r="A8" t="s">
        <v>1382</v>
      </c>
    </row>
    <row r="9" spans="1:1">
      <c r="A9" t="s">
        <v>1383</v>
      </c>
    </row>
    <row r="11" spans="1:1">
      <c r="A11" t="s">
        <v>4235</v>
      </c>
    </row>
    <row r="14" spans="1:1">
      <c r="A14" s="1" t="s">
        <v>4245</v>
      </c>
    </row>
    <row r="15" spans="1:1">
      <c r="A15" s="5" t="s">
        <v>1384</v>
      </c>
    </row>
    <row r="16" spans="1:1">
      <c r="A16" s="82" t="s">
        <v>1440</v>
      </c>
    </row>
    <row r="17" spans="1:1">
      <c r="A17" s="82" t="s">
        <v>1441</v>
      </c>
    </row>
    <row r="18" spans="1:1">
      <c r="A18" s="82" t="s">
        <v>4154</v>
      </c>
    </row>
    <row r="19" spans="1:1">
      <c r="A19" s="5" t="s">
        <v>1442</v>
      </c>
    </row>
    <row r="20" spans="1:1">
      <c r="A20" s="82" t="s">
        <v>1443</v>
      </c>
    </row>
    <row r="21" spans="1:1">
      <c r="A21" s="82"/>
    </row>
    <row r="22" spans="1:1">
      <c r="A22" s="93" t="s">
        <v>4206</v>
      </c>
    </row>
    <row r="23" spans="1:1">
      <c r="A23" s="93" t="s">
        <v>4207</v>
      </c>
    </row>
    <row r="24" spans="1:1">
      <c r="A24" s="93"/>
    </row>
    <row r="25" spans="1:1">
      <c r="A25" s="82"/>
    </row>
    <row r="26" spans="1:1">
      <c r="A26" s="1" t="s">
        <v>4246</v>
      </c>
    </row>
    <row r="27" spans="1:1">
      <c r="A27" s="82" t="s">
        <v>1410</v>
      </c>
    </row>
    <row r="28" spans="1:1">
      <c r="A28" s="5" t="s">
        <v>1412</v>
      </c>
    </row>
    <row r="29" spans="1:1">
      <c r="A29" s="82" t="s">
        <v>1413</v>
      </c>
    </row>
    <row r="30" spans="1:1">
      <c r="A30" s="5" t="s">
        <v>1414</v>
      </c>
    </row>
    <row r="31" spans="1:1">
      <c r="A31" s="5" t="s">
        <v>1415</v>
      </c>
    </row>
    <row r="32" spans="1:1">
      <c r="A32" s="5" t="s">
        <v>1416</v>
      </c>
    </row>
    <row r="33" spans="1:1">
      <c r="A33" s="5" t="s">
        <v>1417</v>
      </c>
    </row>
    <row r="34" spans="1:1">
      <c r="A34" s="5"/>
    </row>
    <row r="35" spans="1:1">
      <c r="A35" s="93" t="s">
        <v>4208</v>
      </c>
    </row>
    <row r="36" spans="1:1">
      <c r="A36" s="93" t="s">
        <v>4209</v>
      </c>
    </row>
    <row r="37" spans="1:1">
      <c r="A37" s="5"/>
    </row>
    <row r="39" spans="1:1">
      <c r="A39" s="217" t="s">
        <v>4226</v>
      </c>
    </row>
    <row r="40" spans="1:1">
      <c r="A40" s="82" t="s">
        <v>1410</v>
      </c>
    </row>
    <row r="41" spans="1:1">
      <c r="A41" s="5" t="s">
        <v>4224</v>
      </c>
    </row>
    <row r="42" spans="1:1">
      <c r="A42" s="82" t="s">
        <v>1413</v>
      </c>
    </row>
    <row r="43" spans="1:1">
      <c r="A43" s="5" t="s">
        <v>1414</v>
      </c>
    </row>
    <row r="44" spans="1:1">
      <c r="A44" s="5" t="s">
        <v>1415</v>
      </c>
    </row>
    <row r="45" spans="1:1">
      <c r="A45" s="5" t="s">
        <v>1416</v>
      </c>
    </row>
    <row r="46" spans="1:1">
      <c r="A46" s="5" t="s">
        <v>1417</v>
      </c>
    </row>
    <row r="47" spans="1:1">
      <c r="A47" s="5"/>
    </row>
    <row r="48" spans="1:1">
      <c r="A48" s="93" t="s">
        <v>4210</v>
      </c>
    </row>
    <row r="49" spans="1:2">
      <c r="A49" s="93"/>
    </row>
    <row r="50" spans="1:2">
      <c r="A50" s="93"/>
    </row>
    <row r="51" spans="1:2">
      <c r="A51" s="1" t="s">
        <v>4247</v>
      </c>
    </row>
    <row r="52" spans="1:2">
      <c r="A52" s="82" t="s">
        <v>1411</v>
      </c>
    </row>
    <row r="53" spans="1:2">
      <c r="A53" s="82" t="s">
        <v>1435</v>
      </c>
      <c r="B53" s="5"/>
    </row>
    <row r="54" spans="1:2">
      <c r="A54" s="82" t="s">
        <v>1418</v>
      </c>
      <c r="B54" s="5"/>
    </row>
    <row r="55" spans="1:2">
      <c r="A55" s="82" t="s">
        <v>1419</v>
      </c>
      <c r="B55" s="5"/>
    </row>
    <row r="56" spans="1:2">
      <c r="A56" s="82" t="s">
        <v>1420</v>
      </c>
      <c r="B56" s="5"/>
    </row>
    <row r="57" spans="1:2">
      <c r="A57" s="82" t="s">
        <v>1421</v>
      </c>
      <c r="B57" s="5"/>
    </row>
    <row r="58" spans="1:2">
      <c r="A58" s="82" t="s">
        <v>1422</v>
      </c>
      <c r="B58" s="5"/>
    </row>
    <row r="59" spans="1:2">
      <c r="A59" s="82" t="s">
        <v>1423</v>
      </c>
      <c r="B59" s="5"/>
    </row>
    <row r="60" spans="1:2">
      <c r="A60" s="82" t="s">
        <v>1424</v>
      </c>
      <c r="B60" s="5"/>
    </row>
    <row r="61" spans="1:2">
      <c r="A61" s="82" t="s">
        <v>1425</v>
      </c>
      <c r="B61" s="5"/>
    </row>
    <row r="62" spans="1:2">
      <c r="A62" s="82" t="s">
        <v>1426</v>
      </c>
      <c r="B62" s="5"/>
    </row>
    <row r="63" spans="1:2">
      <c r="A63" s="82" t="s">
        <v>1427</v>
      </c>
      <c r="B63" s="5"/>
    </row>
    <row r="64" spans="1:2">
      <c r="A64" s="82"/>
      <c r="B64" s="5"/>
    </row>
    <row r="65" spans="1:2">
      <c r="A65" s="82" t="s">
        <v>1436</v>
      </c>
      <c r="B65" s="5"/>
    </row>
    <row r="66" spans="1:2">
      <c r="A66" s="82" t="s">
        <v>1451</v>
      </c>
      <c r="B66" s="5"/>
    </row>
    <row r="67" spans="1:2">
      <c r="A67" s="82" t="s">
        <v>1428</v>
      </c>
      <c r="B67" s="5"/>
    </row>
    <row r="68" spans="1:2">
      <c r="A68" s="82" t="s">
        <v>1429</v>
      </c>
      <c r="B68" s="5"/>
    </row>
    <row r="69" spans="1:2">
      <c r="A69" s="82" t="s">
        <v>1430</v>
      </c>
      <c r="B69" s="5"/>
    </row>
    <row r="70" spans="1:2">
      <c r="A70" s="82" t="s">
        <v>1431</v>
      </c>
      <c r="B70" s="5"/>
    </row>
    <row r="71" spans="1:2">
      <c r="A71" s="82" t="s">
        <v>1432</v>
      </c>
      <c r="B71" s="5"/>
    </row>
    <row r="72" spans="1:2">
      <c r="A72" s="82" t="s">
        <v>1433</v>
      </c>
      <c r="B72" s="5"/>
    </row>
    <row r="73" spans="1:2">
      <c r="A73" s="5" t="s">
        <v>1434</v>
      </c>
      <c r="B73" s="5"/>
    </row>
    <row r="74" spans="1:2">
      <c r="A74" s="82"/>
    </row>
    <row r="75" spans="1:2">
      <c r="A75" s="82" t="s">
        <v>1438</v>
      </c>
    </row>
    <row r="76" spans="1:2">
      <c r="A76" s="5" t="s">
        <v>1437</v>
      </c>
    </row>
    <row r="77" spans="1:2">
      <c r="A77" s="5" t="s">
        <v>1439</v>
      </c>
    </row>
    <row r="78" spans="1:2">
      <c r="A78" s="5"/>
    </row>
    <row r="79" spans="1:2">
      <c r="A79" s="93" t="s">
        <v>4211</v>
      </c>
    </row>
    <row r="80" spans="1:2">
      <c r="A80" s="5"/>
    </row>
    <row r="82" spans="1:11">
      <c r="A82" s="1" t="s">
        <v>4177</v>
      </c>
    </row>
    <row r="83" spans="1:11">
      <c r="A83" s="5" t="s">
        <v>1385</v>
      </c>
      <c r="K83" s="83"/>
    </row>
    <row r="84" spans="1:11">
      <c r="A84" s="82" t="s">
        <v>1453</v>
      </c>
    </row>
    <row r="85" spans="1:11">
      <c r="A85" s="82" t="s">
        <v>1454</v>
      </c>
    </row>
    <row r="86" spans="1:11">
      <c r="A86" s="5" t="s">
        <v>1455</v>
      </c>
    </row>
    <row r="87" spans="1:11">
      <c r="A87" s="5" t="s">
        <v>1456</v>
      </c>
    </row>
    <row r="88" spans="1:11">
      <c r="A88" s="5" t="s">
        <v>1457</v>
      </c>
    </row>
    <row r="89" spans="1:11">
      <c r="A89" s="5" t="s">
        <v>1458</v>
      </c>
    </row>
    <row r="90" spans="1:11">
      <c r="A90" s="5"/>
    </row>
    <row r="91" spans="1:11">
      <c r="A91" s="93" t="s">
        <v>4212</v>
      </c>
    </row>
    <row r="92" spans="1:11">
      <c r="A92" s="93" t="s">
        <v>4213</v>
      </c>
    </row>
    <row r="93" spans="1:11">
      <c r="A93" s="93"/>
    </row>
    <row r="94" spans="1:11">
      <c r="A94" s="93"/>
    </row>
    <row r="95" spans="1:11">
      <c r="A95" s="1" t="s">
        <v>4203</v>
      </c>
    </row>
    <row r="96" spans="1:11">
      <c r="A96" s="5" t="s">
        <v>1385</v>
      </c>
    </row>
    <row r="97" spans="1:2">
      <c r="A97" s="5" t="s">
        <v>1459</v>
      </c>
    </row>
    <row r="98" spans="1:2">
      <c r="A98" s="82" t="s">
        <v>1460</v>
      </c>
      <c r="B98" s="5"/>
    </row>
    <row r="99" spans="1:2">
      <c r="A99" s="5" t="s">
        <v>1461</v>
      </c>
      <c r="B99" s="5"/>
    </row>
    <row r="100" spans="1:2">
      <c r="A100" s="5" t="s">
        <v>1462</v>
      </c>
      <c r="B100" s="5"/>
    </row>
    <row r="101" spans="1:2">
      <c r="A101" s="5" t="s">
        <v>1463</v>
      </c>
      <c r="B101" s="5"/>
    </row>
    <row r="102" spans="1:2">
      <c r="A102" s="5" t="s">
        <v>1464</v>
      </c>
      <c r="B102" s="5"/>
    </row>
    <row r="103" spans="1:2">
      <c r="A103" s="5"/>
      <c r="B103" s="5"/>
    </row>
    <row r="104" spans="1:2">
      <c r="A104" s="82" t="s">
        <v>4214</v>
      </c>
      <c r="B104" s="5"/>
    </row>
    <row r="105" spans="1:2">
      <c r="A105" s="82" t="s">
        <v>4215</v>
      </c>
      <c r="B105" s="5"/>
    </row>
    <row r="106" spans="1:2">
      <c r="A106" s="82" t="s">
        <v>4216</v>
      </c>
      <c r="B106" s="5"/>
    </row>
    <row r="107" spans="1:2">
      <c r="A107" s="82" t="s">
        <v>4217</v>
      </c>
      <c r="B107" s="5"/>
    </row>
    <row r="108" spans="1:2">
      <c r="A108" s="5"/>
      <c r="B108" s="5"/>
    </row>
    <row r="109" spans="1:2">
      <c r="A109" s="5"/>
      <c r="B109" s="5"/>
    </row>
    <row r="110" spans="1:2">
      <c r="A110" s="1" t="s">
        <v>4248</v>
      </c>
      <c r="B110" s="5"/>
    </row>
    <row r="111" spans="1:2">
      <c r="A111" s="5" t="s">
        <v>1386</v>
      </c>
      <c r="B111" s="5"/>
    </row>
    <row r="112" spans="1:2">
      <c r="A112" s="82" t="s">
        <v>4234</v>
      </c>
      <c r="B112" s="5"/>
    </row>
    <row r="113" spans="1:2">
      <c r="A113" s="5" t="s">
        <v>4150</v>
      </c>
      <c r="B113" s="5"/>
    </row>
    <row r="114" spans="1:2">
      <c r="A114" s="5" t="s">
        <v>4151</v>
      </c>
      <c r="B114" s="5"/>
    </row>
    <row r="115" spans="1:2">
      <c r="A115" s="5"/>
      <c r="B115" s="5"/>
    </row>
    <row r="116" spans="1:2">
      <c r="A116" s="180" t="s">
        <v>4237</v>
      </c>
      <c r="B116" s="5"/>
    </row>
    <row r="117" spans="1:2">
      <c r="A117" s="220" t="s">
        <v>4238</v>
      </c>
      <c r="B117" s="5"/>
    </row>
    <row r="118" spans="1:2">
      <c r="A118" s="220" t="s">
        <v>4239</v>
      </c>
      <c r="B118" s="5"/>
    </row>
    <row r="119" spans="1:2">
      <c r="A119" s="220" t="s">
        <v>4240</v>
      </c>
      <c r="B119" s="5"/>
    </row>
    <row r="120" spans="1:2">
      <c r="A120" s="82"/>
      <c r="B120" s="5"/>
    </row>
    <row r="121" spans="1:2">
      <c r="A121" s="1" t="s">
        <v>4249</v>
      </c>
      <c r="B121" s="5"/>
    </row>
    <row r="122" spans="1:2">
      <c r="A122" s="5" t="s">
        <v>1386</v>
      </c>
      <c r="B122" s="5"/>
    </row>
    <row r="123" spans="1:2">
      <c r="A123" s="180" t="s">
        <v>4236</v>
      </c>
      <c r="B123" s="5"/>
    </row>
    <row r="124" spans="1:2">
      <c r="A124" s="5" t="s">
        <v>4152</v>
      </c>
      <c r="B124" s="5"/>
    </row>
    <row r="125" spans="1:2">
      <c r="A125" s="5" t="s">
        <v>4153</v>
      </c>
      <c r="B125" s="5"/>
    </row>
    <row r="126" spans="1:2">
      <c r="A126" s="5"/>
      <c r="B126" s="5"/>
    </row>
    <row r="127" spans="1:2" s="109" customFormat="1">
      <c r="A127" s="180" t="s">
        <v>4241</v>
      </c>
    </row>
    <row r="128" spans="1:2" s="109" customFormat="1">
      <c r="A128" s="220" t="s">
        <v>4242</v>
      </c>
    </row>
    <row r="129" spans="1:7" s="109" customFormat="1">
      <c r="A129" s="220" t="s">
        <v>4243</v>
      </c>
    </row>
    <row r="130" spans="1:7" s="109" customFormat="1">
      <c r="A130" s="220" t="s">
        <v>4244</v>
      </c>
    </row>
    <row r="131" spans="1:7" s="109" customFormat="1">
      <c r="A131" s="219"/>
    </row>
    <row r="133" spans="1:7">
      <c r="A133" s="1" t="s">
        <v>4250</v>
      </c>
    </row>
    <row r="134" spans="1:7">
      <c r="A134" s="109" t="s">
        <v>4122</v>
      </c>
    </row>
    <row r="135" spans="1:7">
      <c r="A135" s="180" t="s">
        <v>4147</v>
      </c>
    </row>
    <row r="136" spans="1:7">
      <c r="A136" s="180" t="s">
        <v>4127</v>
      </c>
    </row>
    <row r="137" spans="1:7">
      <c r="A137" s="109" t="s">
        <v>4128</v>
      </c>
      <c r="G137" s="179"/>
    </row>
    <row r="138" spans="1:7">
      <c r="A138" s="109" t="s">
        <v>4129</v>
      </c>
    </row>
    <row r="139" spans="1:7">
      <c r="A139" s="109" t="s">
        <v>4123</v>
      </c>
    </row>
    <row r="140" spans="1:7">
      <c r="A140" s="180" t="s">
        <v>4148</v>
      </c>
    </row>
    <row r="141" spans="1:7">
      <c r="A141" s="109" t="s">
        <v>4130</v>
      </c>
    </row>
    <row r="142" spans="1:7">
      <c r="A142" s="109" t="s">
        <v>4131</v>
      </c>
    </row>
    <row r="143" spans="1:7">
      <c r="A143" s="109"/>
    </row>
    <row r="144" spans="1:7">
      <c r="A144" s="180" t="s">
        <v>4219</v>
      </c>
    </row>
    <row r="145" spans="1:7">
      <c r="A145" s="180" t="s">
        <v>4218</v>
      </c>
    </row>
    <row r="146" spans="1:7">
      <c r="A146" s="179"/>
    </row>
    <row r="147" spans="1:7">
      <c r="A147" s="217" t="s">
        <v>4225</v>
      </c>
    </row>
    <row r="148" spans="1:7">
      <c r="A148" s="109" t="s">
        <v>4122</v>
      </c>
    </row>
    <row r="149" spans="1:7">
      <c r="A149" s="180" t="s">
        <v>4187</v>
      </c>
    </row>
    <row r="150" spans="1:7">
      <c r="A150" s="180" t="s">
        <v>4188</v>
      </c>
    </row>
    <row r="151" spans="1:7">
      <c r="A151" s="109" t="s">
        <v>4189</v>
      </c>
      <c r="G151" s="179"/>
    </row>
    <row r="152" spans="1:7">
      <c r="A152" s="109" t="s">
        <v>4190</v>
      </c>
    </row>
    <row r="153" spans="1:7">
      <c r="A153" s="109" t="s">
        <v>4123</v>
      </c>
    </row>
    <row r="154" spans="1:7">
      <c r="A154" s="180" t="s">
        <v>4187</v>
      </c>
    </row>
    <row r="155" spans="1:7">
      <c r="A155" s="109" t="s">
        <v>4191</v>
      </c>
    </row>
    <row r="156" spans="1:7">
      <c r="A156" s="109" t="s">
        <v>4192</v>
      </c>
    </row>
    <row r="157" spans="1:7">
      <c r="A157" s="109"/>
    </row>
    <row r="158" spans="1:7">
      <c r="A158" s="180" t="s">
        <v>4220</v>
      </c>
    </row>
    <row r="159" spans="1:7">
      <c r="A159" s="180"/>
    </row>
    <row r="160" spans="1:7">
      <c r="A160" s="180"/>
    </row>
    <row r="161" spans="1:1">
      <c r="A161" s="1" t="s">
        <v>4251</v>
      </c>
    </row>
    <row r="162" spans="1:1">
      <c r="A162" s="109" t="s">
        <v>4126</v>
      </c>
    </row>
    <row r="163" spans="1:1">
      <c r="A163" s="180" t="s">
        <v>4155</v>
      </c>
    </row>
    <row r="164" spans="1:1">
      <c r="A164" s="180" t="s">
        <v>4132</v>
      </c>
    </row>
    <row r="165" spans="1:1">
      <c r="A165" s="180"/>
    </row>
    <row r="166" spans="1:1">
      <c r="A166" s="109" t="s">
        <v>4222</v>
      </c>
    </row>
    <row r="167" spans="1:1">
      <c r="A167" s="180" t="s">
        <v>4221</v>
      </c>
    </row>
    <row r="168" spans="1:1">
      <c r="A168" s="188"/>
    </row>
    <row r="169" spans="1:1">
      <c r="A169" s="1" t="s">
        <v>4204</v>
      </c>
    </row>
    <row r="170" spans="1:1">
      <c r="A170" s="109" t="s">
        <v>4126</v>
      </c>
    </row>
    <row r="171" spans="1:1">
      <c r="A171" s="109" t="s">
        <v>4178</v>
      </c>
    </row>
    <row r="172" spans="1:1">
      <c r="A172" s="180" t="s">
        <v>4135</v>
      </c>
    </row>
    <row r="173" spans="1:1">
      <c r="A173" s="109" t="s">
        <v>4133</v>
      </c>
    </row>
    <row r="174" spans="1:1">
      <c r="A174" s="109" t="s">
        <v>4134</v>
      </c>
    </row>
    <row r="175" spans="1:1">
      <c r="A175" s="109" t="s">
        <v>4123</v>
      </c>
    </row>
    <row r="176" spans="1:1">
      <c r="A176" s="180" t="s">
        <v>4156</v>
      </c>
    </row>
    <row r="177" spans="1:1">
      <c r="A177" s="109" t="s">
        <v>4136</v>
      </c>
    </row>
    <row r="178" spans="1:1">
      <c r="A178" s="109" t="s">
        <v>4137</v>
      </c>
    </row>
    <row r="180" spans="1:1">
      <c r="A180" s="180" t="s">
        <v>4227</v>
      </c>
    </row>
    <row r="181" spans="1:1">
      <c r="A181" s="109"/>
    </row>
    <row r="182" spans="1:1">
      <c r="A182" s="217" t="s">
        <v>4229</v>
      </c>
    </row>
    <row r="183" spans="1:1">
      <c r="A183" s="109" t="s">
        <v>4126</v>
      </c>
    </row>
    <row r="184" spans="1:1">
      <c r="A184" s="109" t="s">
        <v>4193</v>
      </c>
    </row>
    <row r="185" spans="1:1">
      <c r="A185" s="180" t="s">
        <v>4194</v>
      </c>
    </row>
    <row r="186" spans="1:1">
      <c r="A186" s="109" t="s">
        <v>4195</v>
      </c>
    </row>
    <row r="187" spans="1:1">
      <c r="A187" s="109" t="s">
        <v>4196</v>
      </c>
    </row>
    <row r="188" spans="1:1">
      <c r="A188" s="109" t="s">
        <v>4123</v>
      </c>
    </row>
    <row r="189" spans="1:1">
      <c r="A189" s="180" t="s">
        <v>4228</v>
      </c>
    </row>
    <row r="190" spans="1:1">
      <c r="A190" s="109" t="s">
        <v>4197</v>
      </c>
    </row>
    <row r="191" spans="1:1">
      <c r="A191" s="109" t="s">
        <v>4198</v>
      </c>
    </row>
    <row r="193" spans="1:1">
      <c r="A193" s="180" t="s">
        <v>4223</v>
      </c>
    </row>
    <row r="194" spans="1:1">
      <c r="A194" s="188"/>
    </row>
    <row r="195" spans="1:1">
      <c r="A195" s="188"/>
    </row>
    <row r="196" spans="1:1">
      <c r="A196" s="1"/>
    </row>
    <row r="197" spans="1:1">
      <c r="A197" s="82"/>
    </row>
    <row r="198" spans="1:1">
      <c r="A198" s="5"/>
    </row>
    <row r="199" spans="1:1">
      <c r="A199" s="5"/>
    </row>
    <row r="200" spans="1:1">
      <c r="A200" s="93"/>
    </row>
    <row r="201" spans="1:1">
      <c r="A201" s="93"/>
    </row>
    <row r="202" spans="1:1">
      <c r="A202" s="5"/>
    </row>
    <row r="204" spans="1:1">
      <c r="A204" s="217"/>
    </row>
    <row r="205" spans="1:1">
      <c r="A205" s="82"/>
    </row>
    <row r="206" spans="1:1">
      <c r="A206" s="5"/>
    </row>
    <row r="207" spans="1:1">
      <c r="A207" s="82"/>
    </row>
    <row r="208" spans="1:1">
      <c r="A208" s="5"/>
    </row>
    <row r="209" spans="1:1">
      <c r="A209" s="5"/>
    </row>
    <row r="210" spans="1:1">
      <c r="A210" s="5"/>
    </row>
    <row r="211" spans="1:1">
      <c r="A211" s="5"/>
    </row>
    <row r="212" spans="1:1">
      <c r="A212" s="5"/>
    </row>
    <row r="213" spans="1:1">
      <c r="A213" s="93"/>
    </row>
    <row r="214" spans="1:1">
      <c r="A214" s="93"/>
    </row>
    <row r="215" spans="1:1">
      <c r="A215" s="93"/>
    </row>
    <row r="216" spans="1:1">
      <c r="A216" s="1"/>
    </row>
    <row r="217" spans="1:1">
      <c r="A217" s="82"/>
    </row>
    <row r="218" spans="1:1">
      <c r="A218" s="82"/>
    </row>
    <row r="219" spans="1:1">
      <c r="A219" s="82"/>
    </row>
    <row r="220" spans="1:1">
      <c r="A220" s="82"/>
    </row>
    <row r="221" spans="1:1">
      <c r="A221" s="82"/>
    </row>
    <row r="222" spans="1:1">
      <c r="A222" s="82"/>
    </row>
    <row r="223" spans="1:1">
      <c r="A223" s="82"/>
    </row>
    <row r="224" spans="1:1">
      <c r="A224" s="82"/>
    </row>
    <row r="225" spans="1:1">
      <c r="A225" s="82"/>
    </row>
    <row r="226" spans="1:1">
      <c r="A226" s="82"/>
    </row>
    <row r="227" spans="1:1">
      <c r="A227" s="82"/>
    </row>
    <row r="228" spans="1:1">
      <c r="A228" s="82"/>
    </row>
    <row r="229" spans="1:1">
      <c r="A229" s="82"/>
    </row>
    <row r="230" spans="1:1">
      <c r="A230" s="82"/>
    </row>
    <row r="231" spans="1:1">
      <c r="A231" s="82"/>
    </row>
    <row r="232" spans="1:1">
      <c r="A232" s="82"/>
    </row>
    <row r="233" spans="1:1">
      <c r="A233" s="82"/>
    </row>
    <row r="234" spans="1:1">
      <c r="A234" s="82"/>
    </row>
    <row r="235" spans="1:1">
      <c r="A235" s="82"/>
    </row>
    <row r="236" spans="1:1">
      <c r="A236" s="82"/>
    </row>
    <row r="237" spans="1:1">
      <c r="A237" s="82"/>
    </row>
    <row r="238" spans="1:1">
      <c r="A238" s="5"/>
    </row>
    <row r="239" spans="1:1">
      <c r="A239" s="82"/>
    </row>
    <row r="240" spans="1:1">
      <c r="A240" s="82"/>
    </row>
    <row r="241" spans="1:1">
      <c r="A241" s="5"/>
    </row>
    <row r="242" spans="1:1">
      <c r="A242" s="5"/>
    </row>
    <row r="243" spans="1:1">
      <c r="A243" s="5"/>
    </row>
    <row r="244" spans="1:1">
      <c r="A244" s="93"/>
    </row>
  </sheetData>
  <pageMargins left="0.7" right="0.7" top="0.75" bottom="0.75" header="0.3" footer="0.3"/>
  <pageSetup orientation="portrait" horizont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Dell AccTime</vt:lpstr>
      <vt:lpstr>Metadata Dell AccTime</vt:lpstr>
      <vt:lpstr>Dell JL Topt</vt:lpstr>
      <vt:lpstr>Metadata Dell JL Topt</vt:lpstr>
      <vt:lpstr>Dell JL Breadth</vt:lpstr>
      <vt:lpstr>Metadata Dell JL Breadth</vt:lpstr>
      <vt:lpstr>Amphibian CTMax</vt:lpstr>
      <vt:lpstr>Metadata Amphib CTMax</vt:lpstr>
      <vt:lpstr>Amphib CTMax by Spp</vt:lpstr>
      <vt:lpstr>Metadata Amphib CTMax by Spp</vt:lpstr>
      <vt:lpstr>Seebacher et al.</vt:lpstr>
      <vt:lpstr>Metadata Seebacher et al.</vt:lpstr>
      <vt:lpstr>Gunderson and Stillman</vt:lpstr>
      <vt:lpstr>Metadata Gunderson and Stillman</vt:lpstr>
      <vt:lpstr>Simulations Topt</vt:lpstr>
      <vt:lpstr>Metadata Simulations Topt</vt:lpstr>
      <vt:lpstr>Simulations Breadth</vt:lpstr>
      <vt:lpstr>Metadata Simulations Breadth</vt:lpstr>
      <vt:lpstr>R code</vt:lpstr>
    </vt:vector>
  </TitlesOfParts>
  <Company>University of South Florida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Rohr, Jason</dc:creator>
  <cp:lastModifiedBy>Information Technology Services</cp:lastModifiedBy>
  <dcterms:created xsi:type="dcterms:W3CDTF">2016-02-16T13:54:55Z</dcterms:created>
  <dcterms:modified xsi:type="dcterms:W3CDTF">2018-06-06T14:33:34Z</dcterms:modified>
</cp:coreProperties>
</file>