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8195" windowHeight="11580" activeTab="2"/>
  </bookViews>
  <sheets>
    <sheet name="LU" sheetId="1" r:id="rId1"/>
    <sheet name="SC_reach" sheetId="2" r:id="rId2"/>
    <sheet name="Constant" sheetId="3" r:id="rId3"/>
    <sheet name="Param_pre-processing" sheetId="4" r:id="rId4"/>
    <sheet name="OldParams" sheetId="5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F12" i="3" l="1"/>
  <c r="F11" i="3"/>
  <c r="N19" i="4" l="1"/>
  <c r="J29" i="4"/>
  <c r="L19" i="4"/>
  <c r="M19" i="4" s="1"/>
  <c r="J27" i="4" s="1"/>
  <c r="J28" i="4" s="1"/>
  <c r="K19" i="4"/>
  <c r="J19" i="4"/>
  <c r="I19" i="4"/>
  <c r="E32" i="4"/>
  <c r="D32" i="4"/>
  <c r="C32" i="4"/>
  <c r="B32" i="4"/>
  <c r="J25" i="4" l="1"/>
  <c r="J26" i="4" s="1"/>
  <c r="E23" i="4"/>
  <c r="D23" i="4"/>
  <c r="C23" i="4"/>
  <c r="B23" i="4"/>
  <c r="D4" i="4" l="1"/>
  <c r="B14" i="4" l="1"/>
  <c r="E4" i="4"/>
  <c r="D8" i="4"/>
  <c r="E8" i="4" s="1"/>
  <c r="F8" i="4" l="1"/>
</calcChain>
</file>

<file path=xl/sharedStrings.xml><?xml version="1.0" encoding="utf-8"?>
<sst xmlns="http://schemas.openxmlformats.org/spreadsheetml/2006/main" count="302" uniqueCount="192">
  <si>
    <t>Param</t>
  </si>
  <si>
    <t>A</t>
  </si>
  <si>
    <t>S</t>
  </si>
  <si>
    <t>IG</t>
  </si>
  <si>
    <t>f_IExcess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</si>
  <si>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</si>
  <si>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</si>
  <si>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</si>
  <si>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</si>
  <si>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</si>
  <si>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</si>
  <si>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</si>
  <si>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</si>
  <si>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</si>
  <si>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</si>
  <si>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</si>
  <si>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</si>
  <si>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</si>
  <si>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</si>
  <si>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</si>
  <si>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</si>
  <si>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</si>
  <si>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</si>
  <si>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</si>
  <si>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</si>
  <si>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</si>
  <si>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</si>
  <si>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</si>
  <si>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</si>
  <si>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</si>
  <si>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</si>
  <si>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a_Q</t>
  </si>
  <si>
    <t>b_Q</t>
  </si>
  <si>
    <t>Qg0_init</t>
  </si>
  <si>
    <t>Qr0_init</t>
  </si>
  <si>
    <t>E_Q</t>
  </si>
  <si>
    <t>k_EQ</t>
  </si>
  <si>
    <t>TDPeff</t>
  </si>
  <si>
    <t>TDPg</t>
  </si>
  <si>
    <t>E_PP</t>
  </si>
  <si>
    <t>Msoil_m2</t>
  </si>
  <si>
    <t>Q_m3/s</t>
  </si>
  <si>
    <t>[TDP]_mg/l</t>
  </si>
  <si>
    <t>TDP_kg/day</t>
  </si>
  <si>
    <t>[TP]_mg/l</t>
  </si>
  <si>
    <t>fraction as TDP</t>
  </si>
  <si>
    <t>PP_kg/day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</si>
  <si>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</si>
  <si>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</si>
  <si>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</si>
  <si>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</si>
  <si>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</si>
  <si>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</si>
  <si>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km2</t>
  </si>
  <si>
    <t>Catchment area</t>
  </si>
  <si>
    <t>m</t>
  </si>
  <si>
    <t>degrees</t>
  </si>
  <si>
    <t>kg/day</t>
  </si>
  <si>
    <t>Reach length</t>
  </si>
  <si>
    <t>Reach effluent TDP inputs</t>
  </si>
  <si>
    <t>PP/TP ratio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</si>
  <si>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</si>
  <si>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</si>
  <si>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</si>
  <si>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</si>
  <si>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</si>
  <si>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</si>
  <si>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</si>
  <si>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groundwater flow</t>
  </si>
  <si>
    <t>Initial in-stream flow</t>
  </si>
  <si>
    <t>m3/s</t>
  </si>
  <si>
    <t>kg/m2</t>
  </si>
  <si>
    <t>Soil mass per m2</t>
  </si>
  <si>
    <t>Areal soil mass calculation (kg/m2)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</si>
  <si>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</si>
  <si>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</si>
  <si>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</si>
  <si>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</si>
  <si>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</si>
  <si>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</si>
  <si>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</si>
  <si>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</si>
  <si>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</si>
  <si>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</si>
  <si>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</si>
  <si>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</si>
  <si>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</si>
  <si>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</si>
  <si>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</si>
  <si>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</si>
  <si>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</si>
  <si>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</si>
  <si>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Proportion of improved grassland</t>
  </si>
  <si>
    <t>Proportion of arable land</t>
  </si>
  <si>
    <t>Proportion of semi-natural and other land</t>
  </si>
  <si>
    <t>T_s</t>
  </si>
  <si>
    <t>Notes</t>
  </si>
  <si>
    <t>Initial soil water EPC0, in mg/l</t>
  </si>
  <si>
    <t>Semi-natural fixed</t>
  </si>
  <si>
    <t>Sub-catchment</t>
  </si>
  <si>
    <t>Whole catchment</t>
  </si>
  <si>
    <t>Arable %</t>
  </si>
  <si>
    <t>Improved grassland %</t>
  </si>
  <si>
    <t>Semi-natural %</t>
  </si>
  <si>
    <t>f_NC</t>
  </si>
  <si>
    <t>Keyword to describe whether newly converted land is agricultural (A; from semi-natural), or semi-natural (S, from agricultural)</t>
  </si>
  <si>
    <t>NC_type</t>
  </si>
  <si>
    <t>Could move this to SC parameters if there's reason to</t>
  </si>
  <si>
    <t>NC</t>
  </si>
  <si>
    <t>Proportion of agricultural or semi-natural land that's newly converted</t>
  </si>
  <si>
    <t>f_NC_Ar</t>
  </si>
  <si>
    <t>Split of any newly-converted agricultural land between arable and improved grassland (as proportion that's arable)</t>
  </si>
  <si>
    <t>SC1</t>
  </si>
  <si>
    <t>Newly converted arable</t>
  </si>
  <si>
    <t>Newly converted IG</t>
  </si>
  <si>
    <r>
      <t>Area (km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</si>
  <si>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t>Real values:</t>
  </si>
  <si>
    <t>Test values:</t>
  </si>
  <si>
    <t>Old semi-natural %</t>
  </si>
  <si>
    <t>Old arable %</t>
  </si>
  <si>
    <t>Old improved grassland %</t>
  </si>
  <si>
    <t>Newly-converted SN</t>
  </si>
  <si>
    <t>NC_Ar</t>
  </si>
  <si>
    <t>Old_Ar</t>
  </si>
  <si>
    <t>NC_IG</t>
  </si>
  <si>
    <t>Old_IG</t>
  </si>
  <si>
    <t>SN</t>
  </si>
  <si>
    <t>%s add to 100?</t>
  </si>
  <si>
    <t>Sub-catchment:</t>
  </si>
  <si>
    <t>Constant:</t>
  </si>
  <si>
    <t>f_NC_IG</t>
  </si>
  <si>
    <t>f_NC_S</t>
  </si>
  <si>
    <t>Proportion of newly-converted SN (from agricultural). If have newly-converted IG or Ar, this must be 0</t>
  </si>
  <si>
    <t>Proportion of newly-converted arable land (from SN). If f_NC_S&gt;0, this must be 0</t>
  </si>
  <si>
    <t>Proportion of newly-converted IG (from SN). If f_NC_S&gt;0, this must be 0</t>
  </si>
  <si>
    <t>Semi-natural fixed at 0. Newly-converted value could be negative if have net uptake.</t>
  </si>
  <si>
    <t>Net annual P input to the soil (may be negative if have more uptake than input)</t>
  </si>
  <si>
    <t>A value only needs to be supplied when the model is run in validation mode. In calibration mode, it is calculated within the model and output as Kf</t>
  </si>
  <si>
    <t>Proportion of arable land, excluding any newly-converted from SN</t>
  </si>
  <si>
    <t>Proportion of improved grassland, excluding any newly-converted from SN</t>
  </si>
  <si>
    <t>Proportion of semi-natural and other low soil-P land, excluding any newly-converted from agricultural</t>
  </si>
  <si>
    <t>S_Ar</t>
  </si>
  <si>
    <t>S_IG</t>
  </si>
  <si>
    <t>Mean slope of arable land in the sub-catchment</t>
  </si>
  <si>
    <t>Mean slope of improved grassland in the sub-catchment</t>
  </si>
  <si>
    <t>Mean slope of semi-natural land in the sub-catchment</t>
  </si>
  <si>
    <t>Textural Class</t>
  </si>
  <si>
    <t>K Factor (tonnes/hectare)</t>
  </si>
  <si>
    <t>Clay</t>
  </si>
  <si>
    <t>Clay loam</t>
  </si>
  <si>
    <t>Coarse sandy loam</t>
  </si>
  <si>
    <t>Fine sand</t>
  </si>
  <si>
    <t>Fine sandy loam</t>
  </si>
  <si>
    <t>Heavy clay</t>
  </si>
  <si>
    <t>Loam</t>
  </si>
  <si>
    <t>Loamy fine sand</t>
  </si>
  <si>
    <t>Loamy sand</t>
  </si>
  <si>
    <t>Loamy very fine sand</t>
  </si>
  <si>
    <t>Sand</t>
  </si>
  <si>
    <t>Sandy clay loam</t>
  </si>
  <si>
    <t>Sandy loam</t>
  </si>
  <si>
    <t>Silt loam</t>
  </si>
  <si>
    <t>Silty clay</t>
  </si>
  <si>
    <t>Silty clay loam</t>
  </si>
  <si>
    <t>Very fine sand</t>
  </si>
  <si>
    <t>Very fine sandy loam</t>
  </si>
  <si>
    <t>Scaling factor for soil yield to the stream</t>
  </si>
  <si>
    <t>m s2/kg</t>
  </si>
  <si>
    <t>K_erosion</t>
  </si>
  <si>
    <t>T/ha</t>
  </si>
  <si>
    <t>Inherent soil erodibility, averaged for soils over the sub-catchment. Derived e.g. from http://esdac.jrc.ec.europa.eu/themes/soil-erodibility-europe</t>
  </si>
  <si>
    <t>Made up</t>
  </si>
  <si>
    <t>None</t>
  </si>
  <si>
    <t>d_maxE_spr</t>
  </si>
  <si>
    <t>d_maxE_aut</t>
  </si>
  <si>
    <t>Day of the year when soil erodibility is at its maximum for spring-sown crops</t>
  </si>
  <si>
    <t>Day of the year when soil erodibility is at its maximum for autumn-sown crops</t>
  </si>
  <si>
    <t>Reach slope (ideally length-weighted)</t>
  </si>
  <si>
    <t>Incorporates connectivity. May therefore need to change per sub-catchment</t>
  </si>
  <si>
    <t>Vegetation cover factor, describing ratio between long-term erosion under the land use class, compared to under bare soil of the same soil type, slope, etc. Sourced from (R)USLE literature.</t>
  </si>
  <si>
    <t>C_cover</t>
  </si>
  <si>
    <t>f_spr</t>
  </si>
  <si>
    <t>Proportion spring-sown crops make to total arable land area (assume rest is autumn-sown)</t>
  </si>
  <si>
    <t>Sed_measures</t>
  </si>
  <si>
    <t>S_SN</t>
  </si>
  <si>
    <t>Reduction in load of sediment delivered to the stream (proportion; 0-1) due to management measures, e.g. buffer strips, filter fences, conservation tillage practices, etc.)</t>
  </si>
  <si>
    <t>e.g. 1st of March. Conversion from Calendar day to Julian day, see e.g. http://landweb.nascom.nasa.gov/browse/calendar.html</t>
  </si>
  <si>
    <t>Phosphorus sorption coefficient (gradient of linear relationship between labile P and TDP concentration)</t>
  </si>
  <si>
    <t>Gradient of regression between total soil P and labile P (e.g. Modified Morgan's or Olsen P), assuming intercept = 0</t>
  </si>
  <si>
    <t>k_labile</t>
  </si>
  <si>
    <t>Initial total soil P content. If you only have 'labile P' data, calculate this using your assumed ratio for the connection between total and labile soil P masses ('k_labile' in 'constant' parameters)</t>
  </si>
  <si>
    <t>Derived from relationship between MMP and TP for Scottish soils and a smaller set of Canadian soils: 59.7. Could be further expanded. Much scatter in relationship (R2 = 0.37), but it's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</si>
</sst>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3" borderId="0" xfId="0" applyNumberFormat="1" applyFont="1" applyFill="1"/>
    <xf numFmtId="49" fontId="0" fillId="0" borderId="0" xfId="0" applyNumberFormat="1" applyAlignment="1">
      <alignment horizontal="right"/>
    </xf>
    <xf numFmtId="164" fontId="0" fillId="0" borderId="0" xfId="0" applyNumberForma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1" fontId="0" fillId="4" borderId="0" xfId="0" applyNumberFormat="1" applyFill="1" applyAlignment="1">
      <alignment horizontal="left" vertical="top"/>
    </xf>
    <xf numFmtId="0" fontId="8" fillId="0" borderId="0" xfId="0" applyFont="1"/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6" sqref="I6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73" bestFit="1" customWidth="1"/>
  </cols>
  <sheetData>
    <row r="1" spans="1:9" s="1" customFormat="1" x14ac:dyDescent="0.25">
      <c r="A1" s="1" t="s">
        <v>86</v>
      </c>
      <c r="B1" s="1" t="s">
        <v>0</v>
      </c>
      <c r="C1" s="1" t="s">
        <v>13</v>
      </c>
      <c r="D1" s="1" t="s">
        <v>49</v>
      </c>
      <c r="E1" s="1" t="s">
        <v>1</v>
      </c>
      <c r="F1" s="1" t="s">
        <v>2</v>
      </c>
      <c r="G1" s="1" t="s">
        <v>3</v>
      </c>
      <c r="H1" s="1" t="s">
        <v>108</v>
      </c>
      <c r="I1" s="1" t="s">
        <v>96</v>
      </c>
    </row>
    <row r="2" spans="1:9" x14ac:dyDescent="0.25">
      <c r="A2" t="s">
        <v>87</v>
      </c>
      <c r="B2" t="s">
        <v>95</v>
      </c>
      <c r="C2" t="s">
        <v>14</v>
      </c>
      <c r="D2" t="s">
        <v>50</v>
      </c>
      <c r="E2" s="5">
        <v>2</v>
      </c>
      <c r="F2" s="5">
        <v>7</v>
      </c>
      <c r="G2" s="2"/>
      <c r="H2" s="2"/>
    </row>
    <row r="3" spans="1:9" x14ac:dyDescent="0.25">
      <c r="A3" t="s">
        <v>88</v>
      </c>
      <c r="B3" t="s">
        <v>9</v>
      </c>
      <c r="C3" t="s">
        <v>16</v>
      </c>
      <c r="D3" t="s">
        <v>190</v>
      </c>
      <c r="E3" s="4">
        <v>1100</v>
      </c>
      <c r="F3" s="4">
        <v>900</v>
      </c>
      <c r="G3" s="2"/>
      <c r="H3" s="2"/>
    </row>
    <row r="4" spans="1:9" x14ac:dyDescent="0.25">
      <c r="A4" t="s">
        <v>88</v>
      </c>
      <c r="B4" t="s">
        <v>10</v>
      </c>
      <c r="C4" t="s">
        <v>17</v>
      </c>
      <c r="D4" t="s">
        <v>136</v>
      </c>
      <c r="E4" s="5">
        <v>10</v>
      </c>
      <c r="F4" s="6">
        <v>0</v>
      </c>
      <c r="G4" s="2"/>
      <c r="H4" s="8">
        <v>-3</v>
      </c>
      <c r="I4" t="s">
        <v>135</v>
      </c>
    </row>
    <row r="5" spans="1:9" x14ac:dyDescent="0.25">
      <c r="A5" t="s">
        <v>88</v>
      </c>
      <c r="B5" t="s">
        <v>11</v>
      </c>
      <c r="C5" t="s">
        <v>18</v>
      </c>
      <c r="D5" t="s">
        <v>97</v>
      </c>
      <c r="E5" s="3">
        <v>0.12</v>
      </c>
      <c r="F5" s="6">
        <v>0</v>
      </c>
      <c r="G5" s="2"/>
      <c r="H5" s="2"/>
      <c r="I5" t="s">
        <v>98</v>
      </c>
    </row>
    <row r="6" spans="1:9" x14ac:dyDescent="0.25">
      <c r="A6" t="s">
        <v>90</v>
      </c>
      <c r="B6" t="s">
        <v>180</v>
      </c>
      <c r="C6" t="s">
        <v>20</v>
      </c>
      <c r="D6" t="s">
        <v>179</v>
      </c>
      <c r="E6">
        <v>0.2</v>
      </c>
      <c r="F6">
        <v>2.1000000000000001E-2</v>
      </c>
      <c r="G6">
        <v>0.09</v>
      </c>
      <c r="H6" s="2"/>
    </row>
    <row r="7" spans="1:9" x14ac:dyDescent="0.25">
      <c r="A7" t="s">
        <v>90</v>
      </c>
      <c r="B7" t="s">
        <v>183</v>
      </c>
      <c r="C7" t="s">
        <v>20</v>
      </c>
      <c r="D7" t="s">
        <v>185</v>
      </c>
      <c r="E7">
        <v>0</v>
      </c>
      <c r="F7">
        <v>0</v>
      </c>
      <c r="G7">
        <v>0</v>
      </c>
      <c r="H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" sqref="B2:B16"/>
    </sheetView>
  </sheetViews>
  <sheetFormatPr defaultRowHeight="15" x14ac:dyDescent="0.25"/>
  <cols>
    <col min="1" max="1" width="12.140625" bestFit="1" customWidth="1"/>
    <col min="2" max="2" width="9.85546875" bestFit="1" customWidth="1"/>
    <col min="4" max="4" width="93.5703125" bestFit="1" customWidth="1"/>
  </cols>
  <sheetData>
    <row r="1" spans="1:6" s="1" customFormat="1" x14ac:dyDescent="0.25">
      <c r="A1" s="1" t="s">
        <v>86</v>
      </c>
      <c r="B1" s="1" t="s">
        <v>0</v>
      </c>
      <c r="C1" s="1" t="s">
        <v>13</v>
      </c>
      <c r="D1" s="1" t="s">
        <v>49</v>
      </c>
      <c r="E1" s="1">
        <v>1</v>
      </c>
    </row>
    <row r="2" spans="1:6" x14ac:dyDescent="0.25">
      <c r="A2" t="s">
        <v>91</v>
      </c>
      <c r="B2" s="40" t="s">
        <v>21</v>
      </c>
      <c r="C2" t="s">
        <v>53</v>
      </c>
      <c r="D2" t="s">
        <v>54</v>
      </c>
      <c r="E2">
        <v>51.7</v>
      </c>
    </row>
    <row r="3" spans="1:6" x14ac:dyDescent="0.25">
      <c r="A3" t="s">
        <v>91</v>
      </c>
      <c r="B3" s="40" t="s">
        <v>23</v>
      </c>
      <c r="C3" t="s">
        <v>20</v>
      </c>
      <c r="D3" t="s">
        <v>138</v>
      </c>
      <c r="E3" s="3">
        <v>0.5</v>
      </c>
      <c r="F3">
        <v>0.2</v>
      </c>
    </row>
    <row r="4" spans="1:6" x14ac:dyDescent="0.25">
      <c r="A4" t="s">
        <v>91</v>
      </c>
      <c r="B4" s="40" t="s">
        <v>22</v>
      </c>
      <c r="C4" t="s">
        <v>20</v>
      </c>
      <c r="D4" t="s">
        <v>139</v>
      </c>
      <c r="E4" s="3">
        <v>0</v>
      </c>
      <c r="F4">
        <v>0.3</v>
      </c>
    </row>
    <row r="5" spans="1:6" x14ac:dyDescent="0.25">
      <c r="A5" t="s">
        <v>91</v>
      </c>
      <c r="B5" s="40" t="s">
        <v>24</v>
      </c>
      <c r="C5" t="s">
        <v>20</v>
      </c>
      <c r="D5" t="s">
        <v>140</v>
      </c>
      <c r="E5" s="3">
        <v>0.5</v>
      </c>
    </row>
    <row r="6" spans="1:6" x14ac:dyDescent="0.25">
      <c r="A6" t="s">
        <v>91</v>
      </c>
      <c r="B6" s="40" t="s">
        <v>110</v>
      </c>
      <c r="C6" t="s">
        <v>20</v>
      </c>
      <c r="D6" t="s">
        <v>133</v>
      </c>
      <c r="E6" s="3">
        <v>0</v>
      </c>
    </row>
    <row r="7" spans="1:6" x14ac:dyDescent="0.25">
      <c r="A7" t="s">
        <v>91</v>
      </c>
      <c r="B7" s="40" t="s">
        <v>130</v>
      </c>
      <c r="C7" t="s">
        <v>20</v>
      </c>
      <c r="D7" t="s">
        <v>134</v>
      </c>
      <c r="E7" s="3">
        <v>0</v>
      </c>
    </row>
    <row r="8" spans="1:6" x14ac:dyDescent="0.25">
      <c r="A8" t="s">
        <v>91</v>
      </c>
      <c r="B8" s="40" t="s">
        <v>131</v>
      </c>
      <c r="C8" t="s">
        <v>20</v>
      </c>
      <c r="D8" t="s">
        <v>132</v>
      </c>
      <c r="E8" s="3">
        <v>0</v>
      </c>
    </row>
    <row r="9" spans="1:6" x14ac:dyDescent="0.25">
      <c r="A9" t="s">
        <v>91</v>
      </c>
      <c r="B9" s="40" t="s">
        <v>181</v>
      </c>
      <c r="C9" t="s">
        <v>20</v>
      </c>
      <c r="D9" t="s">
        <v>182</v>
      </c>
      <c r="E9" s="3">
        <v>0.65</v>
      </c>
    </row>
    <row r="10" spans="1:6" x14ac:dyDescent="0.25">
      <c r="A10" t="s">
        <v>91</v>
      </c>
      <c r="B10" s="40" t="s">
        <v>141</v>
      </c>
      <c r="C10" t="s">
        <v>56</v>
      </c>
      <c r="D10" t="s">
        <v>143</v>
      </c>
      <c r="E10" s="5">
        <v>4</v>
      </c>
      <c r="F10" s="44" t="s">
        <v>171</v>
      </c>
    </row>
    <row r="11" spans="1:6" x14ac:dyDescent="0.25">
      <c r="A11" t="s">
        <v>91</v>
      </c>
      <c r="B11" s="40" t="s">
        <v>142</v>
      </c>
      <c r="C11" t="s">
        <v>56</v>
      </c>
      <c r="D11" t="s">
        <v>144</v>
      </c>
      <c r="E11" s="5">
        <v>4</v>
      </c>
      <c r="F11" s="44" t="s">
        <v>171</v>
      </c>
    </row>
    <row r="12" spans="1:6" x14ac:dyDescent="0.25">
      <c r="A12" t="s">
        <v>91</v>
      </c>
      <c r="B12" s="40" t="s">
        <v>184</v>
      </c>
      <c r="C12" t="s">
        <v>56</v>
      </c>
      <c r="D12" t="s">
        <v>145</v>
      </c>
      <c r="E12" s="5">
        <v>10</v>
      </c>
      <c r="F12" s="44" t="s">
        <v>171</v>
      </c>
    </row>
    <row r="13" spans="1:6" x14ac:dyDescent="0.25">
      <c r="A13" t="s">
        <v>91</v>
      </c>
      <c r="B13" s="40" t="s">
        <v>25</v>
      </c>
      <c r="C13" t="s">
        <v>55</v>
      </c>
      <c r="D13" t="s">
        <v>58</v>
      </c>
      <c r="E13">
        <v>5000</v>
      </c>
    </row>
    <row r="14" spans="1:6" x14ac:dyDescent="0.25">
      <c r="A14" t="s">
        <v>90</v>
      </c>
      <c r="B14" s="40" t="s">
        <v>168</v>
      </c>
      <c r="C14" t="s">
        <v>169</v>
      </c>
      <c r="D14" t="s">
        <v>170</v>
      </c>
      <c r="E14">
        <v>2.4E-2</v>
      </c>
    </row>
    <row r="15" spans="1:6" x14ac:dyDescent="0.25">
      <c r="A15" t="s">
        <v>90</v>
      </c>
      <c r="B15" s="40" t="s">
        <v>26</v>
      </c>
      <c r="C15" t="s">
        <v>56</v>
      </c>
      <c r="D15" t="s">
        <v>177</v>
      </c>
      <c r="E15">
        <v>0.8</v>
      </c>
    </row>
    <row r="16" spans="1:6" x14ac:dyDescent="0.25">
      <c r="A16" t="s">
        <v>88</v>
      </c>
      <c r="B16" s="40" t="s">
        <v>37</v>
      </c>
      <c r="C16" t="s">
        <v>57</v>
      </c>
      <c r="D16" t="s">
        <v>59</v>
      </c>
      <c r="E16" s="3">
        <v>0.26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14" sqref="E14"/>
    </sheetView>
  </sheetViews>
  <sheetFormatPr defaultRowHeight="15" x14ac:dyDescent="0.25"/>
  <cols>
    <col min="1" max="1" width="12.140625" style="33" bestFit="1" customWidth="1"/>
    <col min="2" max="2" width="11.7109375" style="33" bestFit="1" customWidth="1"/>
    <col min="3" max="3" width="9.140625" style="33"/>
    <col min="4" max="4" width="71.85546875" style="33" bestFit="1" customWidth="1"/>
    <col min="5" max="5" width="9.140625" style="33"/>
    <col min="6" max="6" width="52.7109375" style="35" customWidth="1"/>
    <col min="7" max="16384" width="9.140625" style="33"/>
  </cols>
  <sheetData>
    <row r="1" spans="1:6" x14ac:dyDescent="0.25">
      <c r="A1" s="31" t="s">
        <v>86</v>
      </c>
      <c r="B1" s="31" t="s">
        <v>0</v>
      </c>
      <c r="C1" s="31" t="s">
        <v>13</v>
      </c>
      <c r="D1" s="31" t="s">
        <v>49</v>
      </c>
      <c r="E1" s="31" t="s">
        <v>27</v>
      </c>
      <c r="F1" s="32" t="s">
        <v>96</v>
      </c>
    </row>
    <row r="2" spans="1:6" x14ac:dyDescent="0.25">
      <c r="A2" s="33" t="s">
        <v>87</v>
      </c>
      <c r="B2" s="33" t="s">
        <v>4</v>
      </c>
      <c r="C2" s="33" t="s">
        <v>20</v>
      </c>
      <c r="D2" s="33" t="s">
        <v>51</v>
      </c>
      <c r="E2" s="34">
        <v>1.4999999999999999E-2</v>
      </c>
    </row>
    <row r="3" spans="1:6" x14ac:dyDescent="0.25">
      <c r="A3" s="33" t="s">
        <v>87</v>
      </c>
      <c r="B3" s="33" t="s">
        <v>6</v>
      </c>
      <c r="C3" s="33" t="s">
        <v>20</v>
      </c>
      <c r="D3" s="33" t="s">
        <v>52</v>
      </c>
      <c r="E3" s="36">
        <v>0.95</v>
      </c>
    </row>
    <row r="4" spans="1:6" x14ac:dyDescent="0.25">
      <c r="A4" s="33" t="s">
        <v>87</v>
      </c>
      <c r="B4" s="33" t="s">
        <v>5</v>
      </c>
      <c r="C4" s="33" t="s">
        <v>15</v>
      </c>
      <c r="D4" s="33" t="s">
        <v>83</v>
      </c>
      <c r="E4" s="37">
        <v>290</v>
      </c>
    </row>
    <row r="5" spans="1:6" x14ac:dyDescent="0.25">
      <c r="A5" s="33" t="s">
        <v>87</v>
      </c>
      <c r="B5" s="33" t="s">
        <v>28</v>
      </c>
      <c r="C5" s="33" t="s">
        <v>20</v>
      </c>
      <c r="D5" s="33" t="s">
        <v>61</v>
      </c>
      <c r="E5" s="36">
        <v>0.6</v>
      </c>
    </row>
    <row r="6" spans="1:6" x14ac:dyDescent="0.25">
      <c r="A6" s="33" t="s">
        <v>87</v>
      </c>
      <c r="B6" s="33" t="s">
        <v>29</v>
      </c>
      <c r="C6" s="33" t="s">
        <v>14</v>
      </c>
      <c r="D6" s="33" t="s">
        <v>62</v>
      </c>
      <c r="E6" s="37">
        <v>65</v>
      </c>
    </row>
    <row r="7" spans="1:6" x14ac:dyDescent="0.25">
      <c r="A7" s="33" t="s">
        <v>87</v>
      </c>
      <c r="B7" s="33" t="s">
        <v>30</v>
      </c>
      <c r="C7" s="33" t="s">
        <v>63</v>
      </c>
      <c r="D7" s="33" t="s">
        <v>64</v>
      </c>
      <c r="E7" s="38">
        <v>0.4</v>
      </c>
    </row>
    <row r="8" spans="1:6" x14ac:dyDescent="0.25">
      <c r="A8" s="33" t="s">
        <v>87</v>
      </c>
      <c r="B8" s="33" t="s">
        <v>31</v>
      </c>
      <c r="C8" s="33" t="s">
        <v>65</v>
      </c>
      <c r="D8" s="33" t="s">
        <v>66</v>
      </c>
      <c r="E8" s="38">
        <v>0.5</v>
      </c>
    </row>
    <row r="9" spans="1:6" x14ac:dyDescent="0.25">
      <c r="A9" s="33" t="s">
        <v>87</v>
      </c>
      <c r="B9" s="33" t="s">
        <v>32</v>
      </c>
      <c r="C9" s="33" t="s">
        <v>20</v>
      </c>
      <c r="D9" s="33" t="s">
        <v>67</v>
      </c>
      <c r="E9" s="38">
        <v>0.5</v>
      </c>
    </row>
    <row r="10" spans="1:6" x14ac:dyDescent="0.25">
      <c r="A10" s="33" t="s">
        <v>87</v>
      </c>
      <c r="B10" s="33" t="s">
        <v>33</v>
      </c>
      <c r="C10" s="33" t="s">
        <v>63</v>
      </c>
      <c r="D10" s="33" t="s">
        <v>68</v>
      </c>
      <c r="E10" s="38">
        <v>1</v>
      </c>
    </row>
    <row r="11" spans="1:6" x14ac:dyDescent="0.25">
      <c r="A11" s="33" t="s">
        <v>87</v>
      </c>
      <c r="B11" s="33" t="s">
        <v>34</v>
      </c>
      <c r="C11" s="33" t="s">
        <v>70</v>
      </c>
      <c r="D11" s="33" t="s">
        <v>69</v>
      </c>
      <c r="E11" s="38">
        <v>1</v>
      </c>
      <c r="F11" s="35">
        <f>200*0.000001/(60*6.2)</f>
        <v>5.3763440860215046E-7</v>
      </c>
    </row>
    <row r="12" spans="1:6" x14ac:dyDescent="0.25">
      <c r="A12" s="33" t="s">
        <v>88</v>
      </c>
      <c r="B12" s="33" t="s">
        <v>40</v>
      </c>
      <c r="C12" s="33" t="s">
        <v>71</v>
      </c>
      <c r="D12" s="33" t="s">
        <v>72</v>
      </c>
      <c r="E12" s="37">
        <v>200</v>
      </c>
      <c r="F12" s="35">
        <f>100*51.7*(10/60)/365</f>
        <v>2.3607305936073057</v>
      </c>
    </row>
    <row r="13" spans="1:6" ht="65.25" customHeight="1" x14ac:dyDescent="0.25">
      <c r="A13" s="33" t="s">
        <v>88</v>
      </c>
      <c r="B13" s="33" t="s">
        <v>189</v>
      </c>
      <c r="C13" s="33" t="s">
        <v>20</v>
      </c>
      <c r="D13" s="33" t="s">
        <v>188</v>
      </c>
      <c r="E13" s="38">
        <v>19</v>
      </c>
      <c r="F13" s="35" t="s">
        <v>191</v>
      </c>
    </row>
    <row r="14" spans="1:6" ht="45" x14ac:dyDescent="0.25">
      <c r="A14" s="33" t="s">
        <v>88</v>
      </c>
      <c r="B14" s="33" t="s">
        <v>12</v>
      </c>
      <c r="C14" s="33" t="s">
        <v>84</v>
      </c>
      <c r="D14" s="33" t="s">
        <v>187</v>
      </c>
      <c r="E14" s="39">
        <v>3.2237299999999997E-5</v>
      </c>
      <c r="F14" s="35" t="s">
        <v>137</v>
      </c>
    </row>
    <row r="15" spans="1:6" x14ac:dyDescent="0.25">
      <c r="A15" s="33" t="s">
        <v>88</v>
      </c>
      <c r="B15" s="33" t="s">
        <v>38</v>
      </c>
      <c r="C15" s="33" t="s">
        <v>18</v>
      </c>
      <c r="D15" s="33" t="s">
        <v>80</v>
      </c>
      <c r="E15" s="34">
        <v>1.4999999999999999E-2</v>
      </c>
    </row>
    <row r="16" spans="1:6" x14ac:dyDescent="0.25">
      <c r="A16" s="33" t="s">
        <v>89</v>
      </c>
      <c r="B16" s="33" t="s">
        <v>39</v>
      </c>
      <c r="C16" s="33" t="s">
        <v>20</v>
      </c>
      <c r="D16" s="33" t="s">
        <v>79</v>
      </c>
      <c r="E16" s="38">
        <v>2</v>
      </c>
    </row>
    <row r="17" spans="1:6" x14ac:dyDescent="0.25">
      <c r="A17" s="33" t="s">
        <v>90</v>
      </c>
      <c r="B17" s="33" t="s">
        <v>7</v>
      </c>
      <c r="C17" s="33" t="s">
        <v>167</v>
      </c>
      <c r="D17" s="33" t="s">
        <v>166</v>
      </c>
      <c r="E17" s="33">
        <v>4</v>
      </c>
      <c r="F17" s="33" t="s">
        <v>178</v>
      </c>
    </row>
    <row r="18" spans="1:6" x14ac:dyDescent="0.25">
      <c r="A18" s="33" t="s">
        <v>90</v>
      </c>
      <c r="B18" s="33" t="s">
        <v>8</v>
      </c>
      <c r="C18" s="33" t="s">
        <v>20</v>
      </c>
      <c r="D18" s="33" t="s">
        <v>85</v>
      </c>
      <c r="E18" s="38">
        <v>1.2</v>
      </c>
    </row>
    <row r="19" spans="1:6" ht="45" x14ac:dyDescent="0.25">
      <c r="A19" s="33" t="s">
        <v>90</v>
      </c>
      <c r="B19" s="33" t="s">
        <v>173</v>
      </c>
      <c r="C19" s="33" t="s">
        <v>172</v>
      </c>
      <c r="D19" s="33" t="s">
        <v>175</v>
      </c>
      <c r="E19" s="33">
        <v>60</v>
      </c>
      <c r="F19" s="35" t="s">
        <v>186</v>
      </c>
    </row>
    <row r="20" spans="1:6" x14ac:dyDescent="0.25">
      <c r="A20" s="33" t="s">
        <v>90</v>
      </c>
      <c r="B20" s="33" t="s">
        <v>174</v>
      </c>
      <c r="C20" s="33" t="s">
        <v>172</v>
      </c>
      <c r="D20" s="33" t="s">
        <v>176</v>
      </c>
      <c r="E20" s="33">
        <v>304</v>
      </c>
    </row>
    <row r="21" spans="1:6" x14ac:dyDescent="0.25">
      <c r="A21" s="33" t="s">
        <v>90</v>
      </c>
      <c r="B21" s="33" t="s">
        <v>35</v>
      </c>
      <c r="C21" s="33" t="s">
        <v>19</v>
      </c>
      <c r="D21" s="33" t="s">
        <v>81</v>
      </c>
      <c r="E21" s="37">
        <v>250</v>
      </c>
    </row>
    <row r="22" spans="1:6" x14ac:dyDescent="0.25">
      <c r="A22" s="33" t="s">
        <v>90</v>
      </c>
      <c r="B22" s="33" t="s">
        <v>36</v>
      </c>
      <c r="C22" s="33" t="s">
        <v>20</v>
      </c>
      <c r="D22" s="33" t="s">
        <v>82</v>
      </c>
      <c r="E22" s="38"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C26" sqref="C26"/>
    </sheetView>
  </sheetViews>
  <sheetFormatPr defaultRowHeight="15" x14ac:dyDescent="0.25"/>
  <cols>
    <col min="1" max="1" width="17.28515625" style="10" customWidth="1"/>
    <col min="2" max="2" width="11" style="10" bestFit="1" customWidth="1"/>
    <col min="3" max="3" width="14.28515625" style="10" bestFit="1" customWidth="1"/>
    <col min="4" max="4" width="11.5703125" style="10" bestFit="1" customWidth="1"/>
    <col min="5" max="5" width="10.5703125" style="10" bestFit="1" customWidth="1"/>
    <col min="6" max="6" width="13.140625" style="10" customWidth="1"/>
    <col min="7" max="7" width="10.85546875" style="10" customWidth="1"/>
    <col min="8" max="8" width="12" style="10" customWidth="1"/>
    <col min="9" max="16384" width="9.140625" style="10"/>
  </cols>
  <sheetData>
    <row r="1" spans="1:6" x14ac:dyDescent="0.25">
      <c r="A1" s="9" t="s">
        <v>48</v>
      </c>
    </row>
    <row r="3" spans="1:6" x14ac:dyDescent="0.25">
      <c r="A3" s="10" t="s">
        <v>41</v>
      </c>
      <c r="B3" s="10" t="s">
        <v>42</v>
      </c>
      <c r="C3" s="10" t="s">
        <v>60</v>
      </c>
      <c r="D3" s="10" t="s">
        <v>43</v>
      </c>
      <c r="E3" s="10" t="s">
        <v>46</v>
      </c>
    </row>
    <row r="4" spans="1:6" x14ac:dyDescent="0.25">
      <c r="A4" s="10">
        <v>1E-3</v>
      </c>
      <c r="B4" s="10">
        <v>3</v>
      </c>
      <c r="C4" s="10">
        <v>0.1</v>
      </c>
      <c r="D4" s="11">
        <f>A4*B4*86400*1000*10^-6</f>
        <v>0.25919999999999999</v>
      </c>
      <c r="E4" s="10">
        <f>C4*D4/(1-C4)</f>
        <v>2.8799999999999999E-2</v>
      </c>
    </row>
    <row r="7" spans="1:6" x14ac:dyDescent="0.25">
      <c r="A7" s="10" t="s">
        <v>41</v>
      </c>
      <c r="B7" s="10" t="s">
        <v>44</v>
      </c>
      <c r="C7" s="10" t="s">
        <v>45</v>
      </c>
      <c r="D7" s="10" t="s">
        <v>47</v>
      </c>
      <c r="E7" s="10" t="s">
        <v>46</v>
      </c>
      <c r="F7" s="10" t="s">
        <v>43</v>
      </c>
    </row>
    <row r="8" spans="1:6" x14ac:dyDescent="0.25">
      <c r="A8" s="10">
        <v>0.01</v>
      </c>
      <c r="B8" s="10">
        <v>3</v>
      </c>
      <c r="C8" s="10">
        <v>0.9</v>
      </c>
      <c r="D8" s="10">
        <f>A8*B8*86400*1000*10^-6</f>
        <v>2.5920000000000001</v>
      </c>
      <c r="E8" s="11">
        <f>(1-C8)*D8</f>
        <v>0.25919999999999993</v>
      </c>
      <c r="F8" s="11">
        <f>C8*D8</f>
        <v>2.3328000000000002</v>
      </c>
    </row>
    <row r="11" spans="1:6" x14ac:dyDescent="0.25">
      <c r="A11" s="9" t="s">
        <v>73</v>
      </c>
    </row>
    <row r="12" spans="1:6" x14ac:dyDescent="0.25">
      <c r="A12" s="10" t="s">
        <v>74</v>
      </c>
      <c r="B12" s="10">
        <v>1000</v>
      </c>
      <c r="C12" s="10" t="s">
        <v>77</v>
      </c>
    </row>
    <row r="13" spans="1:6" x14ac:dyDescent="0.25">
      <c r="A13" s="10" t="s">
        <v>75</v>
      </c>
      <c r="B13" s="10">
        <v>20</v>
      </c>
      <c r="C13" s="10" t="s">
        <v>78</v>
      </c>
    </row>
    <row r="14" spans="1:6" x14ac:dyDescent="0.25">
      <c r="A14" s="10" t="s">
        <v>76</v>
      </c>
      <c r="B14" s="10">
        <f>B12*B13/100</f>
        <v>200</v>
      </c>
      <c r="C14" s="10" t="s">
        <v>71</v>
      </c>
    </row>
    <row r="16" spans="1:6" x14ac:dyDescent="0.25">
      <c r="A16" s="10" t="s">
        <v>117</v>
      </c>
    </row>
    <row r="18" spans="1:14" s="20" customFormat="1" ht="57" x14ac:dyDescent="0.25">
      <c r="A18" s="19" t="s">
        <v>99</v>
      </c>
      <c r="B18" s="14" t="s">
        <v>115</v>
      </c>
      <c r="C18" s="17" t="s">
        <v>119</v>
      </c>
      <c r="D18" s="18" t="s">
        <v>120</v>
      </c>
      <c r="E18" s="17" t="s">
        <v>118</v>
      </c>
      <c r="F18" s="21" t="s">
        <v>113</v>
      </c>
      <c r="G18" s="21" t="s">
        <v>114</v>
      </c>
      <c r="H18" s="21" t="s">
        <v>121</v>
      </c>
      <c r="I18" s="22" t="s">
        <v>23</v>
      </c>
      <c r="J18" s="23" t="s">
        <v>22</v>
      </c>
      <c r="K18" s="23" t="s">
        <v>24</v>
      </c>
      <c r="L18" s="23" t="s">
        <v>104</v>
      </c>
      <c r="M18" s="24" t="s">
        <v>110</v>
      </c>
      <c r="N18" s="20" t="s">
        <v>127</v>
      </c>
    </row>
    <row r="19" spans="1:14" x14ac:dyDescent="0.25">
      <c r="A19" s="12">
        <v>1</v>
      </c>
      <c r="B19" s="16">
        <v>7.2</v>
      </c>
      <c r="C19" s="15">
        <v>20</v>
      </c>
      <c r="D19" s="15">
        <v>20</v>
      </c>
      <c r="E19" s="15">
        <v>20</v>
      </c>
      <c r="F19" s="10">
        <v>30</v>
      </c>
      <c r="G19" s="10">
        <v>10</v>
      </c>
      <c r="H19" s="10">
        <v>0</v>
      </c>
      <c r="I19" s="25">
        <f>C19/100+F19/100</f>
        <v>0.5</v>
      </c>
      <c r="J19" s="26">
        <f>D19/100+G19/100</f>
        <v>0.30000000000000004</v>
      </c>
      <c r="K19" s="26">
        <f>E19/100+H19/100</f>
        <v>0.2</v>
      </c>
      <c r="L19" s="26">
        <f>IF(H19=0,F19/100+G19/100,H19/100)</f>
        <v>0.4</v>
      </c>
      <c r="M19" s="27">
        <f>0.01*F19/L19</f>
        <v>0.74999999999999989</v>
      </c>
      <c r="N19" s="10" t="str">
        <f>IF(OR(SUM(C19:H19)&gt;100,SUM(C19:H19)&lt;100),"ERROR, sum !=100","ok")</f>
        <v>ok</v>
      </c>
    </row>
    <row r="20" spans="1:14" x14ac:dyDescent="0.25">
      <c r="A20" s="12">
        <v>2</v>
      </c>
      <c r="B20" s="16">
        <v>19.600000000000001</v>
      </c>
      <c r="C20" s="15">
        <v>19.600000000000001</v>
      </c>
      <c r="D20" s="15">
        <v>29.4</v>
      </c>
      <c r="E20" s="15">
        <v>51</v>
      </c>
      <c r="I20" s="25"/>
      <c r="J20" s="26"/>
      <c r="K20" s="26"/>
      <c r="L20" s="26"/>
      <c r="M20" s="27"/>
    </row>
    <row r="21" spans="1:14" x14ac:dyDescent="0.25">
      <c r="A21" s="12">
        <v>3</v>
      </c>
      <c r="B21" s="16">
        <v>4.4000000000000004</v>
      </c>
      <c r="C21" s="15">
        <v>13.3</v>
      </c>
      <c r="D21" s="15">
        <v>40.5</v>
      </c>
      <c r="E21" s="15">
        <v>46.2</v>
      </c>
      <c r="I21" s="25"/>
      <c r="J21" s="26"/>
      <c r="K21" s="26"/>
      <c r="L21" s="26"/>
      <c r="M21" s="27"/>
    </row>
    <row r="22" spans="1:14" x14ac:dyDescent="0.25">
      <c r="A22" s="12">
        <v>4</v>
      </c>
      <c r="B22" s="16">
        <v>19.399999999999999</v>
      </c>
      <c r="C22" s="15">
        <v>23</v>
      </c>
      <c r="D22" s="15">
        <v>34.1</v>
      </c>
      <c r="E22" s="15">
        <v>42.8</v>
      </c>
      <c r="I22" s="25"/>
      <c r="J22" s="26"/>
      <c r="K22" s="26"/>
      <c r="L22" s="26"/>
      <c r="M22" s="27"/>
    </row>
    <row r="23" spans="1:14" x14ac:dyDescent="0.25">
      <c r="A23" s="12" t="s">
        <v>100</v>
      </c>
      <c r="B23" s="12">
        <f>SUM(B19:B22)</f>
        <v>50.6</v>
      </c>
      <c r="C23" s="13">
        <f>(C19*$B19+C20*$B20+C21*$B21+C22*$B22)/$B$23</f>
        <v>20.412648221343876</v>
      </c>
      <c r="D23" s="13">
        <f>(D19*$B19+D20*$B20+D21*$B21+D22*$B22)/$B$23</f>
        <v>30.829644268774704</v>
      </c>
      <c r="E23" s="13">
        <f>(E19*$B19+E20*$B20+E21*$B21+E22*$B22)/$B$23</f>
        <v>43.027667984189719</v>
      </c>
      <c r="I23" s="28"/>
      <c r="J23" s="29"/>
      <c r="K23" s="29"/>
      <c r="L23" s="29"/>
      <c r="M23" s="30"/>
    </row>
    <row r="25" spans="1:14" x14ac:dyDescent="0.25">
      <c r="A25" s="10" t="s">
        <v>116</v>
      </c>
      <c r="I25" s="10" t="s">
        <v>122</v>
      </c>
      <c r="J25" s="10">
        <f>M19*L19*I19</f>
        <v>0.15</v>
      </c>
    </row>
    <row r="26" spans="1:14" x14ac:dyDescent="0.25">
      <c r="I26" s="10" t="s">
        <v>123</v>
      </c>
      <c r="J26" s="10">
        <f>I19-J25</f>
        <v>0.35</v>
      </c>
    </row>
    <row r="27" spans="1:14" ht="42.75" x14ac:dyDescent="0.25">
      <c r="A27" s="19" t="s">
        <v>99</v>
      </c>
      <c r="B27" s="14" t="s">
        <v>115</v>
      </c>
      <c r="C27" s="17" t="s">
        <v>101</v>
      </c>
      <c r="D27" s="18" t="s">
        <v>102</v>
      </c>
      <c r="E27" s="17" t="s">
        <v>103</v>
      </c>
      <c r="I27" s="10" t="s">
        <v>124</v>
      </c>
      <c r="J27" s="10">
        <f>J19-(1-M19)*L19</f>
        <v>0.2</v>
      </c>
    </row>
    <row r="28" spans="1:14" x14ac:dyDescent="0.25">
      <c r="A28" s="12">
        <v>1</v>
      </c>
      <c r="B28" s="16">
        <v>7.2</v>
      </c>
      <c r="C28" s="15">
        <v>24.2</v>
      </c>
      <c r="D28" s="15">
        <v>32.799999999999997</v>
      </c>
      <c r="E28" s="15">
        <v>43</v>
      </c>
      <c r="I28" s="10" t="s">
        <v>125</v>
      </c>
      <c r="J28" s="10">
        <f>J19-J27</f>
        <v>0.10000000000000003</v>
      </c>
    </row>
    <row r="29" spans="1:14" x14ac:dyDescent="0.25">
      <c r="A29" s="12">
        <v>2</v>
      </c>
      <c r="B29" s="16">
        <v>19.600000000000001</v>
      </c>
      <c r="C29" s="15">
        <v>19.600000000000001</v>
      </c>
      <c r="D29" s="15">
        <v>29.4</v>
      </c>
      <c r="E29" s="15">
        <v>51</v>
      </c>
      <c r="I29" s="10" t="s">
        <v>126</v>
      </c>
      <c r="J29" s="10">
        <f>K19</f>
        <v>0.2</v>
      </c>
    </row>
    <row r="30" spans="1:14" x14ac:dyDescent="0.25">
      <c r="A30" s="12">
        <v>3</v>
      </c>
      <c r="B30" s="16">
        <v>4.4000000000000004</v>
      </c>
      <c r="C30" s="15">
        <v>13.3</v>
      </c>
      <c r="D30" s="15">
        <v>40.5</v>
      </c>
      <c r="E30" s="15">
        <v>46.2</v>
      </c>
    </row>
    <row r="31" spans="1:14" x14ac:dyDescent="0.25">
      <c r="A31" s="12">
        <v>4</v>
      </c>
      <c r="B31" s="16">
        <v>19.399999999999999</v>
      </c>
      <c r="C31" s="15">
        <v>23</v>
      </c>
      <c r="D31" s="15">
        <v>34.1</v>
      </c>
      <c r="E31" s="15">
        <v>42.8</v>
      </c>
    </row>
    <row r="32" spans="1:14" x14ac:dyDescent="0.25">
      <c r="A32" s="12" t="s">
        <v>100</v>
      </c>
      <c r="B32" s="12">
        <f>SUM(B28:B31)</f>
        <v>50.6</v>
      </c>
      <c r="C32" s="13">
        <f>(C28*$B28+C29*$B29+C30*$B30+C31*$B31)/$B$23</f>
        <v>21.010276679841898</v>
      </c>
      <c r="D32" s="13">
        <f>(D28*$B28+D29*$B29+D30*$B30+D31*$B31)/$B$23</f>
        <v>32.650988142292483</v>
      </c>
      <c r="E32" s="13">
        <f>(E28*$B28+E29*$B29+E30*$B30+E31*$B31)/$B$23</f>
        <v>46.300395256917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3" sqref="E3:E5"/>
    </sheetView>
  </sheetViews>
  <sheetFormatPr defaultRowHeight="15" x14ac:dyDescent="0.25"/>
  <cols>
    <col min="3" max="3" width="5.7109375" bestFit="1" customWidth="1"/>
    <col min="4" max="4" width="49.140625" customWidth="1"/>
  </cols>
  <sheetData>
    <row r="1" spans="1:6" x14ac:dyDescent="0.25">
      <c r="A1" t="s">
        <v>128</v>
      </c>
    </row>
    <row r="2" spans="1:6" s="1" customFormat="1" x14ac:dyDescent="0.25">
      <c r="A2" s="1" t="s">
        <v>86</v>
      </c>
      <c r="B2" s="1" t="s">
        <v>0</v>
      </c>
      <c r="C2" s="1" t="s">
        <v>13</v>
      </c>
      <c r="D2" s="1" t="s">
        <v>49</v>
      </c>
      <c r="E2" s="1" t="s">
        <v>112</v>
      </c>
    </row>
    <row r="3" spans="1:6" x14ac:dyDescent="0.25">
      <c r="A3" t="s">
        <v>91</v>
      </c>
      <c r="B3" t="s">
        <v>23</v>
      </c>
      <c r="C3" t="s">
        <v>20</v>
      </c>
      <c r="D3" t="s">
        <v>93</v>
      </c>
      <c r="E3" s="3">
        <v>0.2</v>
      </c>
    </row>
    <row r="4" spans="1:6" x14ac:dyDescent="0.25">
      <c r="A4" t="s">
        <v>91</v>
      </c>
      <c r="B4" t="s">
        <v>22</v>
      </c>
      <c r="C4" t="s">
        <v>20</v>
      </c>
      <c r="D4" t="s">
        <v>92</v>
      </c>
      <c r="E4" s="3">
        <v>0.3</v>
      </c>
    </row>
    <row r="5" spans="1:6" x14ac:dyDescent="0.25">
      <c r="A5" t="s">
        <v>91</v>
      </c>
      <c r="B5" t="s">
        <v>24</v>
      </c>
      <c r="C5" t="s">
        <v>20</v>
      </c>
      <c r="D5" t="s">
        <v>94</v>
      </c>
      <c r="E5" s="3">
        <v>0.5</v>
      </c>
    </row>
    <row r="6" spans="1:6" x14ac:dyDescent="0.25">
      <c r="A6" t="s">
        <v>91</v>
      </c>
      <c r="B6" t="s">
        <v>104</v>
      </c>
      <c r="C6" t="s">
        <v>20</v>
      </c>
      <c r="D6" t="s">
        <v>109</v>
      </c>
      <c r="E6" s="3">
        <v>0.5</v>
      </c>
    </row>
    <row r="7" spans="1:6" x14ac:dyDescent="0.25">
      <c r="A7" t="s">
        <v>91</v>
      </c>
      <c r="B7" t="s">
        <v>110</v>
      </c>
      <c r="C7" t="s">
        <v>20</v>
      </c>
      <c r="D7" t="s">
        <v>111</v>
      </c>
      <c r="E7" s="3">
        <v>0.5</v>
      </c>
    </row>
    <row r="9" spans="1:6" x14ac:dyDescent="0.25">
      <c r="A9" t="s">
        <v>129</v>
      </c>
    </row>
    <row r="10" spans="1:6" x14ac:dyDescent="0.25">
      <c r="A10" s="1" t="s">
        <v>86</v>
      </c>
      <c r="B10" s="1" t="s">
        <v>0</v>
      </c>
      <c r="C10" s="1" t="s">
        <v>13</v>
      </c>
      <c r="D10" s="1" t="s">
        <v>49</v>
      </c>
      <c r="E10" s="1" t="s">
        <v>27</v>
      </c>
      <c r="F10" s="1" t="s">
        <v>96</v>
      </c>
    </row>
    <row r="11" spans="1:6" x14ac:dyDescent="0.25">
      <c r="A11" t="s">
        <v>91</v>
      </c>
      <c r="B11" t="s">
        <v>106</v>
      </c>
      <c r="C11" t="s">
        <v>20</v>
      </c>
      <c r="D11" t="s">
        <v>105</v>
      </c>
      <c r="E11" s="7" t="s">
        <v>1</v>
      </c>
      <c r="F11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8" sqref="E8"/>
    </sheetView>
  </sheetViews>
  <sheetFormatPr defaultRowHeight="15" x14ac:dyDescent="0.25"/>
  <cols>
    <col min="1" max="1" width="17.7109375" bestFit="1" customWidth="1"/>
  </cols>
  <sheetData>
    <row r="1" spans="1:2" x14ac:dyDescent="0.25">
      <c r="A1" s="41" t="s">
        <v>146</v>
      </c>
      <c r="B1" s="42" t="s">
        <v>147</v>
      </c>
    </row>
    <row r="2" spans="1:2" x14ac:dyDescent="0.25">
      <c r="A2" s="43" t="s">
        <v>158</v>
      </c>
      <c r="B2" s="43">
        <v>0.04</v>
      </c>
    </row>
    <row r="3" spans="1:2" x14ac:dyDescent="0.25">
      <c r="A3" s="43" t="s">
        <v>156</v>
      </c>
      <c r="B3" s="43">
        <v>0.09</v>
      </c>
    </row>
    <row r="4" spans="1:2" x14ac:dyDescent="0.25">
      <c r="A4" s="43" t="s">
        <v>150</v>
      </c>
      <c r="B4" s="43">
        <v>0.16</v>
      </c>
    </row>
    <row r="5" spans="1:2" x14ac:dyDescent="0.25">
      <c r="A5" s="43" t="s">
        <v>151</v>
      </c>
      <c r="B5" s="43">
        <v>0.18</v>
      </c>
    </row>
    <row r="6" spans="1:2" x14ac:dyDescent="0.25">
      <c r="A6" s="43" t="s">
        <v>155</v>
      </c>
      <c r="B6" s="43">
        <v>0.25</v>
      </c>
    </row>
    <row r="7" spans="1:2" x14ac:dyDescent="0.25">
      <c r="A7" s="43" t="s">
        <v>160</v>
      </c>
      <c r="B7" s="43">
        <v>0.28999999999999998</v>
      </c>
    </row>
    <row r="8" spans="1:2" x14ac:dyDescent="0.25">
      <c r="A8" s="43" t="s">
        <v>153</v>
      </c>
      <c r="B8" s="43">
        <v>0.38</v>
      </c>
    </row>
    <row r="9" spans="1:2" x14ac:dyDescent="0.25">
      <c r="A9" s="43" t="s">
        <v>152</v>
      </c>
      <c r="B9" s="43">
        <v>0.4</v>
      </c>
    </row>
    <row r="10" spans="1:2" x14ac:dyDescent="0.25">
      <c r="A10" s="43" t="s">
        <v>159</v>
      </c>
      <c r="B10" s="43">
        <v>0.45</v>
      </c>
    </row>
    <row r="11" spans="1:2" x14ac:dyDescent="0.25">
      <c r="A11" s="43" t="s">
        <v>148</v>
      </c>
      <c r="B11" s="43">
        <v>0.49</v>
      </c>
    </row>
    <row r="12" spans="1:2" x14ac:dyDescent="0.25">
      <c r="A12" s="43" t="s">
        <v>162</v>
      </c>
      <c r="B12" s="43">
        <v>0.57999999999999996</v>
      </c>
    </row>
    <row r="13" spans="1:2" x14ac:dyDescent="0.25">
      <c r="A13" s="43" t="s">
        <v>149</v>
      </c>
      <c r="B13" s="43">
        <v>0.67</v>
      </c>
    </row>
    <row r="14" spans="1:2" x14ac:dyDescent="0.25">
      <c r="A14" s="43" t="s">
        <v>154</v>
      </c>
      <c r="B14" s="43">
        <v>0.67</v>
      </c>
    </row>
    <row r="15" spans="1:2" x14ac:dyDescent="0.25">
      <c r="A15" s="43" t="s">
        <v>163</v>
      </c>
      <c r="B15" s="43">
        <v>0.72</v>
      </c>
    </row>
    <row r="16" spans="1:2" x14ac:dyDescent="0.25">
      <c r="A16" s="43" t="s">
        <v>165</v>
      </c>
      <c r="B16" s="43">
        <v>0.79</v>
      </c>
    </row>
    <row r="17" spans="1:2" x14ac:dyDescent="0.25">
      <c r="A17" s="43" t="s">
        <v>161</v>
      </c>
      <c r="B17" s="43">
        <v>0.85</v>
      </c>
    </row>
    <row r="18" spans="1:2" x14ac:dyDescent="0.25">
      <c r="A18" s="43" t="s">
        <v>157</v>
      </c>
      <c r="B18" s="43">
        <v>0.87</v>
      </c>
    </row>
    <row r="19" spans="1:2" x14ac:dyDescent="0.25">
      <c r="A19" s="43" t="s">
        <v>164</v>
      </c>
      <c r="B19" s="43">
        <v>0.96</v>
      </c>
    </row>
  </sheetData>
  <sortState ref="A2:B2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</vt:lpstr>
      <vt:lpstr>SC_reach</vt:lpstr>
      <vt:lpstr>Constant</vt:lpstr>
      <vt:lpstr>Param_pre-processing</vt:lpstr>
      <vt:lpstr>OldParams</vt:lpstr>
      <vt:lpstr>Sheet1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2016-01-18T19:58:39Z</dcterms:modified>
</cp:coreProperties>
</file>